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drawings/drawing7.xml" ContentType="application/vnd.openxmlformats-officedocument.drawing+xml"/>
  <Override PartName="/xl/ctrlProps/ctrlProp2.xml" ContentType="application/vnd.ms-excel.controlproperties+xml"/>
  <Override PartName="/xl/drawings/drawing8.xml" ContentType="application/vnd.openxmlformats-officedocument.drawing+xml"/>
  <Override PartName="/xl/ctrlProps/ctrlProp3.xml" ContentType="application/vnd.ms-excel.controlproperties+xml"/>
  <Override PartName="/xl/drawings/drawing9.xml" ContentType="application/vnd.openxmlformats-officedocument.drawing+xml"/>
  <Override PartName="/xl/ctrlProps/ctrlProp4.xml" ContentType="application/vnd.ms-excel.controlproperties+xml"/>
  <Override PartName="/xl/drawings/drawing10.xml" ContentType="application/vnd.openxmlformats-officedocument.drawing+xml"/>
  <Override PartName="/xl/ctrlProps/ctrlProp5.xml" ContentType="application/vnd.ms-excel.controlproperties+xml"/>
  <Override PartName="/xl/drawings/drawing11.xml" ContentType="application/vnd.openxmlformats-officedocument.drawing+xml"/>
  <Override PartName="/xl/ctrlProps/ctrlProp6.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komal\OneDrive\Desktop\"/>
    </mc:Choice>
  </mc:AlternateContent>
  <xr:revisionPtr revIDLastSave="0" documentId="13_ncr:1_{434FE6E8-40B1-4BE9-AA98-4F3A007C5FD9}" xr6:coauthVersionLast="47" xr6:coauthVersionMax="47" xr10:uidLastSave="{00000000-0000-0000-0000-000000000000}"/>
  <bookViews>
    <workbookView xWindow="-120" yWindow="-120" windowWidth="20730" windowHeight="11760" tabRatio="1000" firstSheet="17" activeTab="1" xr2:uid="{00000000-000D-0000-FFFF-FFFF00000000}"/>
  </bookViews>
  <sheets>
    <sheet name="Case " sheetId="34" r:id="rId1"/>
    <sheet name="Industry Information" sheetId="15" r:id="rId2"/>
    <sheet name="Market Size Information" sheetId="17" r:id="rId3"/>
    <sheet name="Company Information" sheetId="16" r:id="rId4"/>
    <sheet name="Past Data" sheetId="32" r:id="rId5"/>
    <sheet name="Damodaran Data" sheetId="23" r:id="rId6"/>
    <sheet name="Input Sheet" sheetId="22" r:id="rId7"/>
    <sheet name="WACC" sheetId="24" r:id="rId8"/>
    <sheet name="Control Sheet" sheetId="7" r:id="rId9"/>
    <sheet name="CoverPage&gt;" sheetId="14" r:id="rId10"/>
    <sheet name="Schedules" sheetId="8" r:id="rId11"/>
    <sheet name="3 Statment Model" sheetId="9" r:id="rId12"/>
    <sheet name="Common Size Statmen" sheetId="11" r:id="rId13"/>
    <sheet name="Ratio Analysis" sheetId="10" r:id="rId14"/>
    <sheet name="DCF Valuation&gt;" sheetId="13" r:id="rId15"/>
    <sheet name="DCF Valuation" sheetId="12" r:id="rId16"/>
    <sheet name="Relative Valuation&gt;" sheetId="27" r:id="rId17"/>
    <sheet name="Comps Description" sheetId="28" r:id="rId18"/>
    <sheet name="Benchmarking" sheetId="29" r:id="rId19"/>
    <sheet name="Sheet3" sheetId="33" r:id="rId20"/>
    <sheet name="Sheet1" sheetId="31" r:id="rId21"/>
    <sheet name="Relative valuation" sheetId="30" r:id="rId22"/>
    <sheet name="Workings&gt;" sheetId="21" r:id="rId23"/>
    <sheet name="Income Statement" sheetId="18" r:id="rId24"/>
    <sheet name="Balance Sheet " sheetId="19" r:id="rId25"/>
    <sheet name="Cash Flow Statemenet" sheetId="20" r:id="rId26"/>
    <sheet name="Option value" sheetId="26" r:id="rId27"/>
  </sheets>
  <definedNames>
    <definedName name="_xlnm._FilterDatabase" localSheetId="4" hidden="1">'Past Data'!$M$79:$O$90</definedName>
    <definedName name="CIQWBGuid" hidden="1">"9bd8df8b-044c-4dd6-a0df-b0c3f83b8dd9"</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"06/08/2021 20:37:46"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UPDATE">#REF!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12" l="1"/>
  <c r="C35" i="12"/>
  <c r="L70" i="8"/>
  <c r="B22" i="7" l="1"/>
  <c r="G18" i="26" l="1"/>
  <c r="D18" i="26"/>
  <c r="G17" i="26"/>
  <c r="G16" i="26"/>
  <c r="G19" i="26" s="1"/>
  <c r="G15" i="26"/>
  <c r="D15" i="26"/>
  <c r="D17" i="26" s="1"/>
  <c r="G14" i="26"/>
  <c r="D14" i="26"/>
  <c r="M57" i="20"/>
  <c r="L57" i="20"/>
  <c r="K57" i="20"/>
  <c r="J57" i="20"/>
  <c r="I57" i="20"/>
  <c r="H57" i="20"/>
  <c r="G57" i="20"/>
  <c r="F57" i="20"/>
  <c r="E57" i="20"/>
  <c r="D57" i="20"/>
  <c r="C57" i="20"/>
  <c r="M42" i="20"/>
  <c r="L42" i="20"/>
  <c r="K42" i="20"/>
  <c r="J42" i="20"/>
  <c r="I42" i="20"/>
  <c r="I61" i="20" s="1"/>
  <c r="I65" i="20" s="1"/>
  <c r="H42" i="20"/>
  <c r="G42" i="20"/>
  <c r="F42" i="20"/>
  <c r="E42" i="20"/>
  <c r="D42" i="20"/>
  <c r="C42" i="20"/>
  <c r="I29" i="20"/>
  <c r="G29" i="20"/>
  <c r="G61" i="20" s="1"/>
  <c r="G65" i="20" s="1"/>
  <c r="F29" i="20"/>
  <c r="F61" i="20" s="1"/>
  <c r="F65" i="20" s="1"/>
  <c r="E29" i="20"/>
  <c r="E61" i="20" s="1"/>
  <c r="E65" i="20" s="1"/>
  <c r="D29" i="20"/>
  <c r="D61" i="20" s="1"/>
  <c r="D65" i="20" s="1"/>
  <c r="I22" i="20"/>
  <c r="G22" i="20"/>
  <c r="F22" i="20"/>
  <c r="E22" i="20"/>
  <c r="D22" i="20"/>
  <c r="C22" i="20"/>
  <c r="C29" i="20" s="1"/>
  <c r="C61" i="20" s="1"/>
  <c r="C65" i="20" s="1"/>
  <c r="M18" i="20"/>
  <c r="M22" i="20" s="1"/>
  <c r="M29" i="20" s="1"/>
  <c r="L18" i="20"/>
  <c r="L22" i="20" s="1"/>
  <c r="L29" i="20" s="1"/>
  <c r="K18" i="20"/>
  <c r="K22" i="20" s="1"/>
  <c r="K29" i="20" s="1"/>
  <c r="J18" i="20"/>
  <c r="J22" i="20" s="1"/>
  <c r="J29" i="20" s="1"/>
  <c r="I18" i="20"/>
  <c r="H18" i="20"/>
  <c r="H22" i="20" s="1"/>
  <c r="H29" i="20" s="1"/>
  <c r="H61" i="20" s="1"/>
  <c r="H65" i="20" s="1"/>
  <c r="G18" i="20"/>
  <c r="F18" i="20"/>
  <c r="E18" i="20"/>
  <c r="D18" i="20"/>
  <c r="C18" i="20"/>
  <c r="M123" i="19"/>
  <c r="L123" i="19"/>
  <c r="K203" i="8" s="1"/>
  <c r="K123" i="19"/>
  <c r="J203" i="8" s="1"/>
  <c r="J123" i="19"/>
  <c r="I123" i="19"/>
  <c r="H123" i="19"/>
  <c r="G123" i="19"/>
  <c r="F123" i="19"/>
  <c r="E203" i="8" s="1"/>
  <c r="E123" i="19"/>
  <c r="D123" i="19"/>
  <c r="C123" i="19"/>
  <c r="M113" i="19"/>
  <c r="L113" i="19"/>
  <c r="K113" i="19"/>
  <c r="J113" i="19"/>
  <c r="I113" i="19"/>
  <c r="H113" i="19"/>
  <c r="G113" i="19"/>
  <c r="F90" i="9" s="1"/>
  <c r="F113" i="19"/>
  <c r="E113" i="19"/>
  <c r="E132" i="19" s="1"/>
  <c r="D113" i="19"/>
  <c r="C113" i="19"/>
  <c r="C132" i="19" s="1"/>
  <c r="M106" i="19"/>
  <c r="L230" i="8" s="1"/>
  <c r="L106" i="19"/>
  <c r="K197" i="8" s="1"/>
  <c r="K106" i="19"/>
  <c r="J106" i="19"/>
  <c r="I106" i="19"/>
  <c r="H106" i="19"/>
  <c r="G106" i="19"/>
  <c r="F106" i="19"/>
  <c r="E106" i="19"/>
  <c r="D106" i="19"/>
  <c r="C728" i="16" s="1"/>
  <c r="C106" i="19"/>
  <c r="M93" i="19"/>
  <c r="L93" i="19"/>
  <c r="L98" i="19" s="1"/>
  <c r="K93" i="19"/>
  <c r="K98" i="19" s="1"/>
  <c r="J93" i="19"/>
  <c r="I93" i="19"/>
  <c r="H93" i="19"/>
  <c r="G93" i="19"/>
  <c r="F93" i="19"/>
  <c r="E93" i="19"/>
  <c r="D93" i="19"/>
  <c r="C93" i="19"/>
  <c r="M85" i="19"/>
  <c r="L85" i="19"/>
  <c r="L83" i="19" s="1"/>
  <c r="K227" i="8" s="1"/>
  <c r="K85" i="19"/>
  <c r="K83" i="19" s="1"/>
  <c r="J227" i="8" s="1"/>
  <c r="J85" i="19"/>
  <c r="J83" i="19" s="1"/>
  <c r="I227" i="8" s="1"/>
  <c r="I85" i="19"/>
  <c r="I83" i="19" s="1"/>
  <c r="H227" i="8" s="1"/>
  <c r="H85" i="19"/>
  <c r="H83" i="19" s="1"/>
  <c r="G227" i="8" s="1"/>
  <c r="G85" i="19"/>
  <c r="G83" i="19" s="1"/>
  <c r="F227" i="8" s="1"/>
  <c r="F85" i="19"/>
  <c r="F83" i="19" s="1"/>
  <c r="E85" i="19"/>
  <c r="E83" i="19" s="1"/>
  <c r="D85" i="19"/>
  <c r="D83" i="19" s="1"/>
  <c r="C85" i="19"/>
  <c r="C83" i="19" s="1"/>
  <c r="M75" i="19"/>
  <c r="L75" i="19"/>
  <c r="K75" i="19"/>
  <c r="J75" i="19"/>
  <c r="I75" i="19"/>
  <c r="H75" i="19"/>
  <c r="G75" i="19"/>
  <c r="F75" i="19"/>
  <c r="E75" i="19"/>
  <c r="D75" i="19"/>
  <c r="C75" i="19"/>
  <c r="M57" i="19"/>
  <c r="M60" i="19" s="1"/>
  <c r="L50" i="19"/>
  <c r="K50" i="19"/>
  <c r="J50" i="19"/>
  <c r="I180" i="8" s="1"/>
  <c r="I56" i="9" s="1"/>
  <c r="I50" i="19"/>
  <c r="H180" i="8" s="1"/>
  <c r="H50" i="19"/>
  <c r="G180" i="8" s="1"/>
  <c r="G56" i="9" s="1"/>
  <c r="G50" i="19"/>
  <c r="F180" i="8" s="1"/>
  <c r="F50" i="19"/>
  <c r="E180" i="8" s="1"/>
  <c r="E50" i="19"/>
  <c r="D50" i="19"/>
  <c r="C50" i="19"/>
  <c r="L45" i="19"/>
  <c r="K45" i="19"/>
  <c r="J45" i="19"/>
  <c r="I45" i="19"/>
  <c r="H45" i="19"/>
  <c r="G45" i="19"/>
  <c r="F45" i="19"/>
  <c r="E45" i="19"/>
  <c r="D45" i="19"/>
  <c r="C45" i="19"/>
  <c r="L41" i="19"/>
  <c r="K51" i="9" s="1"/>
  <c r="K41" i="19"/>
  <c r="K57" i="19" s="1"/>
  <c r="K60" i="19" s="1"/>
  <c r="J41" i="19"/>
  <c r="I51" i="9" s="1"/>
  <c r="I41" i="19"/>
  <c r="F825" i="16" s="1"/>
  <c r="H41" i="19"/>
  <c r="E825" i="16" s="1"/>
  <c r="G41" i="19"/>
  <c r="F41" i="19"/>
  <c r="C825" i="16" s="1"/>
  <c r="E41" i="19"/>
  <c r="D41" i="19"/>
  <c r="C41" i="19"/>
  <c r="M32" i="19"/>
  <c r="L32" i="19"/>
  <c r="K32" i="19"/>
  <c r="J32" i="19"/>
  <c r="I32" i="19"/>
  <c r="H32" i="19"/>
  <c r="G32" i="19"/>
  <c r="F32" i="19"/>
  <c r="E32" i="19"/>
  <c r="D32" i="19"/>
  <c r="C32" i="19"/>
  <c r="M30" i="19"/>
  <c r="M25" i="19"/>
  <c r="L25" i="19"/>
  <c r="K25" i="19"/>
  <c r="J25" i="19"/>
  <c r="I25" i="19"/>
  <c r="H25" i="19"/>
  <c r="G25" i="19"/>
  <c r="F25" i="19"/>
  <c r="E25" i="19"/>
  <c r="D25" i="19"/>
  <c r="C25" i="19"/>
  <c r="L17" i="19"/>
  <c r="K17" i="19"/>
  <c r="J17" i="19"/>
  <c r="I17" i="19"/>
  <c r="H96" i="8" s="1"/>
  <c r="H17" i="19"/>
  <c r="G17" i="19"/>
  <c r="F96" i="8" s="1"/>
  <c r="F17" i="19"/>
  <c r="E17" i="19"/>
  <c r="D17" i="19"/>
  <c r="L7" i="19"/>
  <c r="K7" i="19"/>
  <c r="J7" i="19"/>
  <c r="I7" i="19"/>
  <c r="H7" i="19"/>
  <c r="G7" i="19"/>
  <c r="F7" i="19"/>
  <c r="E7" i="19"/>
  <c r="D7" i="19"/>
  <c r="C7" i="19"/>
  <c r="M88" i="18"/>
  <c r="M92" i="18" s="1"/>
  <c r="M86" i="18"/>
  <c r="L86" i="18"/>
  <c r="K86" i="18"/>
  <c r="J86" i="18"/>
  <c r="I86" i="18"/>
  <c r="H86" i="18"/>
  <c r="G86" i="18"/>
  <c r="F86" i="18"/>
  <c r="E86" i="18"/>
  <c r="D86" i="18"/>
  <c r="C86" i="18"/>
  <c r="M81" i="18"/>
  <c r="M76" i="18"/>
  <c r="L76" i="18"/>
  <c r="K76" i="18"/>
  <c r="J76" i="18"/>
  <c r="I76" i="18"/>
  <c r="H76" i="18"/>
  <c r="G76" i="18"/>
  <c r="F76" i="18"/>
  <c r="E76" i="18"/>
  <c r="D76" i="18"/>
  <c r="C76" i="18"/>
  <c r="M67" i="18"/>
  <c r="L67" i="18"/>
  <c r="K67" i="18"/>
  <c r="J67" i="18"/>
  <c r="I67" i="18"/>
  <c r="H67" i="18"/>
  <c r="G67" i="18"/>
  <c r="F67" i="18"/>
  <c r="E67" i="18"/>
  <c r="D67" i="18"/>
  <c r="C67" i="18"/>
  <c r="L56" i="18"/>
  <c r="K36" i="8" s="1"/>
  <c r="K56" i="18"/>
  <c r="J36" i="8" s="1"/>
  <c r="J56" i="18"/>
  <c r="I56" i="18"/>
  <c r="H56" i="18"/>
  <c r="G56" i="18"/>
  <c r="F56" i="18"/>
  <c r="E56" i="18"/>
  <c r="D56" i="18"/>
  <c r="C56" i="18"/>
  <c r="M52" i="18"/>
  <c r="L52" i="18"/>
  <c r="K52" i="18"/>
  <c r="J52" i="18"/>
  <c r="I52" i="18"/>
  <c r="H52" i="18"/>
  <c r="G52" i="18"/>
  <c r="F52" i="18"/>
  <c r="E52" i="18"/>
  <c r="D52" i="18"/>
  <c r="C52" i="18"/>
  <c r="L46" i="18"/>
  <c r="K41" i="8" s="1"/>
  <c r="K22" i="9" s="1"/>
  <c r="K46" i="18"/>
  <c r="J41" i="8" s="1"/>
  <c r="J22" i="9" s="1"/>
  <c r="J46" i="18"/>
  <c r="I41" i="8" s="1"/>
  <c r="I22" i="9" s="1"/>
  <c r="I46" i="18"/>
  <c r="H41" i="8" s="1"/>
  <c r="H22" i="9" s="1"/>
  <c r="H46" i="18"/>
  <c r="G41" i="8" s="1"/>
  <c r="G22" i="9" s="1"/>
  <c r="G46" i="18"/>
  <c r="F41" i="8" s="1"/>
  <c r="F22" i="9" s="1"/>
  <c r="F46" i="18"/>
  <c r="E46" i="18"/>
  <c r="D46" i="18"/>
  <c r="C46" i="18"/>
  <c r="M42" i="18"/>
  <c r="L42" i="18"/>
  <c r="K42" i="18"/>
  <c r="J42" i="18"/>
  <c r="I42" i="18"/>
  <c r="H42" i="18"/>
  <c r="G42" i="18"/>
  <c r="F42" i="18"/>
  <c r="E42" i="18"/>
  <c r="D42" i="18"/>
  <c r="C42" i="18"/>
  <c r="L35" i="18"/>
  <c r="K35" i="18"/>
  <c r="J35" i="18"/>
  <c r="I35" i="18"/>
  <c r="H35" i="18"/>
  <c r="G35" i="18"/>
  <c r="F35" i="18"/>
  <c r="E35" i="18"/>
  <c r="D35" i="18"/>
  <c r="C35" i="18"/>
  <c r="E26" i="18"/>
  <c r="D26" i="18"/>
  <c r="E25" i="18"/>
  <c r="D25" i="18"/>
  <c r="C25" i="18"/>
  <c r="M24" i="18"/>
  <c r="J24" i="18"/>
  <c r="J23" i="18"/>
  <c r="I23" i="18"/>
  <c r="H23" i="18"/>
  <c r="G23" i="18"/>
  <c r="F23" i="18"/>
  <c r="E23" i="18"/>
  <c r="M20" i="18"/>
  <c r="L20" i="18"/>
  <c r="K20" i="18"/>
  <c r="L17" i="18"/>
  <c r="K17" i="18"/>
  <c r="J17" i="18"/>
  <c r="J20" i="18" s="1"/>
  <c r="I17" i="18"/>
  <c r="H17" i="18"/>
  <c r="H20" i="18" s="1"/>
  <c r="G17" i="18"/>
  <c r="G20" i="18" s="1"/>
  <c r="F17" i="18"/>
  <c r="F20" i="18" s="1"/>
  <c r="E17" i="18"/>
  <c r="E20" i="18" s="1"/>
  <c r="D17" i="18"/>
  <c r="D20" i="18" s="1"/>
  <c r="C17" i="18"/>
  <c r="C20" i="18" s="1"/>
  <c r="M14" i="18"/>
  <c r="M23" i="18" s="1"/>
  <c r="L14" i="18"/>
  <c r="L23" i="18" s="1"/>
  <c r="K14" i="18"/>
  <c r="K23" i="18" s="1"/>
  <c r="J14" i="18"/>
  <c r="I14" i="18"/>
  <c r="I24" i="18" s="1"/>
  <c r="H14" i="18"/>
  <c r="H24" i="18" s="1"/>
  <c r="G14" i="18"/>
  <c r="G24" i="18" s="1"/>
  <c r="F14" i="18"/>
  <c r="E14" i="18"/>
  <c r="E24" i="18" s="1"/>
  <c r="D14" i="18"/>
  <c r="D23" i="18" s="1"/>
  <c r="C14" i="18"/>
  <c r="C23" i="18" s="1"/>
  <c r="M8" i="18"/>
  <c r="M25" i="18" s="1"/>
  <c r="L8" i="18"/>
  <c r="L25" i="18" s="1"/>
  <c r="K8" i="18"/>
  <c r="K25" i="18" s="1"/>
  <c r="J8" i="18"/>
  <c r="J25" i="18" s="1"/>
  <c r="I8" i="18"/>
  <c r="I20" i="18" s="1"/>
  <c r="H8" i="18"/>
  <c r="H25" i="18" s="1"/>
  <c r="G8" i="18"/>
  <c r="G25" i="18" s="1"/>
  <c r="F8" i="18"/>
  <c r="F24" i="18" s="1"/>
  <c r="E8" i="18"/>
  <c r="E18" i="18" s="1"/>
  <c r="E21" i="18" s="1"/>
  <c r="D8" i="18"/>
  <c r="D18" i="18" s="1"/>
  <c r="D21" i="18" s="1"/>
  <c r="C8" i="18"/>
  <c r="C26" i="18" s="1"/>
  <c r="B30" i="30"/>
  <c r="C29" i="30"/>
  <c r="B29" i="30"/>
  <c r="C28" i="30"/>
  <c r="B28" i="30"/>
  <c r="B26" i="30"/>
  <c r="B27" i="30" s="1"/>
  <c r="AK18" i="30"/>
  <c r="AJ18" i="30"/>
  <c r="AH18" i="30"/>
  <c r="AJ16" i="30"/>
  <c r="AI16" i="30"/>
  <c r="AK13" i="30"/>
  <c r="AK16" i="30" s="1"/>
  <c r="AJ13" i="30"/>
  <c r="AI13" i="30"/>
  <c r="H13" i="30"/>
  <c r="AH13" i="30" s="1"/>
  <c r="AK12" i="30"/>
  <c r="AJ12" i="30"/>
  <c r="AI12" i="30"/>
  <c r="AH12" i="30"/>
  <c r="AG12" i="30"/>
  <c r="AF12" i="30"/>
  <c r="AE12" i="30"/>
  <c r="H12" i="30"/>
  <c r="AD12" i="30" s="1"/>
  <c r="AK11" i="30"/>
  <c r="AJ11" i="30"/>
  <c r="AI11" i="30"/>
  <c r="AH11" i="30"/>
  <c r="AG11" i="30"/>
  <c r="AF11" i="30"/>
  <c r="AE11" i="30"/>
  <c r="AD11" i="30"/>
  <c r="AC11" i="30"/>
  <c r="AA11" i="30"/>
  <c r="Z11" i="30"/>
  <c r="Y11" i="30"/>
  <c r="U11" i="30"/>
  <c r="T11" i="30"/>
  <c r="S11" i="30"/>
  <c r="O11" i="30"/>
  <c r="N11" i="30"/>
  <c r="M11" i="30"/>
  <c r="H11" i="30"/>
  <c r="AK10" i="30"/>
  <c r="AJ10" i="30"/>
  <c r="AI10" i="30"/>
  <c r="AH10" i="30"/>
  <c r="AG10" i="30"/>
  <c r="AF10" i="30"/>
  <c r="AE10" i="30"/>
  <c r="AD10" i="30"/>
  <c r="AC10" i="30"/>
  <c r="AA10" i="30"/>
  <c r="Z10" i="30"/>
  <c r="Y10" i="30"/>
  <c r="U10" i="30"/>
  <c r="T10" i="30"/>
  <c r="S10" i="30"/>
  <c r="O10" i="30"/>
  <c r="N10" i="30"/>
  <c r="M10" i="30"/>
  <c r="H10" i="30"/>
  <c r="AK9" i="30"/>
  <c r="AK17" i="30" s="1"/>
  <c r="AJ9" i="30"/>
  <c r="AJ17" i="30" s="1"/>
  <c r="AI9" i="30"/>
  <c r="AI17" i="30" s="1"/>
  <c r="AH9" i="30"/>
  <c r="AH16" i="30" s="1"/>
  <c r="AF9" i="30"/>
  <c r="AE9" i="30"/>
  <c r="AA9" i="30"/>
  <c r="Z9" i="30"/>
  <c r="Y9" i="30"/>
  <c r="U9" i="30"/>
  <c r="T9" i="30"/>
  <c r="S9" i="30"/>
  <c r="O9" i="30"/>
  <c r="N9" i="30"/>
  <c r="M9" i="30"/>
  <c r="H9" i="30"/>
  <c r="AD9" i="30" s="1"/>
  <c r="H8" i="30"/>
  <c r="V5" i="30"/>
  <c r="AC5" i="30" s="1"/>
  <c r="S5" i="30"/>
  <c r="T5" i="30" s="1"/>
  <c r="U5" i="30" s="1"/>
  <c r="P5" i="30"/>
  <c r="Q5" i="30" s="1"/>
  <c r="R5" i="30" s="1"/>
  <c r="N5" i="30"/>
  <c r="O5" i="30" s="1"/>
  <c r="M5" i="30"/>
  <c r="K5" i="30"/>
  <c r="L5" i="30" s="1"/>
  <c r="AK39" i="31"/>
  <c r="AJ39" i="31"/>
  <c r="AD39" i="31"/>
  <c r="I39" i="31"/>
  <c r="H39" i="31"/>
  <c r="G39" i="31"/>
  <c r="J39" i="31" s="1"/>
  <c r="K39" i="31" s="1"/>
  <c r="AK38" i="31"/>
  <c r="I38" i="31" s="1"/>
  <c r="AJ38" i="31"/>
  <c r="AD38" i="31"/>
  <c r="H38" i="31" s="1"/>
  <c r="AK37" i="31"/>
  <c r="AJ37" i="31"/>
  <c r="AD37" i="31"/>
  <c r="I37" i="31"/>
  <c r="H37" i="31"/>
  <c r="G37" i="31"/>
  <c r="J37" i="31" s="1"/>
  <c r="K37" i="31" s="1"/>
  <c r="AK36" i="31"/>
  <c r="I36" i="31" s="1"/>
  <c r="AJ36" i="31"/>
  <c r="AD36" i="31"/>
  <c r="H36" i="31" s="1"/>
  <c r="AK35" i="31"/>
  <c r="AJ35" i="31"/>
  <c r="AD35" i="31"/>
  <c r="I35" i="31"/>
  <c r="H35" i="31"/>
  <c r="G35" i="31"/>
  <c r="J35" i="31" s="1"/>
  <c r="K35" i="31" s="1"/>
  <c r="AK34" i="31"/>
  <c r="I34" i="31" s="1"/>
  <c r="AJ34" i="31"/>
  <c r="AD34" i="31"/>
  <c r="H34" i="31" s="1"/>
  <c r="AK33" i="31"/>
  <c r="AJ33" i="31"/>
  <c r="AD33" i="31"/>
  <c r="I33" i="31"/>
  <c r="H33" i="31"/>
  <c r="G33" i="31"/>
  <c r="J33" i="31" s="1"/>
  <c r="K33" i="31" s="1"/>
  <c r="AK32" i="31"/>
  <c r="I32" i="31" s="1"/>
  <c r="AJ32" i="31"/>
  <c r="AD32" i="31"/>
  <c r="H32" i="31" s="1"/>
  <c r="AK31" i="31"/>
  <c r="AJ31" i="31"/>
  <c r="AD31" i="31"/>
  <c r="I31" i="31"/>
  <c r="H31" i="31"/>
  <c r="G31" i="31"/>
  <c r="J31" i="31" s="1"/>
  <c r="K31" i="31" s="1"/>
  <c r="AK30" i="31"/>
  <c r="I30" i="31" s="1"/>
  <c r="AJ30" i="31"/>
  <c r="AD30" i="31"/>
  <c r="H30" i="31" s="1"/>
  <c r="AK29" i="31"/>
  <c r="AJ29" i="31"/>
  <c r="AD29" i="31"/>
  <c r="I29" i="31"/>
  <c r="H29" i="31"/>
  <c r="G29" i="31"/>
  <c r="J29" i="31" s="1"/>
  <c r="K29" i="31" s="1"/>
  <c r="AK28" i="31"/>
  <c r="I28" i="31" s="1"/>
  <c r="AJ28" i="31"/>
  <c r="AD28" i="31"/>
  <c r="H28" i="31" s="1"/>
  <c r="AK27" i="31"/>
  <c r="AJ27" i="31"/>
  <c r="AD27" i="31"/>
  <c r="I27" i="31"/>
  <c r="H27" i="31"/>
  <c r="G27" i="31"/>
  <c r="J27" i="31" s="1"/>
  <c r="K27" i="31" s="1"/>
  <c r="AK26" i="31"/>
  <c r="I26" i="31" s="1"/>
  <c r="AJ26" i="31"/>
  <c r="AD26" i="31"/>
  <c r="H26" i="31" s="1"/>
  <c r="AK25" i="31"/>
  <c r="AJ25" i="31"/>
  <c r="AD25" i="31"/>
  <c r="I25" i="31"/>
  <c r="H25" i="31"/>
  <c r="G25" i="31"/>
  <c r="J25" i="31" s="1"/>
  <c r="K25" i="31" s="1"/>
  <c r="AK24" i="31"/>
  <c r="I24" i="31" s="1"/>
  <c r="AJ24" i="31"/>
  <c r="AD24" i="31"/>
  <c r="H24" i="31" s="1"/>
  <c r="AK23" i="31"/>
  <c r="AJ23" i="31"/>
  <c r="AD23" i="31"/>
  <c r="I23" i="31"/>
  <c r="H23" i="31"/>
  <c r="G23" i="31"/>
  <c r="J23" i="31" s="1"/>
  <c r="K23" i="31" s="1"/>
  <c r="AK22" i="31"/>
  <c r="I22" i="31" s="1"/>
  <c r="AJ22" i="31"/>
  <c r="AD22" i="31"/>
  <c r="H22" i="31" s="1"/>
  <c r="AK21" i="31"/>
  <c r="AJ21" i="31"/>
  <c r="AD21" i="31"/>
  <c r="I21" i="31"/>
  <c r="H21" i="31"/>
  <c r="G21" i="31"/>
  <c r="J21" i="31" s="1"/>
  <c r="K21" i="31" s="1"/>
  <c r="AK20" i="31"/>
  <c r="I20" i="31" s="1"/>
  <c r="AJ20" i="31"/>
  <c r="AD20" i="31"/>
  <c r="H20" i="31" s="1"/>
  <c r="AK19" i="31"/>
  <c r="AJ19" i="31"/>
  <c r="AD19" i="31"/>
  <c r="I19" i="31"/>
  <c r="H19" i="31"/>
  <c r="G19" i="31"/>
  <c r="J19" i="31" s="1"/>
  <c r="K19" i="31" s="1"/>
  <c r="AK18" i="31"/>
  <c r="I18" i="31" s="1"/>
  <c r="AJ18" i="31"/>
  <c r="AD18" i="31"/>
  <c r="H18" i="31" s="1"/>
  <c r="AK17" i="31"/>
  <c r="AJ17" i="31"/>
  <c r="AD17" i="31"/>
  <c r="I17" i="31"/>
  <c r="H17" i="31"/>
  <c r="G17" i="31"/>
  <c r="J17" i="31" s="1"/>
  <c r="K17" i="31" s="1"/>
  <c r="AK16" i="31"/>
  <c r="I16" i="31" s="1"/>
  <c r="AJ16" i="31"/>
  <c r="AD16" i="31"/>
  <c r="H16" i="31" s="1"/>
  <c r="AK15" i="31"/>
  <c r="AJ15" i="31"/>
  <c r="AD15" i="31"/>
  <c r="I15" i="31"/>
  <c r="H15" i="31"/>
  <c r="G15" i="31"/>
  <c r="J15" i="31" s="1"/>
  <c r="K15" i="31" s="1"/>
  <c r="AK14" i="31"/>
  <c r="I14" i="31" s="1"/>
  <c r="AJ14" i="31"/>
  <c r="AD14" i="31"/>
  <c r="H14" i="31" s="1"/>
  <c r="AK13" i="31"/>
  <c r="AJ13" i="31"/>
  <c r="AD13" i="31"/>
  <c r="I13" i="31"/>
  <c r="H13" i="31"/>
  <c r="G13" i="31"/>
  <c r="J13" i="31" s="1"/>
  <c r="K13" i="31" s="1"/>
  <c r="AK12" i="31"/>
  <c r="I12" i="31" s="1"/>
  <c r="AJ12" i="31"/>
  <c r="AD12" i="31"/>
  <c r="H12" i="31" s="1"/>
  <c r="AK11" i="31"/>
  <c r="AJ11" i="31"/>
  <c r="AD11" i="31"/>
  <c r="I11" i="31"/>
  <c r="H11" i="31"/>
  <c r="G11" i="31"/>
  <c r="J11" i="31" s="1"/>
  <c r="K11" i="31" s="1"/>
  <c r="AK10" i="31"/>
  <c r="I10" i="31" s="1"/>
  <c r="AJ10" i="31"/>
  <c r="AD10" i="31"/>
  <c r="H10" i="31" s="1"/>
  <c r="AK9" i="31"/>
  <c r="AJ9" i="31"/>
  <c r="AD9" i="31"/>
  <c r="I9" i="31"/>
  <c r="H9" i="31"/>
  <c r="G9" i="31"/>
  <c r="J9" i="31" s="1"/>
  <c r="K9" i="31" s="1"/>
  <c r="AK8" i="31"/>
  <c r="I8" i="31" s="1"/>
  <c r="AJ8" i="31"/>
  <c r="AD8" i="31"/>
  <c r="H8" i="31" s="1"/>
  <c r="AK7" i="31"/>
  <c r="AJ7" i="31"/>
  <c r="AD7" i="31"/>
  <c r="I7" i="31"/>
  <c r="H7" i="31"/>
  <c r="G7" i="31"/>
  <c r="J7" i="31" s="1"/>
  <c r="K7" i="31" s="1"/>
  <c r="AK6" i="31"/>
  <c r="I6" i="31" s="1"/>
  <c r="AJ6" i="31"/>
  <c r="AD6" i="31"/>
  <c r="H6" i="31" s="1"/>
  <c r="AK5" i="31"/>
  <c r="AJ5" i="31"/>
  <c r="AD5" i="31"/>
  <c r="I5" i="31"/>
  <c r="H5" i="31"/>
  <c r="G5" i="31"/>
  <c r="J5" i="31" s="1"/>
  <c r="K5" i="31" s="1"/>
  <c r="AK4" i="31"/>
  <c r="I4" i="31" s="1"/>
  <c r="AJ4" i="31"/>
  <c r="AD4" i="31"/>
  <c r="H4" i="31" s="1"/>
  <c r="K19" i="33"/>
  <c r="I6" i="33" s="1"/>
  <c r="I8" i="33"/>
  <c r="M8" i="33" s="1"/>
  <c r="I7" i="33"/>
  <c r="M7" i="33" s="1"/>
  <c r="I5" i="33"/>
  <c r="M5" i="33" s="1"/>
  <c r="I4" i="33"/>
  <c r="M4" i="33" s="1"/>
  <c r="K81" i="29"/>
  <c r="J81" i="29"/>
  <c r="I81" i="29"/>
  <c r="H81" i="29"/>
  <c r="G81" i="29"/>
  <c r="F81" i="29"/>
  <c r="E81" i="29"/>
  <c r="D81" i="29"/>
  <c r="K80" i="29"/>
  <c r="J80" i="29"/>
  <c r="I80" i="29"/>
  <c r="H80" i="29"/>
  <c r="G80" i="29"/>
  <c r="F80" i="29"/>
  <c r="E80" i="29"/>
  <c r="D80" i="29"/>
  <c r="E73" i="29"/>
  <c r="F73" i="29" s="1"/>
  <c r="G73" i="29" s="1"/>
  <c r="H73" i="29" s="1"/>
  <c r="I73" i="29" s="1"/>
  <c r="J73" i="29" s="1"/>
  <c r="K73" i="29" s="1"/>
  <c r="D73" i="29"/>
  <c r="K69" i="29"/>
  <c r="J69" i="29"/>
  <c r="I69" i="29"/>
  <c r="H69" i="29"/>
  <c r="H18" i="29" s="1"/>
  <c r="G69" i="29"/>
  <c r="G18" i="29" s="1"/>
  <c r="F69" i="29"/>
  <c r="F18" i="29" s="1"/>
  <c r="E69" i="29"/>
  <c r="E18" i="29" s="1"/>
  <c r="D69" i="29"/>
  <c r="K68" i="29"/>
  <c r="J68" i="29"/>
  <c r="I68" i="29"/>
  <c r="H68" i="29"/>
  <c r="G68" i="29"/>
  <c r="G12" i="29" s="1"/>
  <c r="L12" i="29" s="1"/>
  <c r="F68" i="29"/>
  <c r="E68" i="29"/>
  <c r="E12" i="29" s="1"/>
  <c r="D68" i="29"/>
  <c r="D12" i="29" s="1"/>
  <c r="F61" i="29"/>
  <c r="G61" i="29" s="1"/>
  <c r="H61" i="29" s="1"/>
  <c r="I61" i="29" s="1"/>
  <c r="J61" i="29" s="1"/>
  <c r="K61" i="29" s="1"/>
  <c r="E61" i="29"/>
  <c r="D61" i="29"/>
  <c r="K57" i="29"/>
  <c r="J57" i="29"/>
  <c r="I57" i="29"/>
  <c r="H57" i="29"/>
  <c r="G57" i="29"/>
  <c r="F57" i="29"/>
  <c r="F20" i="29" s="1"/>
  <c r="E57" i="29"/>
  <c r="E20" i="29" s="1"/>
  <c r="D57" i="29"/>
  <c r="D20" i="29" s="1"/>
  <c r="K56" i="29"/>
  <c r="J56" i="29"/>
  <c r="J14" i="29" s="1"/>
  <c r="I56" i="29"/>
  <c r="I14" i="29" s="1"/>
  <c r="H56" i="29"/>
  <c r="H14" i="29" s="1"/>
  <c r="G56" i="29"/>
  <c r="G14" i="29" s="1"/>
  <c r="F56" i="29"/>
  <c r="F14" i="29" s="1"/>
  <c r="E56" i="29"/>
  <c r="D56" i="29"/>
  <c r="E49" i="29"/>
  <c r="F49" i="29" s="1"/>
  <c r="G49" i="29" s="1"/>
  <c r="H49" i="29" s="1"/>
  <c r="I49" i="29" s="1"/>
  <c r="J49" i="29" s="1"/>
  <c r="K49" i="29" s="1"/>
  <c r="D49" i="29"/>
  <c r="K45" i="29"/>
  <c r="J45" i="29"/>
  <c r="I45" i="29"/>
  <c r="H45" i="29"/>
  <c r="G45" i="29"/>
  <c r="G17" i="29" s="1"/>
  <c r="F45" i="29"/>
  <c r="F17" i="29" s="1"/>
  <c r="E45" i="29"/>
  <c r="D45" i="29"/>
  <c r="K44" i="29"/>
  <c r="J44" i="29"/>
  <c r="I44" i="29"/>
  <c r="H44" i="29"/>
  <c r="G44" i="29"/>
  <c r="G11" i="29" s="1"/>
  <c r="F44" i="29"/>
  <c r="F11" i="29" s="1"/>
  <c r="E44" i="29"/>
  <c r="E11" i="29" s="1"/>
  <c r="D44" i="29"/>
  <c r="F37" i="29"/>
  <c r="G37" i="29" s="1"/>
  <c r="H37" i="29" s="1"/>
  <c r="I37" i="29" s="1"/>
  <c r="J37" i="29" s="1"/>
  <c r="K37" i="29" s="1"/>
  <c r="E37" i="29"/>
  <c r="D37" i="29"/>
  <c r="K33" i="29"/>
  <c r="J33" i="29"/>
  <c r="I33" i="29"/>
  <c r="H33" i="29"/>
  <c r="G33" i="29"/>
  <c r="G16" i="29" s="1"/>
  <c r="F33" i="29"/>
  <c r="F16" i="29" s="1"/>
  <c r="E33" i="29"/>
  <c r="E16" i="29" s="1"/>
  <c r="D33" i="29"/>
  <c r="K32" i="29"/>
  <c r="J32" i="29"/>
  <c r="I32" i="29"/>
  <c r="H32" i="29"/>
  <c r="G32" i="29"/>
  <c r="G10" i="29" s="1"/>
  <c r="F32" i="29"/>
  <c r="F10" i="29" s="1"/>
  <c r="E32" i="29"/>
  <c r="E10" i="29" s="1"/>
  <c r="D32" i="29"/>
  <c r="D10" i="29" s="1"/>
  <c r="D25" i="29"/>
  <c r="E25" i="29" s="1"/>
  <c r="F25" i="29" s="1"/>
  <c r="G25" i="29" s="1"/>
  <c r="H25" i="29" s="1"/>
  <c r="I25" i="29" s="1"/>
  <c r="J25" i="29" s="1"/>
  <c r="K25" i="29" s="1"/>
  <c r="K20" i="29"/>
  <c r="J20" i="29"/>
  <c r="L20" i="29" s="1"/>
  <c r="I20" i="29"/>
  <c r="H20" i="29"/>
  <c r="G20" i="29"/>
  <c r="K19" i="29"/>
  <c r="J19" i="29"/>
  <c r="I19" i="29"/>
  <c r="H19" i="29"/>
  <c r="G19" i="29"/>
  <c r="F19" i="29"/>
  <c r="E19" i="29"/>
  <c r="D19" i="29"/>
  <c r="L19" i="29" s="1"/>
  <c r="K18" i="29"/>
  <c r="J18" i="29"/>
  <c r="I18" i="29"/>
  <c r="L18" i="29" s="1"/>
  <c r="D18" i="29"/>
  <c r="K17" i="29"/>
  <c r="J17" i="29"/>
  <c r="I17" i="29"/>
  <c r="H17" i="29"/>
  <c r="E17" i="29"/>
  <c r="D17" i="29"/>
  <c r="K16" i="29"/>
  <c r="J16" i="29"/>
  <c r="I16" i="29"/>
  <c r="H16" i="29"/>
  <c r="D16" i="29"/>
  <c r="L16" i="29" s="1"/>
  <c r="K14" i="29"/>
  <c r="E14" i="29"/>
  <c r="D14" i="29"/>
  <c r="K13" i="29"/>
  <c r="J13" i="29"/>
  <c r="I13" i="29"/>
  <c r="H13" i="29"/>
  <c r="G13" i="29"/>
  <c r="F13" i="29"/>
  <c r="E13" i="29"/>
  <c r="D13" i="29"/>
  <c r="L13" i="29" s="1"/>
  <c r="K12" i="29"/>
  <c r="J12" i="29"/>
  <c r="I12" i="29"/>
  <c r="H12" i="29"/>
  <c r="F12" i="29"/>
  <c r="K11" i="29"/>
  <c r="J11" i="29"/>
  <c r="I11" i="29"/>
  <c r="H11" i="29"/>
  <c r="D11" i="29"/>
  <c r="K10" i="29"/>
  <c r="L10" i="29" s="1"/>
  <c r="J10" i="29"/>
  <c r="I10" i="29"/>
  <c r="H10" i="29"/>
  <c r="E8" i="29"/>
  <c r="F8" i="29" s="1"/>
  <c r="G8" i="29" s="1"/>
  <c r="H8" i="29" s="1"/>
  <c r="I8" i="29" s="1"/>
  <c r="J8" i="29" s="1"/>
  <c r="K8" i="29" s="1"/>
  <c r="C65" i="12"/>
  <c r="I8" i="12"/>
  <c r="E8" i="12"/>
  <c r="B2" i="12"/>
  <c r="G8" i="10"/>
  <c r="H8" i="10" s="1"/>
  <c r="I8" i="10" s="1"/>
  <c r="J8" i="10" s="1"/>
  <c r="K8" i="10" s="1"/>
  <c r="L8" i="10" s="1"/>
  <c r="M8" i="10" s="1"/>
  <c r="N8" i="10" s="1"/>
  <c r="O8" i="10" s="1"/>
  <c r="P8" i="10" s="1"/>
  <c r="Q8" i="10" s="1"/>
  <c r="R8" i="10" s="1"/>
  <c r="K8" i="11"/>
  <c r="L8" i="11" s="1"/>
  <c r="M8" i="11" s="1"/>
  <c r="N8" i="11" s="1"/>
  <c r="O8" i="11" s="1"/>
  <c r="P8" i="11" s="1"/>
  <c r="Q8" i="11" s="1"/>
  <c r="R8" i="11" s="1"/>
  <c r="S8" i="11" s="1"/>
  <c r="T8" i="11" s="1"/>
  <c r="U8" i="11" s="1"/>
  <c r="V8" i="11" s="1"/>
  <c r="G8" i="11"/>
  <c r="H8" i="11" s="1"/>
  <c r="I8" i="11" s="1"/>
  <c r="B2" i="11"/>
  <c r="E145" i="9"/>
  <c r="L140" i="9"/>
  <c r="K140" i="9"/>
  <c r="J140" i="9"/>
  <c r="I140" i="9"/>
  <c r="H140" i="9"/>
  <c r="G140" i="9"/>
  <c r="F140" i="9"/>
  <c r="E140" i="9"/>
  <c r="L139" i="9"/>
  <c r="K139" i="9"/>
  <c r="J139" i="9"/>
  <c r="I139" i="9"/>
  <c r="H139" i="9"/>
  <c r="G139" i="9"/>
  <c r="F139" i="9"/>
  <c r="E139" i="9"/>
  <c r="L138" i="9"/>
  <c r="K138" i="9"/>
  <c r="J138" i="9"/>
  <c r="I138" i="9"/>
  <c r="H138" i="9"/>
  <c r="G138" i="9"/>
  <c r="F138" i="9"/>
  <c r="E138" i="9"/>
  <c r="L137" i="9"/>
  <c r="K137" i="9"/>
  <c r="J137" i="9"/>
  <c r="I137" i="9"/>
  <c r="H137" i="9"/>
  <c r="G137" i="9"/>
  <c r="F137" i="9"/>
  <c r="E137" i="9"/>
  <c r="L136" i="9"/>
  <c r="K136" i="9"/>
  <c r="J136" i="9"/>
  <c r="I136" i="9"/>
  <c r="H136" i="9"/>
  <c r="G136" i="9"/>
  <c r="F136" i="9"/>
  <c r="E136" i="9"/>
  <c r="L135" i="9"/>
  <c r="K135" i="9"/>
  <c r="J135" i="9"/>
  <c r="I135" i="9"/>
  <c r="H135" i="9"/>
  <c r="G135" i="9"/>
  <c r="F135" i="9"/>
  <c r="E135" i="9"/>
  <c r="L134" i="9"/>
  <c r="K134" i="9"/>
  <c r="J134" i="9"/>
  <c r="I134" i="9"/>
  <c r="H134" i="9"/>
  <c r="G134" i="9"/>
  <c r="F134" i="9"/>
  <c r="E134" i="9"/>
  <c r="K133" i="9"/>
  <c r="J133" i="9"/>
  <c r="I133" i="9"/>
  <c r="H133" i="9"/>
  <c r="G133" i="9"/>
  <c r="F133" i="9"/>
  <c r="E133" i="9"/>
  <c r="L130" i="9"/>
  <c r="K130" i="9"/>
  <c r="J130" i="9"/>
  <c r="I130" i="9"/>
  <c r="H130" i="9"/>
  <c r="G130" i="9"/>
  <c r="F130" i="9"/>
  <c r="E130" i="9"/>
  <c r="L129" i="9"/>
  <c r="K129" i="9"/>
  <c r="J129" i="9"/>
  <c r="I129" i="9"/>
  <c r="H129" i="9"/>
  <c r="G129" i="9"/>
  <c r="F129" i="9"/>
  <c r="E129" i="9"/>
  <c r="L128" i="9"/>
  <c r="M128" i="9" s="1"/>
  <c r="M131" i="9" s="1"/>
  <c r="K128" i="9"/>
  <c r="J128" i="9"/>
  <c r="I128" i="9"/>
  <c r="H128" i="9"/>
  <c r="G128" i="9"/>
  <c r="F128" i="9"/>
  <c r="E128" i="9"/>
  <c r="N127" i="9"/>
  <c r="O127" i="9" s="1"/>
  <c r="L127" i="9"/>
  <c r="K127" i="9"/>
  <c r="J127" i="9"/>
  <c r="I127" i="9"/>
  <c r="H127" i="9"/>
  <c r="G127" i="9"/>
  <c r="F127" i="9"/>
  <c r="E127" i="9"/>
  <c r="U126" i="9"/>
  <c r="U22" i="12" s="1"/>
  <c r="O126" i="9"/>
  <c r="O22" i="12" s="1"/>
  <c r="N126" i="9"/>
  <c r="N22" i="12" s="1"/>
  <c r="M126" i="9"/>
  <c r="M22" i="12" s="1"/>
  <c r="L126" i="9"/>
  <c r="L22" i="12" s="1"/>
  <c r="K126" i="9"/>
  <c r="J126" i="9"/>
  <c r="I126" i="9"/>
  <c r="I22" i="12" s="1"/>
  <c r="H126" i="9"/>
  <c r="H22" i="12" s="1"/>
  <c r="G126" i="9"/>
  <c r="F126" i="9"/>
  <c r="E126" i="9"/>
  <c r="E22" i="12" s="1"/>
  <c r="L122" i="9"/>
  <c r="K122" i="9"/>
  <c r="J122" i="9"/>
  <c r="I122" i="9"/>
  <c r="H122" i="9"/>
  <c r="G122" i="9"/>
  <c r="F122" i="9"/>
  <c r="E122" i="9"/>
  <c r="L121" i="9"/>
  <c r="L21" i="12" s="1"/>
  <c r="K121" i="9"/>
  <c r="K21" i="12" s="1"/>
  <c r="J121" i="9"/>
  <c r="J21" i="12" s="1"/>
  <c r="I121" i="9"/>
  <c r="I21" i="12" s="1"/>
  <c r="H121" i="9"/>
  <c r="H21" i="12" s="1"/>
  <c r="G121" i="9"/>
  <c r="G21" i="12" s="1"/>
  <c r="F121" i="9"/>
  <c r="F21" i="12" s="1"/>
  <c r="E121" i="9"/>
  <c r="E21" i="12" s="1"/>
  <c r="L120" i="9"/>
  <c r="K120" i="9"/>
  <c r="J120" i="9"/>
  <c r="I120" i="9"/>
  <c r="H120" i="9"/>
  <c r="G120" i="9"/>
  <c r="F120" i="9"/>
  <c r="E120" i="9"/>
  <c r="L119" i="9"/>
  <c r="K119" i="9"/>
  <c r="J119" i="9"/>
  <c r="I119" i="9"/>
  <c r="H119" i="9"/>
  <c r="G119" i="9"/>
  <c r="F119" i="9"/>
  <c r="E119" i="9"/>
  <c r="L118" i="9"/>
  <c r="K118" i="9"/>
  <c r="J118" i="9"/>
  <c r="I118" i="9"/>
  <c r="H118" i="9"/>
  <c r="G118" i="9"/>
  <c r="F118" i="9"/>
  <c r="E118" i="9"/>
  <c r="L117" i="9"/>
  <c r="M117" i="9" s="1"/>
  <c r="N117" i="9" s="1"/>
  <c r="O117" i="9" s="1"/>
  <c r="P117" i="9" s="1"/>
  <c r="Q117" i="9" s="1"/>
  <c r="R117" i="9" s="1"/>
  <c r="S117" i="9" s="1"/>
  <c r="T117" i="9" s="1"/>
  <c r="U117" i="9" s="1"/>
  <c r="K117" i="9"/>
  <c r="J117" i="9"/>
  <c r="I117" i="9"/>
  <c r="H117" i="9"/>
  <c r="G117" i="9"/>
  <c r="F117" i="9"/>
  <c r="E117" i="9"/>
  <c r="L116" i="9"/>
  <c r="K116" i="9"/>
  <c r="J116" i="9"/>
  <c r="I116" i="9"/>
  <c r="H116" i="9"/>
  <c r="G116" i="9"/>
  <c r="F116" i="9"/>
  <c r="E116" i="9"/>
  <c r="L115" i="9"/>
  <c r="K115" i="9"/>
  <c r="J115" i="9"/>
  <c r="I115" i="9"/>
  <c r="H115" i="9"/>
  <c r="G115" i="9"/>
  <c r="F115" i="9"/>
  <c r="E115" i="9"/>
  <c r="L114" i="9"/>
  <c r="K114" i="9"/>
  <c r="J114" i="9"/>
  <c r="I114" i="9"/>
  <c r="H114" i="9"/>
  <c r="G114" i="9"/>
  <c r="F114" i="9"/>
  <c r="E114" i="9"/>
  <c r="L113" i="9"/>
  <c r="K113" i="9"/>
  <c r="J113" i="9"/>
  <c r="I113" i="9"/>
  <c r="H113" i="9"/>
  <c r="G113" i="9"/>
  <c r="F113" i="9"/>
  <c r="E113" i="9"/>
  <c r="L112" i="9"/>
  <c r="K112" i="9"/>
  <c r="J112" i="9"/>
  <c r="I112" i="9"/>
  <c r="H112" i="9"/>
  <c r="G112" i="9"/>
  <c r="F112" i="9"/>
  <c r="E112" i="9"/>
  <c r="L93" i="9"/>
  <c r="K93" i="9"/>
  <c r="I93" i="9"/>
  <c r="L92" i="9"/>
  <c r="K92" i="9"/>
  <c r="J92" i="9"/>
  <c r="I92" i="9"/>
  <c r="H92" i="9"/>
  <c r="G92" i="9"/>
  <c r="F92" i="9"/>
  <c r="E92" i="9"/>
  <c r="L91" i="9"/>
  <c r="K91" i="9"/>
  <c r="J91" i="9"/>
  <c r="I91" i="9"/>
  <c r="H91" i="9"/>
  <c r="G91" i="9"/>
  <c r="F91" i="9"/>
  <c r="E91" i="9"/>
  <c r="L90" i="9"/>
  <c r="K90" i="9"/>
  <c r="J90" i="9"/>
  <c r="I90" i="9"/>
  <c r="L89" i="9"/>
  <c r="K89" i="9"/>
  <c r="J89" i="9"/>
  <c r="I89" i="9"/>
  <c r="H89" i="9"/>
  <c r="G89" i="9"/>
  <c r="F89" i="9"/>
  <c r="E89" i="9"/>
  <c r="L83" i="9"/>
  <c r="K83" i="9"/>
  <c r="J83" i="9"/>
  <c r="I83" i="9"/>
  <c r="H83" i="9"/>
  <c r="L81" i="9"/>
  <c r="K81" i="9"/>
  <c r="H30" i="10" s="1"/>
  <c r="H34" i="10" s="1"/>
  <c r="J81" i="9"/>
  <c r="I81" i="9"/>
  <c r="H81" i="9"/>
  <c r="G81" i="9"/>
  <c r="F81" i="9"/>
  <c r="E81" i="9"/>
  <c r="L75" i="9"/>
  <c r="K75" i="9"/>
  <c r="J75" i="9"/>
  <c r="I75" i="9"/>
  <c r="H75" i="9"/>
  <c r="G75" i="9"/>
  <c r="F75" i="9"/>
  <c r="E75" i="9"/>
  <c r="V74" i="9"/>
  <c r="L74" i="9"/>
  <c r="K74" i="9"/>
  <c r="J74" i="9"/>
  <c r="I74" i="9"/>
  <c r="H74" i="9"/>
  <c r="G74" i="9"/>
  <c r="F74" i="9"/>
  <c r="E74" i="9"/>
  <c r="L62" i="9"/>
  <c r="K62" i="9"/>
  <c r="J62" i="9"/>
  <c r="I62" i="9"/>
  <c r="H62" i="9"/>
  <c r="G62" i="9"/>
  <c r="F62" i="9"/>
  <c r="E62" i="9"/>
  <c r="L61" i="9"/>
  <c r="K61" i="9"/>
  <c r="J61" i="9"/>
  <c r="I61" i="9"/>
  <c r="H61" i="9"/>
  <c r="G61" i="9"/>
  <c r="F61" i="9"/>
  <c r="E61" i="9"/>
  <c r="Z60" i="9"/>
  <c r="L60" i="9"/>
  <c r="K60" i="9"/>
  <c r="J60" i="9"/>
  <c r="I60" i="9"/>
  <c r="H60" i="9"/>
  <c r="G60" i="9"/>
  <c r="F60" i="9"/>
  <c r="E60" i="9"/>
  <c r="L55" i="9"/>
  <c r="K55" i="9"/>
  <c r="J55" i="9"/>
  <c r="I55" i="9"/>
  <c r="H55" i="9"/>
  <c r="G55" i="9"/>
  <c r="F55" i="9"/>
  <c r="E55" i="9"/>
  <c r="J54" i="9"/>
  <c r="G19" i="10" s="1"/>
  <c r="G79" i="10" s="1"/>
  <c r="I54" i="9"/>
  <c r="F19" i="10" s="1"/>
  <c r="F79" i="10" s="1"/>
  <c r="K53" i="9"/>
  <c r="J53" i="9"/>
  <c r="I53" i="9"/>
  <c r="H53" i="9"/>
  <c r="G53" i="9"/>
  <c r="F53" i="9"/>
  <c r="E53" i="9"/>
  <c r="K52" i="9"/>
  <c r="J52" i="9"/>
  <c r="I52" i="9"/>
  <c r="H52" i="9"/>
  <c r="G52" i="9"/>
  <c r="F52" i="9"/>
  <c r="E52" i="9"/>
  <c r="L51" i="9"/>
  <c r="C44" i="12" s="1"/>
  <c r="C62" i="12" s="1"/>
  <c r="F51" i="9"/>
  <c r="D830" i="16" s="1"/>
  <c r="E51" i="9"/>
  <c r="C830" i="16" s="1"/>
  <c r="L38" i="9"/>
  <c r="L138" i="8" s="1"/>
  <c r="K38" i="9"/>
  <c r="J38" i="9"/>
  <c r="I38" i="9"/>
  <c r="I16" i="12" s="1"/>
  <c r="H38" i="9"/>
  <c r="H16" i="12" s="1"/>
  <c r="G38" i="9"/>
  <c r="G16" i="12" s="1"/>
  <c r="F38" i="9"/>
  <c r="F16" i="12" s="1"/>
  <c r="E38" i="9"/>
  <c r="U35" i="9"/>
  <c r="T35" i="9"/>
  <c r="S35" i="9"/>
  <c r="R35" i="9"/>
  <c r="Q35" i="9"/>
  <c r="P35" i="9"/>
  <c r="O35" i="9"/>
  <c r="N35" i="9"/>
  <c r="M35" i="9"/>
  <c r="L35" i="9"/>
  <c r="K35" i="9"/>
  <c r="J35" i="9"/>
  <c r="I35" i="9"/>
  <c r="H35" i="9"/>
  <c r="G35" i="9"/>
  <c r="F35" i="9"/>
  <c r="E35" i="9"/>
  <c r="L33" i="9"/>
  <c r="L136" i="8" s="1"/>
  <c r="K33" i="9"/>
  <c r="J33" i="9"/>
  <c r="I33" i="9"/>
  <c r="H33" i="9"/>
  <c r="G33" i="9"/>
  <c r="F33" i="9"/>
  <c r="E33" i="9"/>
  <c r="L32" i="9"/>
  <c r="I90" i="10" s="1"/>
  <c r="K32" i="9"/>
  <c r="H90" i="10" s="1"/>
  <c r="J32" i="9"/>
  <c r="G90" i="10" s="1"/>
  <c r="I32" i="9"/>
  <c r="F90" i="10" s="1"/>
  <c r="H32" i="9"/>
  <c r="G32" i="9"/>
  <c r="F32" i="9"/>
  <c r="E32" i="9"/>
  <c r="L27" i="9"/>
  <c r="L134" i="8" s="1"/>
  <c r="K27" i="9"/>
  <c r="K18" i="12" s="1"/>
  <c r="J27" i="9"/>
  <c r="J18" i="12" s="1"/>
  <c r="I27" i="9"/>
  <c r="I18" i="12" s="1"/>
  <c r="H27" i="9"/>
  <c r="H18" i="12" s="1"/>
  <c r="G27" i="9"/>
  <c r="F27" i="9"/>
  <c r="E27" i="9"/>
  <c r="B23" i="9"/>
  <c r="L22" i="9"/>
  <c r="B22" i="9"/>
  <c r="B21" i="9"/>
  <c r="B20" i="9"/>
  <c r="K19" i="9"/>
  <c r="J19" i="9"/>
  <c r="I19" i="9"/>
  <c r="H19" i="9"/>
  <c r="G19" i="9"/>
  <c r="F19" i="9"/>
  <c r="E19" i="9"/>
  <c r="F18" i="11" s="1"/>
  <c r="B19" i="9"/>
  <c r="L13" i="9"/>
  <c r="K13" i="9"/>
  <c r="H53" i="10" s="1"/>
  <c r="H57" i="10" s="1"/>
  <c r="H70" i="10" s="1"/>
  <c r="J13" i="9"/>
  <c r="G49" i="10" s="1"/>
  <c r="I13" i="9"/>
  <c r="F49" i="10" s="1"/>
  <c r="G13" i="9"/>
  <c r="H13" i="11" s="1"/>
  <c r="F13" i="9"/>
  <c r="E13" i="9"/>
  <c r="F13" i="11" s="1"/>
  <c r="J8" i="9"/>
  <c r="K8" i="9" s="1"/>
  <c r="F8" i="9"/>
  <c r="G8" i="9" s="1"/>
  <c r="M4" i="9"/>
  <c r="B2" i="9"/>
  <c r="R241" i="8"/>
  <c r="Q241" i="8"/>
  <c r="P241" i="8"/>
  <c r="O241" i="8"/>
  <c r="H233" i="8"/>
  <c r="F787" i="16" s="1"/>
  <c r="F789" i="16" s="1"/>
  <c r="K230" i="8"/>
  <c r="K231" i="8" s="1"/>
  <c r="J230" i="8"/>
  <c r="I230" i="8"/>
  <c r="J231" i="8" s="1"/>
  <c r="H230" i="8"/>
  <c r="G230" i="8"/>
  <c r="F230" i="8"/>
  <c r="E230" i="8"/>
  <c r="S228" i="8"/>
  <c r="M228" i="8"/>
  <c r="H228" i="8"/>
  <c r="G228" i="8"/>
  <c r="L227" i="8"/>
  <c r="E227" i="8"/>
  <c r="F203" i="8"/>
  <c r="O199" i="8"/>
  <c r="L198" i="8"/>
  <c r="K198" i="8"/>
  <c r="E198" i="8"/>
  <c r="L197" i="8"/>
  <c r="J197" i="8"/>
  <c r="I197" i="8"/>
  <c r="H197" i="8"/>
  <c r="G197" i="8"/>
  <c r="F197" i="8"/>
  <c r="E197" i="8"/>
  <c r="E199" i="8" s="1"/>
  <c r="L193" i="8"/>
  <c r="K193" i="8"/>
  <c r="J193" i="8"/>
  <c r="I193" i="8"/>
  <c r="F193" i="8"/>
  <c r="S190" i="8"/>
  <c r="R190" i="8"/>
  <c r="Q190" i="8"/>
  <c r="P190" i="8"/>
  <c r="O190" i="8"/>
  <c r="N190" i="8"/>
  <c r="L189" i="8"/>
  <c r="L217" i="8" s="1"/>
  <c r="K189" i="8"/>
  <c r="J189" i="8"/>
  <c r="I189" i="8"/>
  <c r="H189" i="8"/>
  <c r="G189" i="8"/>
  <c r="F189" i="8"/>
  <c r="E189" i="8"/>
  <c r="I186" i="8"/>
  <c r="F25" i="10" s="1"/>
  <c r="H186" i="8"/>
  <c r="G186" i="8"/>
  <c r="E186" i="8"/>
  <c r="L185" i="8"/>
  <c r="K185" i="8"/>
  <c r="J185" i="8"/>
  <c r="K186" i="8" s="1"/>
  <c r="I185" i="8"/>
  <c r="H185" i="8"/>
  <c r="G185" i="8"/>
  <c r="F185" i="8"/>
  <c r="E185" i="8"/>
  <c r="L184" i="8"/>
  <c r="K184" i="8"/>
  <c r="J184" i="8"/>
  <c r="I184" i="8"/>
  <c r="H184" i="8"/>
  <c r="G184" i="8"/>
  <c r="F184" i="8"/>
  <c r="E184" i="8"/>
  <c r="S181" i="8"/>
  <c r="T181" i="8" s="1"/>
  <c r="U181" i="8" s="1"/>
  <c r="M181" i="8"/>
  <c r="N181" i="8" s="1"/>
  <c r="O181" i="8" s="1"/>
  <c r="P181" i="8" s="1"/>
  <c r="Q181" i="8" s="1"/>
  <c r="R181" i="8" s="1"/>
  <c r="L180" i="8"/>
  <c r="K180" i="8"/>
  <c r="K56" i="9" s="1"/>
  <c r="J180" i="8"/>
  <c r="J56" i="9" s="1"/>
  <c r="L179" i="8"/>
  <c r="K179" i="8"/>
  <c r="K181" i="8" s="1"/>
  <c r="J179" i="8"/>
  <c r="H176" i="8"/>
  <c r="G176" i="8"/>
  <c r="F176" i="8"/>
  <c r="L175" i="8"/>
  <c r="K175" i="8"/>
  <c r="L174" i="8"/>
  <c r="L54" i="9" s="1"/>
  <c r="I19" i="10" s="1"/>
  <c r="I79" i="10" s="1"/>
  <c r="K174" i="8"/>
  <c r="L176" i="8" s="1"/>
  <c r="I23" i="10" s="1"/>
  <c r="J174" i="8"/>
  <c r="I174" i="8"/>
  <c r="H174" i="8"/>
  <c r="G174" i="8"/>
  <c r="G54" i="9" s="1"/>
  <c r="F174" i="8"/>
  <c r="E174" i="8"/>
  <c r="L173" i="8"/>
  <c r="K173" i="8"/>
  <c r="J173" i="8"/>
  <c r="J175" i="8" s="1"/>
  <c r="I173" i="8"/>
  <c r="G173" i="8"/>
  <c r="F173" i="8"/>
  <c r="L172" i="8"/>
  <c r="K172" i="8"/>
  <c r="J172" i="8"/>
  <c r="I172" i="8"/>
  <c r="I176" i="8" s="1"/>
  <c r="F23" i="10" s="1"/>
  <c r="H172" i="8"/>
  <c r="G172" i="8"/>
  <c r="F172" i="8"/>
  <c r="E172" i="8"/>
  <c r="L167" i="8"/>
  <c r="K167" i="8"/>
  <c r="L168" i="8" s="1"/>
  <c r="J167" i="8"/>
  <c r="K168" i="8" s="1"/>
  <c r="H24" i="10" s="1"/>
  <c r="I167" i="8"/>
  <c r="H167" i="8"/>
  <c r="G167" i="8"/>
  <c r="F167" i="8"/>
  <c r="E167" i="8"/>
  <c r="L166" i="8"/>
  <c r="K166" i="8"/>
  <c r="J166" i="8"/>
  <c r="L162" i="8"/>
  <c r="U159" i="8"/>
  <c r="T159" i="8"/>
  <c r="S159" i="8"/>
  <c r="L158" i="8"/>
  <c r="L52" i="9" s="1"/>
  <c r="S153" i="8"/>
  <c r="R153" i="8"/>
  <c r="Q153" i="8"/>
  <c r="S142" i="8"/>
  <c r="Q142" i="8"/>
  <c r="M142" i="8"/>
  <c r="B120" i="8"/>
  <c r="B121" i="8" s="1"/>
  <c r="B122" i="8" s="1"/>
  <c r="B123" i="8" s="1"/>
  <c r="B124" i="8" s="1"/>
  <c r="N102" i="8"/>
  <c r="L101" i="8"/>
  <c r="L66" i="9" s="1"/>
  <c r="K101" i="8"/>
  <c r="K66" i="9" s="1"/>
  <c r="J101" i="8"/>
  <c r="J66" i="9" s="1"/>
  <c r="I101" i="8"/>
  <c r="H101" i="8"/>
  <c r="G101" i="8"/>
  <c r="G66" i="9" s="1"/>
  <c r="F101" i="8"/>
  <c r="F66" i="9" s="1"/>
  <c r="E101" i="8"/>
  <c r="E66" i="9" s="1"/>
  <c r="L96" i="8"/>
  <c r="L64" i="9" s="1"/>
  <c r="K96" i="8"/>
  <c r="K64" i="9" s="1"/>
  <c r="J96" i="8"/>
  <c r="I96" i="8"/>
  <c r="I64" i="9" s="1"/>
  <c r="G96" i="8"/>
  <c r="G64" i="9" s="1"/>
  <c r="E96" i="8"/>
  <c r="E64" i="9" s="1"/>
  <c r="K92" i="8"/>
  <c r="J92" i="8"/>
  <c r="I92" i="8"/>
  <c r="L91" i="8"/>
  <c r="K91" i="8"/>
  <c r="K65" i="9" s="1"/>
  <c r="J91" i="8"/>
  <c r="J65" i="9" s="1"/>
  <c r="I91" i="8"/>
  <c r="I65" i="9" s="1"/>
  <c r="H91" i="8"/>
  <c r="G91" i="8"/>
  <c r="F91" i="8"/>
  <c r="E91" i="8"/>
  <c r="E65" i="9" s="1"/>
  <c r="L87" i="8"/>
  <c r="L63" i="9" s="1"/>
  <c r="K87" i="8"/>
  <c r="K63" i="9" s="1"/>
  <c r="J87" i="8"/>
  <c r="J63" i="9" s="1"/>
  <c r="I87" i="8"/>
  <c r="I63" i="9" s="1"/>
  <c r="H87" i="8"/>
  <c r="H63" i="9" s="1"/>
  <c r="G87" i="8"/>
  <c r="G63" i="9" s="1"/>
  <c r="F87" i="8"/>
  <c r="F63" i="9" s="1"/>
  <c r="E87" i="8"/>
  <c r="E63" i="9" s="1"/>
  <c r="U82" i="8"/>
  <c r="T82" i="8"/>
  <c r="S82" i="8"/>
  <c r="R82" i="8"/>
  <c r="Q82" i="8"/>
  <c r="P82" i="8"/>
  <c r="O82" i="8"/>
  <c r="N82" i="8"/>
  <c r="M82" i="8"/>
  <c r="L82" i="8"/>
  <c r="L79" i="8"/>
  <c r="L77" i="8"/>
  <c r="K77" i="8"/>
  <c r="J77" i="8"/>
  <c r="I77" i="8"/>
  <c r="H77" i="8"/>
  <c r="G77" i="8"/>
  <c r="F77" i="8"/>
  <c r="E77" i="8"/>
  <c r="U73" i="8"/>
  <c r="T73" i="8"/>
  <c r="S73" i="8"/>
  <c r="R73" i="8"/>
  <c r="Q73" i="8"/>
  <c r="P73" i="8"/>
  <c r="O73" i="8"/>
  <c r="N73" i="8"/>
  <c r="M73" i="8"/>
  <c r="L68" i="8"/>
  <c r="K68" i="8"/>
  <c r="J68" i="8"/>
  <c r="I68" i="8"/>
  <c r="H68" i="8"/>
  <c r="G68" i="8"/>
  <c r="F68" i="8"/>
  <c r="E68" i="8"/>
  <c r="L62" i="8"/>
  <c r="P61" i="8"/>
  <c r="P126" i="9" s="1"/>
  <c r="P22" i="12" s="1"/>
  <c r="M60" i="8"/>
  <c r="U48" i="8"/>
  <c r="N42" i="8"/>
  <c r="M42" i="8"/>
  <c r="L42" i="8"/>
  <c r="L41" i="8"/>
  <c r="E41" i="8"/>
  <c r="E22" i="9" s="1"/>
  <c r="L37" i="8"/>
  <c r="L36" i="8"/>
  <c r="L21" i="9" s="1"/>
  <c r="F36" i="8"/>
  <c r="F21" i="9" s="1"/>
  <c r="R32" i="8"/>
  <c r="L32" i="8"/>
  <c r="L31" i="8"/>
  <c r="L20" i="9" s="1"/>
  <c r="K31" i="8"/>
  <c r="K20" i="9" s="1"/>
  <c r="J31" i="8"/>
  <c r="J20" i="9" s="1"/>
  <c r="I31" i="8"/>
  <c r="I20" i="9" s="1"/>
  <c r="H31" i="8"/>
  <c r="H20" i="9" s="1"/>
  <c r="G31" i="8"/>
  <c r="G20" i="9" s="1"/>
  <c r="F31" i="8"/>
  <c r="F20" i="9" s="1"/>
  <c r="E31" i="8"/>
  <c r="E20" i="9" s="1"/>
  <c r="L26" i="8"/>
  <c r="L19" i="9" s="1"/>
  <c r="K26" i="8"/>
  <c r="J26" i="8"/>
  <c r="I26" i="8"/>
  <c r="H26" i="8"/>
  <c r="G26" i="8"/>
  <c r="F26" i="8"/>
  <c r="E26" i="8"/>
  <c r="L19" i="8"/>
  <c r="L14" i="9" s="1"/>
  <c r="L132" i="8" s="1"/>
  <c r="K19" i="8"/>
  <c r="K14" i="9" s="1"/>
  <c r="J19" i="8"/>
  <c r="J14" i="9" s="1"/>
  <c r="G78" i="10" s="1"/>
  <c r="I19" i="8"/>
  <c r="I14" i="9" s="1"/>
  <c r="F78" i="10" s="1"/>
  <c r="H19" i="8"/>
  <c r="H14" i="9" s="1"/>
  <c r="G19" i="8"/>
  <c r="G14" i="9" s="1"/>
  <c r="F19" i="8"/>
  <c r="F14" i="9" s="1"/>
  <c r="E19" i="8"/>
  <c r="E14" i="9" s="1"/>
  <c r="L14" i="8"/>
  <c r="K14" i="8"/>
  <c r="J14" i="8"/>
  <c r="J198" i="8" s="1"/>
  <c r="I14" i="8"/>
  <c r="I166" i="8" s="1"/>
  <c r="I179" i="8" s="1"/>
  <c r="I181" i="8" s="1"/>
  <c r="H14" i="8"/>
  <c r="G14" i="8"/>
  <c r="F14" i="8"/>
  <c r="E14" i="8"/>
  <c r="E166" i="8" s="1"/>
  <c r="E179" i="8" s="1"/>
  <c r="L8" i="8"/>
  <c r="M8" i="8" s="1"/>
  <c r="N8" i="8" s="1"/>
  <c r="O8" i="8" s="1"/>
  <c r="P8" i="8" s="1"/>
  <c r="Q8" i="8" s="1"/>
  <c r="R8" i="8" s="1"/>
  <c r="S8" i="8" s="1"/>
  <c r="T8" i="8" s="1"/>
  <c r="U8" i="8" s="1"/>
  <c r="G8" i="8"/>
  <c r="H8" i="8" s="1"/>
  <c r="I8" i="8" s="1"/>
  <c r="J8" i="8" s="1"/>
  <c r="F8" i="8"/>
  <c r="E3" i="8"/>
  <c r="B2" i="8"/>
  <c r="S207" i="7"/>
  <c r="U153" i="8" s="1"/>
  <c r="R207" i="7"/>
  <c r="T153" i="8" s="1"/>
  <c r="Q207" i="7"/>
  <c r="P207" i="7"/>
  <c r="O207" i="7"/>
  <c r="N207" i="7"/>
  <c r="P153" i="8" s="1"/>
  <c r="M207" i="7"/>
  <c r="O153" i="8" s="1"/>
  <c r="L207" i="7"/>
  <c r="N153" i="8" s="1"/>
  <c r="K207" i="7"/>
  <c r="B207" i="7"/>
  <c r="S199" i="7"/>
  <c r="U247" i="8" s="1"/>
  <c r="R199" i="7"/>
  <c r="T247" i="8" s="1"/>
  <c r="Q199" i="7"/>
  <c r="S247" i="8" s="1"/>
  <c r="P199" i="7"/>
  <c r="R247" i="8" s="1"/>
  <c r="O199" i="7"/>
  <c r="Q247" i="8" s="1"/>
  <c r="N199" i="7"/>
  <c r="P247" i="8" s="1"/>
  <c r="M199" i="7"/>
  <c r="O247" i="8" s="1"/>
  <c r="L199" i="7"/>
  <c r="N247" i="8" s="1"/>
  <c r="K199" i="7"/>
  <c r="M247" i="8" s="1"/>
  <c r="B199" i="7"/>
  <c r="S191" i="7"/>
  <c r="U241" i="8" s="1"/>
  <c r="R191" i="7"/>
  <c r="T241" i="8" s="1"/>
  <c r="Q191" i="7"/>
  <c r="S241" i="8" s="1"/>
  <c r="P191" i="7"/>
  <c r="O191" i="7"/>
  <c r="N191" i="7"/>
  <c r="M191" i="7"/>
  <c r="L191" i="7"/>
  <c r="N241" i="8" s="1"/>
  <c r="K191" i="7"/>
  <c r="M241" i="8" s="1"/>
  <c r="B191" i="7"/>
  <c r="S183" i="7"/>
  <c r="U199" i="8" s="1"/>
  <c r="R183" i="7"/>
  <c r="T199" i="8" s="1"/>
  <c r="Q183" i="7"/>
  <c r="S199" i="8" s="1"/>
  <c r="P183" i="7"/>
  <c r="R199" i="8" s="1"/>
  <c r="O183" i="7"/>
  <c r="Q199" i="8" s="1"/>
  <c r="N183" i="7"/>
  <c r="P199" i="8" s="1"/>
  <c r="M183" i="7"/>
  <c r="L183" i="7"/>
  <c r="N199" i="8" s="1"/>
  <c r="K183" i="7"/>
  <c r="M199" i="8" s="1"/>
  <c r="B183" i="7"/>
  <c r="S175" i="7"/>
  <c r="U228" i="8" s="1"/>
  <c r="R175" i="7"/>
  <c r="T228" i="8" s="1"/>
  <c r="Q175" i="7"/>
  <c r="P175" i="7"/>
  <c r="R228" i="8" s="1"/>
  <c r="O175" i="7"/>
  <c r="Q228" i="8" s="1"/>
  <c r="N175" i="7"/>
  <c r="P228" i="8" s="1"/>
  <c r="M175" i="7"/>
  <c r="O228" i="8" s="1"/>
  <c r="L175" i="7"/>
  <c r="N228" i="8" s="1"/>
  <c r="K175" i="7"/>
  <c r="B175" i="7"/>
  <c r="S167" i="7"/>
  <c r="U142" i="8" s="1"/>
  <c r="R167" i="7"/>
  <c r="T142" i="8" s="1"/>
  <c r="Q167" i="7"/>
  <c r="P167" i="7"/>
  <c r="R142" i="8" s="1"/>
  <c r="O167" i="7"/>
  <c r="N167" i="7"/>
  <c r="P142" i="8" s="1"/>
  <c r="M167" i="7"/>
  <c r="O142" i="8" s="1"/>
  <c r="L167" i="7"/>
  <c r="N142" i="8" s="1"/>
  <c r="K167" i="7"/>
  <c r="B167" i="7"/>
  <c r="S157" i="7"/>
  <c r="U102" i="8" s="1"/>
  <c r="R157" i="7"/>
  <c r="T102" i="8" s="1"/>
  <c r="Q157" i="7"/>
  <c r="S102" i="8" s="1"/>
  <c r="P157" i="7"/>
  <c r="R102" i="8" s="1"/>
  <c r="O157" i="7"/>
  <c r="Q102" i="8" s="1"/>
  <c r="N157" i="7"/>
  <c r="P102" i="8" s="1"/>
  <c r="M157" i="7"/>
  <c r="O102" i="8" s="1"/>
  <c r="L157" i="7"/>
  <c r="K157" i="7"/>
  <c r="M102" i="8" s="1"/>
  <c r="B157" i="7"/>
  <c r="S149" i="7"/>
  <c r="R149" i="7"/>
  <c r="Q149" i="7"/>
  <c r="P149" i="7"/>
  <c r="O149" i="7"/>
  <c r="N149" i="7"/>
  <c r="M149" i="7"/>
  <c r="L149" i="7"/>
  <c r="K149" i="7"/>
  <c r="B149" i="7"/>
  <c r="S140" i="7"/>
  <c r="U97" i="8" s="1"/>
  <c r="R140" i="7"/>
  <c r="T97" i="8" s="1"/>
  <c r="Q140" i="7"/>
  <c r="S97" i="8" s="1"/>
  <c r="P140" i="7"/>
  <c r="R97" i="8" s="1"/>
  <c r="O140" i="7"/>
  <c r="Q97" i="8" s="1"/>
  <c r="N140" i="7"/>
  <c r="P97" i="8" s="1"/>
  <c r="M140" i="7"/>
  <c r="O97" i="8" s="1"/>
  <c r="L140" i="7"/>
  <c r="N97" i="8" s="1"/>
  <c r="K140" i="7"/>
  <c r="M97" i="8" s="1"/>
  <c r="B140" i="7"/>
  <c r="S132" i="7"/>
  <c r="R132" i="7"/>
  <c r="Q132" i="7"/>
  <c r="P132" i="7"/>
  <c r="O132" i="7"/>
  <c r="N132" i="7"/>
  <c r="M132" i="7"/>
  <c r="L132" i="7"/>
  <c r="K132" i="7"/>
  <c r="B132" i="7"/>
  <c r="S124" i="7"/>
  <c r="U190" i="8" s="1"/>
  <c r="R124" i="7"/>
  <c r="T190" i="8" s="1"/>
  <c r="Q124" i="7"/>
  <c r="P124" i="7"/>
  <c r="O124" i="7"/>
  <c r="N124" i="7"/>
  <c r="M124" i="7"/>
  <c r="L124" i="7"/>
  <c r="K124" i="7"/>
  <c r="M190" i="8" s="1"/>
  <c r="B124" i="7"/>
  <c r="S116" i="7"/>
  <c r="U194" i="8" s="1"/>
  <c r="R116" i="7"/>
  <c r="T194" i="8" s="1"/>
  <c r="Q116" i="7"/>
  <c r="S194" i="8" s="1"/>
  <c r="P116" i="7"/>
  <c r="R194" i="8" s="1"/>
  <c r="O116" i="7"/>
  <c r="Q194" i="8" s="1"/>
  <c r="N116" i="7"/>
  <c r="P194" i="8" s="1"/>
  <c r="M116" i="7"/>
  <c r="O194" i="8" s="1"/>
  <c r="L116" i="7"/>
  <c r="N194" i="8" s="1"/>
  <c r="K116" i="7"/>
  <c r="M194" i="8" s="1"/>
  <c r="B116" i="7"/>
  <c r="S106" i="7"/>
  <c r="R106" i="7"/>
  <c r="Q106" i="7"/>
  <c r="P106" i="7"/>
  <c r="R159" i="8" s="1"/>
  <c r="O106" i="7"/>
  <c r="Q159" i="8" s="1"/>
  <c r="N106" i="7"/>
  <c r="P159" i="8" s="1"/>
  <c r="M106" i="7"/>
  <c r="O159" i="8" s="1"/>
  <c r="L106" i="7"/>
  <c r="N159" i="8" s="1"/>
  <c r="K106" i="7"/>
  <c r="M159" i="8" s="1"/>
  <c r="B106" i="7"/>
  <c r="S96" i="7"/>
  <c r="R96" i="7"/>
  <c r="Q96" i="7"/>
  <c r="P96" i="7"/>
  <c r="O96" i="7"/>
  <c r="N96" i="7"/>
  <c r="M96" i="7"/>
  <c r="L96" i="7"/>
  <c r="K96" i="7"/>
  <c r="B96" i="7"/>
  <c r="S88" i="7"/>
  <c r="R88" i="7"/>
  <c r="Q88" i="7"/>
  <c r="P88" i="7"/>
  <c r="O88" i="7"/>
  <c r="N88" i="7"/>
  <c r="M88" i="7"/>
  <c r="L88" i="7"/>
  <c r="K88" i="7"/>
  <c r="B88" i="7"/>
  <c r="S80" i="7"/>
  <c r="R80" i="7"/>
  <c r="Q80" i="7"/>
  <c r="P80" i="7"/>
  <c r="O80" i="7"/>
  <c r="N80" i="7"/>
  <c r="M80" i="7"/>
  <c r="L80" i="7"/>
  <c r="K80" i="7"/>
  <c r="B80" i="7"/>
  <c r="S66" i="7"/>
  <c r="R66" i="7"/>
  <c r="T48" i="8" s="1"/>
  <c r="Q66" i="7"/>
  <c r="S48" i="8" s="1"/>
  <c r="P66" i="7"/>
  <c r="R48" i="8" s="1"/>
  <c r="O66" i="7"/>
  <c r="Q48" i="8" s="1"/>
  <c r="N66" i="7"/>
  <c r="P48" i="8" s="1"/>
  <c r="M66" i="7"/>
  <c r="O48" i="8" s="1"/>
  <c r="L66" i="7"/>
  <c r="K66" i="7"/>
  <c r="B66" i="7"/>
  <c r="S60" i="7"/>
  <c r="U42" i="8" s="1"/>
  <c r="R60" i="7"/>
  <c r="T42" i="8" s="1"/>
  <c r="Q60" i="7"/>
  <c r="S42" i="8" s="1"/>
  <c r="P60" i="7"/>
  <c r="R42" i="8" s="1"/>
  <c r="O60" i="7"/>
  <c r="Q42" i="8" s="1"/>
  <c r="N60" i="7"/>
  <c r="P42" i="8" s="1"/>
  <c r="M60" i="7"/>
  <c r="O42" i="8" s="1"/>
  <c r="L60" i="7"/>
  <c r="K60" i="7"/>
  <c r="B60" i="7"/>
  <c r="S54" i="7"/>
  <c r="U37" i="8" s="1"/>
  <c r="R54" i="7"/>
  <c r="T37" i="8" s="1"/>
  <c r="Q54" i="7"/>
  <c r="S37" i="8" s="1"/>
  <c r="P54" i="7"/>
  <c r="R37" i="8" s="1"/>
  <c r="O54" i="7"/>
  <c r="Q37" i="8" s="1"/>
  <c r="N54" i="7"/>
  <c r="P37" i="8" s="1"/>
  <c r="M54" i="7"/>
  <c r="O37" i="8" s="1"/>
  <c r="L54" i="7"/>
  <c r="N37" i="8" s="1"/>
  <c r="K54" i="7"/>
  <c r="M37" i="8" s="1"/>
  <c r="M36" i="8" s="1"/>
  <c r="M21" i="9" s="1"/>
  <c r="B54" i="7"/>
  <c r="S48" i="7"/>
  <c r="U32" i="8" s="1"/>
  <c r="R48" i="7"/>
  <c r="Q48" i="7"/>
  <c r="S32" i="8" s="1"/>
  <c r="P48" i="7"/>
  <c r="O48" i="7"/>
  <c r="Q32" i="8" s="1"/>
  <c r="N48" i="7"/>
  <c r="P32" i="8" s="1"/>
  <c r="M48" i="7"/>
  <c r="O32" i="8" s="1"/>
  <c r="L48" i="7"/>
  <c r="N32" i="8" s="1"/>
  <c r="K48" i="7"/>
  <c r="M32" i="8" s="1"/>
  <c r="B48" i="7"/>
  <c r="S42" i="7"/>
  <c r="R42" i="7"/>
  <c r="T27" i="8" s="1"/>
  <c r="Q42" i="7"/>
  <c r="S27" i="8" s="1"/>
  <c r="P42" i="7"/>
  <c r="R27" i="8" s="1"/>
  <c r="O42" i="7"/>
  <c r="Q27" i="8" s="1"/>
  <c r="N42" i="7"/>
  <c r="P27" i="8" s="1"/>
  <c r="M42" i="7"/>
  <c r="O27" i="8" s="1"/>
  <c r="L42" i="7"/>
  <c r="N27" i="8" s="1"/>
  <c r="K42" i="7"/>
  <c r="M27" i="8" s="1"/>
  <c r="B42" i="7"/>
  <c r="S30" i="7"/>
  <c r="S32" i="7" s="1"/>
  <c r="U18" i="8" s="1"/>
  <c r="K30" i="7"/>
  <c r="K32" i="7" s="1"/>
  <c r="M18" i="8" s="1"/>
  <c r="B30" i="7"/>
  <c r="L29" i="7"/>
  <c r="L30" i="7" s="1"/>
  <c r="L32" i="7" s="1"/>
  <c r="N18" i="8" s="1"/>
  <c r="L28" i="7"/>
  <c r="M28" i="7" s="1"/>
  <c r="N28" i="7" s="1"/>
  <c r="O28" i="7" s="1"/>
  <c r="P28" i="7" s="1"/>
  <c r="Q28" i="7" s="1"/>
  <c r="R28" i="7" s="1"/>
  <c r="L27" i="7"/>
  <c r="M27" i="7" s="1"/>
  <c r="N27" i="7" s="1"/>
  <c r="O27" i="7" s="1"/>
  <c r="P27" i="7" s="1"/>
  <c r="Q27" i="7" s="1"/>
  <c r="R27" i="7" s="1"/>
  <c r="S22" i="7"/>
  <c r="O22" i="7"/>
  <c r="N22" i="7"/>
  <c r="M22" i="7"/>
  <c r="L22" i="7"/>
  <c r="K22" i="7"/>
  <c r="M14" i="8" s="1"/>
  <c r="M173" i="8" s="1"/>
  <c r="P21" i="7"/>
  <c r="P22" i="7" s="1"/>
  <c r="O21" i="7"/>
  <c r="N21" i="7"/>
  <c r="M21" i="7"/>
  <c r="L20" i="7"/>
  <c r="M20" i="7" s="1"/>
  <c r="N20" i="7" s="1"/>
  <c r="O20" i="7" s="1"/>
  <c r="P20" i="7" s="1"/>
  <c r="Q20" i="7" s="1"/>
  <c r="R20" i="7" s="1"/>
  <c r="L19" i="7"/>
  <c r="M19" i="7" s="1"/>
  <c r="N19" i="7" s="1"/>
  <c r="O19" i="7" s="1"/>
  <c r="P19" i="7" s="1"/>
  <c r="Q19" i="7" s="1"/>
  <c r="R19" i="7" s="1"/>
  <c r="J11" i="7"/>
  <c r="K11" i="7" s="1"/>
  <c r="L11" i="7" s="1"/>
  <c r="M11" i="7" s="1"/>
  <c r="N11" i="7" s="1"/>
  <c r="O11" i="7" s="1"/>
  <c r="P11" i="7" s="1"/>
  <c r="Q11" i="7" s="1"/>
  <c r="R11" i="7" s="1"/>
  <c r="S11" i="7" s="1"/>
  <c r="E11" i="7"/>
  <c r="F11" i="7" s="1"/>
  <c r="G11" i="7" s="1"/>
  <c r="H11" i="7" s="1"/>
  <c r="D11" i="7"/>
  <c r="J86" i="24"/>
  <c r="H86" i="24"/>
  <c r="J85" i="24"/>
  <c r="H85" i="24"/>
  <c r="N83" i="24"/>
  <c r="I83" i="24"/>
  <c r="G83" i="24"/>
  <c r="N82" i="24"/>
  <c r="I82" i="24"/>
  <c r="G82" i="24"/>
  <c r="N81" i="24"/>
  <c r="I81" i="24"/>
  <c r="G81" i="24"/>
  <c r="N80" i="24"/>
  <c r="I80" i="24"/>
  <c r="G80" i="24" s="1"/>
  <c r="N79" i="24"/>
  <c r="I79" i="24"/>
  <c r="I86" i="24" s="1"/>
  <c r="G79" i="24"/>
  <c r="I70" i="24" a="1"/>
  <c r="I70" i="24" s="1"/>
  <c r="J67" i="24"/>
  <c r="I67" i="24"/>
  <c r="H67" i="24"/>
  <c r="J66" i="24"/>
  <c r="I66" i="24"/>
  <c r="H66" i="24"/>
  <c r="N64" i="24"/>
  <c r="G64" i="24"/>
  <c r="N63" i="24"/>
  <c r="G63" i="24"/>
  <c r="N62" i="24"/>
  <c r="G62" i="24"/>
  <c r="G67" i="24" s="1"/>
  <c r="N61" i="24"/>
  <c r="G61" i="24"/>
  <c r="N60" i="24"/>
  <c r="G60" i="24"/>
  <c r="H49" i="24"/>
  <c r="J47" i="24"/>
  <c r="I47" i="24"/>
  <c r="H47" i="24"/>
  <c r="J46" i="24"/>
  <c r="I46" i="24"/>
  <c r="H46" i="24"/>
  <c r="N44" i="24"/>
  <c r="G44" i="24"/>
  <c r="N43" i="24"/>
  <c r="G43" i="24"/>
  <c r="N42" i="24"/>
  <c r="G42" i="24"/>
  <c r="N41" i="24"/>
  <c r="H49" i="24" s="1" a="1"/>
  <c r="G41" i="24"/>
  <c r="N40" i="24"/>
  <c r="J88" i="24" s="1" a="1"/>
  <c r="J88" i="24" s="1"/>
  <c r="G40" i="24"/>
  <c r="D19" i="24"/>
  <c r="E19" i="24" s="1"/>
  <c r="F19" i="24" s="1"/>
  <c r="D18" i="24"/>
  <c r="E18" i="24" s="1"/>
  <c r="F9" i="24"/>
  <c r="E9" i="24"/>
  <c r="D9" i="24"/>
  <c r="D8" i="24"/>
  <c r="E8" i="24" s="1"/>
  <c r="F8" i="24" s="1"/>
  <c r="D7" i="24"/>
  <c r="E7" i="24" s="1"/>
  <c r="B2" i="24"/>
  <c r="D12" i="22"/>
  <c r="D11" i="22"/>
  <c r="C11" i="22"/>
  <c r="P113" i="32"/>
  <c r="O113" i="32"/>
  <c r="N113" i="32"/>
  <c r="M113" i="32"/>
  <c r="L113" i="32"/>
  <c r="K113" i="32"/>
  <c r="J113" i="32"/>
  <c r="I113" i="32"/>
  <c r="AH2" i="32"/>
  <c r="AI2" i="32" s="1"/>
  <c r="AJ2" i="32" s="1"/>
  <c r="AK2" i="32" s="1"/>
  <c r="AL2" i="32" s="1"/>
  <c r="AG2" i="32"/>
  <c r="AF2" i="32"/>
  <c r="AB2" i="32"/>
  <c r="AC2" i="32" s="1"/>
  <c r="AD2" i="32" s="1"/>
  <c r="N1107" i="16"/>
  <c r="M1107" i="16"/>
  <c r="L1107" i="16"/>
  <c r="K1107" i="16"/>
  <c r="J1107" i="16"/>
  <c r="I1107" i="16"/>
  <c r="H1107" i="16"/>
  <c r="G1107" i="16"/>
  <c r="F1107" i="16"/>
  <c r="E1107" i="16"/>
  <c r="D1107" i="16"/>
  <c r="D828" i="16"/>
  <c r="C828" i="16"/>
  <c r="I826" i="16"/>
  <c r="H826" i="16"/>
  <c r="G826" i="16"/>
  <c r="F826" i="16"/>
  <c r="E826" i="16"/>
  <c r="D826" i="16"/>
  <c r="C826" i="16"/>
  <c r="I825" i="16"/>
  <c r="I828" i="16" s="1"/>
  <c r="H825" i="16"/>
  <c r="H828" i="16" s="1"/>
  <c r="G825" i="16"/>
  <c r="D825" i="16"/>
  <c r="D824" i="16"/>
  <c r="E824" i="16" s="1"/>
  <c r="F824" i="16" s="1"/>
  <c r="G824" i="16" s="1"/>
  <c r="H824" i="16" s="1"/>
  <c r="I824" i="16" s="1"/>
  <c r="J824" i="16" s="1"/>
  <c r="K824" i="16" s="1"/>
  <c r="L824" i="16" s="1"/>
  <c r="M824" i="16" s="1"/>
  <c r="N824" i="16" s="1"/>
  <c r="I815" i="16"/>
  <c r="H815" i="16"/>
  <c r="G815" i="16"/>
  <c r="F815" i="16"/>
  <c r="E815" i="16"/>
  <c r="D815" i="16"/>
  <c r="C815" i="16"/>
  <c r="D814" i="16"/>
  <c r="E814" i="16" s="1"/>
  <c r="F814" i="16" s="1"/>
  <c r="G814" i="16" s="1"/>
  <c r="H814" i="16" s="1"/>
  <c r="I814" i="16" s="1"/>
  <c r="H806" i="16"/>
  <c r="G806" i="16"/>
  <c r="C806" i="16"/>
  <c r="I804" i="16"/>
  <c r="I806" i="16" s="1"/>
  <c r="H804" i="16"/>
  <c r="G804" i="16"/>
  <c r="F804" i="16"/>
  <c r="E804" i="16"/>
  <c r="D804" i="16"/>
  <c r="C804" i="16"/>
  <c r="I803" i="16"/>
  <c r="H803" i="16"/>
  <c r="G803" i="16"/>
  <c r="F803" i="16"/>
  <c r="F806" i="16" s="1"/>
  <c r="E803" i="16"/>
  <c r="E806" i="16" s="1"/>
  <c r="D803" i="16"/>
  <c r="D806" i="16" s="1"/>
  <c r="C803" i="16"/>
  <c r="D802" i="16"/>
  <c r="E802" i="16" s="1"/>
  <c r="F802" i="16" s="1"/>
  <c r="G802" i="16" s="1"/>
  <c r="H802" i="16" s="1"/>
  <c r="I802" i="16" s="1"/>
  <c r="C796" i="16"/>
  <c r="I788" i="16"/>
  <c r="H788" i="16"/>
  <c r="G788" i="16"/>
  <c r="F788" i="16"/>
  <c r="E788" i="16"/>
  <c r="D788" i="16"/>
  <c r="C788" i="16"/>
  <c r="G785" i="16"/>
  <c r="H785" i="16" s="1"/>
  <c r="I785" i="16" s="1"/>
  <c r="F785" i="16"/>
  <c r="E785" i="16"/>
  <c r="D785" i="16"/>
  <c r="L773" i="16"/>
  <c r="H773" i="16"/>
  <c r="F773" i="16"/>
  <c r="M772" i="16"/>
  <c r="L772" i="16"/>
  <c r="K772" i="16"/>
  <c r="J772" i="16"/>
  <c r="I772" i="16"/>
  <c r="H772" i="16"/>
  <c r="G772" i="16"/>
  <c r="M771" i="16"/>
  <c r="M773" i="16" s="1"/>
  <c r="L771" i="16"/>
  <c r="K771" i="16"/>
  <c r="K773" i="16" s="1"/>
  <c r="J771" i="16"/>
  <c r="J773" i="16" s="1"/>
  <c r="I771" i="16"/>
  <c r="I773" i="16" s="1"/>
  <c r="H771" i="16"/>
  <c r="G771" i="16"/>
  <c r="G773" i="16" s="1"/>
  <c r="F771" i="16"/>
  <c r="F772" i="16" s="1"/>
  <c r="G768" i="16"/>
  <c r="H768" i="16" s="1"/>
  <c r="I768" i="16" s="1"/>
  <c r="J768" i="16" s="1"/>
  <c r="K768" i="16" s="1"/>
  <c r="L768" i="16" s="1"/>
  <c r="M768" i="16" s="1"/>
  <c r="D738" i="16"/>
  <c r="J731" i="16"/>
  <c r="K728" i="16"/>
  <c r="J728" i="16"/>
  <c r="I728" i="16"/>
  <c r="H728" i="16"/>
  <c r="G728" i="16"/>
  <c r="F728" i="16"/>
  <c r="E728" i="16"/>
  <c r="D728" i="16"/>
  <c r="B728" i="16"/>
  <c r="J727" i="16"/>
  <c r="K726" i="16"/>
  <c r="J726" i="16"/>
  <c r="I726" i="16"/>
  <c r="I727" i="16" s="1"/>
  <c r="H726" i="16"/>
  <c r="G726" i="16"/>
  <c r="G727" i="16" s="1"/>
  <c r="F726" i="16"/>
  <c r="E726" i="16"/>
  <c r="D726" i="16"/>
  <c r="C726" i="16"/>
  <c r="B726" i="16"/>
  <c r="D725" i="16"/>
  <c r="E725" i="16" s="1"/>
  <c r="F725" i="16" s="1"/>
  <c r="G725" i="16" s="1"/>
  <c r="H725" i="16" s="1"/>
  <c r="I725" i="16" s="1"/>
  <c r="J725" i="16" s="1"/>
  <c r="K725" i="16" s="1"/>
  <c r="G711" i="16"/>
  <c r="G710" i="16"/>
  <c r="F710" i="16"/>
  <c r="G709" i="16"/>
  <c r="F709" i="16"/>
  <c r="F711" i="16" s="1"/>
  <c r="L702" i="16"/>
  <c r="K702" i="16"/>
  <c r="J702" i="16"/>
  <c r="I702" i="16"/>
  <c r="H702" i="16"/>
  <c r="G702" i="16"/>
  <c r="F702" i="16"/>
  <c r="E702" i="16"/>
  <c r="D702" i="16"/>
  <c r="C702" i="16"/>
  <c r="L701" i="16"/>
  <c r="K701" i="16"/>
  <c r="J701" i="16"/>
  <c r="I701" i="16"/>
  <c r="H701" i="16"/>
  <c r="G701" i="16"/>
  <c r="F701" i="16"/>
  <c r="E701" i="16"/>
  <c r="D701" i="16"/>
  <c r="C701" i="16"/>
  <c r="Q700" i="16"/>
  <c r="R700" i="16" s="1"/>
  <c r="S700" i="16" s="1"/>
  <c r="T700" i="16" s="1"/>
  <c r="U700" i="16" s="1"/>
  <c r="V700" i="16" s="1"/>
  <c r="W700" i="16" s="1"/>
  <c r="D690" i="16"/>
  <c r="E690" i="16" s="1"/>
  <c r="F690" i="16" s="1"/>
  <c r="G690" i="16" s="1"/>
  <c r="H690" i="16" s="1"/>
  <c r="I690" i="16" s="1"/>
  <c r="J690" i="16" s="1"/>
  <c r="K690" i="16" s="1"/>
  <c r="L690" i="16" s="1"/>
  <c r="L684" i="16"/>
  <c r="I684" i="16"/>
  <c r="H684" i="16"/>
  <c r="G684" i="16"/>
  <c r="F684" i="16"/>
  <c r="C684" i="16"/>
  <c r="L683" i="16"/>
  <c r="K681" i="16"/>
  <c r="I681" i="16"/>
  <c r="D681" i="16"/>
  <c r="D683" i="16" s="1"/>
  <c r="C681" i="16"/>
  <c r="C683" i="16" s="1"/>
  <c r="L678" i="16"/>
  <c r="L676" i="16"/>
  <c r="K676" i="16"/>
  <c r="J676" i="16"/>
  <c r="I676" i="16"/>
  <c r="H676" i="16"/>
  <c r="G676" i="16"/>
  <c r="F676" i="16"/>
  <c r="L675" i="16"/>
  <c r="K675" i="16"/>
  <c r="J675" i="16"/>
  <c r="I675" i="16"/>
  <c r="H675" i="16"/>
  <c r="G675" i="16"/>
  <c r="F675" i="16"/>
  <c r="E675" i="16"/>
  <c r="E676" i="16" s="1"/>
  <c r="D675" i="16"/>
  <c r="D676" i="16" s="1"/>
  <c r="C675" i="16"/>
  <c r="C676" i="16" s="1"/>
  <c r="L672" i="16"/>
  <c r="K672" i="16"/>
  <c r="J672" i="16"/>
  <c r="I672" i="16"/>
  <c r="H672" i="16"/>
  <c r="G672" i="16"/>
  <c r="F672" i="16"/>
  <c r="E672" i="16"/>
  <c r="D672" i="16"/>
  <c r="D669" i="16"/>
  <c r="E669" i="16" s="1"/>
  <c r="F669" i="16" s="1"/>
  <c r="G669" i="16" s="1"/>
  <c r="H669" i="16" s="1"/>
  <c r="I669" i="16" s="1"/>
  <c r="J669" i="16" s="1"/>
  <c r="K669" i="16" s="1"/>
  <c r="L669" i="16" s="1"/>
  <c r="N662" i="16"/>
  <c r="K662" i="16"/>
  <c r="J662" i="16"/>
  <c r="I662" i="16"/>
  <c r="H662" i="16"/>
  <c r="G662" i="16"/>
  <c r="F662" i="16"/>
  <c r="E662" i="16"/>
  <c r="D662" i="16"/>
  <c r="C662" i="16"/>
  <c r="K660" i="16"/>
  <c r="J660" i="16"/>
  <c r="I660" i="16"/>
  <c r="H660" i="16"/>
  <c r="G660" i="16"/>
  <c r="F660" i="16"/>
  <c r="E660" i="16"/>
  <c r="D660" i="16"/>
  <c r="C660" i="16"/>
  <c r="N660" i="16" s="1"/>
  <c r="I658" i="16"/>
  <c r="F658" i="16"/>
  <c r="E658" i="16"/>
  <c r="D658" i="16"/>
  <c r="K656" i="16"/>
  <c r="I656" i="16"/>
  <c r="H656" i="16"/>
  <c r="G656" i="16"/>
  <c r="F656" i="16"/>
  <c r="E656" i="16"/>
  <c r="D656" i="16"/>
  <c r="K655" i="16"/>
  <c r="J655" i="16"/>
  <c r="I655" i="16"/>
  <c r="H655" i="16"/>
  <c r="G655" i="16"/>
  <c r="F655" i="16"/>
  <c r="E655" i="16"/>
  <c r="D655" i="16"/>
  <c r="M655" i="16" s="1"/>
  <c r="C655" i="16"/>
  <c r="K654" i="16"/>
  <c r="J654" i="16"/>
  <c r="I654" i="16"/>
  <c r="H654" i="16"/>
  <c r="G654" i="16"/>
  <c r="F654" i="16"/>
  <c r="E654" i="16"/>
  <c r="D654" i="16"/>
  <c r="C654" i="16"/>
  <c r="J650" i="16"/>
  <c r="J658" i="16" s="1"/>
  <c r="H650" i="16"/>
  <c r="H658" i="16" s="1"/>
  <c r="G650" i="16"/>
  <c r="G658" i="16" s="1"/>
  <c r="F650" i="16"/>
  <c r="E650" i="16"/>
  <c r="D650" i="16"/>
  <c r="K648" i="16"/>
  <c r="K650" i="16" s="1"/>
  <c r="K658" i="16" s="1"/>
  <c r="J648" i="16"/>
  <c r="J656" i="16" s="1"/>
  <c r="I648" i="16"/>
  <c r="I650" i="16" s="1"/>
  <c r="H648" i="16"/>
  <c r="G648" i="16"/>
  <c r="F648" i="16"/>
  <c r="E648" i="16"/>
  <c r="D648" i="16"/>
  <c r="C648" i="16"/>
  <c r="C656" i="16" s="1"/>
  <c r="D644" i="16"/>
  <c r="E644" i="16" s="1"/>
  <c r="F644" i="16" s="1"/>
  <c r="G644" i="16" s="1"/>
  <c r="H644" i="16" s="1"/>
  <c r="I644" i="16" s="1"/>
  <c r="J644" i="16" s="1"/>
  <c r="K644" i="16" s="1"/>
  <c r="K615" i="16"/>
  <c r="K616" i="16" s="1"/>
  <c r="J615" i="16"/>
  <c r="J616" i="16" s="1"/>
  <c r="I615" i="16"/>
  <c r="I616" i="16" s="1"/>
  <c r="H615" i="16"/>
  <c r="H616" i="16" s="1"/>
  <c r="G615" i="16"/>
  <c r="G616" i="16" s="1"/>
  <c r="F615" i="16"/>
  <c r="F616" i="16" s="1"/>
  <c r="E615" i="16"/>
  <c r="E616" i="16" s="1"/>
  <c r="D615" i="16"/>
  <c r="D616" i="16" s="1"/>
  <c r="C615" i="16"/>
  <c r="C616" i="16" s="1"/>
  <c r="D613" i="16"/>
  <c r="E613" i="16" s="1"/>
  <c r="F613" i="16" s="1"/>
  <c r="G613" i="16" s="1"/>
  <c r="H613" i="16" s="1"/>
  <c r="I613" i="16" s="1"/>
  <c r="J613" i="16" s="1"/>
  <c r="K613" i="16" s="1"/>
  <c r="K608" i="16"/>
  <c r="J608" i="16"/>
  <c r="I608" i="16"/>
  <c r="H608" i="16"/>
  <c r="G608" i="16"/>
  <c r="F608" i="16"/>
  <c r="E608" i="16"/>
  <c r="D608" i="16"/>
  <c r="C608" i="16"/>
  <c r="M608" i="16" s="1"/>
  <c r="I604" i="16"/>
  <c r="J604" i="16" s="1"/>
  <c r="K604" i="16" s="1"/>
  <c r="G604" i="16"/>
  <c r="H604" i="16" s="1"/>
  <c r="F604" i="16"/>
  <c r="E604" i="16"/>
  <c r="D604" i="16"/>
  <c r="L596" i="16"/>
  <c r="L595" i="16"/>
  <c r="K593" i="16"/>
  <c r="L593" i="16" s="1"/>
  <c r="J593" i="16"/>
  <c r="I593" i="16"/>
  <c r="H593" i="16"/>
  <c r="G593" i="16"/>
  <c r="F593" i="16"/>
  <c r="E593" i="16"/>
  <c r="D593" i="16"/>
  <c r="C593" i="16"/>
  <c r="E590" i="16"/>
  <c r="F590" i="16" s="1"/>
  <c r="G590" i="16" s="1"/>
  <c r="H590" i="16" s="1"/>
  <c r="I590" i="16" s="1"/>
  <c r="J590" i="16" s="1"/>
  <c r="K590" i="16" s="1"/>
  <c r="L590" i="16" s="1"/>
  <c r="M590" i="16" s="1"/>
  <c r="N590" i="16" s="1"/>
  <c r="O590" i="16" s="1"/>
  <c r="D590" i="16"/>
  <c r="H586" i="16"/>
  <c r="G586" i="16"/>
  <c r="G587" i="16" s="1"/>
  <c r="F586" i="16"/>
  <c r="H585" i="16"/>
  <c r="G585" i="16"/>
  <c r="F585" i="16"/>
  <c r="H584" i="16"/>
  <c r="G584" i="16"/>
  <c r="F584" i="16"/>
  <c r="K582" i="16"/>
  <c r="E582" i="16"/>
  <c r="D582" i="16"/>
  <c r="I507" i="16"/>
  <c r="K491" i="16"/>
  <c r="J491" i="16"/>
  <c r="I491" i="16"/>
  <c r="H491" i="16"/>
  <c r="G491" i="16"/>
  <c r="F491" i="16"/>
  <c r="E491" i="16"/>
  <c r="D491" i="16"/>
  <c r="C491" i="16"/>
  <c r="K490" i="16"/>
  <c r="J490" i="16"/>
  <c r="I490" i="16"/>
  <c r="H490" i="16"/>
  <c r="G490" i="16"/>
  <c r="F490" i="16"/>
  <c r="E490" i="16"/>
  <c r="D490" i="16"/>
  <c r="C490" i="16"/>
  <c r="D486" i="16"/>
  <c r="E486" i="16" s="1"/>
  <c r="F486" i="16" s="1"/>
  <c r="G486" i="16" s="1"/>
  <c r="H486" i="16" s="1"/>
  <c r="I486" i="16" s="1"/>
  <c r="J486" i="16" s="1"/>
  <c r="K486" i="16" s="1"/>
  <c r="J482" i="16"/>
  <c r="I482" i="16"/>
  <c r="H482" i="16"/>
  <c r="G482" i="16"/>
  <c r="F482" i="16"/>
  <c r="E482" i="16"/>
  <c r="D482" i="16"/>
  <c r="C482" i="16"/>
  <c r="C481" i="16"/>
  <c r="I480" i="16"/>
  <c r="H480" i="16"/>
  <c r="G480" i="16"/>
  <c r="F480" i="16"/>
  <c r="E480" i="16"/>
  <c r="D480" i="16"/>
  <c r="C480" i="16"/>
  <c r="J479" i="16"/>
  <c r="D479" i="16"/>
  <c r="J478" i="16"/>
  <c r="I478" i="16"/>
  <c r="H478" i="16"/>
  <c r="G478" i="16"/>
  <c r="F478" i="16"/>
  <c r="E478" i="16"/>
  <c r="D478" i="16"/>
  <c r="C478" i="16"/>
  <c r="F477" i="16"/>
  <c r="D477" i="16"/>
  <c r="C477" i="16"/>
  <c r="J476" i="16"/>
  <c r="I476" i="16"/>
  <c r="H476" i="16"/>
  <c r="F476" i="16"/>
  <c r="E476" i="16"/>
  <c r="D476" i="16"/>
  <c r="C476" i="16"/>
  <c r="F475" i="16"/>
  <c r="E475" i="16"/>
  <c r="D475" i="16"/>
  <c r="C475" i="16"/>
  <c r="J474" i="16"/>
  <c r="I474" i="16"/>
  <c r="F474" i="16"/>
  <c r="E474" i="16"/>
  <c r="D474" i="16"/>
  <c r="D472" i="16"/>
  <c r="E472" i="16" s="1"/>
  <c r="F472" i="16" s="1"/>
  <c r="G472" i="16" s="1"/>
  <c r="H472" i="16" s="1"/>
  <c r="I472" i="16" s="1"/>
  <c r="J472" i="16" s="1"/>
  <c r="K472" i="16" s="1"/>
  <c r="K469" i="16"/>
  <c r="J469" i="16"/>
  <c r="J481" i="16" s="1"/>
  <c r="I469" i="16"/>
  <c r="I479" i="16" s="1"/>
  <c r="H469" i="16"/>
  <c r="H479" i="16" s="1"/>
  <c r="G469" i="16"/>
  <c r="G481" i="16" s="1"/>
  <c r="F469" i="16"/>
  <c r="E469" i="16"/>
  <c r="E481" i="16" s="1"/>
  <c r="D469" i="16"/>
  <c r="D481" i="16" s="1"/>
  <c r="C469" i="16"/>
  <c r="C474" i="16" s="1"/>
  <c r="D457" i="16"/>
  <c r="E457" i="16" s="1"/>
  <c r="F457" i="16" s="1"/>
  <c r="G457" i="16" s="1"/>
  <c r="H457" i="16" s="1"/>
  <c r="I457" i="16" s="1"/>
  <c r="J457" i="16" s="1"/>
  <c r="K457" i="16" s="1"/>
  <c r="K453" i="16"/>
  <c r="J453" i="16"/>
  <c r="I453" i="16"/>
  <c r="H453" i="16"/>
  <c r="G453" i="16"/>
  <c r="F453" i="16"/>
  <c r="E453" i="16"/>
  <c r="D453" i="16"/>
  <c r="K451" i="16"/>
  <c r="I450" i="16"/>
  <c r="E450" i="16"/>
  <c r="D450" i="16"/>
  <c r="K446" i="16"/>
  <c r="J446" i="16"/>
  <c r="I446" i="16"/>
  <c r="H446" i="16"/>
  <c r="H681" i="16" s="1"/>
  <c r="G446" i="16"/>
  <c r="F446" i="16"/>
  <c r="E446" i="16"/>
  <c r="E455" i="16" s="1"/>
  <c r="D446" i="16"/>
  <c r="D455" i="16" s="1"/>
  <c r="C446" i="16"/>
  <c r="C451" i="16" s="1"/>
  <c r="D444" i="16"/>
  <c r="C444" i="16"/>
  <c r="K440" i="16"/>
  <c r="K455" i="16" s="1"/>
  <c r="J440" i="16"/>
  <c r="I440" i="16"/>
  <c r="H440" i="16"/>
  <c r="G440" i="16"/>
  <c r="F440" i="16"/>
  <c r="E440" i="16"/>
  <c r="D440" i="16"/>
  <c r="X437" i="16"/>
  <c r="W437" i="16"/>
  <c r="V437" i="16"/>
  <c r="U437" i="16"/>
  <c r="T437" i="16"/>
  <c r="S437" i="16"/>
  <c r="R437" i="16"/>
  <c r="Q437" i="16"/>
  <c r="P437" i="16"/>
  <c r="K437" i="16"/>
  <c r="J437" i="16"/>
  <c r="I437" i="16"/>
  <c r="I444" i="16" s="1"/>
  <c r="H437" i="16"/>
  <c r="H444" i="16" s="1"/>
  <c r="G437" i="16"/>
  <c r="G444" i="16" s="1"/>
  <c r="F437" i="16"/>
  <c r="F444" i="16" s="1"/>
  <c r="E437" i="16"/>
  <c r="E444" i="16" s="1"/>
  <c r="D437" i="16"/>
  <c r="C437" i="16"/>
  <c r="D434" i="16"/>
  <c r="E434" i="16" s="1"/>
  <c r="F434" i="16" s="1"/>
  <c r="G434" i="16" s="1"/>
  <c r="H434" i="16" s="1"/>
  <c r="I434" i="16" s="1"/>
  <c r="J434" i="16" s="1"/>
  <c r="K434" i="16" s="1"/>
  <c r="K425" i="16"/>
  <c r="I425" i="16"/>
  <c r="H425" i="16"/>
  <c r="G425" i="16"/>
  <c r="F425" i="16"/>
  <c r="D425" i="16"/>
  <c r="C425" i="16"/>
  <c r="K424" i="16"/>
  <c r="J424" i="16"/>
  <c r="I424" i="16"/>
  <c r="H424" i="16"/>
  <c r="G424" i="16"/>
  <c r="F424" i="16"/>
  <c r="E424" i="16"/>
  <c r="D424" i="16"/>
  <c r="M424" i="16" s="1"/>
  <c r="K421" i="16"/>
  <c r="J421" i="16"/>
  <c r="J425" i="16" s="1"/>
  <c r="N425" i="16" s="1"/>
  <c r="I421" i="16"/>
  <c r="H421" i="16"/>
  <c r="G421" i="16"/>
  <c r="F421" i="16"/>
  <c r="E421" i="16"/>
  <c r="E425" i="16" s="1"/>
  <c r="D421" i="16"/>
  <c r="C421" i="16"/>
  <c r="D419" i="16"/>
  <c r="E419" i="16" s="1"/>
  <c r="F419" i="16" s="1"/>
  <c r="G419" i="16" s="1"/>
  <c r="H419" i="16" s="1"/>
  <c r="I419" i="16" s="1"/>
  <c r="J419" i="16" s="1"/>
  <c r="K419" i="16" s="1"/>
  <c r="G415" i="16"/>
  <c r="F415" i="16"/>
  <c r="E415" i="16"/>
  <c r="D415" i="16"/>
  <c r="C415" i="16"/>
  <c r="B415" i="16"/>
  <c r="H414" i="16"/>
  <c r="G375" i="16"/>
  <c r="F375" i="16"/>
  <c r="G374" i="16"/>
  <c r="G376" i="16" s="1"/>
  <c r="F374" i="16"/>
  <c r="F376" i="16" s="1"/>
  <c r="L367" i="16"/>
  <c r="K367" i="16"/>
  <c r="J367" i="16"/>
  <c r="I367" i="16"/>
  <c r="H367" i="16"/>
  <c r="G367" i="16"/>
  <c r="F367" i="16"/>
  <c r="E367" i="16"/>
  <c r="D367" i="16"/>
  <c r="C367" i="16"/>
  <c r="L366" i="16"/>
  <c r="K366" i="16"/>
  <c r="J366" i="16"/>
  <c r="I366" i="16"/>
  <c r="H366" i="16"/>
  <c r="G366" i="16"/>
  <c r="F366" i="16"/>
  <c r="E366" i="16"/>
  <c r="D366" i="16"/>
  <c r="C366" i="16"/>
  <c r="E355" i="16"/>
  <c r="F355" i="16" s="1"/>
  <c r="G355" i="16" s="1"/>
  <c r="H355" i="16" s="1"/>
  <c r="I355" i="16" s="1"/>
  <c r="J355" i="16" s="1"/>
  <c r="K355" i="16" s="1"/>
  <c r="L355" i="16" s="1"/>
  <c r="D355" i="16"/>
  <c r="U354" i="16"/>
  <c r="V354" i="16" s="1"/>
  <c r="W354" i="16" s="1"/>
  <c r="X354" i="16" s="1"/>
  <c r="Y354" i="16" s="1"/>
  <c r="Z354" i="16" s="1"/>
  <c r="AA354" i="16" s="1"/>
  <c r="H348" i="16"/>
  <c r="H350" i="16" s="1"/>
  <c r="H357" i="16" s="1"/>
  <c r="G348" i="16"/>
  <c r="G350" i="16" s="1"/>
  <c r="G357" i="16" s="1"/>
  <c r="F348" i="16"/>
  <c r="F350" i="16" s="1"/>
  <c r="F357" i="16" s="1"/>
  <c r="F347" i="16"/>
  <c r="C347" i="16"/>
  <c r="L346" i="16"/>
  <c r="K346" i="16"/>
  <c r="J346" i="16"/>
  <c r="I346" i="16"/>
  <c r="H346" i="16"/>
  <c r="G346" i="16"/>
  <c r="F346" i="16"/>
  <c r="E346" i="16"/>
  <c r="E348" i="16" s="1"/>
  <c r="E350" i="16" s="1"/>
  <c r="E357" i="16" s="1"/>
  <c r="D346" i="16"/>
  <c r="L344" i="16"/>
  <c r="K344" i="16"/>
  <c r="J344" i="16"/>
  <c r="I344" i="16"/>
  <c r="H344" i="16"/>
  <c r="G344" i="16"/>
  <c r="F344" i="16"/>
  <c r="E344" i="16"/>
  <c r="D344" i="16"/>
  <c r="L340" i="16"/>
  <c r="K340" i="16"/>
  <c r="K684" i="16" s="1"/>
  <c r="J340" i="16"/>
  <c r="I340" i="16"/>
  <c r="H340" i="16"/>
  <c r="G340" i="16"/>
  <c r="G347" i="16" s="1"/>
  <c r="F340" i="16"/>
  <c r="E340" i="16"/>
  <c r="F341" i="16" s="1"/>
  <c r="D340" i="16"/>
  <c r="D347" i="16" s="1"/>
  <c r="C340" i="16"/>
  <c r="D338" i="16"/>
  <c r="E338" i="16" s="1"/>
  <c r="F338" i="16" s="1"/>
  <c r="G338" i="16" s="1"/>
  <c r="H338" i="16" s="1"/>
  <c r="I338" i="16" s="1"/>
  <c r="J338" i="16" s="1"/>
  <c r="K338" i="16" s="1"/>
  <c r="L338" i="16" s="1"/>
  <c r="K323" i="16"/>
  <c r="J323" i="16"/>
  <c r="I323" i="16"/>
  <c r="H323" i="16"/>
  <c r="G323" i="16"/>
  <c r="F323" i="16"/>
  <c r="E323" i="16"/>
  <c r="D323" i="16"/>
  <c r="C323" i="16"/>
  <c r="K322" i="16"/>
  <c r="J322" i="16"/>
  <c r="I322" i="16"/>
  <c r="H322" i="16"/>
  <c r="G322" i="16"/>
  <c r="F322" i="16"/>
  <c r="E322" i="16"/>
  <c r="D322" i="16"/>
  <c r="C322" i="16"/>
  <c r="D311" i="16"/>
  <c r="E311" i="16" s="1"/>
  <c r="F311" i="16" s="1"/>
  <c r="G311" i="16" s="1"/>
  <c r="H311" i="16" s="1"/>
  <c r="I311" i="16" s="1"/>
  <c r="J311" i="16" s="1"/>
  <c r="K311" i="16" s="1"/>
  <c r="G305" i="16"/>
  <c r="F305" i="16"/>
  <c r="E305" i="16"/>
  <c r="D305" i="16"/>
  <c r="H301" i="16"/>
  <c r="H305" i="16" s="1"/>
  <c r="G301" i="16"/>
  <c r="F301" i="16"/>
  <c r="D301" i="16"/>
  <c r="G300" i="16"/>
  <c r="G304" i="16" s="1"/>
  <c r="D300" i="16"/>
  <c r="D304" i="16" s="1"/>
  <c r="L296" i="16"/>
  <c r="L300" i="16" s="1"/>
  <c r="L304" i="16" s="1"/>
  <c r="K296" i="16"/>
  <c r="K300" i="16" s="1"/>
  <c r="K304" i="16" s="1"/>
  <c r="J296" i="16"/>
  <c r="I296" i="16"/>
  <c r="I300" i="16" s="1"/>
  <c r="I304" i="16" s="1"/>
  <c r="H296" i="16"/>
  <c r="H300" i="16" s="1"/>
  <c r="H304" i="16" s="1"/>
  <c r="G296" i="16"/>
  <c r="F296" i="16"/>
  <c r="F300" i="16" s="1"/>
  <c r="F304" i="16" s="1"/>
  <c r="E296" i="16"/>
  <c r="E300" i="16" s="1"/>
  <c r="E304" i="16" s="1"/>
  <c r="D296" i="16"/>
  <c r="L294" i="16"/>
  <c r="K294" i="16"/>
  <c r="J294" i="16"/>
  <c r="I294" i="16"/>
  <c r="H294" i="16"/>
  <c r="G294" i="16"/>
  <c r="F294" i="16"/>
  <c r="E294" i="16"/>
  <c r="D294" i="16"/>
  <c r="L291" i="16"/>
  <c r="K291" i="16"/>
  <c r="J291" i="16"/>
  <c r="I291" i="16"/>
  <c r="H291" i="16"/>
  <c r="G291" i="16"/>
  <c r="I289" i="16"/>
  <c r="H289" i="16"/>
  <c r="G289" i="16"/>
  <c r="F289" i="16"/>
  <c r="E289" i="16"/>
  <c r="D289" i="16"/>
  <c r="L288" i="16"/>
  <c r="L301" i="16" s="1"/>
  <c r="L305" i="16" s="1"/>
  <c r="K288" i="16"/>
  <c r="L289" i="16" s="1"/>
  <c r="J288" i="16"/>
  <c r="J289" i="16" s="1"/>
  <c r="I288" i="16"/>
  <c r="H288" i="16"/>
  <c r="G288" i="16"/>
  <c r="F288" i="16"/>
  <c r="E288" i="16"/>
  <c r="E301" i="16" s="1"/>
  <c r="D288" i="16"/>
  <c r="C288" i="16"/>
  <c r="F291" i="16" s="1"/>
  <c r="D286" i="16"/>
  <c r="E286" i="16" s="1"/>
  <c r="F286" i="16" s="1"/>
  <c r="G286" i="16" s="1"/>
  <c r="H286" i="16" s="1"/>
  <c r="I286" i="16" s="1"/>
  <c r="J286" i="16" s="1"/>
  <c r="K286" i="16" s="1"/>
  <c r="L286" i="16" s="1"/>
  <c r="K279" i="16"/>
  <c r="J279" i="16"/>
  <c r="I279" i="16"/>
  <c r="E279" i="16"/>
  <c r="F278" i="16"/>
  <c r="E278" i="16"/>
  <c r="D278" i="16"/>
  <c r="C278" i="16"/>
  <c r="K277" i="16"/>
  <c r="H276" i="16"/>
  <c r="F276" i="16"/>
  <c r="E276" i="16"/>
  <c r="D276" i="16"/>
  <c r="J274" i="16"/>
  <c r="F274" i="16"/>
  <c r="E274" i="16"/>
  <c r="D273" i="16"/>
  <c r="E273" i="16" s="1"/>
  <c r="F273" i="16" s="1"/>
  <c r="G273" i="16" s="1"/>
  <c r="H273" i="16" s="1"/>
  <c r="I273" i="16" s="1"/>
  <c r="J273" i="16" s="1"/>
  <c r="K273" i="16" s="1"/>
  <c r="K270" i="16"/>
  <c r="I270" i="16"/>
  <c r="H270" i="16"/>
  <c r="G270" i="16"/>
  <c r="R268" i="16"/>
  <c r="Q268" i="16"/>
  <c r="P268" i="16"/>
  <c r="L266" i="16"/>
  <c r="K266" i="16"/>
  <c r="J266" i="16"/>
  <c r="J278" i="16" s="1"/>
  <c r="I266" i="16"/>
  <c r="H266" i="16"/>
  <c r="G266" i="16"/>
  <c r="G274" i="16" s="1"/>
  <c r="F266" i="16"/>
  <c r="F277" i="16" s="1"/>
  <c r="E266" i="16"/>
  <c r="E277" i="16" s="1"/>
  <c r="D266" i="16"/>
  <c r="D279" i="16" s="1"/>
  <c r="C266" i="16"/>
  <c r="C279" i="16" s="1"/>
  <c r="R264" i="16"/>
  <c r="Q264" i="16"/>
  <c r="P264" i="16"/>
  <c r="R263" i="16"/>
  <c r="Q263" i="16"/>
  <c r="P263" i="16"/>
  <c r="R262" i="16"/>
  <c r="Q262" i="16"/>
  <c r="P262" i="16"/>
  <c r="R261" i="16"/>
  <c r="Q261" i="16"/>
  <c r="P261" i="16"/>
  <c r="R260" i="16"/>
  <c r="Q260" i="16"/>
  <c r="P260" i="16"/>
  <c r="R259" i="16"/>
  <c r="Q259" i="16"/>
  <c r="P259" i="16"/>
  <c r="D258" i="16"/>
  <c r="E258" i="16" s="1"/>
  <c r="F258" i="16" s="1"/>
  <c r="G258" i="16" s="1"/>
  <c r="H258" i="16" s="1"/>
  <c r="I258" i="16" s="1"/>
  <c r="J258" i="16" s="1"/>
  <c r="K258" i="16" s="1"/>
  <c r="L258" i="16" s="1"/>
  <c r="T253" i="16"/>
  <c r="U253" i="16" s="1"/>
  <c r="V253" i="16" s="1"/>
  <c r="W253" i="16" s="1"/>
  <c r="X253" i="16" s="1"/>
  <c r="Y253" i="16" s="1"/>
  <c r="Z253" i="16" s="1"/>
  <c r="I249" i="16"/>
  <c r="E249" i="16"/>
  <c r="D249" i="16"/>
  <c r="I247" i="16"/>
  <c r="H247" i="16"/>
  <c r="H249" i="16" s="1"/>
  <c r="G247" i="16"/>
  <c r="G249" i="16" s="1"/>
  <c r="E247" i="16"/>
  <c r="D247" i="16"/>
  <c r="C247" i="16"/>
  <c r="C249" i="16" s="1"/>
  <c r="D245" i="16"/>
  <c r="C245" i="16"/>
  <c r="L244" i="16"/>
  <c r="K244" i="16"/>
  <c r="K245" i="16" s="1"/>
  <c r="J244" i="16"/>
  <c r="I244" i="16"/>
  <c r="I47" i="8" s="1"/>
  <c r="I23" i="9" s="1"/>
  <c r="H244" i="16"/>
  <c r="G244" i="16"/>
  <c r="F244" i="16"/>
  <c r="E244" i="16"/>
  <c r="E47" i="8" s="1"/>
  <c r="E23" i="9" s="1"/>
  <c r="D244" i="16"/>
  <c r="C244" i="16"/>
  <c r="L242" i="16"/>
  <c r="K242" i="16"/>
  <c r="J242" i="16"/>
  <c r="H242" i="16"/>
  <c r="G242" i="16"/>
  <c r="F242" i="16"/>
  <c r="D242" i="16"/>
  <c r="C242" i="16"/>
  <c r="O241" i="16"/>
  <c r="N241" i="16"/>
  <c r="L239" i="16"/>
  <c r="J239" i="16"/>
  <c r="I239" i="16"/>
  <c r="F239" i="16"/>
  <c r="D239" i="16"/>
  <c r="C239" i="16"/>
  <c r="O238" i="16"/>
  <c r="N238" i="16"/>
  <c r="L236" i="16"/>
  <c r="I236" i="16"/>
  <c r="H236" i="16"/>
  <c r="G236" i="16"/>
  <c r="F236" i="16"/>
  <c r="D236" i="16"/>
  <c r="C236" i="16"/>
  <c r="O235" i="16"/>
  <c r="N235" i="16"/>
  <c r="L233" i="16"/>
  <c r="J233" i="16"/>
  <c r="G233" i="16"/>
  <c r="F233" i="16"/>
  <c r="E233" i="16"/>
  <c r="D233" i="16"/>
  <c r="C233" i="16"/>
  <c r="O232" i="16"/>
  <c r="N232" i="16"/>
  <c r="K230" i="16"/>
  <c r="J230" i="16"/>
  <c r="J236" i="16" s="1"/>
  <c r="I230" i="16"/>
  <c r="H230" i="16"/>
  <c r="H233" i="16" s="1"/>
  <c r="G230" i="16"/>
  <c r="G239" i="16" s="1"/>
  <c r="F230" i="16"/>
  <c r="E230" i="16"/>
  <c r="D230" i="16"/>
  <c r="C230" i="16"/>
  <c r="L225" i="16"/>
  <c r="K225" i="16"/>
  <c r="J225" i="16"/>
  <c r="I225" i="16"/>
  <c r="G225" i="16"/>
  <c r="F225" i="16"/>
  <c r="E225" i="16"/>
  <c r="K223" i="16"/>
  <c r="K222" i="16"/>
  <c r="J222" i="16"/>
  <c r="I222" i="16"/>
  <c r="G222" i="16"/>
  <c r="D222" i="16"/>
  <c r="K221" i="16"/>
  <c r="J221" i="16"/>
  <c r="I221" i="16"/>
  <c r="L220" i="16"/>
  <c r="K220" i="16"/>
  <c r="J220" i="16"/>
  <c r="I220" i="16"/>
  <c r="G220" i="16"/>
  <c r="F220" i="16"/>
  <c r="K219" i="16"/>
  <c r="K218" i="16"/>
  <c r="J218" i="16"/>
  <c r="I218" i="16"/>
  <c r="G218" i="16"/>
  <c r="K217" i="16"/>
  <c r="J217" i="16"/>
  <c r="I217" i="16"/>
  <c r="G217" i="16"/>
  <c r="F217" i="16"/>
  <c r="E217" i="16"/>
  <c r="L216" i="16"/>
  <c r="K216" i="16"/>
  <c r="J216" i="16"/>
  <c r="I216" i="16"/>
  <c r="G216" i="16"/>
  <c r="K215" i="16"/>
  <c r="H215" i="16"/>
  <c r="G215" i="16"/>
  <c r="F215" i="16"/>
  <c r="E215" i="16"/>
  <c r="K214" i="16"/>
  <c r="J214" i="16"/>
  <c r="I214" i="16"/>
  <c r="G214" i="16"/>
  <c r="K213" i="16"/>
  <c r="J213" i="16"/>
  <c r="I213" i="16"/>
  <c r="G213" i="16"/>
  <c r="F213" i="16"/>
  <c r="E213" i="16"/>
  <c r="C213" i="16"/>
  <c r="L212" i="16"/>
  <c r="K212" i="16"/>
  <c r="J212" i="16"/>
  <c r="I212" i="16"/>
  <c r="G212" i="16"/>
  <c r="K211" i="16"/>
  <c r="H211" i="16"/>
  <c r="G211" i="16"/>
  <c r="F211" i="16"/>
  <c r="E211" i="16"/>
  <c r="C211" i="16"/>
  <c r="K210" i="16"/>
  <c r="J210" i="16"/>
  <c r="I210" i="16"/>
  <c r="K209" i="16"/>
  <c r="J209" i="16"/>
  <c r="I209" i="16"/>
  <c r="G209" i="16"/>
  <c r="F209" i="16"/>
  <c r="E209" i="16"/>
  <c r="C209" i="16"/>
  <c r="L208" i="16"/>
  <c r="K208" i="16"/>
  <c r="J208" i="16"/>
  <c r="I208" i="16"/>
  <c r="H208" i="16"/>
  <c r="K207" i="16"/>
  <c r="H207" i="16"/>
  <c r="G207" i="16"/>
  <c r="F207" i="16"/>
  <c r="E207" i="16"/>
  <c r="D207" i="16"/>
  <c r="C207" i="16"/>
  <c r="K206" i="16"/>
  <c r="J206" i="16"/>
  <c r="I206" i="16"/>
  <c r="G200" i="16"/>
  <c r="F200" i="16"/>
  <c r="E200" i="16"/>
  <c r="L198" i="16"/>
  <c r="K198" i="16"/>
  <c r="J198" i="16"/>
  <c r="J223" i="16" s="1"/>
  <c r="I198" i="16"/>
  <c r="H198" i="16"/>
  <c r="G198" i="16"/>
  <c r="G210" i="16" s="1"/>
  <c r="F198" i="16"/>
  <c r="F208" i="16" s="1"/>
  <c r="E198" i="16"/>
  <c r="D198" i="16"/>
  <c r="D206" i="16" s="1"/>
  <c r="C198" i="16"/>
  <c r="C208" i="16" s="1"/>
  <c r="L177" i="16"/>
  <c r="L200" i="16" s="1"/>
  <c r="K177" i="16"/>
  <c r="K200" i="16" s="1"/>
  <c r="J177" i="16"/>
  <c r="J200" i="16" s="1"/>
  <c r="I177" i="16"/>
  <c r="I200" i="16" s="1"/>
  <c r="H177" i="16"/>
  <c r="H200" i="16" s="1"/>
  <c r="G177" i="16"/>
  <c r="F177" i="16"/>
  <c r="E177" i="16"/>
  <c r="D177" i="16"/>
  <c r="C177" i="16"/>
  <c r="L166" i="16"/>
  <c r="K166" i="16"/>
  <c r="J166" i="16"/>
  <c r="I166" i="16"/>
  <c r="H166" i="16"/>
  <c r="G166" i="16"/>
  <c r="F166" i="16"/>
  <c r="E166" i="16"/>
  <c r="D166" i="16"/>
  <c r="Q165" i="16"/>
  <c r="P165" i="16"/>
  <c r="N165" i="16"/>
  <c r="L165" i="16"/>
  <c r="K165" i="16"/>
  <c r="J165" i="16"/>
  <c r="I165" i="16"/>
  <c r="H165" i="16"/>
  <c r="G165" i="16"/>
  <c r="O165" i="16" s="1"/>
  <c r="F165" i="16"/>
  <c r="E165" i="16"/>
  <c r="D165" i="16"/>
  <c r="C165" i="16"/>
  <c r="F151" i="16"/>
  <c r="G150" i="16"/>
  <c r="G151" i="16" s="1"/>
  <c r="F150" i="16"/>
  <c r="E150" i="16"/>
  <c r="E151" i="16" s="1"/>
  <c r="D150" i="16"/>
  <c r="D151" i="16" s="1"/>
  <c r="D154" i="16" s="1"/>
  <c r="C150" i="16"/>
  <c r="C151" i="16" s="1"/>
  <c r="H151" i="16" s="1"/>
  <c r="G144" i="16"/>
  <c r="D144" i="16"/>
  <c r="G143" i="16"/>
  <c r="F143" i="16"/>
  <c r="F144" i="16" s="1"/>
  <c r="F154" i="16" s="1"/>
  <c r="E143" i="16"/>
  <c r="E144" i="16" s="1"/>
  <c r="D143" i="16"/>
  <c r="C143" i="16"/>
  <c r="C144" i="16" s="1"/>
  <c r="E137" i="16"/>
  <c r="C137" i="16"/>
  <c r="G136" i="16"/>
  <c r="G137" i="16" s="1"/>
  <c r="G154" i="16" s="1"/>
  <c r="F136" i="16"/>
  <c r="F137" i="16" s="1"/>
  <c r="E136" i="16"/>
  <c r="D136" i="16"/>
  <c r="D137" i="16" s="1"/>
  <c r="C136" i="16"/>
  <c r="D132" i="16"/>
  <c r="E132" i="16" s="1"/>
  <c r="F132" i="16" s="1"/>
  <c r="G132" i="16" s="1"/>
  <c r="E56" i="16"/>
  <c r="D56" i="16"/>
  <c r="D54" i="16"/>
  <c r="E54" i="16" s="1"/>
  <c r="G54" i="16" s="1"/>
  <c r="H54" i="16" s="1"/>
  <c r="I54" i="16" s="1"/>
  <c r="J54" i="16" s="1"/>
  <c r="K54" i="16" s="1"/>
  <c r="L54" i="16" s="1"/>
  <c r="M54" i="16" s="1"/>
  <c r="N54" i="16" s="1"/>
  <c r="E46" i="16"/>
  <c r="D46" i="16"/>
  <c r="E45" i="16"/>
  <c r="D45" i="16"/>
  <c r="E40" i="16"/>
  <c r="D40" i="16"/>
  <c r="E37" i="16"/>
  <c r="D37" i="16"/>
  <c r="E34" i="16"/>
  <c r="D34" i="16"/>
  <c r="AC28" i="16"/>
  <c r="AD28" i="16" s="1"/>
  <c r="AE28" i="16" s="1"/>
  <c r="AF28" i="16" s="1"/>
  <c r="AG28" i="16" s="1"/>
  <c r="AH28" i="16" s="1"/>
  <c r="AB28" i="16"/>
  <c r="X28" i="16"/>
  <c r="Y28" i="16" s="1"/>
  <c r="Z28" i="16" s="1"/>
  <c r="N9" i="16"/>
  <c r="M9" i="16"/>
  <c r="L9" i="16"/>
  <c r="K9" i="16"/>
  <c r="J9" i="16"/>
  <c r="I9" i="16"/>
  <c r="M8" i="16"/>
  <c r="L8" i="16"/>
  <c r="K8" i="16"/>
  <c r="P8" i="16" s="1"/>
  <c r="J8" i="16"/>
  <c r="I8" i="16"/>
  <c r="Q8" i="16" s="1"/>
  <c r="H8" i="16"/>
  <c r="H9" i="16" s="1"/>
  <c r="G8" i="16"/>
  <c r="G9" i="16" s="1"/>
  <c r="E8" i="16"/>
  <c r="D8" i="16"/>
  <c r="C8" i="16"/>
  <c r="D6" i="16"/>
  <c r="E6" i="16" s="1"/>
  <c r="G6" i="16" s="1"/>
  <c r="H6" i="16" s="1"/>
  <c r="I6" i="16" s="1"/>
  <c r="J6" i="16" s="1"/>
  <c r="K6" i="16" s="1"/>
  <c r="L6" i="16" s="1"/>
  <c r="M6" i="16" s="1"/>
  <c r="N6" i="16" s="1"/>
  <c r="F34" i="17"/>
  <c r="G34" i="17" s="1"/>
  <c r="H34" i="17" s="1"/>
  <c r="I34" i="17" s="1"/>
  <c r="J34" i="17" s="1"/>
  <c r="K34" i="17" s="1"/>
  <c r="L34" i="17" s="1"/>
  <c r="M34" i="17" s="1"/>
  <c r="N26" i="17"/>
  <c r="F26" i="17"/>
  <c r="E26" i="17"/>
  <c r="O26" i="17" s="1"/>
  <c r="U25" i="17"/>
  <c r="V25" i="17" s="1"/>
  <c r="W25" i="17" s="1"/>
  <c r="X25" i="17" s="1"/>
  <c r="Y25" i="17" s="1"/>
  <c r="Z25" i="17" s="1"/>
  <c r="AA25" i="17" s="1"/>
  <c r="AB25" i="17" s="1"/>
  <c r="AC25" i="17" s="1"/>
  <c r="T25" i="17"/>
  <c r="O23" i="17"/>
  <c r="G23" i="17"/>
  <c r="G26" i="17" s="1"/>
  <c r="O22" i="17"/>
  <c r="H22" i="17"/>
  <c r="I22" i="17" s="1"/>
  <c r="F21" i="17"/>
  <c r="G21" i="17" s="1"/>
  <c r="H21" i="17" s="1"/>
  <c r="I21" i="17" s="1"/>
  <c r="J21" i="17" s="1"/>
  <c r="K21" i="17" s="1"/>
  <c r="L21" i="17" s="1"/>
  <c r="M21" i="17" s="1"/>
  <c r="N21" i="17" s="1"/>
  <c r="E21" i="17"/>
  <c r="G12" i="17"/>
  <c r="H11" i="17"/>
  <c r="H12" i="17" s="1"/>
  <c r="G11" i="17"/>
  <c r="F11" i="17"/>
  <c r="F12" i="17" s="1"/>
  <c r="N8" i="17"/>
  <c r="H8" i="17"/>
  <c r="H9" i="17" s="1"/>
  <c r="F6" i="17"/>
  <c r="N5" i="17"/>
  <c r="N14" i="17" s="1"/>
  <c r="F5" i="17"/>
  <c r="G5" i="17" s="1"/>
  <c r="G6" i="17" s="1"/>
  <c r="F4" i="17"/>
  <c r="G4" i="17" s="1"/>
  <c r="H4" i="17" s="1"/>
  <c r="I4" i="17" s="1"/>
  <c r="J4" i="17" s="1"/>
  <c r="K4" i="17" s="1"/>
  <c r="L4" i="17" s="1"/>
  <c r="M4" i="17" s="1"/>
  <c r="H144" i="16" l="1"/>
  <c r="H154" i="16"/>
  <c r="E9" i="16"/>
  <c r="E154" i="16"/>
  <c r="C21" i="7"/>
  <c r="C19" i="7"/>
  <c r="C20" i="7"/>
  <c r="D19" i="7"/>
  <c r="D21" i="7"/>
  <c r="D20" i="7"/>
  <c r="O209" i="16"/>
  <c r="I65" i="7"/>
  <c r="I64" i="7"/>
  <c r="I63" i="7"/>
  <c r="K48" i="8"/>
  <c r="E731" i="16"/>
  <c r="E729" i="16"/>
  <c r="E735" i="16"/>
  <c r="I26" i="17"/>
  <c r="J22" i="17"/>
  <c r="E19" i="7"/>
  <c r="E20" i="7"/>
  <c r="E21" i="7"/>
  <c r="N233" i="16"/>
  <c r="H683" i="16"/>
  <c r="H678" i="16"/>
  <c r="H738" i="16"/>
  <c r="I11" i="17"/>
  <c r="C154" i="16"/>
  <c r="F7" i="24"/>
  <c r="E46" i="7"/>
  <c r="G32" i="8"/>
  <c r="E45" i="7"/>
  <c r="E47" i="7"/>
  <c r="D9" i="16"/>
  <c r="S8" i="16"/>
  <c r="J347" i="16"/>
  <c r="J341" i="16"/>
  <c r="J684" i="16"/>
  <c r="J348" i="16"/>
  <c r="J350" i="16" s="1"/>
  <c r="J357" i="16" s="1"/>
  <c r="H137" i="16"/>
  <c r="J47" i="8"/>
  <c r="J23" i="9" s="1"/>
  <c r="J247" i="16"/>
  <c r="J249" i="16" s="1"/>
  <c r="G19" i="7"/>
  <c r="G20" i="7"/>
  <c r="G21" i="7"/>
  <c r="N242" i="16"/>
  <c r="O242" i="16"/>
  <c r="H19" i="7"/>
  <c r="H20" i="7"/>
  <c r="H21" i="7"/>
  <c r="J47" i="7"/>
  <c r="J45" i="7"/>
  <c r="J46" i="7"/>
  <c r="L47" i="8"/>
  <c r="L247" i="16"/>
  <c r="L249" i="16" s="1"/>
  <c r="C40" i="7"/>
  <c r="C39" i="7"/>
  <c r="E27" i="8"/>
  <c r="C41" i="7"/>
  <c r="D59" i="7"/>
  <c r="D57" i="7"/>
  <c r="F42" i="8"/>
  <c r="D58" i="7"/>
  <c r="O244" i="16"/>
  <c r="C219" i="16"/>
  <c r="G455" i="16"/>
  <c r="G451" i="16"/>
  <c r="G448" i="16"/>
  <c r="E222" i="16"/>
  <c r="E218" i="16"/>
  <c r="E214" i="16"/>
  <c r="E210" i="16"/>
  <c r="E206" i="16"/>
  <c r="E221" i="16"/>
  <c r="H59" i="7"/>
  <c r="H57" i="7"/>
  <c r="J42" i="8"/>
  <c r="H58" i="7"/>
  <c r="E281" i="16"/>
  <c r="N654" i="16"/>
  <c r="M654" i="16"/>
  <c r="E223" i="16"/>
  <c r="J41" i="7"/>
  <c r="J42" i="7" s="1"/>
  <c r="L27" i="8" s="1"/>
  <c r="J40" i="7"/>
  <c r="J39" i="7"/>
  <c r="I448" i="16"/>
  <c r="H5" i="17"/>
  <c r="G219" i="16"/>
  <c r="G221" i="16"/>
  <c r="F223" i="16"/>
  <c r="E236" i="16"/>
  <c r="E242" i="16"/>
  <c r="E245" i="16"/>
  <c r="E239" i="16"/>
  <c r="O239" i="16" s="1"/>
  <c r="J57" i="7"/>
  <c r="J59" i="7"/>
  <c r="J58" i="7"/>
  <c r="L245" i="16"/>
  <c r="J681" i="16"/>
  <c r="J455" i="16"/>
  <c r="J451" i="16"/>
  <c r="K448" i="16"/>
  <c r="J448" i="16"/>
  <c r="I678" i="16"/>
  <c r="I683" i="16"/>
  <c r="H23" i="17"/>
  <c r="I23" i="17" s="1"/>
  <c r="J23" i="17" s="1"/>
  <c r="K23" i="17" s="1"/>
  <c r="R8" i="16"/>
  <c r="H225" i="16"/>
  <c r="H220" i="16"/>
  <c r="H216" i="16"/>
  <c r="H212" i="16"/>
  <c r="H221" i="16"/>
  <c r="H217" i="16"/>
  <c r="H213" i="16"/>
  <c r="H209" i="16"/>
  <c r="H222" i="16"/>
  <c r="H218" i="16"/>
  <c r="H214" i="16"/>
  <c r="H210" i="16"/>
  <c r="H206" i="16"/>
  <c r="H219" i="16"/>
  <c r="G223" i="16"/>
  <c r="D53" i="7"/>
  <c r="D52" i="7"/>
  <c r="F37" i="8"/>
  <c r="D51" i="7"/>
  <c r="H275" i="16"/>
  <c r="H278" i="16"/>
  <c r="P266" i="16"/>
  <c r="H279" i="16"/>
  <c r="H277" i="16"/>
  <c r="H274" i="16"/>
  <c r="K678" i="16"/>
  <c r="K683" i="16"/>
  <c r="K738" i="16"/>
  <c r="K741" i="16" s="1"/>
  <c r="F199" i="8"/>
  <c r="H26" i="17"/>
  <c r="I223" i="16"/>
  <c r="I219" i="16"/>
  <c r="I215" i="16"/>
  <c r="I211" i="16"/>
  <c r="N211" i="16" s="1"/>
  <c r="I207" i="16"/>
  <c r="O207" i="16" s="1"/>
  <c r="G206" i="16"/>
  <c r="E208" i="16"/>
  <c r="H223" i="16"/>
  <c r="E53" i="7"/>
  <c r="E52" i="7"/>
  <c r="G37" i="8"/>
  <c r="E51" i="7"/>
  <c r="H239" i="16"/>
  <c r="N244" i="16"/>
  <c r="I278" i="16"/>
  <c r="I276" i="16"/>
  <c r="I274" i="16"/>
  <c r="I277" i="16"/>
  <c r="I275" i="16"/>
  <c r="F484" i="16"/>
  <c r="F46" i="7"/>
  <c r="H32" i="8"/>
  <c r="F45" i="7"/>
  <c r="F47" i="7"/>
  <c r="M425" i="16"/>
  <c r="N344" i="16"/>
  <c r="M344" i="16"/>
  <c r="I8" i="17"/>
  <c r="J21" i="7"/>
  <c r="J19" i="7"/>
  <c r="J20" i="7"/>
  <c r="C206" i="16"/>
  <c r="C200" i="16"/>
  <c r="C215" i="16"/>
  <c r="C217" i="16"/>
  <c r="E59" i="7"/>
  <c r="E57" i="7"/>
  <c r="G42" i="8"/>
  <c r="E58" i="7"/>
  <c r="F455" i="16"/>
  <c r="F451" i="16"/>
  <c r="F448" i="16"/>
  <c r="F681" i="16"/>
  <c r="K482" i="16"/>
  <c r="K475" i="16"/>
  <c r="K480" i="16"/>
  <c r="K478" i="16"/>
  <c r="K476" i="16"/>
  <c r="K479" i="16"/>
  <c r="K481" i="16"/>
  <c r="K477" i="16"/>
  <c r="D740" i="16"/>
  <c r="E727" i="16"/>
  <c r="D727" i="16"/>
  <c r="D223" i="16"/>
  <c r="D219" i="16"/>
  <c r="D215" i="16"/>
  <c r="D211" i="16"/>
  <c r="O211" i="16" s="1"/>
  <c r="D225" i="16"/>
  <c r="D220" i="16"/>
  <c r="D216" i="16"/>
  <c r="D212" i="16"/>
  <c r="D208" i="16"/>
  <c r="O208" i="16" s="1"/>
  <c r="D221" i="16"/>
  <c r="D217" i="16"/>
  <c r="D213" i="16"/>
  <c r="O213" i="16" s="1"/>
  <c r="D209" i="16"/>
  <c r="N209" i="16" s="1"/>
  <c r="C221" i="16"/>
  <c r="F59" i="7"/>
  <c r="F57" i="7"/>
  <c r="F58" i="7"/>
  <c r="H42" i="8"/>
  <c r="E219" i="16"/>
  <c r="H39" i="7"/>
  <c r="J27" i="8"/>
  <c r="H41" i="7"/>
  <c r="H40" i="7"/>
  <c r="J245" i="16"/>
  <c r="H448" i="16"/>
  <c r="H450" i="16"/>
  <c r="H455" i="16"/>
  <c r="H451" i="16"/>
  <c r="N656" i="16"/>
  <c r="M656" i="16"/>
  <c r="G681" i="16"/>
  <c r="F221" i="16"/>
  <c r="I57" i="7"/>
  <c r="I59" i="7"/>
  <c r="K42" i="8"/>
  <c r="I58" i="7"/>
  <c r="G275" i="16"/>
  <c r="G281" i="16" s="1"/>
  <c r="G278" i="16"/>
  <c r="G276" i="16"/>
  <c r="G279" i="16"/>
  <c r="G277" i="16"/>
  <c r="C210" i="16"/>
  <c r="C212" i="16"/>
  <c r="F40" i="7"/>
  <c r="F39" i="7"/>
  <c r="H27" i="8"/>
  <c r="F41" i="7"/>
  <c r="G53" i="7"/>
  <c r="G51" i="7"/>
  <c r="G52" i="7"/>
  <c r="I37" i="8"/>
  <c r="C619" i="16"/>
  <c r="I738" i="16"/>
  <c r="I741" i="16" s="1"/>
  <c r="L14" i="29"/>
  <c r="F19" i="7"/>
  <c r="F20" i="7"/>
  <c r="F21" i="7"/>
  <c r="K47" i="8"/>
  <c r="K23" i="9" s="1"/>
  <c r="L22" i="11" s="1"/>
  <c r="K247" i="16"/>
  <c r="K249" i="16" s="1"/>
  <c r="L348" i="16"/>
  <c r="L350" i="16" s="1"/>
  <c r="L347" i="16"/>
  <c r="L341" i="16"/>
  <c r="G729" i="16"/>
  <c r="E40" i="7"/>
  <c r="E39" i="7"/>
  <c r="G27" i="8"/>
  <c r="E41" i="7"/>
  <c r="G86" i="24"/>
  <c r="G85" i="24"/>
  <c r="C223" i="16"/>
  <c r="F222" i="16"/>
  <c r="F218" i="16"/>
  <c r="F214" i="16"/>
  <c r="F210" i="16"/>
  <c r="F206" i="16"/>
  <c r="F219" i="16"/>
  <c r="G208" i="16"/>
  <c r="D210" i="16"/>
  <c r="E212" i="16"/>
  <c r="C214" i="16"/>
  <c r="C216" i="16"/>
  <c r="I242" i="16"/>
  <c r="I233" i="16"/>
  <c r="N236" i="16"/>
  <c r="H53" i="7"/>
  <c r="H51" i="7"/>
  <c r="H52" i="7"/>
  <c r="J37" i="8"/>
  <c r="F47" i="8"/>
  <c r="F23" i="9" s="1"/>
  <c r="F245" i="16"/>
  <c r="K278" i="16"/>
  <c r="K276" i="16"/>
  <c r="K274" i="16"/>
  <c r="K281" i="16" s="1"/>
  <c r="K275" i="16"/>
  <c r="I301" i="16"/>
  <c r="I305" i="16" s="1"/>
  <c r="J444" i="16"/>
  <c r="J450" i="16"/>
  <c r="F450" i="16"/>
  <c r="C484" i="16"/>
  <c r="I20" i="7"/>
  <c r="I21" i="7"/>
  <c r="I19" i="7"/>
  <c r="D40" i="7"/>
  <c r="D39" i="7"/>
  <c r="F27" i="8"/>
  <c r="D41" i="7"/>
  <c r="L221" i="16"/>
  <c r="L217" i="16"/>
  <c r="L213" i="16"/>
  <c r="L209" i="16"/>
  <c r="L222" i="16"/>
  <c r="L218" i="16"/>
  <c r="L214" i="16"/>
  <c r="L210" i="16"/>
  <c r="L206" i="16"/>
  <c r="L223" i="16"/>
  <c r="L219" i="16"/>
  <c r="L215" i="16"/>
  <c r="L211" i="16"/>
  <c r="L207" i="16"/>
  <c r="F212" i="16"/>
  <c r="D214" i="16"/>
  <c r="E216" i="16"/>
  <c r="C218" i="16"/>
  <c r="C220" i="16"/>
  <c r="H47" i="7"/>
  <c r="H45" i="7"/>
  <c r="H46" i="7"/>
  <c r="J32" i="8"/>
  <c r="G47" i="8"/>
  <c r="G23" i="9" s="1"/>
  <c r="H22" i="11" s="1"/>
  <c r="G245" i="16"/>
  <c r="F247" i="16"/>
  <c r="F249" i="16" s="1"/>
  <c r="O249" i="16" s="1"/>
  <c r="K301" i="16"/>
  <c r="K305" i="16" s="1"/>
  <c r="H347" i="16"/>
  <c r="H341" i="16"/>
  <c r="K450" i="16"/>
  <c r="K444" i="16"/>
  <c r="G450" i="16"/>
  <c r="K474" i="16"/>
  <c r="G46" i="7"/>
  <c r="I32" i="8"/>
  <c r="G45" i="7"/>
  <c r="G47" i="7"/>
  <c r="J300" i="16"/>
  <c r="J304" i="16" s="1"/>
  <c r="J301" i="16"/>
  <c r="J305" i="16" s="1"/>
  <c r="M595" i="16"/>
  <c r="C631" i="16"/>
  <c r="M593" i="16"/>
  <c r="L594" i="16"/>
  <c r="D200" i="16"/>
  <c r="F216" i="16"/>
  <c r="D218" i="16"/>
  <c r="E220" i="16"/>
  <c r="C222" i="16"/>
  <c r="C225" i="16"/>
  <c r="K233" i="16"/>
  <c r="K236" i="16"/>
  <c r="K239" i="16"/>
  <c r="D46" i="7"/>
  <c r="F32" i="8"/>
  <c r="D45" i="7"/>
  <c r="D47" i="7"/>
  <c r="H47" i="8"/>
  <c r="H23" i="9" s="1"/>
  <c r="I22" i="11" s="1"/>
  <c r="H245" i="16"/>
  <c r="I347" i="16"/>
  <c r="I341" i="16"/>
  <c r="I348" i="16"/>
  <c r="I350" i="16" s="1"/>
  <c r="I357" i="16" s="1"/>
  <c r="N655" i="16"/>
  <c r="D741" i="16"/>
  <c r="D729" i="16"/>
  <c r="J53" i="7"/>
  <c r="J51" i="7"/>
  <c r="C270" i="16"/>
  <c r="K341" i="16"/>
  <c r="K347" i="16"/>
  <c r="C620" i="16"/>
  <c r="C650" i="16"/>
  <c r="C658" i="16" s="1"/>
  <c r="G47" i="24"/>
  <c r="H166" i="8"/>
  <c r="H179" i="8" s="1"/>
  <c r="H181" i="8" s="1"/>
  <c r="H198" i="8"/>
  <c r="H199" i="8" s="1"/>
  <c r="I102" i="8"/>
  <c r="I66" i="9"/>
  <c r="I67" i="9" s="1"/>
  <c r="I69" i="9" s="1"/>
  <c r="J44" i="11" s="1"/>
  <c r="J207" i="16"/>
  <c r="J211" i="16"/>
  <c r="J215" i="16"/>
  <c r="J219" i="16"/>
  <c r="D270" i="16"/>
  <c r="C274" i="16"/>
  <c r="J275" i="16"/>
  <c r="F279" i="16"/>
  <c r="I451" i="16"/>
  <c r="I455" i="16"/>
  <c r="G474" i="16"/>
  <c r="D684" i="16"/>
  <c r="I88" i="24" a="1"/>
  <c r="I88" i="24" s="1"/>
  <c r="H70" i="24" a="1"/>
  <c r="H70" i="24" s="1"/>
  <c r="I50" i="24" a="1"/>
  <c r="I50" i="24" s="1"/>
  <c r="H88" i="24" a="1"/>
  <c r="H88" i="24" s="1"/>
  <c r="G70" i="24" a="1"/>
  <c r="G70" i="24" s="1"/>
  <c r="H50" i="24" a="1"/>
  <c r="H50" i="24" s="1"/>
  <c r="G88" i="24" a="1"/>
  <c r="G88" i="24" s="1"/>
  <c r="G49" i="24" a="1"/>
  <c r="G49" i="24" s="1"/>
  <c r="I69" i="24" a="1"/>
  <c r="I69" i="24" s="1"/>
  <c r="Q21" i="7"/>
  <c r="K68" i="7"/>
  <c r="M48" i="8"/>
  <c r="M47" i="8" s="1"/>
  <c r="H173" i="8"/>
  <c r="H175" i="8" s="1"/>
  <c r="L210" i="8"/>
  <c r="E270" i="16"/>
  <c r="D274" i="16"/>
  <c r="D281" i="16" s="1"/>
  <c r="D348" i="16"/>
  <c r="C450" i="16"/>
  <c r="H474" i="16"/>
  <c r="H484" i="16" s="1"/>
  <c r="E681" i="16"/>
  <c r="E684" i="16"/>
  <c r="C738" i="16"/>
  <c r="C741" i="16" s="1"/>
  <c r="G89" i="24" a="1"/>
  <c r="G89" i="24" s="1"/>
  <c r="L68" i="7"/>
  <c r="N48" i="8"/>
  <c r="M69" i="8"/>
  <c r="M70" i="8" s="1"/>
  <c r="L215" i="8"/>
  <c r="G199" i="8"/>
  <c r="L11" i="29"/>
  <c r="I245" i="16"/>
  <c r="F270" i="16"/>
  <c r="C276" i="16"/>
  <c r="J277" i="16"/>
  <c r="G476" i="16"/>
  <c r="J69" i="24" a="1"/>
  <c r="J69" i="24" s="1"/>
  <c r="M77" i="8"/>
  <c r="M78" i="8"/>
  <c r="M79" i="8" s="1"/>
  <c r="M6" i="33"/>
  <c r="K6" i="33"/>
  <c r="L6" i="33" s="1"/>
  <c r="H89" i="24" a="1"/>
  <c r="H89" i="24" s="1"/>
  <c r="L111" i="8"/>
  <c r="L120" i="8"/>
  <c r="F15" i="9"/>
  <c r="F16" i="9" s="1"/>
  <c r="I49" i="24" a="1"/>
  <c r="I49" i="24" s="1"/>
  <c r="M29" i="7"/>
  <c r="M41" i="8"/>
  <c r="M22" i="9" s="1"/>
  <c r="J97" i="8"/>
  <c r="J199" i="8"/>
  <c r="H234" i="8"/>
  <c r="J70" i="24" a="1"/>
  <c r="J70" i="24" s="1"/>
  <c r="I89" i="24" a="1"/>
  <c r="I89" i="24" s="1"/>
  <c r="S68" i="7"/>
  <c r="U27" i="8"/>
  <c r="Q61" i="8"/>
  <c r="H13" i="9"/>
  <c r="I13" i="11" s="1"/>
  <c r="L61" i="20"/>
  <c r="L65" i="20" s="1"/>
  <c r="J270" i="16"/>
  <c r="C740" i="16"/>
  <c r="F729" i="16"/>
  <c r="J49" i="24" a="1"/>
  <c r="J49" i="24" s="1"/>
  <c r="J186" i="8"/>
  <c r="G25" i="10" s="1"/>
  <c r="AE18" i="30"/>
  <c r="J89" i="24" a="1"/>
  <c r="J89" i="24" s="1"/>
  <c r="F65" i="9"/>
  <c r="F92" i="8"/>
  <c r="K97" i="8"/>
  <c r="L17" i="29"/>
  <c r="AF18" i="30"/>
  <c r="D341" i="16"/>
  <c r="K348" i="16"/>
  <c r="K350" i="16" s="1"/>
  <c r="K357" i="16" s="1"/>
  <c r="J480" i="16"/>
  <c r="M660" i="16"/>
  <c r="C678" i="16"/>
  <c r="H741" i="16"/>
  <c r="H729" i="16"/>
  <c r="G50" i="24" a="1"/>
  <c r="G50" i="24" s="1"/>
  <c r="I85" i="24"/>
  <c r="G65" i="9"/>
  <c r="G67" i="9" s="1"/>
  <c r="G92" i="8"/>
  <c r="L97" i="8"/>
  <c r="F228" i="8"/>
  <c r="J61" i="20"/>
  <c r="J65" i="20" s="1"/>
  <c r="C275" i="16"/>
  <c r="J276" i="16"/>
  <c r="J281" i="16" s="1"/>
  <c r="K289" i="16"/>
  <c r="E341" i="16"/>
  <c r="E347" i="16"/>
  <c r="D448" i="16"/>
  <c r="G475" i="16"/>
  <c r="E477" i="16"/>
  <c r="C479" i="16"/>
  <c r="D678" i="16"/>
  <c r="F727" i="16"/>
  <c r="G828" i="16"/>
  <c r="G46" i="24"/>
  <c r="J50" i="24" a="1"/>
  <c r="J50" i="24" s="1"/>
  <c r="L125" i="8"/>
  <c r="M62" i="8"/>
  <c r="N62" i="8" s="1"/>
  <c r="O62" i="8" s="1"/>
  <c r="P62" i="8" s="1"/>
  <c r="Q62" i="8" s="1"/>
  <c r="H65" i="9"/>
  <c r="H92" i="8"/>
  <c r="K54" i="9"/>
  <c r="H19" i="10" s="1"/>
  <c r="H79" i="10" s="1"/>
  <c r="K61" i="20"/>
  <c r="K65" i="20" s="1"/>
  <c r="Q266" i="16"/>
  <c r="D275" i="16"/>
  <c r="E448" i="16"/>
  <c r="H475" i="16"/>
  <c r="M662" i="16"/>
  <c r="H11" i="24"/>
  <c r="J52" i="7"/>
  <c r="J176" i="8"/>
  <c r="G23" i="10" s="1"/>
  <c r="G26" i="10" s="1"/>
  <c r="M13" i="9"/>
  <c r="J53" i="10" s="1"/>
  <c r="J57" i="10" s="1"/>
  <c r="J70" i="10" s="1"/>
  <c r="AF5" i="30"/>
  <c r="AG5" i="30" s="1"/>
  <c r="AH5" i="30" s="1"/>
  <c r="AD5" i="30"/>
  <c r="AE5" i="30" s="1"/>
  <c r="AI5" i="30"/>
  <c r="AJ5" i="30" s="1"/>
  <c r="AK5" i="30" s="1"/>
  <c r="R266" i="16"/>
  <c r="E275" i="16"/>
  <c r="C277" i="16"/>
  <c r="C291" i="16"/>
  <c r="G341" i="16"/>
  <c r="D451" i="16"/>
  <c r="I475" i="16"/>
  <c r="I484" i="16" s="1"/>
  <c r="G477" i="16"/>
  <c r="E479" i="16"/>
  <c r="H740" i="16"/>
  <c r="H727" i="16"/>
  <c r="I740" i="16"/>
  <c r="G66" i="24"/>
  <c r="M61" i="20"/>
  <c r="M65" i="20" s="1"/>
  <c r="F275" i="16"/>
  <c r="F281" i="16" s="1"/>
  <c r="D277" i="16"/>
  <c r="D291" i="16"/>
  <c r="E451" i="16"/>
  <c r="J475" i="16"/>
  <c r="H477" i="16"/>
  <c r="G479" i="16"/>
  <c r="H481" i="16"/>
  <c r="G69" i="24" a="1"/>
  <c r="G69" i="24" s="1"/>
  <c r="L208" i="8"/>
  <c r="E233" i="8"/>
  <c r="E234" i="8" s="1"/>
  <c r="J64" i="9"/>
  <c r="AD15" i="30"/>
  <c r="E291" i="16"/>
  <c r="D484" i="16"/>
  <c r="I477" i="16"/>
  <c r="I481" i="16"/>
  <c r="J734" i="16"/>
  <c r="F166" i="8"/>
  <c r="F179" i="8" s="1"/>
  <c r="F198" i="8"/>
  <c r="E173" i="8"/>
  <c r="F481" i="16"/>
  <c r="F479" i="16"/>
  <c r="E484" i="16"/>
  <c r="J477" i="16"/>
  <c r="J484" i="16" s="1"/>
  <c r="H587" i="16"/>
  <c r="I587" i="16" s="1"/>
  <c r="K740" i="16"/>
  <c r="H69" i="24" a="1"/>
  <c r="H69" i="24" s="1"/>
  <c r="R68" i="7"/>
  <c r="G166" i="8"/>
  <c r="G179" i="8" s="1"/>
  <c r="G198" i="8"/>
  <c r="H102" i="8"/>
  <c r="H66" i="9"/>
  <c r="G168" i="8"/>
  <c r="E202" i="8"/>
  <c r="E204" i="8" s="1"/>
  <c r="G233" i="8"/>
  <c r="G235" i="8" s="1"/>
  <c r="F18" i="18"/>
  <c r="F21" i="18" s="1"/>
  <c r="K199" i="8"/>
  <c r="F186" i="8"/>
  <c r="K7" i="33"/>
  <c r="L7" i="33" s="1"/>
  <c r="G18" i="18"/>
  <c r="G21" i="18" s="1"/>
  <c r="K24" i="18"/>
  <c r="E828" i="16"/>
  <c r="M26" i="8"/>
  <c r="M19" i="9" s="1"/>
  <c r="N18" i="11" s="1"/>
  <c r="M96" i="8"/>
  <c r="N96" i="8" s="1"/>
  <c r="AG9" i="30"/>
  <c r="AI18" i="30"/>
  <c r="H18" i="18"/>
  <c r="H21" i="18" s="1"/>
  <c r="L24" i="18"/>
  <c r="F26" i="18"/>
  <c r="D30" i="19"/>
  <c r="F828" i="16"/>
  <c r="I198" i="8"/>
  <c r="I199" i="8" s="1"/>
  <c r="AE15" i="30"/>
  <c r="I18" i="18"/>
  <c r="I21" i="18" s="1"/>
  <c r="G26" i="18"/>
  <c r="E181" i="8"/>
  <c r="I98" i="19"/>
  <c r="M31" i="8"/>
  <c r="M20" i="9" s="1"/>
  <c r="N19" i="11" s="1"/>
  <c r="AF15" i="30"/>
  <c r="J18" i="18"/>
  <c r="J21" i="18" s="1"/>
  <c r="H26" i="18"/>
  <c r="F181" i="8"/>
  <c r="J98" i="19"/>
  <c r="K4" i="33"/>
  <c r="L4" i="33" s="1"/>
  <c r="K8" i="33"/>
  <c r="L8" i="33" s="1"/>
  <c r="W5" i="30"/>
  <c r="X5" i="30" s="1"/>
  <c r="AE17" i="30"/>
  <c r="K18" i="18"/>
  <c r="K21" i="18" s="1"/>
  <c r="I26" i="18"/>
  <c r="AH15" i="30"/>
  <c r="AF17" i="30"/>
  <c r="C26" i="30"/>
  <c r="L18" i="18"/>
  <c r="L21" i="18" s="1"/>
  <c r="J26" i="18"/>
  <c r="Y5" i="30"/>
  <c r="Z5" i="30" s="1"/>
  <c r="AA5" i="30" s="1"/>
  <c r="AI15" i="30"/>
  <c r="M18" i="18"/>
  <c r="M21" i="18" s="1"/>
  <c r="F25" i="18"/>
  <c r="K26" i="18"/>
  <c r="M98" i="19"/>
  <c r="AC13" i="30"/>
  <c r="AJ15" i="30"/>
  <c r="AH17" i="30"/>
  <c r="L26" i="18"/>
  <c r="L132" i="19"/>
  <c r="L135" i="19" s="1"/>
  <c r="L137" i="19" s="1"/>
  <c r="K5" i="33"/>
  <c r="L5" i="33" s="1"/>
  <c r="G4" i="31"/>
  <c r="J4" i="31" s="1"/>
  <c r="K4" i="31" s="1"/>
  <c r="G6" i="31"/>
  <c r="J6" i="31" s="1"/>
  <c r="K6" i="31" s="1"/>
  <c r="G8" i="31"/>
  <c r="J8" i="31" s="1"/>
  <c r="K8" i="31" s="1"/>
  <c r="G10" i="31"/>
  <c r="J10" i="31" s="1"/>
  <c r="K10" i="31" s="1"/>
  <c r="G12" i="31"/>
  <c r="J12" i="31" s="1"/>
  <c r="K12" i="31" s="1"/>
  <c r="G14" i="31"/>
  <c r="J14" i="31" s="1"/>
  <c r="K14" i="31" s="1"/>
  <c r="G16" i="31"/>
  <c r="J16" i="31" s="1"/>
  <c r="K16" i="31" s="1"/>
  <c r="G18" i="31"/>
  <c r="J18" i="31" s="1"/>
  <c r="K18" i="31" s="1"/>
  <c r="G20" i="31"/>
  <c r="J20" i="31" s="1"/>
  <c r="K20" i="31" s="1"/>
  <c r="G22" i="31"/>
  <c r="J22" i="31" s="1"/>
  <c r="K22" i="31" s="1"/>
  <c r="G24" i="31"/>
  <c r="J24" i="31" s="1"/>
  <c r="K24" i="31" s="1"/>
  <c r="G26" i="31"/>
  <c r="J26" i="31" s="1"/>
  <c r="K26" i="31" s="1"/>
  <c r="G28" i="31"/>
  <c r="J28" i="31" s="1"/>
  <c r="K28" i="31" s="1"/>
  <c r="G30" i="31"/>
  <c r="J30" i="31" s="1"/>
  <c r="K30" i="31" s="1"/>
  <c r="G32" i="31"/>
  <c r="J32" i="31" s="1"/>
  <c r="K32" i="31" s="1"/>
  <c r="G34" i="31"/>
  <c r="J34" i="31" s="1"/>
  <c r="K34" i="31" s="1"/>
  <c r="G36" i="31"/>
  <c r="J36" i="31" s="1"/>
  <c r="K36" i="31" s="1"/>
  <c r="G38" i="31"/>
  <c r="J38" i="31" s="1"/>
  <c r="K38" i="31" s="1"/>
  <c r="AD13" i="30"/>
  <c r="AD17" i="30" s="1"/>
  <c r="AK15" i="30"/>
  <c r="C24" i="18"/>
  <c r="M26" i="18"/>
  <c r="AE13" i="30"/>
  <c r="D24" i="18"/>
  <c r="I25" i="18"/>
  <c r="AF13" i="30"/>
  <c r="F98" i="19"/>
  <c r="AG13" i="30"/>
  <c r="AE16" i="30"/>
  <c r="AF16" i="30"/>
  <c r="C18" i="18"/>
  <c r="C21" i="18" s="1"/>
  <c r="C56" i="16" s="1"/>
  <c r="AC9" i="30"/>
  <c r="AC12" i="30"/>
  <c r="M57" i="18"/>
  <c r="M59" i="18" s="1"/>
  <c r="M63" i="18" s="1"/>
  <c r="N47" i="8"/>
  <c r="Q68" i="7"/>
  <c r="N41" i="8"/>
  <c r="N22" i="9" s="1"/>
  <c r="T32" i="8"/>
  <c r="M68" i="7"/>
  <c r="M19" i="8"/>
  <c r="M198" i="8"/>
  <c r="M197" i="8" s="1"/>
  <c r="N68" i="7"/>
  <c r="N14" i="8"/>
  <c r="N36" i="8" s="1"/>
  <c r="N21" i="9" s="1"/>
  <c r="O68" i="7"/>
  <c r="M166" i="8"/>
  <c r="M179" i="8" s="1"/>
  <c r="M180" i="8" s="1"/>
  <c r="M56" i="9" s="1"/>
  <c r="M248" i="8"/>
  <c r="M249" i="8" s="1"/>
  <c r="M33" i="9" s="1"/>
  <c r="M136" i="8" s="1"/>
  <c r="P68" i="7"/>
  <c r="M158" i="8"/>
  <c r="M210" i="8" s="1"/>
  <c r="M26" i="11"/>
  <c r="L135" i="8"/>
  <c r="F14" i="11"/>
  <c r="F15" i="11" s="1"/>
  <c r="F33" i="11"/>
  <c r="F19" i="11"/>
  <c r="F37" i="11"/>
  <c r="F8" i="12"/>
  <c r="J825" i="16"/>
  <c r="F30" i="11"/>
  <c r="F131" i="9"/>
  <c r="J8" i="12"/>
  <c r="G21" i="11"/>
  <c r="H14" i="11"/>
  <c r="H15" i="11" s="1"/>
  <c r="H33" i="11"/>
  <c r="H19" i="11"/>
  <c r="F202" i="8"/>
  <c r="F204" i="8" s="1"/>
  <c r="G202" i="8"/>
  <c r="L37" i="11"/>
  <c r="G22" i="11"/>
  <c r="G19" i="11"/>
  <c r="K123" i="9"/>
  <c r="G26" i="11"/>
  <c r="G31" i="11"/>
  <c r="H26" i="11"/>
  <c r="H31" i="11"/>
  <c r="G33" i="11"/>
  <c r="G131" i="9"/>
  <c r="G30" i="10"/>
  <c r="G34" i="10" s="1"/>
  <c r="G84" i="10" s="1"/>
  <c r="G13" i="11"/>
  <c r="I31" i="11"/>
  <c r="J31" i="11"/>
  <c r="I33" i="11"/>
  <c r="G18" i="11"/>
  <c r="J33" i="11"/>
  <c r="J202" i="8"/>
  <c r="J204" i="8" s="1"/>
  <c r="H18" i="11"/>
  <c r="L31" i="11"/>
  <c r="K33" i="11"/>
  <c r="K31" i="11"/>
  <c r="H21" i="11"/>
  <c r="L33" i="11"/>
  <c r="K37" i="11"/>
  <c r="G30" i="11"/>
  <c r="H30" i="11"/>
  <c r="H142" i="9"/>
  <c r="I142" i="9"/>
  <c r="I105" i="9"/>
  <c r="L123" i="9"/>
  <c r="F26" i="11"/>
  <c r="F31" i="11"/>
  <c r="L142" i="9"/>
  <c r="H8" i="9"/>
  <c r="H8" i="12" s="1"/>
  <c r="G8" i="12"/>
  <c r="I14" i="11"/>
  <c r="I15" i="11" s="1"/>
  <c r="I15" i="9"/>
  <c r="I16" i="9" s="1"/>
  <c r="I107" i="9"/>
  <c r="H49" i="10"/>
  <c r="F22" i="12"/>
  <c r="K202" i="8"/>
  <c r="K204" i="8" s="1"/>
  <c r="L204" i="8" s="1"/>
  <c r="M204" i="8" s="1"/>
  <c r="K107" i="9"/>
  <c r="E131" i="9"/>
  <c r="G22" i="12"/>
  <c r="I19" i="11"/>
  <c r="L131" i="9"/>
  <c r="J19" i="11"/>
  <c r="J108" i="9"/>
  <c r="J131" i="9"/>
  <c r="K21" i="11"/>
  <c r="I106" i="9"/>
  <c r="I21" i="11"/>
  <c r="L14" i="11"/>
  <c r="J105" i="9"/>
  <c r="I108" i="9"/>
  <c r="I131" i="9"/>
  <c r="H131" i="9"/>
  <c r="J18" i="11"/>
  <c r="L19" i="11"/>
  <c r="K108" i="9"/>
  <c r="K131" i="9"/>
  <c r="G37" i="11"/>
  <c r="K14" i="12"/>
  <c r="M19" i="11"/>
  <c r="M37" i="11"/>
  <c r="J103" i="9"/>
  <c r="I26" i="11"/>
  <c r="H37" i="11"/>
  <c r="J16" i="12"/>
  <c r="J830" i="16"/>
  <c r="L18" i="11"/>
  <c r="I104" i="9"/>
  <c r="J26" i="11"/>
  <c r="I37" i="11"/>
  <c r="K16" i="12"/>
  <c r="N21" i="11"/>
  <c r="F123" i="9"/>
  <c r="J142" i="9"/>
  <c r="K26" i="11"/>
  <c r="J37" i="11"/>
  <c r="L16" i="12"/>
  <c r="J106" i="9"/>
  <c r="J22" i="11"/>
  <c r="K103" i="9"/>
  <c r="G123" i="9"/>
  <c r="K142" i="9"/>
  <c r="L26" i="11"/>
  <c r="H78" i="10"/>
  <c r="H80" i="10" s="1"/>
  <c r="M14" i="11"/>
  <c r="K106" i="9"/>
  <c r="E15" i="9"/>
  <c r="E16" i="9" s="1"/>
  <c r="L103" i="9"/>
  <c r="H123" i="9"/>
  <c r="E142" i="9"/>
  <c r="I123" i="9"/>
  <c r="F142" i="9"/>
  <c r="F45" i="10"/>
  <c r="G14" i="11"/>
  <c r="G15" i="9"/>
  <c r="G16" i="9" s="1"/>
  <c r="J123" i="9"/>
  <c r="G142" i="9"/>
  <c r="G45" i="10"/>
  <c r="P127" i="9"/>
  <c r="Q127" i="9" s="1"/>
  <c r="R127" i="9" s="1"/>
  <c r="S127" i="9" s="1"/>
  <c r="T127" i="9" s="1"/>
  <c r="L8" i="9"/>
  <c r="K8" i="12"/>
  <c r="G80" i="10"/>
  <c r="N128" i="9"/>
  <c r="O128" i="9" s="1"/>
  <c r="P128" i="9" s="1"/>
  <c r="Q128" i="9" s="1"/>
  <c r="R128" i="9" s="1"/>
  <c r="S128" i="9" s="1"/>
  <c r="T128" i="9" s="1"/>
  <c r="U128" i="9" s="1"/>
  <c r="I49" i="10"/>
  <c r="I78" i="10"/>
  <c r="I80" i="10" s="1"/>
  <c r="M20" i="11"/>
  <c r="E14" i="12"/>
  <c r="K15" i="9"/>
  <c r="L15" i="9"/>
  <c r="K104" i="9"/>
  <c r="L108" i="9"/>
  <c r="M33" i="11"/>
  <c r="G14" i="12"/>
  <c r="G18" i="12"/>
  <c r="L131" i="8"/>
  <c r="I202" i="8"/>
  <c r="K19" i="11"/>
  <c r="L104" i="9"/>
  <c r="J107" i="9"/>
  <c r="H45" i="10"/>
  <c r="H14" i="12"/>
  <c r="J21" i="11"/>
  <c r="J15" i="9"/>
  <c r="J826" i="16"/>
  <c r="F44" i="10"/>
  <c r="F46" i="10" s="1"/>
  <c r="I45" i="10"/>
  <c r="I14" i="12"/>
  <c r="E18" i="12"/>
  <c r="J104" i="9"/>
  <c r="K18" i="11"/>
  <c r="F22" i="11"/>
  <c r="L107" i="9"/>
  <c r="J13" i="11"/>
  <c r="J14" i="12"/>
  <c r="J22" i="12"/>
  <c r="J67" i="9"/>
  <c r="K13" i="11"/>
  <c r="J14" i="11"/>
  <c r="J30" i="11"/>
  <c r="K22" i="12"/>
  <c r="M31" i="11"/>
  <c r="L202" i="8"/>
  <c r="I41" i="9"/>
  <c r="L13" i="11"/>
  <c r="K14" i="11"/>
  <c r="K30" i="11"/>
  <c r="L14" i="12"/>
  <c r="L18" i="12"/>
  <c r="J41" i="9"/>
  <c r="E67" i="9"/>
  <c r="K95" i="9"/>
  <c r="H20" i="10" s="1"/>
  <c r="M13" i="11"/>
  <c r="L30" i="11"/>
  <c r="F53" i="10"/>
  <c r="F57" i="10" s="1"/>
  <c r="F70" i="10" s="1"/>
  <c r="E16" i="12"/>
  <c r="J8" i="30"/>
  <c r="F18" i="12"/>
  <c r="K41" i="9"/>
  <c r="J76" i="9"/>
  <c r="K31" i="10" s="1"/>
  <c r="K38" i="10" s="1"/>
  <c r="K65" i="10" s="1"/>
  <c r="M30" i="11"/>
  <c r="G53" i="10"/>
  <c r="G57" i="10" s="1"/>
  <c r="G70" i="10" s="1"/>
  <c r="F14" i="12"/>
  <c r="K22" i="11"/>
  <c r="L41" i="9"/>
  <c r="M21" i="11"/>
  <c r="F21" i="11"/>
  <c r="I53" i="10"/>
  <c r="I57" i="10" s="1"/>
  <c r="I70" i="10" s="1"/>
  <c r="I74" i="10" s="1"/>
  <c r="F80" i="10"/>
  <c r="E123" i="9"/>
  <c r="N64" i="9"/>
  <c r="O96" i="8"/>
  <c r="I57" i="9"/>
  <c r="G830" i="16"/>
  <c r="M168" i="8"/>
  <c r="I24" i="10"/>
  <c r="C787" i="16"/>
  <c r="C789" i="16" s="1"/>
  <c r="E235" i="8"/>
  <c r="C30" i="30"/>
  <c r="C46" i="12"/>
  <c r="C63" i="12" s="1"/>
  <c r="K57" i="9"/>
  <c r="I830" i="16"/>
  <c r="L216" i="8"/>
  <c r="M193" i="8"/>
  <c r="F231" i="8"/>
  <c r="G98" i="19"/>
  <c r="F83" i="9"/>
  <c r="N727" i="16"/>
  <c r="M189" i="8"/>
  <c r="H98" i="19"/>
  <c r="G83" i="9"/>
  <c r="G51" i="9"/>
  <c r="H56" i="9"/>
  <c r="L209" i="8"/>
  <c r="L53" i="9"/>
  <c r="E56" i="9"/>
  <c r="F56" i="9"/>
  <c r="K727" i="16"/>
  <c r="H25" i="10"/>
  <c r="L186" i="8"/>
  <c r="I132" i="19"/>
  <c r="H203" i="8"/>
  <c r="M727" i="16"/>
  <c r="D734" i="16"/>
  <c r="M120" i="8"/>
  <c r="N120" i="8" s="1"/>
  <c r="O120" i="8" s="1"/>
  <c r="P120" i="8" s="1"/>
  <c r="Q120" i="8" s="1"/>
  <c r="R120" i="8" s="1"/>
  <c r="S120" i="8" s="1"/>
  <c r="T120" i="8" s="1"/>
  <c r="U120" i="8" s="1"/>
  <c r="L57" i="19"/>
  <c r="L60" i="19" s="1"/>
  <c r="J132" i="19"/>
  <c r="J135" i="19" s="1"/>
  <c r="I203" i="8"/>
  <c r="K228" i="8"/>
  <c r="J747" i="16"/>
  <c r="J732" i="16"/>
  <c r="M87" i="8"/>
  <c r="L95" i="9"/>
  <c r="L105" i="9"/>
  <c r="F57" i="19"/>
  <c r="F60" i="19" s="1"/>
  <c r="E747" i="16" s="1"/>
  <c r="F30" i="19"/>
  <c r="H84" i="10"/>
  <c r="G57" i="19"/>
  <c r="G60" i="19" s="1"/>
  <c r="G30" i="19"/>
  <c r="J729" i="16"/>
  <c r="K67" i="9"/>
  <c r="C43" i="12"/>
  <c r="C61" i="12" s="1"/>
  <c r="E90" i="9"/>
  <c r="E193" i="8"/>
  <c r="K729" i="16"/>
  <c r="F30" i="10"/>
  <c r="H132" i="19"/>
  <c r="H135" i="19" s="1"/>
  <c r="G203" i="8"/>
  <c r="C731" i="16"/>
  <c r="E734" i="16"/>
  <c r="G93" i="9"/>
  <c r="D731" i="16"/>
  <c r="J746" i="16"/>
  <c r="G181" i="8"/>
  <c r="E76" i="9"/>
  <c r="F31" i="10" s="1"/>
  <c r="F38" i="10" s="1"/>
  <c r="H93" i="9"/>
  <c r="C57" i="19"/>
  <c r="C60" i="19" s="1"/>
  <c r="C30" i="19"/>
  <c r="L199" i="8"/>
  <c r="M218" i="8"/>
  <c r="H231" i="8"/>
  <c r="I30" i="10"/>
  <c r="L76" i="9"/>
  <c r="M31" i="10" s="1"/>
  <c r="M38" i="10" s="1"/>
  <c r="M65" i="10" s="1"/>
  <c r="M74" i="9"/>
  <c r="N74" i="9" s="1"/>
  <c r="O74" i="9" s="1"/>
  <c r="P74" i="9" s="1"/>
  <c r="Q74" i="9" s="1"/>
  <c r="R74" i="9" s="1"/>
  <c r="S74" i="9" s="1"/>
  <c r="T74" i="9" s="1"/>
  <c r="U74" i="9" s="1"/>
  <c r="F26" i="10"/>
  <c r="F233" i="8"/>
  <c r="D787" i="16" s="1"/>
  <c r="D789" i="16" s="1"/>
  <c r="M64" i="9"/>
  <c r="F64" i="9"/>
  <c r="F97" i="8"/>
  <c r="C98" i="19"/>
  <c r="C135" i="19" s="1"/>
  <c r="C137" i="19" s="1"/>
  <c r="G90" i="9"/>
  <c r="G193" i="8"/>
  <c r="L203" i="8"/>
  <c r="L219" i="8" s="1"/>
  <c r="M132" i="19"/>
  <c r="M135" i="19" s="1"/>
  <c r="M137" i="19" s="1"/>
  <c r="G231" i="8"/>
  <c r="K731" i="16"/>
  <c r="K735" i="16" s="1"/>
  <c r="J51" i="9"/>
  <c r="M162" i="8"/>
  <c r="C734" i="16"/>
  <c r="L92" i="8"/>
  <c r="M91" i="8"/>
  <c r="J102" i="8"/>
  <c r="F731" i="16"/>
  <c r="F734" i="16" s="1"/>
  <c r="K102" i="8"/>
  <c r="E54" i="9"/>
  <c r="F175" i="8"/>
  <c r="L218" i="8"/>
  <c r="E83" i="9"/>
  <c r="J93" i="9"/>
  <c r="J95" i="9" s="1"/>
  <c r="H235" i="8"/>
  <c r="D98" i="19"/>
  <c r="H90" i="9"/>
  <c r="H193" i="8"/>
  <c r="I729" i="16"/>
  <c r="I731" i="16"/>
  <c r="I735" i="16" s="1"/>
  <c r="M68" i="8"/>
  <c r="L211" i="8"/>
  <c r="E57" i="19"/>
  <c r="E60" i="19" s="1"/>
  <c r="E30" i="19"/>
  <c r="H51" i="9"/>
  <c r="J745" i="16"/>
  <c r="G731" i="16"/>
  <c r="L102" i="8"/>
  <c r="I168" i="8"/>
  <c r="F24" i="10" s="1"/>
  <c r="I228" i="8"/>
  <c r="L65" i="9"/>
  <c r="H64" i="9"/>
  <c r="H67" i="9" s="1"/>
  <c r="H97" i="8"/>
  <c r="L30" i="19"/>
  <c r="E98" i="19"/>
  <c r="E135" i="19" s="1"/>
  <c r="K132" i="19"/>
  <c r="K135" i="19" s="1"/>
  <c r="K137" i="19" s="1"/>
  <c r="J735" i="16"/>
  <c r="M227" i="8"/>
  <c r="L228" i="8"/>
  <c r="D57" i="19"/>
  <c r="D60" i="19" s="1"/>
  <c r="J30" i="19"/>
  <c r="J57" i="19"/>
  <c r="J60" i="19" s="1"/>
  <c r="I95" i="9"/>
  <c r="H30" i="19"/>
  <c r="H57" i="19"/>
  <c r="H60" i="19" s="1"/>
  <c r="M101" i="8"/>
  <c r="H731" i="16"/>
  <c r="H734" i="16" s="1"/>
  <c r="E92" i="8"/>
  <c r="J168" i="8"/>
  <c r="G24" i="10" s="1"/>
  <c r="J228" i="8"/>
  <c r="J233" i="8"/>
  <c r="H787" i="16" s="1"/>
  <c r="H789" i="16" s="1"/>
  <c r="I233" i="8"/>
  <c r="M147" i="8"/>
  <c r="F54" i="9"/>
  <c r="G175" i="8"/>
  <c r="K176" i="8"/>
  <c r="H23" i="10" s="1"/>
  <c r="I231" i="8"/>
  <c r="C45" i="12"/>
  <c r="I30" i="19"/>
  <c r="J181" i="8"/>
  <c r="F76" i="9"/>
  <c r="G31" i="10" s="1"/>
  <c r="G38" i="10" s="1"/>
  <c r="H54" i="9"/>
  <c r="I175" i="8"/>
  <c r="G76" i="9"/>
  <c r="H31" i="10" s="1"/>
  <c r="H38" i="10" s="1"/>
  <c r="K105" i="9"/>
  <c r="C31" i="30"/>
  <c r="K30" i="19"/>
  <c r="K233" i="8"/>
  <c r="I787" i="16" s="1"/>
  <c r="I789" i="16" s="1"/>
  <c r="H76" i="9"/>
  <c r="I31" i="10" s="1"/>
  <c r="I38" i="10" s="1"/>
  <c r="D132" i="19"/>
  <c r="G97" i="8"/>
  <c r="F102" i="8"/>
  <c r="G102" i="8"/>
  <c r="I76" i="9"/>
  <c r="J31" i="10" s="1"/>
  <c r="J38" i="10" s="1"/>
  <c r="J65" i="10" s="1"/>
  <c r="I57" i="19"/>
  <c r="I60" i="19" s="1"/>
  <c r="I97" i="8"/>
  <c r="L56" i="9"/>
  <c r="L57" i="9" s="1"/>
  <c r="L212" i="8"/>
  <c r="E93" i="9"/>
  <c r="F132" i="19"/>
  <c r="K76" i="9"/>
  <c r="M83" i="9"/>
  <c r="N83" i="9" s="1"/>
  <c r="O83" i="9" s="1"/>
  <c r="P83" i="9" s="1"/>
  <c r="Q83" i="9" s="1"/>
  <c r="R83" i="9" s="1"/>
  <c r="S83" i="9" s="1"/>
  <c r="T83" i="9" s="1"/>
  <c r="U83" i="9" s="1"/>
  <c r="I103" i="9"/>
  <c r="L233" i="8"/>
  <c r="L231" i="8"/>
  <c r="F93" i="9"/>
  <c r="G132" i="19"/>
  <c r="M18" i="11"/>
  <c r="M23" i="9"/>
  <c r="L21" i="11"/>
  <c r="K57" i="18"/>
  <c r="K59" i="18" s="1"/>
  <c r="I57" i="18"/>
  <c r="I168" i="16" s="1"/>
  <c r="J57" i="18"/>
  <c r="J59" i="18" s="1"/>
  <c r="G57" i="18"/>
  <c r="G168" i="16" s="1"/>
  <c r="H57" i="18"/>
  <c r="C57" i="18"/>
  <c r="D57" i="18"/>
  <c r="D59" i="18" s="1"/>
  <c r="E57" i="18"/>
  <c r="E168" i="16" s="1"/>
  <c r="F57" i="18"/>
  <c r="F168" i="16" s="1"/>
  <c r="H59" i="18"/>
  <c r="H168" i="16"/>
  <c r="F18" i="24"/>
  <c r="F20" i="24" s="1"/>
  <c r="E20" i="24"/>
  <c r="J51" i="8"/>
  <c r="J52" i="8" s="1"/>
  <c r="J21" i="9"/>
  <c r="K51" i="8"/>
  <c r="K52" i="8" s="1"/>
  <c r="K21" i="9"/>
  <c r="G20" i="11"/>
  <c r="G36" i="8"/>
  <c r="L57" i="18"/>
  <c r="D20" i="24"/>
  <c r="E36" i="8"/>
  <c r="H36" i="8"/>
  <c r="I36" i="8"/>
  <c r="M111" i="8" l="1"/>
  <c r="E683" i="16"/>
  <c r="E678" i="16"/>
  <c r="E738" i="16"/>
  <c r="J678" i="16"/>
  <c r="J683" i="16"/>
  <c r="J738" i="16"/>
  <c r="N78" i="8"/>
  <c r="N79" i="8" s="1"/>
  <c r="M80" i="8"/>
  <c r="M112" i="8" s="1"/>
  <c r="I27" i="7"/>
  <c r="I28" i="7"/>
  <c r="I29" i="7"/>
  <c r="I32" i="7" s="1"/>
  <c r="M56" i="16"/>
  <c r="O219" i="16"/>
  <c r="N219" i="16"/>
  <c r="AD16" i="30"/>
  <c r="L48" i="8"/>
  <c r="J64" i="7"/>
  <c r="J65" i="7"/>
  <c r="J63" i="7"/>
  <c r="J68" i="7" s="1"/>
  <c r="D28" i="7"/>
  <c r="D29" i="7"/>
  <c r="D32" i="7" s="1"/>
  <c r="D27" i="7"/>
  <c r="H56" i="16"/>
  <c r="Q56" i="16" s="1"/>
  <c r="N595" i="16"/>
  <c r="D631" i="16"/>
  <c r="N593" i="16"/>
  <c r="M594" i="16"/>
  <c r="AD18" i="30"/>
  <c r="D350" i="16"/>
  <c r="N348" i="16"/>
  <c r="M348" i="16"/>
  <c r="O223" i="16"/>
  <c r="N223" i="16"/>
  <c r="N200" i="16"/>
  <c r="O200" i="16"/>
  <c r="M597" i="16"/>
  <c r="M596" i="16"/>
  <c r="M51" i="8"/>
  <c r="M52" i="8" s="1"/>
  <c r="H169" i="16"/>
  <c r="H27" i="7"/>
  <c r="H28" i="7"/>
  <c r="H29" i="7"/>
  <c r="H32" i="7" s="1"/>
  <c r="L56" i="16"/>
  <c r="C27" i="7"/>
  <c r="C28" i="7"/>
  <c r="C29" i="7"/>
  <c r="C32" i="7" s="1"/>
  <c r="G56" i="16"/>
  <c r="M30" i="7"/>
  <c r="M32" i="7" s="1"/>
  <c r="O18" i="8" s="1"/>
  <c r="N29" i="7"/>
  <c r="G59" i="7"/>
  <c r="G57" i="7"/>
  <c r="I42" i="8"/>
  <c r="G58" i="7"/>
  <c r="E42" i="8"/>
  <c r="C58" i="7"/>
  <c r="C57" i="7"/>
  <c r="C59" i="7"/>
  <c r="J45" i="10"/>
  <c r="H168" i="8"/>
  <c r="M202" i="8"/>
  <c r="M108" i="9"/>
  <c r="J49" i="10"/>
  <c r="I47" i="7"/>
  <c r="I45" i="7"/>
  <c r="K32" i="8"/>
  <c r="I46" i="7"/>
  <c r="O220" i="16"/>
  <c r="N220" i="16"/>
  <c r="F235" i="8"/>
  <c r="H15" i="9"/>
  <c r="H16" i="9" s="1"/>
  <c r="H202" i="8"/>
  <c r="H204" i="8" s="1"/>
  <c r="Q22" i="7"/>
  <c r="R21" i="7"/>
  <c r="R22" i="7" s="1"/>
  <c r="C281" i="16"/>
  <c r="K27" i="8"/>
  <c r="I41" i="7"/>
  <c r="I40" i="7"/>
  <c r="I39" i="7"/>
  <c r="O218" i="16"/>
  <c r="N218" i="16"/>
  <c r="N207" i="16"/>
  <c r="E746" i="16"/>
  <c r="E745" i="16"/>
  <c r="N13" i="11"/>
  <c r="M106" i="9"/>
  <c r="N658" i="16"/>
  <c r="M658" i="16"/>
  <c r="G40" i="7"/>
  <c r="G39" i="7"/>
  <c r="I27" i="8"/>
  <c r="G41" i="7"/>
  <c r="H65" i="7"/>
  <c r="H64" i="7"/>
  <c r="H63" i="7"/>
  <c r="H68" i="7" s="1"/>
  <c r="J48" i="8"/>
  <c r="C65" i="7"/>
  <c r="C63" i="7"/>
  <c r="E48" i="8"/>
  <c r="C64" i="7"/>
  <c r="J26" i="17"/>
  <c r="K22" i="17"/>
  <c r="O216" i="16"/>
  <c r="N216" i="16"/>
  <c r="D135" i="19"/>
  <c r="D137" i="19" s="1"/>
  <c r="I53" i="7"/>
  <c r="I51" i="7"/>
  <c r="I68" i="7" s="1"/>
  <c r="I52" i="7"/>
  <c r="K37" i="8"/>
  <c r="F678" i="16"/>
  <c r="F683" i="16"/>
  <c r="F738" i="16"/>
  <c r="F53" i="7"/>
  <c r="F51" i="7"/>
  <c r="F52" i="7"/>
  <c r="H37" i="8"/>
  <c r="E29" i="7"/>
  <c r="E32" i="7" s="1"/>
  <c r="E27" i="7"/>
  <c r="E28" i="7"/>
  <c r="I56" i="16"/>
  <c r="M121" i="8"/>
  <c r="K484" i="16"/>
  <c r="H281" i="16"/>
  <c r="I5" i="17"/>
  <c r="H6" i="17"/>
  <c r="N208" i="16"/>
  <c r="O221" i="16"/>
  <c r="N221" i="16"/>
  <c r="O212" i="16"/>
  <c r="N212" i="16"/>
  <c r="O217" i="16"/>
  <c r="N217" i="16"/>
  <c r="I135" i="19"/>
  <c r="I137" i="19" s="1"/>
  <c r="K8" i="30"/>
  <c r="AD8" i="30" s="1"/>
  <c r="F65" i="7"/>
  <c r="F63" i="7"/>
  <c r="F68" i="7" s="1"/>
  <c r="H48" i="8"/>
  <c r="F64" i="7"/>
  <c r="M107" i="9"/>
  <c r="M133" i="8"/>
  <c r="L220" i="8"/>
  <c r="G15" i="11"/>
  <c r="G135" i="19"/>
  <c r="G137" i="19" s="1"/>
  <c r="O214" i="16"/>
  <c r="N214" i="16"/>
  <c r="N33" i="11"/>
  <c r="G234" i="8"/>
  <c r="O222" i="16"/>
  <c r="N222" i="16"/>
  <c r="N239" i="16"/>
  <c r="N245" i="16"/>
  <c r="L23" i="9"/>
  <c r="L24" i="9" s="1"/>
  <c r="L51" i="8"/>
  <c r="L52" i="8" s="1"/>
  <c r="J11" i="17"/>
  <c r="I12" i="17"/>
  <c r="G484" i="16"/>
  <c r="F51" i="8"/>
  <c r="F52" i="8" s="1"/>
  <c r="C46" i="7"/>
  <c r="E32" i="8"/>
  <c r="C45" i="7"/>
  <c r="C47" i="7"/>
  <c r="O236" i="16"/>
  <c r="J8" i="17"/>
  <c r="I9" i="17"/>
  <c r="E787" i="16"/>
  <c r="E789" i="16" s="1"/>
  <c r="N31" i="8"/>
  <c r="N20" i="9" s="1"/>
  <c r="F24" i="9"/>
  <c r="F13" i="12" s="1"/>
  <c r="F15" i="12" s="1"/>
  <c r="F17" i="12" s="1"/>
  <c r="F19" i="12" s="1"/>
  <c r="F23" i="12" s="1"/>
  <c r="G59" i="18"/>
  <c r="F735" i="16"/>
  <c r="K826" i="16"/>
  <c r="I30" i="11"/>
  <c r="J27" i="7"/>
  <c r="J28" i="7"/>
  <c r="J29" i="7"/>
  <c r="J30" i="7" s="1"/>
  <c r="J32" i="7" s="1"/>
  <c r="L18" i="8" s="1"/>
  <c r="N56" i="16"/>
  <c r="AG16" i="30"/>
  <c r="AG17" i="30"/>
  <c r="AG15" i="30"/>
  <c r="AG18" i="30"/>
  <c r="Q126" i="9"/>
  <c r="Q22" i="12" s="1"/>
  <c r="R61" i="8"/>
  <c r="O210" i="16"/>
  <c r="N210" i="16"/>
  <c r="O215" i="16"/>
  <c r="N215" i="16"/>
  <c r="O245" i="16"/>
  <c r="E65" i="7"/>
  <c r="E63" i="7"/>
  <c r="E68" i="7" s="1"/>
  <c r="G48" i="8"/>
  <c r="E64" i="7"/>
  <c r="AC18" i="30"/>
  <c r="AC16" i="30"/>
  <c r="AC17" i="30"/>
  <c r="AC15" i="30"/>
  <c r="F29" i="7"/>
  <c r="F32" i="7" s="1"/>
  <c r="F27" i="7"/>
  <c r="F28" i="7"/>
  <c r="J56" i="16"/>
  <c r="P57" i="16" s="1"/>
  <c r="N206" i="16"/>
  <c r="O206" i="16"/>
  <c r="I281" i="16"/>
  <c r="C53" i="7"/>
  <c r="C52" i="7"/>
  <c r="E37" i="8"/>
  <c r="C51" i="7"/>
  <c r="I59" i="18"/>
  <c r="O233" i="16"/>
  <c r="I48" i="8"/>
  <c r="G65" i="7"/>
  <c r="G64" i="7"/>
  <c r="G63" i="7"/>
  <c r="C59" i="18"/>
  <c r="C63" i="18" s="1"/>
  <c r="C78" i="18" s="1"/>
  <c r="C81" i="18" s="1"/>
  <c r="C88" i="18" s="1"/>
  <c r="C92" i="18" s="1"/>
  <c r="C94" i="18" s="1"/>
  <c r="E137" i="19"/>
  <c r="M41" i="9"/>
  <c r="F135" i="19"/>
  <c r="F137" i="19" s="1"/>
  <c r="F67" i="9"/>
  <c r="F168" i="8"/>
  <c r="N729" i="16"/>
  <c r="N20" i="11"/>
  <c r="M131" i="8"/>
  <c r="I18" i="11"/>
  <c r="N26" i="8"/>
  <c r="N19" i="9" s="1"/>
  <c r="N133" i="8" s="1"/>
  <c r="G27" i="7"/>
  <c r="G28" i="7"/>
  <c r="G29" i="7"/>
  <c r="G32" i="7" s="1"/>
  <c r="K56" i="16"/>
  <c r="Q57" i="16" s="1"/>
  <c r="N341" i="16"/>
  <c r="M341" i="16"/>
  <c r="D65" i="7"/>
  <c r="D63" i="7"/>
  <c r="D68" i="7" s="1"/>
  <c r="F48" i="8"/>
  <c r="D64" i="7"/>
  <c r="G683" i="16"/>
  <c r="G678" i="16"/>
  <c r="G738" i="16"/>
  <c r="N213" i="16"/>
  <c r="O21" i="11"/>
  <c r="M212" i="8"/>
  <c r="N23" i="9"/>
  <c r="O22" i="11" s="1"/>
  <c r="N158" i="8"/>
  <c r="M52" i="9"/>
  <c r="M230" i="8"/>
  <c r="M231" i="8" s="1"/>
  <c r="M92" i="9"/>
  <c r="M135" i="9" s="1"/>
  <c r="N31" i="11"/>
  <c r="N19" i="8"/>
  <c r="N173" i="8"/>
  <c r="N248" i="8"/>
  <c r="N249" i="8" s="1"/>
  <c r="N33" i="9" s="1"/>
  <c r="N166" i="8"/>
  <c r="N179" i="8" s="1"/>
  <c r="N180" i="8" s="1"/>
  <c r="O14" i="8"/>
  <c r="N198" i="8"/>
  <c r="N197" i="8" s="1"/>
  <c r="N13" i="9"/>
  <c r="M14" i="9"/>
  <c r="M184" i="8"/>
  <c r="M172" i="8"/>
  <c r="K144" i="9"/>
  <c r="I42" i="9"/>
  <c r="L144" i="9"/>
  <c r="J828" i="16"/>
  <c r="I204" i="8"/>
  <c r="G144" i="9"/>
  <c r="J144" i="9"/>
  <c r="G204" i="8"/>
  <c r="F144" i="9"/>
  <c r="E144" i="9"/>
  <c r="E147" i="9" s="1"/>
  <c r="F145" i="9" s="1"/>
  <c r="H144" i="9"/>
  <c r="I144" i="9"/>
  <c r="L15" i="11"/>
  <c r="O131" i="9"/>
  <c r="M15" i="11"/>
  <c r="E57" i="9"/>
  <c r="E69" i="9" s="1"/>
  <c r="N131" i="9"/>
  <c r="H15" i="10"/>
  <c r="K15" i="11"/>
  <c r="H32" i="10"/>
  <c r="G74" i="10"/>
  <c r="J85" i="9"/>
  <c r="J97" i="9" s="1"/>
  <c r="K70" i="11" s="1"/>
  <c r="H74" i="10"/>
  <c r="L8" i="12"/>
  <c r="L26" i="12" s="1"/>
  <c r="M26" i="12" s="1"/>
  <c r="N26" i="12" s="1"/>
  <c r="O26" i="12" s="1"/>
  <c r="P26" i="12" s="1"/>
  <c r="Q26" i="12" s="1"/>
  <c r="R26" i="12" s="1"/>
  <c r="S26" i="12" s="1"/>
  <c r="T26" i="12" s="1"/>
  <c r="U26" i="12" s="1"/>
  <c r="M8" i="9"/>
  <c r="K69" i="9"/>
  <c r="L47" i="11" s="1"/>
  <c r="I44" i="10"/>
  <c r="I46" i="10" s="1"/>
  <c r="L42" i="9"/>
  <c r="L16" i="9"/>
  <c r="M203" i="8"/>
  <c r="M93" i="9" s="1"/>
  <c r="N204" i="8"/>
  <c r="P131" i="9"/>
  <c r="G23" i="11"/>
  <c r="G27" i="11" s="1"/>
  <c r="G32" i="11" s="1"/>
  <c r="G35" i="11" s="1"/>
  <c r="G38" i="11" s="1"/>
  <c r="H44" i="10"/>
  <c r="H46" i="10" s="1"/>
  <c r="K42" i="9"/>
  <c r="K16" i="9"/>
  <c r="E95" i="9"/>
  <c r="J48" i="11"/>
  <c r="J15" i="11"/>
  <c r="U127" i="9"/>
  <c r="U131" i="9" s="1"/>
  <c r="C22" i="30"/>
  <c r="AC8" i="30"/>
  <c r="G44" i="10"/>
  <c r="G46" i="10" s="1"/>
  <c r="J42" i="9"/>
  <c r="J16" i="9"/>
  <c r="J74" i="10"/>
  <c r="G20" i="10"/>
  <c r="G15" i="10"/>
  <c r="G65" i="10"/>
  <c r="M66" i="9"/>
  <c r="N101" i="8"/>
  <c r="M167" i="8"/>
  <c r="J24" i="10"/>
  <c r="N168" i="8"/>
  <c r="H137" i="19"/>
  <c r="H85" i="9"/>
  <c r="M27" i="9"/>
  <c r="M115" i="8"/>
  <c r="F65" i="10"/>
  <c r="F20" i="10"/>
  <c r="F15" i="10"/>
  <c r="I234" i="8"/>
  <c r="G787" i="16"/>
  <c r="G789" i="16" s="1"/>
  <c r="H57" i="9"/>
  <c r="H69" i="9" s="1"/>
  <c r="F830" i="16"/>
  <c r="G95" i="9"/>
  <c r="I34" i="10"/>
  <c r="I32" i="10"/>
  <c r="L106" i="9"/>
  <c r="J57" i="9"/>
  <c r="H830" i="16"/>
  <c r="N210" i="8"/>
  <c r="N52" i="9"/>
  <c r="O158" i="8"/>
  <c r="L85" i="9"/>
  <c r="L97" i="9" s="1"/>
  <c r="J54" i="11"/>
  <c r="J137" i="19"/>
  <c r="G85" i="9"/>
  <c r="M729" i="16"/>
  <c r="J235" i="8"/>
  <c r="M71" i="8"/>
  <c r="N69" i="8"/>
  <c r="N70" i="8" s="1"/>
  <c r="D745" i="16"/>
  <c r="E732" i="16"/>
  <c r="D747" i="16"/>
  <c r="D732" i="16"/>
  <c r="D746" i="16"/>
  <c r="I85" i="9"/>
  <c r="I97" i="9" s="1"/>
  <c r="I99" i="9" s="1"/>
  <c r="L234" i="8"/>
  <c r="F35" i="10"/>
  <c r="F39" i="10" s="1"/>
  <c r="F61" i="10" s="1"/>
  <c r="F71" i="10" s="1"/>
  <c r="F72" i="10" s="1"/>
  <c r="J46" i="11"/>
  <c r="J55" i="11"/>
  <c r="J49" i="11"/>
  <c r="J45" i="11"/>
  <c r="J57" i="11"/>
  <c r="G831" i="16"/>
  <c r="G833" i="16" s="1"/>
  <c r="J53" i="11"/>
  <c r="J47" i="11"/>
  <c r="J59" i="11"/>
  <c r="E830" i="16"/>
  <c r="G57" i="9"/>
  <c r="G69" i="9" s="1"/>
  <c r="H44" i="11" s="1"/>
  <c r="H65" i="10"/>
  <c r="J56" i="11"/>
  <c r="I235" i="8"/>
  <c r="I747" i="16"/>
  <c r="I732" i="16"/>
  <c r="I734" i="16"/>
  <c r="I746" i="16"/>
  <c r="I745" i="16"/>
  <c r="D735" i="16"/>
  <c r="F234" i="8"/>
  <c r="F14" i="10"/>
  <c r="I102" i="9"/>
  <c r="F18" i="10"/>
  <c r="F34" i="10"/>
  <c r="F32" i="10"/>
  <c r="E85" i="9"/>
  <c r="K234" i="8"/>
  <c r="I25" i="10"/>
  <c r="I26" i="10" s="1"/>
  <c r="M186" i="8"/>
  <c r="K235" i="8"/>
  <c r="J234" i="8"/>
  <c r="H747" i="16"/>
  <c r="H732" i="16"/>
  <c r="H745" i="16"/>
  <c r="H746" i="16"/>
  <c r="N227" i="8"/>
  <c r="M81" i="9"/>
  <c r="G32" i="10"/>
  <c r="M91" i="9"/>
  <c r="M217" i="8"/>
  <c r="N189" i="8"/>
  <c r="L31" i="10"/>
  <c r="L38" i="10" s="1"/>
  <c r="L65" i="10" s="1"/>
  <c r="K85" i="9"/>
  <c r="K97" i="9" s="1"/>
  <c r="H26" i="10"/>
  <c r="H735" i="16"/>
  <c r="L235" i="8"/>
  <c r="M63" i="8"/>
  <c r="K747" i="16"/>
  <c r="K746" i="16"/>
  <c r="D16" i="22" s="1"/>
  <c r="D22" i="24" s="1"/>
  <c r="E22" i="24" s="1"/>
  <c r="F22" i="24" s="1"/>
  <c r="K745" i="16"/>
  <c r="D17" i="22" s="1"/>
  <c r="D10" i="24" s="1"/>
  <c r="K732" i="16"/>
  <c r="K734" i="16"/>
  <c r="I20" i="10"/>
  <c r="I15" i="10"/>
  <c r="K102" i="9"/>
  <c r="H14" i="10"/>
  <c r="H18" i="10"/>
  <c r="H21" i="10" s="1"/>
  <c r="L67" i="9"/>
  <c r="L69" i="9" s="1"/>
  <c r="M46" i="11" s="1"/>
  <c r="N91" i="8"/>
  <c r="M65" i="9"/>
  <c r="M216" i="8"/>
  <c r="M90" i="9"/>
  <c r="N193" i="8"/>
  <c r="I65" i="10"/>
  <c r="M209" i="8"/>
  <c r="M53" i="9"/>
  <c r="N162" i="8"/>
  <c r="G746" i="16"/>
  <c r="G735" i="16"/>
  <c r="G747" i="16"/>
  <c r="G734" i="16"/>
  <c r="G732" i="16"/>
  <c r="G745" i="16"/>
  <c r="F95" i="9"/>
  <c r="O64" i="9"/>
  <c r="P96" i="8"/>
  <c r="L102" i="9"/>
  <c r="I14" i="10"/>
  <c r="I18" i="10"/>
  <c r="F57" i="9"/>
  <c r="F69" i="9" s="1"/>
  <c r="H95" i="9"/>
  <c r="F746" i="16"/>
  <c r="F747" i="16"/>
  <c r="F732" i="16"/>
  <c r="F745" i="16"/>
  <c r="C746" i="16"/>
  <c r="C747" i="16"/>
  <c r="C735" i="16"/>
  <c r="C745" i="16"/>
  <c r="M63" i="9"/>
  <c r="N87" i="8"/>
  <c r="J58" i="11"/>
  <c r="L213" i="8"/>
  <c r="L222" i="8" s="1"/>
  <c r="F85" i="9"/>
  <c r="N22" i="11"/>
  <c r="E59" i="18"/>
  <c r="D748" i="16" s="1"/>
  <c r="D168" i="16"/>
  <c r="J748" i="16"/>
  <c r="K63" i="18"/>
  <c r="K78" i="18" s="1"/>
  <c r="K81" i="18" s="1"/>
  <c r="K88" i="18" s="1"/>
  <c r="K92" i="18" s="1"/>
  <c r="K94" i="18" s="1"/>
  <c r="K168" i="16"/>
  <c r="J168" i="16"/>
  <c r="J169" i="16" s="1"/>
  <c r="C168" i="16"/>
  <c r="D169" i="16" s="1"/>
  <c r="F59" i="18"/>
  <c r="E748" i="16" s="1"/>
  <c r="G63" i="18"/>
  <c r="G78" i="18" s="1"/>
  <c r="G81" i="18" s="1"/>
  <c r="G88" i="18" s="1"/>
  <c r="G92" i="18" s="1"/>
  <c r="G94" i="18" s="1"/>
  <c r="F748" i="16"/>
  <c r="L20" i="11"/>
  <c r="K24" i="9"/>
  <c r="H63" i="18"/>
  <c r="H78" i="18" s="1"/>
  <c r="H81" i="18" s="1"/>
  <c r="H88" i="18" s="1"/>
  <c r="H92" i="18" s="1"/>
  <c r="H94" i="18" s="1"/>
  <c r="G748" i="16"/>
  <c r="I51" i="8"/>
  <c r="I52" i="8" s="1"/>
  <c r="I21" i="9"/>
  <c r="H51" i="8"/>
  <c r="H52" i="8" s="1"/>
  <c r="H21" i="9"/>
  <c r="J24" i="9"/>
  <c r="K20" i="11"/>
  <c r="E21" i="9"/>
  <c r="E51" i="8"/>
  <c r="E52" i="8" s="1"/>
  <c r="L59" i="18"/>
  <c r="L168" i="16"/>
  <c r="P168" i="16" s="1"/>
  <c r="G21" i="9"/>
  <c r="G51" i="8"/>
  <c r="G52" i="8" s="1"/>
  <c r="G169" i="16"/>
  <c r="F169" i="16"/>
  <c r="J63" i="18"/>
  <c r="J78" i="18" s="1"/>
  <c r="J81" i="18" s="1"/>
  <c r="J88" i="18" s="1"/>
  <c r="J92" i="18" s="1"/>
  <c r="J94" i="18" s="1"/>
  <c r="I748" i="16"/>
  <c r="E169" i="16"/>
  <c r="I169" i="16"/>
  <c r="D63" i="18"/>
  <c r="D78" i="18" s="1"/>
  <c r="D81" i="18" s="1"/>
  <c r="D88" i="18" s="1"/>
  <c r="D92" i="18" s="1"/>
  <c r="D94" i="18" s="1"/>
  <c r="C748" i="16"/>
  <c r="I63" i="18"/>
  <c r="I78" i="18" s="1"/>
  <c r="I81" i="18" s="1"/>
  <c r="I88" i="18" s="1"/>
  <c r="I92" i="18" s="1"/>
  <c r="I94" i="18" s="1"/>
  <c r="H748" i="16"/>
  <c r="L25" i="9" l="1"/>
  <c r="L13" i="12"/>
  <c r="L15" i="12" s="1"/>
  <c r="L17" i="12" s="1"/>
  <c r="L19" i="12" s="1"/>
  <c r="L23" i="12" s="1"/>
  <c r="P8" i="30"/>
  <c r="C23" i="30" s="1"/>
  <c r="L28" i="9"/>
  <c r="L43" i="9"/>
  <c r="I48" i="10"/>
  <c r="I85" i="10" s="1"/>
  <c r="E631" i="16"/>
  <c r="O593" i="16"/>
  <c r="O594" i="16" s="1"/>
  <c r="N594" i="16"/>
  <c r="O595" i="16"/>
  <c r="R126" i="9"/>
  <c r="S61" i="8"/>
  <c r="N597" i="16"/>
  <c r="N596" i="16"/>
  <c r="Q131" i="9"/>
  <c r="E740" i="16"/>
  <c r="E741" i="16"/>
  <c r="N111" i="8"/>
  <c r="N51" i="8"/>
  <c r="N52" i="8" s="1"/>
  <c r="C68" i="7"/>
  <c r="P56" i="16"/>
  <c r="R62" i="8"/>
  <c r="M62" i="9"/>
  <c r="N8" i="30"/>
  <c r="N30" i="7"/>
  <c r="N32" i="7" s="1"/>
  <c r="P18" i="8" s="1"/>
  <c r="O29" i="7"/>
  <c r="F740" i="16"/>
  <c r="F741" i="16"/>
  <c r="G740" i="16"/>
  <c r="G741" i="16"/>
  <c r="G68" i="7"/>
  <c r="K26" i="17"/>
  <c r="L22" i="17"/>
  <c r="J741" i="16"/>
  <c r="J740" i="16"/>
  <c r="N77" i="8"/>
  <c r="F25" i="9"/>
  <c r="N122" i="8"/>
  <c r="M114" i="8"/>
  <c r="J12" i="17"/>
  <c r="K11" i="17"/>
  <c r="J5" i="17"/>
  <c r="I6" i="17"/>
  <c r="N350" i="16"/>
  <c r="M350" i="16"/>
  <c r="D357" i="16"/>
  <c r="L133" i="8"/>
  <c r="L137" i="8" s="1"/>
  <c r="L139" i="8" s="1"/>
  <c r="M22" i="11"/>
  <c r="M23" i="11" s="1"/>
  <c r="M27" i="11" s="1"/>
  <c r="M32" i="11" s="1"/>
  <c r="M35" i="11" s="1"/>
  <c r="M38" i="11" s="1"/>
  <c r="K8" i="17"/>
  <c r="J9" i="17"/>
  <c r="F28" i="9"/>
  <c r="N136" i="8"/>
  <c r="O31" i="11"/>
  <c r="K49" i="10"/>
  <c r="N131" i="8"/>
  <c r="O33" i="11"/>
  <c r="O13" i="11"/>
  <c r="N15" i="9"/>
  <c r="L826" i="16"/>
  <c r="N202" i="8"/>
  <c r="N203" i="8" s="1"/>
  <c r="N108" i="9"/>
  <c r="K53" i="10"/>
  <c r="K57" i="10" s="1"/>
  <c r="K70" i="10" s="1"/>
  <c r="K74" i="10" s="1"/>
  <c r="N41" i="9"/>
  <c r="K45" i="10"/>
  <c r="N107" i="9"/>
  <c r="L8" i="30"/>
  <c r="M233" i="8"/>
  <c r="M242" i="8" s="1"/>
  <c r="M243" i="8" s="1"/>
  <c r="M32" i="9" s="1"/>
  <c r="M137" i="9" s="1"/>
  <c r="N218" i="8"/>
  <c r="N92" i="9"/>
  <c r="N135" i="9" s="1"/>
  <c r="N230" i="8"/>
  <c r="N231" i="8" s="1"/>
  <c r="O18" i="11"/>
  <c r="O19" i="8"/>
  <c r="O173" i="8"/>
  <c r="O248" i="8"/>
  <c r="O249" i="8" s="1"/>
  <c r="O33" i="9" s="1"/>
  <c r="O166" i="8"/>
  <c r="O179" i="8" s="1"/>
  <c r="O180" i="8" s="1"/>
  <c r="P14" i="8"/>
  <c r="O198" i="8"/>
  <c r="O197" i="8" s="1"/>
  <c r="O31" i="8"/>
  <c r="O20" i="9" s="1"/>
  <c r="O47" i="8"/>
  <c r="O13" i="9"/>
  <c r="O41" i="8"/>
  <c r="O22" i="9" s="1"/>
  <c r="O26" i="8"/>
  <c r="O19" i="9" s="1"/>
  <c r="O36" i="8"/>
  <c r="O21" i="9" s="1"/>
  <c r="P20" i="11" s="1"/>
  <c r="O19" i="11"/>
  <c r="N172" i="8"/>
  <c r="N14" i="9"/>
  <c r="N184" i="8"/>
  <c r="J78" i="10"/>
  <c r="M15" i="9"/>
  <c r="N14" i="11"/>
  <c r="N15" i="11" s="1"/>
  <c r="M132" i="8"/>
  <c r="N212" i="8"/>
  <c r="N56" i="9"/>
  <c r="N106" i="9" s="1"/>
  <c r="O20" i="11"/>
  <c r="L49" i="11"/>
  <c r="L53" i="11"/>
  <c r="L48" i="11"/>
  <c r="L54" i="11"/>
  <c r="L59" i="11"/>
  <c r="I831" i="16"/>
  <c r="I833" i="16" s="1"/>
  <c r="F147" i="9"/>
  <c r="G145" i="9" s="1"/>
  <c r="G147" i="9" s="1"/>
  <c r="H145" i="9" s="1"/>
  <c r="H147" i="9" s="1"/>
  <c r="I145" i="9" s="1"/>
  <c r="I147" i="9" s="1"/>
  <c r="J145" i="9" s="1"/>
  <c r="J147" i="9" s="1"/>
  <c r="K145" i="9" s="1"/>
  <c r="K147" i="9" s="1"/>
  <c r="L145" i="9" s="1"/>
  <c r="L147" i="9" s="1"/>
  <c r="M145" i="9" s="1"/>
  <c r="H35" i="10"/>
  <c r="H36" i="10" s="1"/>
  <c r="L44" i="9"/>
  <c r="H16" i="10"/>
  <c r="K99" i="9"/>
  <c r="I50" i="10"/>
  <c r="L44" i="11"/>
  <c r="N23" i="11"/>
  <c r="L56" i="11"/>
  <c r="F55" i="11"/>
  <c r="F57" i="11"/>
  <c r="K23" i="11"/>
  <c r="K27" i="11" s="1"/>
  <c r="K32" i="11" s="1"/>
  <c r="K35" i="11" s="1"/>
  <c r="K38" i="11" s="1"/>
  <c r="AF8" i="30"/>
  <c r="L23" i="11"/>
  <c r="L27" i="11" s="1"/>
  <c r="L32" i="11" s="1"/>
  <c r="L35" i="11" s="1"/>
  <c r="L38" i="11" s="1"/>
  <c r="J50" i="11"/>
  <c r="F54" i="11"/>
  <c r="H97" i="9"/>
  <c r="I67" i="11" s="1"/>
  <c r="F58" i="11"/>
  <c r="G97" i="9"/>
  <c r="H67" i="11" s="1"/>
  <c r="F40" i="10"/>
  <c r="F59" i="11"/>
  <c r="F49" i="11"/>
  <c r="F53" i="11"/>
  <c r="M219" i="8"/>
  <c r="L57" i="11"/>
  <c r="M58" i="11"/>
  <c r="E97" i="9"/>
  <c r="F77" i="11" s="1"/>
  <c r="C831" i="16"/>
  <c r="C833" i="16" s="1"/>
  <c r="L45" i="11"/>
  <c r="F56" i="11"/>
  <c r="O204" i="8"/>
  <c r="F48" i="11"/>
  <c r="F44" i="11"/>
  <c r="F46" i="11"/>
  <c r="L55" i="11"/>
  <c r="L58" i="11"/>
  <c r="J60" i="11"/>
  <c r="F47" i="11"/>
  <c r="F45" i="11"/>
  <c r="L46" i="11"/>
  <c r="M8" i="12"/>
  <c r="N8" i="9"/>
  <c r="F97" i="9"/>
  <c r="F99" i="9" s="1"/>
  <c r="G45" i="11"/>
  <c r="G46" i="11"/>
  <c r="G48" i="11"/>
  <c r="D831" i="16"/>
  <c r="D833" i="16" s="1"/>
  <c r="G53" i="11"/>
  <c r="G59" i="11"/>
  <c r="G55" i="11"/>
  <c r="G56" i="11"/>
  <c r="G54" i="11"/>
  <c r="G44" i="11"/>
  <c r="G58" i="11"/>
  <c r="G49" i="11"/>
  <c r="G47" i="11"/>
  <c r="G57" i="11"/>
  <c r="I55" i="11"/>
  <c r="I48" i="11"/>
  <c r="F831" i="16"/>
  <c r="F833" i="16" s="1"/>
  <c r="I46" i="11"/>
  <c r="I53" i="11"/>
  <c r="I45" i="11"/>
  <c r="I54" i="11"/>
  <c r="I58" i="11"/>
  <c r="I59" i="11"/>
  <c r="I56" i="11"/>
  <c r="I49" i="11"/>
  <c r="I47" i="11"/>
  <c r="I57" i="11"/>
  <c r="I44" i="11"/>
  <c r="N216" i="8"/>
  <c r="N90" i="9"/>
  <c r="O193" i="8"/>
  <c r="N66" i="9"/>
  <c r="O101" i="8"/>
  <c r="L99" i="9"/>
  <c r="I35" i="10"/>
  <c r="I39" i="10" s="1"/>
  <c r="M44" i="11"/>
  <c r="J831" i="16"/>
  <c r="J833" i="16" s="1"/>
  <c r="M53" i="11"/>
  <c r="M47" i="11"/>
  <c r="M59" i="11"/>
  <c r="M45" i="11"/>
  <c r="M48" i="11"/>
  <c r="M57" i="11"/>
  <c r="M55" i="11"/>
  <c r="M56" i="11"/>
  <c r="M54" i="11"/>
  <c r="M49" i="11"/>
  <c r="N26" i="11"/>
  <c r="M134" i="8"/>
  <c r="M14" i="12"/>
  <c r="M18" i="12"/>
  <c r="M113" i="9"/>
  <c r="M745" i="16"/>
  <c r="N745" i="16"/>
  <c r="F36" i="10"/>
  <c r="F84" i="10"/>
  <c r="J102" i="9"/>
  <c r="G18" i="10"/>
  <c r="G21" i="10" s="1"/>
  <c r="G14" i="10"/>
  <c r="G16" i="10" s="1"/>
  <c r="J69" i="9"/>
  <c r="N63" i="9"/>
  <c r="O87" i="8"/>
  <c r="N60" i="8"/>
  <c r="N63" i="8" s="1"/>
  <c r="M60" i="9"/>
  <c r="O91" i="8"/>
  <c r="N65" i="9"/>
  <c r="M211" i="8"/>
  <c r="M55" i="9"/>
  <c r="M103" i="9" s="1"/>
  <c r="N233" i="8"/>
  <c r="O227" i="8"/>
  <c r="N81" i="9"/>
  <c r="F21" i="10"/>
  <c r="M747" i="16"/>
  <c r="N747" i="16"/>
  <c r="I21" i="10"/>
  <c r="L78" i="11"/>
  <c r="L67" i="11"/>
  <c r="L73" i="11"/>
  <c r="L68" i="11"/>
  <c r="L77" i="11"/>
  <c r="L66" i="11"/>
  <c r="L70" i="11"/>
  <c r="L69" i="11"/>
  <c r="L74" i="11"/>
  <c r="K66" i="11"/>
  <c r="K67" i="11"/>
  <c r="K74" i="11"/>
  <c r="K68" i="11"/>
  <c r="K69" i="11"/>
  <c r="K73" i="11"/>
  <c r="K78" i="11"/>
  <c r="K77" i="11"/>
  <c r="K79" i="11" s="1"/>
  <c r="O52" i="9"/>
  <c r="O210" i="8"/>
  <c r="P158" i="8"/>
  <c r="L223" i="8"/>
  <c r="M134" i="9"/>
  <c r="J30" i="10"/>
  <c r="N68" i="8"/>
  <c r="M61" i="9"/>
  <c r="M185" i="8"/>
  <c r="J25" i="10"/>
  <c r="N186" i="8"/>
  <c r="D11" i="24"/>
  <c r="D12" i="24" s="1"/>
  <c r="D16" i="24" s="1"/>
  <c r="D23" i="24" s="1"/>
  <c r="D24" i="24" s="1"/>
  <c r="E10" i="24"/>
  <c r="M125" i="8"/>
  <c r="N121" i="8"/>
  <c r="O121" i="8" s="1"/>
  <c r="P121" i="8" s="1"/>
  <c r="N209" i="8"/>
  <c r="O162" i="8"/>
  <c r="N53" i="9"/>
  <c r="N746" i="16"/>
  <c r="M746" i="16"/>
  <c r="I16" i="10"/>
  <c r="F16" i="10"/>
  <c r="H45" i="11"/>
  <c r="H46" i="11"/>
  <c r="H48" i="11"/>
  <c r="E831" i="16"/>
  <c r="E833" i="16" s="1"/>
  <c r="H56" i="11"/>
  <c r="H58" i="11"/>
  <c r="H59" i="11"/>
  <c r="H53" i="11"/>
  <c r="H54" i="11"/>
  <c r="H49" i="11"/>
  <c r="H47" i="11"/>
  <c r="H55" i="11"/>
  <c r="H57" i="11"/>
  <c r="J77" i="11"/>
  <c r="J74" i="11"/>
  <c r="J67" i="11"/>
  <c r="J68" i="11"/>
  <c r="J70" i="11"/>
  <c r="J78" i="11"/>
  <c r="J66" i="11"/>
  <c r="J69" i="11"/>
  <c r="J73" i="11"/>
  <c r="O78" i="8"/>
  <c r="O79" i="8" s="1"/>
  <c r="N80" i="8"/>
  <c r="O168" i="8"/>
  <c r="K24" i="10"/>
  <c r="N167" i="8"/>
  <c r="N217" i="8"/>
  <c r="O189" i="8"/>
  <c r="N91" i="9"/>
  <c r="M67" i="11"/>
  <c r="M70" i="11"/>
  <c r="M73" i="11"/>
  <c r="M66" i="11"/>
  <c r="M68" i="11"/>
  <c r="M74" i="11"/>
  <c r="M78" i="11"/>
  <c r="M69" i="11"/>
  <c r="M77" i="11"/>
  <c r="P64" i="9"/>
  <c r="Q96" i="8"/>
  <c r="I84" i="10"/>
  <c r="I86" i="10" s="1"/>
  <c r="N27" i="9"/>
  <c r="N115" i="8"/>
  <c r="F63" i="18"/>
  <c r="F78" i="18" s="1"/>
  <c r="F81" i="18" s="1"/>
  <c r="F88" i="18" s="1"/>
  <c r="F92" i="18" s="1"/>
  <c r="F94" i="18" s="1"/>
  <c r="E63" i="18"/>
  <c r="E78" i="18" s="1"/>
  <c r="E81" i="18" s="1"/>
  <c r="E88" i="18" s="1"/>
  <c r="E92" i="18" s="1"/>
  <c r="E94" i="18" s="1"/>
  <c r="K169" i="16"/>
  <c r="Q168" i="16"/>
  <c r="N168" i="16"/>
  <c r="E24" i="9"/>
  <c r="F20" i="11"/>
  <c r="F23" i="11" s="1"/>
  <c r="F27" i="11" s="1"/>
  <c r="F32" i="11" s="1"/>
  <c r="F35" i="11" s="1"/>
  <c r="F38" i="11" s="1"/>
  <c r="J25" i="9"/>
  <c r="J28" i="9"/>
  <c r="J13" i="12"/>
  <c r="J15" i="12" s="1"/>
  <c r="J17" i="12" s="1"/>
  <c r="J19" i="12" s="1"/>
  <c r="J23" i="12" s="1"/>
  <c r="J43" i="9"/>
  <c r="G48" i="10"/>
  <c r="I20" i="11"/>
  <c r="I23" i="11" s="1"/>
  <c r="I27" i="11" s="1"/>
  <c r="I32" i="11" s="1"/>
  <c r="I35" i="11" s="1"/>
  <c r="I38" i="11" s="1"/>
  <c r="H24" i="9"/>
  <c r="K748" i="16"/>
  <c r="N748" i="16" s="1"/>
  <c r="L63" i="18"/>
  <c r="L78" i="18" s="1"/>
  <c r="L81" i="18" s="1"/>
  <c r="L88" i="18" s="1"/>
  <c r="L92" i="18" s="1"/>
  <c r="L94" i="18" s="1"/>
  <c r="H20" i="11"/>
  <c r="H23" i="11" s="1"/>
  <c r="H27" i="11" s="1"/>
  <c r="H32" i="11" s="1"/>
  <c r="H35" i="11" s="1"/>
  <c r="H38" i="11" s="1"/>
  <c r="G24" i="9"/>
  <c r="O168" i="16"/>
  <c r="L169" i="16"/>
  <c r="J20" i="11"/>
  <c r="J23" i="11" s="1"/>
  <c r="J27" i="11" s="1"/>
  <c r="J32" i="11" s="1"/>
  <c r="J35" i="11" s="1"/>
  <c r="J38" i="11" s="1"/>
  <c r="I24" i="9"/>
  <c r="K28" i="9"/>
  <c r="K25" i="9"/>
  <c r="K13" i="12"/>
  <c r="K15" i="12" s="1"/>
  <c r="K17" i="12" s="1"/>
  <c r="K19" i="12" s="1"/>
  <c r="K23" i="12" s="1"/>
  <c r="K43" i="9"/>
  <c r="H48" i="10"/>
  <c r="F34" i="9"/>
  <c r="F36" i="9" s="1"/>
  <c r="F39" i="9" s="1"/>
  <c r="D816" i="16" s="1"/>
  <c r="D818" i="16" s="1"/>
  <c r="F29" i="9"/>
  <c r="O597" i="16" l="1"/>
  <c r="O596" i="16"/>
  <c r="S62" i="8"/>
  <c r="O30" i="7"/>
  <c r="O32" i="7" s="1"/>
  <c r="Q18" i="8" s="1"/>
  <c r="P29" i="7"/>
  <c r="L34" i="9"/>
  <c r="L29" i="9"/>
  <c r="I52" i="10"/>
  <c r="S126" i="9"/>
  <c r="T61" i="8"/>
  <c r="T126" i="9" s="1"/>
  <c r="L11" i="17"/>
  <c r="K12" i="17"/>
  <c r="S8" i="30"/>
  <c r="P21" i="11"/>
  <c r="M740" i="16"/>
  <c r="N740" i="16"/>
  <c r="R22" i="12"/>
  <c r="R131" i="9"/>
  <c r="K5" i="17"/>
  <c r="J6" i="17"/>
  <c r="L8" i="17"/>
  <c r="K9" i="17"/>
  <c r="L26" i="17"/>
  <c r="M22" i="17"/>
  <c r="M26" i="17" s="1"/>
  <c r="N741" i="16"/>
  <c r="M741" i="16"/>
  <c r="P18" i="11"/>
  <c r="P19" i="11"/>
  <c r="O23" i="9"/>
  <c r="P22" i="11" s="1"/>
  <c r="O51" i="8"/>
  <c r="O52" i="8" s="1"/>
  <c r="M234" i="8"/>
  <c r="N30" i="11"/>
  <c r="N32" i="11" s="1"/>
  <c r="N35" i="11" s="1"/>
  <c r="O92" i="9"/>
  <c r="O135" i="9" s="1"/>
  <c r="O218" i="8"/>
  <c r="O230" i="8"/>
  <c r="O231" i="8" s="1"/>
  <c r="O8" i="30"/>
  <c r="AE8" i="30"/>
  <c r="N27" i="11"/>
  <c r="P13" i="11"/>
  <c r="L49" i="10"/>
  <c r="L53" i="10"/>
  <c r="L57" i="10" s="1"/>
  <c r="L70" i="10" s="1"/>
  <c r="L74" i="10" s="1"/>
  <c r="M826" i="16"/>
  <c r="O41" i="9"/>
  <c r="O202" i="8"/>
  <c r="O203" i="8" s="1"/>
  <c r="O131" i="8"/>
  <c r="O107" i="9"/>
  <c r="O108" i="9"/>
  <c r="P33" i="11"/>
  <c r="L45" i="10"/>
  <c r="J90" i="10"/>
  <c r="M135" i="8"/>
  <c r="P173" i="8"/>
  <c r="Q14" i="8"/>
  <c r="P198" i="8"/>
  <c r="P197" i="8" s="1"/>
  <c r="P31" i="8"/>
  <c r="P20" i="9" s="1"/>
  <c r="P13" i="9"/>
  <c r="P248" i="8"/>
  <c r="P249" i="8" s="1"/>
  <c r="P33" i="9" s="1"/>
  <c r="P19" i="8"/>
  <c r="P26" i="8"/>
  <c r="P19" i="9" s="1"/>
  <c r="P166" i="8"/>
  <c r="P179" i="8" s="1"/>
  <c r="P180" i="8" s="1"/>
  <c r="P36" i="8"/>
  <c r="P21" i="9" s="1"/>
  <c r="P41" i="8"/>
  <c r="P22" i="9" s="1"/>
  <c r="P47" i="8"/>
  <c r="M114" i="9"/>
  <c r="O212" i="8"/>
  <c r="O56" i="9"/>
  <c r="O106" i="9" s="1"/>
  <c r="O136" i="8"/>
  <c r="P31" i="11"/>
  <c r="K44" i="10"/>
  <c r="K46" i="10" s="1"/>
  <c r="N24" i="9"/>
  <c r="N42" i="9"/>
  <c r="N16" i="9"/>
  <c r="M16" i="9"/>
  <c r="M24" i="9"/>
  <c r="J44" i="10"/>
  <c r="J46" i="10" s="1"/>
  <c r="M42" i="9"/>
  <c r="M235" i="8"/>
  <c r="O172" i="8"/>
  <c r="O184" i="8"/>
  <c r="O14" i="9"/>
  <c r="N132" i="8"/>
  <c r="O14" i="11"/>
  <c r="O15" i="11" s="1"/>
  <c r="O23" i="11" s="1"/>
  <c r="K78" i="10"/>
  <c r="J62" i="11"/>
  <c r="H39" i="10"/>
  <c r="H40" i="10" s="1"/>
  <c r="I77" i="11"/>
  <c r="H74" i="11"/>
  <c r="I69" i="11"/>
  <c r="I78" i="11"/>
  <c r="I74" i="11"/>
  <c r="I66" i="11"/>
  <c r="F70" i="11"/>
  <c r="E99" i="9"/>
  <c r="F74" i="11"/>
  <c r="F67" i="11"/>
  <c r="I70" i="11"/>
  <c r="I68" i="11"/>
  <c r="H99" i="9"/>
  <c r="I36" i="10"/>
  <c r="F69" i="11"/>
  <c r="G99" i="9"/>
  <c r="L50" i="11"/>
  <c r="H78" i="11"/>
  <c r="H68" i="11"/>
  <c r="H69" i="11"/>
  <c r="L60" i="11"/>
  <c r="H73" i="11"/>
  <c r="H75" i="11" s="1"/>
  <c r="H70" i="11"/>
  <c r="H66" i="11"/>
  <c r="H77" i="11"/>
  <c r="I73" i="11"/>
  <c r="I75" i="11" s="1"/>
  <c r="J79" i="11"/>
  <c r="F73" i="11"/>
  <c r="F78" i="11"/>
  <c r="F79" i="11" s="1"/>
  <c r="F66" i="11"/>
  <c r="I50" i="11"/>
  <c r="F60" i="11"/>
  <c r="P204" i="8"/>
  <c r="G74" i="11"/>
  <c r="N219" i="8"/>
  <c r="N93" i="9"/>
  <c r="G78" i="11"/>
  <c r="G67" i="11"/>
  <c r="K75" i="11"/>
  <c r="G68" i="11"/>
  <c r="G73" i="11"/>
  <c r="G77" i="11"/>
  <c r="G69" i="11"/>
  <c r="G66" i="11"/>
  <c r="G70" i="11"/>
  <c r="F68" i="11"/>
  <c r="N8" i="12"/>
  <c r="O8" i="9"/>
  <c r="F50" i="11"/>
  <c r="H50" i="11"/>
  <c r="M79" i="11"/>
  <c r="O233" i="8"/>
  <c r="P227" i="8"/>
  <c r="O81" i="9"/>
  <c r="N234" i="8"/>
  <c r="O242" i="8"/>
  <c r="O243" i="8" s="1"/>
  <c r="O32" i="9" s="1"/>
  <c r="I61" i="10"/>
  <c r="I71" i="10" s="1"/>
  <c r="I40" i="10"/>
  <c r="N235" i="8"/>
  <c r="P87" i="8"/>
  <c r="O63" i="9"/>
  <c r="J75" i="11"/>
  <c r="M215" i="8"/>
  <c r="M220" i="8" s="1"/>
  <c r="M89" i="9"/>
  <c r="O66" i="9"/>
  <c r="P101" i="8"/>
  <c r="G60" i="11"/>
  <c r="O90" i="9"/>
  <c r="O216" i="8"/>
  <c r="P193" i="8"/>
  <c r="O60" i="8"/>
  <c r="O63" i="8" s="1"/>
  <c r="N60" i="9"/>
  <c r="N64" i="8"/>
  <c r="Q158" i="8"/>
  <c r="P210" i="8"/>
  <c r="P52" i="9"/>
  <c r="N134" i="9"/>
  <c r="K30" i="10"/>
  <c r="M71" i="11"/>
  <c r="L71" i="11"/>
  <c r="J99" i="9"/>
  <c r="G35" i="10"/>
  <c r="K48" i="11"/>
  <c r="K46" i="11"/>
  <c r="K55" i="11"/>
  <c r="K45" i="11"/>
  <c r="H831" i="16"/>
  <c r="H833" i="16" s="1"/>
  <c r="K59" i="11"/>
  <c r="K53" i="11"/>
  <c r="K57" i="11"/>
  <c r="K58" i="11"/>
  <c r="K47" i="11"/>
  <c r="K54" i="11"/>
  <c r="K56" i="11"/>
  <c r="K49" i="11"/>
  <c r="K44" i="11"/>
  <c r="N242" i="8"/>
  <c r="N243" i="8" s="1"/>
  <c r="N32" i="9" s="1"/>
  <c r="I60" i="11"/>
  <c r="M75" i="11"/>
  <c r="J71" i="11"/>
  <c r="O209" i="8"/>
  <c r="P162" i="8"/>
  <c r="O53" i="9"/>
  <c r="H61" i="10"/>
  <c r="H71" i="10" s="1"/>
  <c r="L79" i="11"/>
  <c r="H17" i="24"/>
  <c r="E11" i="24"/>
  <c r="E12" i="24" s="1"/>
  <c r="F10" i="24"/>
  <c r="F11" i="24" s="1"/>
  <c r="F12" i="24" s="1"/>
  <c r="F16" i="24" s="1"/>
  <c r="F23" i="24" s="1"/>
  <c r="F24" i="24" s="1"/>
  <c r="Q64" i="9"/>
  <c r="R96" i="8"/>
  <c r="P168" i="8"/>
  <c r="O167" i="8"/>
  <c r="L24" i="10"/>
  <c r="M50" i="11"/>
  <c r="N185" i="8"/>
  <c r="O186" i="8"/>
  <c r="K25" i="10"/>
  <c r="M137" i="8"/>
  <c r="N55" i="9"/>
  <c r="N103" i="9" s="1"/>
  <c r="N211" i="8"/>
  <c r="G50" i="11"/>
  <c r="N81" i="8"/>
  <c r="O77" i="8"/>
  <c r="N62" i="9"/>
  <c r="H60" i="11"/>
  <c r="M67" i="9"/>
  <c r="L75" i="11"/>
  <c r="P91" i="8"/>
  <c r="O65" i="9"/>
  <c r="M60" i="11"/>
  <c r="K71" i="11"/>
  <c r="O69" i="8"/>
  <c r="O70" i="8" s="1"/>
  <c r="O111" i="8" s="1"/>
  <c r="N71" i="8"/>
  <c r="O217" i="8"/>
  <c r="O91" i="9"/>
  <c r="P189" i="8"/>
  <c r="J34" i="10"/>
  <c r="J84" i="10" s="1"/>
  <c r="J32" i="10"/>
  <c r="O122" i="8"/>
  <c r="N125" i="8"/>
  <c r="N113" i="9"/>
  <c r="N18" i="12"/>
  <c r="N14" i="12"/>
  <c r="N134" i="8"/>
  <c r="O26" i="11"/>
  <c r="Q121" i="8"/>
  <c r="K44" i="9"/>
  <c r="K29" i="9"/>
  <c r="H52" i="10"/>
  <c r="K34" i="9"/>
  <c r="D22" i="22"/>
  <c r="D23" i="22" s="1"/>
  <c r="E13" i="12"/>
  <c r="E15" i="12" s="1"/>
  <c r="E17" i="12" s="1"/>
  <c r="E19" i="12" s="1"/>
  <c r="E23" i="12" s="1"/>
  <c r="E28" i="9"/>
  <c r="E25" i="9"/>
  <c r="H13" i="12"/>
  <c r="H15" i="12" s="1"/>
  <c r="H17" i="12" s="1"/>
  <c r="H19" i="12" s="1"/>
  <c r="H23" i="12" s="1"/>
  <c r="H28" i="9"/>
  <c r="H25" i="9"/>
  <c r="F48" i="10"/>
  <c r="I25" i="9"/>
  <c r="I28" i="9"/>
  <c r="I13" i="12"/>
  <c r="I15" i="12" s="1"/>
  <c r="I17" i="12" s="1"/>
  <c r="I19" i="12" s="1"/>
  <c r="I23" i="12" s="1"/>
  <c r="I43" i="9"/>
  <c r="G85" i="10"/>
  <c r="G86" i="10" s="1"/>
  <c r="G50" i="10"/>
  <c r="M748" i="16"/>
  <c r="J44" i="9"/>
  <c r="J29" i="9"/>
  <c r="G52" i="10"/>
  <c r="J34" i="9"/>
  <c r="G13" i="12"/>
  <c r="G15" i="12" s="1"/>
  <c r="G17" i="12" s="1"/>
  <c r="G19" i="12" s="1"/>
  <c r="G23" i="12" s="1"/>
  <c r="G28" i="9"/>
  <c r="G25" i="9"/>
  <c r="H85" i="10"/>
  <c r="H86" i="10" s="1"/>
  <c r="H50" i="10"/>
  <c r="S22" i="12" l="1"/>
  <c r="S131" i="9"/>
  <c r="I54" i="10"/>
  <c r="I89" i="10"/>
  <c r="I91" i="10" s="1"/>
  <c r="L45" i="9"/>
  <c r="L36" i="9"/>
  <c r="L39" i="9" s="1"/>
  <c r="M9" i="17"/>
  <c r="L9" i="17"/>
  <c r="P30" i="7"/>
  <c r="P32" i="7" s="1"/>
  <c r="R18" i="8" s="1"/>
  <c r="Q29" i="7"/>
  <c r="M12" i="17"/>
  <c r="L12" i="17"/>
  <c r="T22" i="12"/>
  <c r="T131" i="9"/>
  <c r="L6" i="17"/>
  <c r="K6" i="17"/>
  <c r="T62" i="8"/>
  <c r="U62" i="8" s="1"/>
  <c r="Q19" i="11"/>
  <c r="O132" i="8"/>
  <c r="P14" i="11"/>
  <c r="P15" i="11" s="1"/>
  <c r="P23" i="11" s="1"/>
  <c r="L78" i="10"/>
  <c r="O27" i="11"/>
  <c r="O15" i="9"/>
  <c r="Q21" i="11"/>
  <c r="Q20" i="11"/>
  <c r="Q13" i="11"/>
  <c r="M53" i="10"/>
  <c r="M57" i="10" s="1"/>
  <c r="M70" i="10" s="1"/>
  <c r="M74" i="10" s="1"/>
  <c r="P108" i="9"/>
  <c r="P41" i="9"/>
  <c r="P131" i="8"/>
  <c r="P107" i="9"/>
  <c r="M49" i="10"/>
  <c r="P202" i="8"/>
  <c r="Q33" i="11"/>
  <c r="N826" i="16"/>
  <c r="M45" i="10"/>
  <c r="N43" i="9"/>
  <c r="K48" i="10"/>
  <c r="R8" i="30"/>
  <c r="N13" i="12"/>
  <c r="N15" i="12" s="1"/>
  <c r="N25" i="9"/>
  <c r="P218" i="8"/>
  <c r="P230" i="8"/>
  <c r="P231" i="8" s="1"/>
  <c r="P92" i="9"/>
  <c r="P135" i="9" s="1"/>
  <c r="N28" i="9"/>
  <c r="Q173" i="8"/>
  <c r="Q248" i="8"/>
  <c r="Q249" i="8" s="1"/>
  <c r="Q33" i="9" s="1"/>
  <c r="Q198" i="8"/>
  <c r="Q197" i="8" s="1"/>
  <c r="Q13" i="9"/>
  <c r="Q19" i="8"/>
  <c r="Q26" i="8"/>
  <c r="Q19" i="9" s="1"/>
  <c r="R14" i="8"/>
  <c r="Q166" i="8"/>
  <c r="Q179" i="8" s="1"/>
  <c r="Q180" i="8" s="1"/>
  <c r="Q47" i="8"/>
  <c r="Q41" i="8"/>
  <c r="Q22" i="9" s="1"/>
  <c r="Q36" i="8"/>
  <c r="Q21" i="9" s="1"/>
  <c r="Q31" i="8"/>
  <c r="Q20" i="9" s="1"/>
  <c r="R19" i="11" s="1"/>
  <c r="P23" i="9"/>
  <c r="Q22" i="11" s="1"/>
  <c r="P51" i="8"/>
  <c r="P52" i="8" s="1"/>
  <c r="P212" i="8"/>
  <c r="P56" i="9"/>
  <c r="P106" i="9" s="1"/>
  <c r="P133" i="8"/>
  <c r="Q18" i="11"/>
  <c r="M28" i="9"/>
  <c r="M13" i="12"/>
  <c r="M15" i="12" s="1"/>
  <c r="M43" i="9"/>
  <c r="J48" i="10"/>
  <c r="Q8" i="30"/>
  <c r="M25" i="9"/>
  <c r="P172" i="8"/>
  <c r="P184" i="8"/>
  <c r="P14" i="9"/>
  <c r="O133" i="8"/>
  <c r="P136" i="8"/>
  <c r="Q31" i="11"/>
  <c r="I71" i="11"/>
  <c r="F71" i="11"/>
  <c r="I79" i="11"/>
  <c r="G75" i="11"/>
  <c r="F75" i="11"/>
  <c r="H79" i="11"/>
  <c r="L62" i="11"/>
  <c r="G79" i="11"/>
  <c r="H71" i="11"/>
  <c r="F62" i="11"/>
  <c r="I62" i="11"/>
  <c r="G71" i="11"/>
  <c r="H62" i="11"/>
  <c r="K50" i="11"/>
  <c r="M81" i="11"/>
  <c r="J81" i="11"/>
  <c r="K81" i="11"/>
  <c r="O8" i="12"/>
  <c r="P8" i="9"/>
  <c r="P203" i="8"/>
  <c r="Q204" i="8"/>
  <c r="O219" i="8"/>
  <c r="O93" i="9"/>
  <c r="O115" i="8"/>
  <c r="O123" i="8"/>
  <c r="P123" i="8" s="1"/>
  <c r="Q123" i="8" s="1"/>
  <c r="R123" i="8" s="1"/>
  <c r="S123" i="8" s="1"/>
  <c r="T123" i="8" s="1"/>
  <c r="U123" i="8" s="1"/>
  <c r="O27" i="9"/>
  <c r="O14" i="12" s="1"/>
  <c r="Q227" i="8"/>
  <c r="P81" i="9"/>
  <c r="G39" i="10"/>
  <c r="G36" i="10"/>
  <c r="L81" i="11"/>
  <c r="O134" i="9"/>
  <c r="L30" i="10"/>
  <c r="M138" i="8"/>
  <c r="M38" i="9" s="1"/>
  <c r="H72" i="10"/>
  <c r="K60" i="11"/>
  <c r="O234" i="8"/>
  <c r="K90" i="10"/>
  <c r="N114" i="9"/>
  <c r="N135" i="8"/>
  <c r="N137" i="8" s="1"/>
  <c r="N137" i="9"/>
  <c r="O30" i="11"/>
  <c r="P66" i="9"/>
  <c r="Q101" i="8"/>
  <c r="M105" i="9"/>
  <c r="M95" i="9"/>
  <c r="Q210" i="8"/>
  <c r="Q52" i="9"/>
  <c r="R158" i="8"/>
  <c r="O235" i="8"/>
  <c r="Q168" i="8"/>
  <c r="P167" i="8"/>
  <c r="M24" i="10"/>
  <c r="L90" i="10"/>
  <c r="O137" i="9"/>
  <c r="O135" i="8"/>
  <c r="P30" i="11"/>
  <c r="O114" i="9"/>
  <c r="E16" i="24"/>
  <c r="E23" i="24" s="1"/>
  <c r="E24" i="24" s="1"/>
  <c r="H7" i="24"/>
  <c r="G62" i="11"/>
  <c r="Q91" i="8"/>
  <c r="P65" i="9"/>
  <c r="P209" i="8"/>
  <c r="Q162" i="8"/>
  <c r="P53" i="9"/>
  <c r="P217" i="8"/>
  <c r="Q189" i="8"/>
  <c r="P91" i="9"/>
  <c r="N215" i="8"/>
  <c r="N220" i="8" s="1"/>
  <c r="N89" i="9"/>
  <c r="M62" i="11"/>
  <c r="P60" i="8"/>
  <c r="P63" i="8" s="1"/>
  <c r="O64" i="8"/>
  <c r="O60" i="9"/>
  <c r="Q87" i="8"/>
  <c r="P63" i="9"/>
  <c r="I72" i="10"/>
  <c r="I75" i="10"/>
  <c r="I76" i="10" s="1"/>
  <c r="P90" i="9"/>
  <c r="P216" i="8"/>
  <c r="Q193" i="8"/>
  <c r="R64" i="9"/>
  <c r="S96" i="8"/>
  <c r="P78" i="8"/>
  <c r="P79" i="8" s="1"/>
  <c r="O80" i="8"/>
  <c r="K32" i="10"/>
  <c r="K34" i="10"/>
  <c r="K84" i="10" s="1"/>
  <c r="P186" i="8"/>
  <c r="L25" i="10"/>
  <c r="O185" i="8"/>
  <c r="N72" i="8"/>
  <c r="O68" i="8"/>
  <c r="N61" i="9"/>
  <c r="N67" i="9" s="1"/>
  <c r="O55" i="9"/>
  <c r="O103" i="9" s="1"/>
  <c r="O211" i="8"/>
  <c r="N112" i="8"/>
  <c r="N114" i="8" s="1"/>
  <c r="P122" i="8"/>
  <c r="O125" i="8"/>
  <c r="R121" i="8"/>
  <c r="I34" i="9"/>
  <c r="I44" i="9"/>
  <c r="I29" i="9"/>
  <c r="F52" i="10"/>
  <c r="H34" i="9"/>
  <c r="H36" i="9" s="1"/>
  <c r="H39" i="9" s="1"/>
  <c r="F816" i="16" s="1"/>
  <c r="F818" i="16" s="1"/>
  <c r="H29" i="9"/>
  <c r="G34" i="9"/>
  <c r="G36" i="9" s="1"/>
  <c r="G39" i="9" s="1"/>
  <c r="E816" i="16" s="1"/>
  <c r="E818" i="16" s="1"/>
  <c r="G29" i="9"/>
  <c r="J45" i="9"/>
  <c r="J36" i="9"/>
  <c r="J39" i="9" s="1"/>
  <c r="E34" i="9"/>
  <c r="E36" i="9" s="1"/>
  <c r="E39" i="9" s="1"/>
  <c r="C816" i="16" s="1"/>
  <c r="C818" i="16" s="1"/>
  <c r="E29" i="9"/>
  <c r="G89" i="10"/>
  <c r="G91" i="10" s="1"/>
  <c r="G54" i="10"/>
  <c r="F85" i="10"/>
  <c r="F86" i="10" s="1"/>
  <c r="F50" i="10"/>
  <c r="K45" i="9"/>
  <c r="K36" i="9"/>
  <c r="K39" i="9" s="1"/>
  <c r="H89" i="10"/>
  <c r="H91" i="10" s="1"/>
  <c r="H54" i="10"/>
  <c r="R29" i="7" l="1"/>
  <c r="R30" i="7" s="1"/>
  <c r="R32" i="7" s="1"/>
  <c r="T18" i="8" s="1"/>
  <c r="Q30" i="7"/>
  <c r="Q32" i="7" s="1"/>
  <c r="S18" i="8" s="1"/>
  <c r="R21" i="11"/>
  <c r="I56" i="10"/>
  <c r="L46" i="9"/>
  <c r="V8" i="30"/>
  <c r="O32" i="11"/>
  <c r="O35" i="11" s="1"/>
  <c r="R20" i="11"/>
  <c r="G81" i="11"/>
  <c r="Q136" i="8"/>
  <c r="R31" i="11"/>
  <c r="N44" i="9"/>
  <c r="N29" i="9"/>
  <c r="K52" i="10"/>
  <c r="M78" i="10"/>
  <c r="P132" i="8"/>
  <c r="Q14" i="11"/>
  <c r="Q15" i="11" s="1"/>
  <c r="Q23" i="11" s="1"/>
  <c r="P233" i="8"/>
  <c r="P242" i="8" s="1"/>
  <c r="P243" i="8" s="1"/>
  <c r="P32" i="9" s="1"/>
  <c r="P137" i="9" s="1"/>
  <c r="U8" i="30"/>
  <c r="AH8" i="30"/>
  <c r="N34" i="9"/>
  <c r="N36" i="9" s="1"/>
  <c r="N112" i="9" s="1"/>
  <c r="Q23" i="9"/>
  <c r="R22" i="11" s="1"/>
  <c r="Q51" i="8"/>
  <c r="Q52" i="8" s="1"/>
  <c r="K50" i="10"/>
  <c r="K85" i="10"/>
  <c r="K86" i="10"/>
  <c r="Q212" i="8"/>
  <c r="Q56" i="9"/>
  <c r="Q106" i="9" s="1"/>
  <c r="L44" i="10"/>
  <c r="L46" i="10" s="1"/>
  <c r="O42" i="9"/>
  <c r="O16" i="9"/>
  <c r="O24" i="9"/>
  <c r="O28" i="9" s="1"/>
  <c r="O29" i="9" s="1"/>
  <c r="AG8" i="30"/>
  <c r="T8" i="30"/>
  <c r="R248" i="8"/>
  <c r="R249" i="8" s="1"/>
  <c r="R33" i="9" s="1"/>
  <c r="R13" i="9"/>
  <c r="R19" i="8"/>
  <c r="R198" i="8"/>
  <c r="R197" i="8" s="1"/>
  <c r="S14" i="8"/>
  <c r="R173" i="8"/>
  <c r="R166" i="8"/>
  <c r="R179" i="8" s="1"/>
  <c r="R180" i="8" s="1"/>
  <c r="R36" i="8"/>
  <c r="R21" i="9" s="1"/>
  <c r="R26" i="8"/>
  <c r="R19" i="9" s="1"/>
  <c r="R47" i="8"/>
  <c r="R31" i="8"/>
  <c r="R20" i="9" s="1"/>
  <c r="R41" i="8"/>
  <c r="R22" i="9" s="1"/>
  <c r="J50" i="10"/>
  <c r="J85" i="10"/>
  <c r="J86" i="10" s="1"/>
  <c r="R18" i="11"/>
  <c r="Q172" i="8"/>
  <c r="Q14" i="9"/>
  <c r="Q184" i="8"/>
  <c r="P15" i="9"/>
  <c r="Q202" i="8"/>
  <c r="Q203" i="8" s="1"/>
  <c r="Q107" i="9"/>
  <c r="N49" i="10"/>
  <c r="Q131" i="8"/>
  <c r="R33" i="11"/>
  <c r="N53" i="10"/>
  <c r="N57" i="10" s="1"/>
  <c r="N70" i="10" s="1"/>
  <c r="N74" i="10" s="1"/>
  <c r="Q108" i="9"/>
  <c r="Q41" i="9"/>
  <c r="R13" i="11"/>
  <c r="N45" i="10"/>
  <c r="M44" i="9"/>
  <c r="M29" i="9"/>
  <c r="J52" i="10"/>
  <c r="M34" i="9"/>
  <c r="M36" i="9" s="1"/>
  <c r="M112" i="9" s="1"/>
  <c r="Q218" i="8"/>
  <c r="Q230" i="8"/>
  <c r="Q231" i="8" s="1"/>
  <c r="Q92" i="9"/>
  <c r="Q135" i="9" s="1"/>
  <c r="H81" i="11"/>
  <c r="I81" i="11"/>
  <c r="F81" i="11"/>
  <c r="P26" i="11"/>
  <c r="P27" i="11" s="1"/>
  <c r="O18" i="12"/>
  <c r="O113" i="9"/>
  <c r="R204" i="8"/>
  <c r="P93" i="9"/>
  <c r="P219" i="8"/>
  <c r="W13" i="9"/>
  <c r="P8" i="12"/>
  <c r="X14" i="9"/>
  <c r="W14" i="9"/>
  <c r="X13" i="9"/>
  <c r="X22" i="9"/>
  <c r="Q8" i="9"/>
  <c r="W20" i="9"/>
  <c r="X20" i="9"/>
  <c r="W19" i="9"/>
  <c r="W22" i="9"/>
  <c r="W23" i="9"/>
  <c r="X21" i="9"/>
  <c r="X19" i="9"/>
  <c r="W21" i="9"/>
  <c r="X23" i="9"/>
  <c r="K62" i="11"/>
  <c r="P60" i="9"/>
  <c r="P64" i="8"/>
  <c r="Q60" i="8"/>
  <c r="Q63" i="8" s="1"/>
  <c r="N138" i="8"/>
  <c r="N38" i="9" s="1"/>
  <c r="S64" i="9"/>
  <c r="T96" i="8"/>
  <c r="N37" i="11"/>
  <c r="N38" i="11" s="1"/>
  <c r="M16" i="12"/>
  <c r="M17" i="12" s="1"/>
  <c r="M19" i="12" s="1"/>
  <c r="M122" i="9"/>
  <c r="Q167" i="8"/>
  <c r="N24" i="10"/>
  <c r="R168" i="8"/>
  <c r="G61" i="10"/>
  <c r="G71" i="10" s="1"/>
  <c r="G40" i="10"/>
  <c r="L32" i="10"/>
  <c r="L34" i="10"/>
  <c r="L84" i="10" s="1"/>
  <c r="Q217" i="8"/>
  <c r="R189" i="8"/>
  <c r="Q91" i="9"/>
  <c r="R193" i="8"/>
  <c r="Q90" i="9"/>
  <c r="Q216" i="8"/>
  <c r="P235" i="8"/>
  <c r="P55" i="9"/>
  <c r="P103" i="9" s="1"/>
  <c r="P211" i="8"/>
  <c r="Q209" i="8"/>
  <c r="R162" i="8"/>
  <c r="Q53" i="9"/>
  <c r="R210" i="8"/>
  <c r="S158" i="8"/>
  <c r="R52" i="9"/>
  <c r="P134" i="9"/>
  <c r="M30" i="10"/>
  <c r="Q66" i="9"/>
  <c r="R101" i="8"/>
  <c r="O81" i="8"/>
  <c r="P77" i="8"/>
  <c r="O62" i="9"/>
  <c r="N105" i="9"/>
  <c r="N95" i="9"/>
  <c r="P69" i="8"/>
  <c r="P70" i="8" s="1"/>
  <c r="P111" i="8" s="1"/>
  <c r="P27" i="9" s="1"/>
  <c r="O71" i="8"/>
  <c r="Q233" i="8"/>
  <c r="Q235" i="8" s="1"/>
  <c r="R227" i="8"/>
  <c r="Q81" i="9"/>
  <c r="P32" i="11"/>
  <c r="P35" i="11" s="1"/>
  <c r="O215" i="8"/>
  <c r="O220" i="8" s="1"/>
  <c r="O89" i="9"/>
  <c r="R91" i="8"/>
  <c r="Q65" i="9"/>
  <c r="O134" i="8"/>
  <c r="O137" i="8" s="1"/>
  <c r="O138" i="8" s="1"/>
  <c r="O38" i="9" s="1"/>
  <c r="M25" i="10"/>
  <c r="Q186" i="8"/>
  <c r="P185" i="8"/>
  <c r="R87" i="8"/>
  <c r="Q63" i="9"/>
  <c r="J15" i="10"/>
  <c r="J20" i="10"/>
  <c r="Q28" i="12"/>
  <c r="N28" i="12"/>
  <c r="L28" i="12"/>
  <c r="L30" i="12" s="1"/>
  <c r="P28" i="12"/>
  <c r="T28" i="12"/>
  <c r="U28" i="12"/>
  <c r="M28" i="12"/>
  <c r="S28" i="12"/>
  <c r="R28" i="12"/>
  <c r="O28" i="12"/>
  <c r="M139" i="8"/>
  <c r="Q122" i="8"/>
  <c r="S121" i="8"/>
  <c r="M39" i="9"/>
  <c r="H56" i="10"/>
  <c r="K46" i="9"/>
  <c r="I816" i="16"/>
  <c r="I818" i="16" s="1"/>
  <c r="G56" i="10"/>
  <c r="H816" i="16"/>
  <c r="H818" i="16" s="1"/>
  <c r="J46" i="9"/>
  <c r="I36" i="9"/>
  <c r="I39" i="9" s="1"/>
  <c r="I45" i="9"/>
  <c r="F89" i="10"/>
  <c r="F91" i="10" s="1"/>
  <c r="F54" i="10"/>
  <c r="C24" i="30" l="1"/>
  <c r="C27" i="30" s="1"/>
  <c r="C32" i="30" s="1"/>
  <c r="Y8" i="30"/>
  <c r="AI8" i="30"/>
  <c r="I58" i="10"/>
  <c r="I60" i="10"/>
  <c r="M90" i="10"/>
  <c r="S248" i="8"/>
  <c r="S249" i="8" s="1"/>
  <c r="S33" i="9" s="1"/>
  <c r="S13" i="9"/>
  <c r="S198" i="8"/>
  <c r="S197" i="8" s="1"/>
  <c r="T14" i="8"/>
  <c r="S173" i="8"/>
  <c r="S166" i="8"/>
  <c r="S179" i="8" s="1"/>
  <c r="S180" i="8" s="1"/>
  <c r="S19" i="8"/>
  <c r="S36" i="8"/>
  <c r="S21" i="9" s="1"/>
  <c r="T20" i="11" s="1"/>
  <c r="S31" i="8"/>
  <c r="S20" i="9" s="1"/>
  <c r="T19" i="11" s="1"/>
  <c r="S41" i="8"/>
  <c r="S22" i="9" s="1"/>
  <c r="T21" i="11" s="1"/>
  <c r="S26" i="8"/>
  <c r="S19" i="9" s="1"/>
  <c r="S47" i="8"/>
  <c r="P24" i="9"/>
  <c r="M44" i="10"/>
  <c r="M46" i="10" s="1"/>
  <c r="P42" i="9"/>
  <c r="P16" i="9"/>
  <c r="R92" i="9"/>
  <c r="R218" i="8"/>
  <c r="R230" i="8"/>
  <c r="R231" i="8" s="1"/>
  <c r="R172" i="8"/>
  <c r="R14" i="9"/>
  <c r="R15" i="9" s="1"/>
  <c r="R184" i="8"/>
  <c r="W15" i="9"/>
  <c r="N78" i="10"/>
  <c r="Q132" i="8"/>
  <c r="R14" i="11"/>
  <c r="R15" i="11" s="1"/>
  <c r="R23" i="11" s="1"/>
  <c r="J54" i="10"/>
  <c r="J89" i="10"/>
  <c r="J91" i="10" s="1"/>
  <c r="O45" i="10"/>
  <c r="S33" i="11"/>
  <c r="R202" i="8"/>
  <c r="R203" i="8" s="1"/>
  <c r="R131" i="8"/>
  <c r="O53" i="10"/>
  <c r="O57" i="10" s="1"/>
  <c r="O70" i="10" s="1"/>
  <c r="O74" i="10" s="1"/>
  <c r="R41" i="9"/>
  <c r="R108" i="9"/>
  <c r="O49" i="10"/>
  <c r="R107" i="9"/>
  <c r="S13" i="11"/>
  <c r="R136" i="8"/>
  <c r="S31" i="11"/>
  <c r="Q133" i="8"/>
  <c r="M45" i="9"/>
  <c r="O13" i="12"/>
  <c r="O15" i="12" s="1"/>
  <c r="L48" i="10"/>
  <c r="O25" i="9"/>
  <c r="O43" i="9"/>
  <c r="Q242" i="8"/>
  <c r="Q243" i="8" s="1"/>
  <c r="Q32" i="9" s="1"/>
  <c r="Q135" i="8" s="1"/>
  <c r="S21" i="11"/>
  <c r="W21" i="11"/>
  <c r="P234" i="8"/>
  <c r="Q30" i="11"/>
  <c r="W19" i="11"/>
  <c r="S19" i="11"/>
  <c r="P114" i="9"/>
  <c r="R23" i="9"/>
  <c r="R51" i="8"/>
  <c r="R52" i="8" s="1"/>
  <c r="K54" i="10"/>
  <c r="K89" i="10"/>
  <c r="K91" i="10" s="1"/>
  <c r="P135" i="8"/>
  <c r="X15" i="9"/>
  <c r="S18" i="11"/>
  <c r="W18" i="11"/>
  <c r="S20" i="11"/>
  <c r="W20" i="11"/>
  <c r="R212" i="8"/>
  <c r="R56" i="9"/>
  <c r="R106" i="9" s="1"/>
  <c r="Q15" i="9"/>
  <c r="N139" i="8"/>
  <c r="Q8" i="12"/>
  <c r="R8" i="9"/>
  <c r="S204" i="8"/>
  <c r="Q93" i="9"/>
  <c r="Q219" i="8"/>
  <c r="O139" i="8"/>
  <c r="P124" i="8"/>
  <c r="P125" i="8" s="1"/>
  <c r="P115" i="8"/>
  <c r="O44" i="9"/>
  <c r="Q78" i="8"/>
  <c r="Q79" i="8" s="1"/>
  <c r="P80" i="8"/>
  <c r="Q134" i="9"/>
  <c r="N30" i="10"/>
  <c r="N34" i="10" s="1"/>
  <c r="N84" i="10" s="1"/>
  <c r="O37" i="11"/>
  <c r="O38" i="11" s="1"/>
  <c r="N122" i="9"/>
  <c r="N16" i="12"/>
  <c r="N17" i="12" s="1"/>
  <c r="N19" i="12" s="1"/>
  <c r="N45" i="9"/>
  <c r="N39" i="9"/>
  <c r="S193" i="8"/>
  <c r="R90" i="9"/>
  <c r="W67" i="11" s="1"/>
  <c r="R216" i="8"/>
  <c r="O34" i="9"/>
  <c r="O36" i="9" s="1"/>
  <c r="O112" i="9" s="1"/>
  <c r="S227" i="8"/>
  <c r="R81" i="9"/>
  <c r="R217" i="8"/>
  <c r="S189" i="8"/>
  <c r="R91" i="9"/>
  <c r="W68" i="11" s="1"/>
  <c r="Q60" i="9"/>
  <c r="Q64" i="8"/>
  <c r="R60" i="8"/>
  <c r="R63" i="8" s="1"/>
  <c r="R65" i="9"/>
  <c r="S91" i="8"/>
  <c r="R66" i="9"/>
  <c r="S101" i="8"/>
  <c r="N90" i="10"/>
  <c r="Q137" i="9"/>
  <c r="Q234" i="8"/>
  <c r="M32" i="10"/>
  <c r="M34" i="10"/>
  <c r="M84" i="10" s="1"/>
  <c r="Q211" i="8"/>
  <c r="Q55" i="9"/>
  <c r="Q103" i="9" s="1"/>
  <c r="O105" i="9"/>
  <c r="O95" i="9"/>
  <c r="L52" i="10"/>
  <c r="L89" i="10" s="1"/>
  <c r="L91" i="10" s="1"/>
  <c r="S87" i="8"/>
  <c r="R63" i="9"/>
  <c r="O61" i="9"/>
  <c r="O67" i="9" s="1"/>
  <c r="O72" i="8"/>
  <c r="O112" i="8"/>
  <c r="O114" i="8" s="1"/>
  <c r="P68" i="8"/>
  <c r="T64" i="9"/>
  <c r="U96" i="8"/>
  <c r="U64" i="9" s="1"/>
  <c r="R186" i="8"/>
  <c r="Q185" i="8"/>
  <c r="N25" i="10"/>
  <c r="S210" i="8"/>
  <c r="T158" i="8"/>
  <c r="S52" i="9"/>
  <c r="G72" i="10"/>
  <c r="G75" i="10"/>
  <c r="G76" i="10" s="1"/>
  <c r="H75" i="10"/>
  <c r="H76" i="10" s="1"/>
  <c r="K15" i="10"/>
  <c r="K20" i="10"/>
  <c r="P215" i="8"/>
  <c r="P220" i="8" s="1"/>
  <c r="P89" i="9"/>
  <c r="S168" i="8"/>
  <c r="O24" i="10"/>
  <c r="R167" i="8"/>
  <c r="R209" i="8"/>
  <c r="S162" i="8"/>
  <c r="R53" i="9"/>
  <c r="W27" i="9"/>
  <c r="P134" i="8"/>
  <c r="P18" i="12"/>
  <c r="Q26" i="11"/>
  <c r="Q27" i="11" s="1"/>
  <c r="Q32" i="11" s="1"/>
  <c r="Q35" i="11" s="1"/>
  <c r="P14" i="12"/>
  <c r="P113" i="9"/>
  <c r="X27" i="9"/>
  <c r="P28" i="9"/>
  <c r="P37" i="11"/>
  <c r="P38" i="11" s="1"/>
  <c r="O122" i="9"/>
  <c r="O16" i="12"/>
  <c r="R122" i="8"/>
  <c r="T121" i="8"/>
  <c r="W8" i="30"/>
  <c r="J56" i="10"/>
  <c r="M148" i="8"/>
  <c r="M149" i="8" s="1"/>
  <c r="M46" i="9"/>
  <c r="F56" i="10"/>
  <c r="I46" i="9"/>
  <c r="G816" i="16"/>
  <c r="G818" i="16" s="1"/>
  <c r="G60" i="10"/>
  <c r="G58" i="10"/>
  <c r="H60" i="10"/>
  <c r="H58" i="10"/>
  <c r="R233" i="8" l="1"/>
  <c r="R234" i="8" s="1"/>
  <c r="I64" i="10"/>
  <c r="I66" i="10" s="1"/>
  <c r="I62" i="10"/>
  <c r="R30" i="11"/>
  <c r="Q114" i="9"/>
  <c r="R16" i="9"/>
  <c r="O44" i="10"/>
  <c r="O46" i="10" s="1"/>
  <c r="R42" i="9"/>
  <c r="R24" i="9"/>
  <c r="L50" i="10"/>
  <c r="L85" i="10"/>
  <c r="L86" i="10" s="1"/>
  <c r="P13" i="12"/>
  <c r="C54" i="12" s="1"/>
  <c r="C55" i="12" s="1"/>
  <c r="C56" i="12" s="1"/>
  <c r="P25" i="9"/>
  <c r="P43" i="9"/>
  <c r="M48" i="10"/>
  <c r="W24" i="9"/>
  <c r="X24" i="9"/>
  <c r="P137" i="8"/>
  <c r="P138" i="8" s="1"/>
  <c r="P38" i="9" s="1"/>
  <c r="S212" i="8"/>
  <c r="S56" i="9"/>
  <c r="S106" i="9" s="1"/>
  <c r="S51" i="8"/>
  <c r="S52" i="8" s="1"/>
  <c r="S23" i="9"/>
  <c r="T22" i="11" s="1"/>
  <c r="S22" i="11"/>
  <c r="W22" i="11"/>
  <c r="W23" i="11" s="1"/>
  <c r="T18" i="11"/>
  <c r="S133" i="8"/>
  <c r="Q24" i="9"/>
  <c r="Q42" i="9"/>
  <c r="Q16" i="9"/>
  <c r="N44" i="10"/>
  <c r="N46" i="10" s="1"/>
  <c r="S15" i="11"/>
  <c r="S23" i="11" s="1"/>
  <c r="S14" i="9"/>
  <c r="S184" i="8"/>
  <c r="S172" i="8"/>
  <c r="R132" i="8"/>
  <c r="S14" i="11"/>
  <c r="O78" i="10"/>
  <c r="T13" i="9"/>
  <c r="T248" i="8"/>
  <c r="T249" i="8" s="1"/>
  <c r="T33" i="9" s="1"/>
  <c r="T198" i="8"/>
  <c r="T197" i="8" s="1"/>
  <c r="U14" i="8"/>
  <c r="T173" i="8"/>
  <c r="T166" i="8"/>
  <c r="T179" i="8" s="1"/>
  <c r="T180" i="8" s="1"/>
  <c r="T19" i="8"/>
  <c r="T26" i="8"/>
  <c r="T19" i="9" s="1"/>
  <c r="T47" i="8"/>
  <c r="T36" i="8"/>
  <c r="T21" i="9" s="1"/>
  <c r="U20" i="11" s="1"/>
  <c r="T41" i="8"/>
  <c r="T22" i="9" s="1"/>
  <c r="U21" i="11" s="1"/>
  <c r="T31" i="8"/>
  <c r="T20" i="9" s="1"/>
  <c r="U19" i="11" s="1"/>
  <c r="S92" i="9"/>
  <c r="S135" i="9" s="1"/>
  <c r="S230" i="8"/>
  <c r="S231" i="8" s="1"/>
  <c r="S218" i="8"/>
  <c r="O17" i="12"/>
  <c r="O19" i="12" s="1"/>
  <c r="R133" i="8"/>
  <c r="S107" i="9"/>
  <c r="S108" i="9"/>
  <c r="S202" i="8"/>
  <c r="S131" i="8"/>
  <c r="P45" i="10"/>
  <c r="T13" i="11"/>
  <c r="P53" i="10"/>
  <c r="P57" i="10" s="1"/>
  <c r="P70" i="10" s="1"/>
  <c r="P74" i="10" s="1"/>
  <c r="T33" i="11"/>
  <c r="P49" i="10"/>
  <c r="S15" i="9"/>
  <c r="S41" i="9"/>
  <c r="R135" i="9"/>
  <c r="W69" i="11"/>
  <c r="S136" i="8"/>
  <c r="T31" i="11"/>
  <c r="O45" i="9"/>
  <c r="O39" i="9"/>
  <c r="R93" i="9"/>
  <c r="W70" i="11" s="1"/>
  <c r="R219" i="8"/>
  <c r="T204" i="8"/>
  <c r="S203" i="8"/>
  <c r="R8" i="12"/>
  <c r="S8" i="9"/>
  <c r="L54" i="10"/>
  <c r="S66" i="9"/>
  <c r="T101" i="8"/>
  <c r="T87" i="8"/>
  <c r="S63" i="9"/>
  <c r="S90" i="9"/>
  <c r="T193" i="8"/>
  <c r="S216" i="8"/>
  <c r="S65" i="9"/>
  <c r="T91" i="8"/>
  <c r="K56" i="10"/>
  <c r="N46" i="9"/>
  <c r="X8" i="30"/>
  <c r="N148" i="8"/>
  <c r="N149" i="8" s="1"/>
  <c r="N136" i="9" s="1"/>
  <c r="N142" i="9" s="1"/>
  <c r="S167" i="8"/>
  <c r="P24" i="10"/>
  <c r="T168" i="8"/>
  <c r="Q69" i="8"/>
  <c r="Q70" i="8" s="1"/>
  <c r="Q111" i="8" s="1"/>
  <c r="Q27" i="9" s="1"/>
  <c r="P71" i="8"/>
  <c r="R134" i="9"/>
  <c r="O30" i="10"/>
  <c r="O34" i="10" s="1"/>
  <c r="O84" i="10" s="1"/>
  <c r="P105" i="9"/>
  <c r="P95" i="9"/>
  <c r="S81" i="9"/>
  <c r="S233" i="8"/>
  <c r="T227" i="8"/>
  <c r="L15" i="10"/>
  <c r="L20" i="10"/>
  <c r="R60" i="9"/>
  <c r="S60" i="8"/>
  <c r="S63" i="8" s="1"/>
  <c r="R64" i="8"/>
  <c r="T210" i="8"/>
  <c r="T52" i="9"/>
  <c r="U158" i="8"/>
  <c r="R211" i="8"/>
  <c r="R55" i="9"/>
  <c r="R103" i="9" s="1"/>
  <c r="S53" i="9"/>
  <c r="S209" i="8"/>
  <c r="T162" i="8"/>
  <c r="Q215" i="8"/>
  <c r="Q220" i="8" s="1"/>
  <c r="Q89" i="9"/>
  <c r="S217" i="8"/>
  <c r="S91" i="9"/>
  <c r="T189" i="8"/>
  <c r="S186" i="8"/>
  <c r="O25" i="10"/>
  <c r="R185" i="8"/>
  <c r="Q77" i="8"/>
  <c r="P62" i="9"/>
  <c r="P81" i="8"/>
  <c r="S122" i="8"/>
  <c r="L56" i="10"/>
  <c r="O46" i="9"/>
  <c r="O148" i="8"/>
  <c r="O149" i="8" s="1"/>
  <c r="O136" i="9" s="1"/>
  <c r="O142" i="9" s="1"/>
  <c r="P34" i="9"/>
  <c r="P29" i="9"/>
  <c r="M52" i="10"/>
  <c r="P44" i="9"/>
  <c r="X28" i="9"/>
  <c r="W28" i="9"/>
  <c r="Q124" i="8"/>
  <c r="Q125" i="8" s="1"/>
  <c r="U121" i="8"/>
  <c r="M136" i="9"/>
  <c r="M142" i="9" s="1"/>
  <c r="J58" i="10"/>
  <c r="J60" i="10"/>
  <c r="J64" i="10" s="1"/>
  <c r="J66" i="10" s="1"/>
  <c r="Z8" i="30"/>
  <c r="AJ8" i="30"/>
  <c r="H64" i="10"/>
  <c r="H66" i="10" s="1"/>
  <c r="H62" i="10"/>
  <c r="G62" i="10"/>
  <c r="G64" i="10"/>
  <c r="G66" i="10" s="1"/>
  <c r="F60" i="10"/>
  <c r="F58" i="10"/>
  <c r="S242" i="8" l="1"/>
  <c r="S243" i="8" s="1"/>
  <c r="S32" i="9" s="1"/>
  <c r="S137" i="9" s="1"/>
  <c r="P15" i="12"/>
  <c r="R235" i="8"/>
  <c r="R242" i="8"/>
  <c r="R243" i="8" s="1"/>
  <c r="R32" i="9" s="1"/>
  <c r="S16" i="9"/>
  <c r="P44" i="10"/>
  <c r="P46" i="10" s="1"/>
  <c r="S42" i="9"/>
  <c r="S24" i="9"/>
  <c r="P78" i="10"/>
  <c r="S132" i="8"/>
  <c r="T14" i="11"/>
  <c r="T15" i="11" s="1"/>
  <c r="T23" i="11" s="1"/>
  <c r="U18" i="11"/>
  <c r="T133" i="8"/>
  <c r="T14" i="9"/>
  <c r="T184" i="8"/>
  <c r="T172" i="8"/>
  <c r="Q13" i="12"/>
  <c r="Q25" i="9"/>
  <c r="Q43" i="9"/>
  <c r="N48" i="10"/>
  <c r="T23" i="9"/>
  <c r="U22" i="11" s="1"/>
  <c r="T51" i="8"/>
  <c r="T52" i="8" s="1"/>
  <c r="T56" i="9"/>
  <c r="T106" i="9" s="1"/>
  <c r="T212" i="8"/>
  <c r="M50" i="10"/>
  <c r="M85" i="10"/>
  <c r="M86" i="10" s="1"/>
  <c r="U248" i="8"/>
  <c r="U249" i="8" s="1"/>
  <c r="U33" i="9" s="1"/>
  <c r="U13" i="9"/>
  <c r="U198" i="8"/>
  <c r="U197" i="8" s="1"/>
  <c r="U19" i="8"/>
  <c r="U173" i="8"/>
  <c r="U166" i="8"/>
  <c r="U179" i="8" s="1"/>
  <c r="U180" i="8" s="1"/>
  <c r="U31" i="8"/>
  <c r="U20" i="9" s="1"/>
  <c r="V19" i="11" s="1"/>
  <c r="U41" i="8"/>
  <c r="U22" i="9" s="1"/>
  <c r="V21" i="11" s="1"/>
  <c r="U47" i="8"/>
  <c r="U26" i="8"/>
  <c r="U19" i="9" s="1"/>
  <c r="U36" i="8"/>
  <c r="U21" i="9" s="1"/>
  <c r="T92" i="9"/>
  <c r="T135" i="9" s="1"/>
  <c r="T230" i="8"/>
  <c r="T231" i="8" s="1"/>
  <c r="T218" i="8"/>
  <c r="T136" i="8"/>
  <c r="U31" i="11"/>
  <c r="Q45" i="10"/>
  <c r="T131" i="8"/>
  <c r="U13" i="11"/>
  <c r="T15" i="9"/>
  <c r="T108" i="9"/>
  <c r="Q53" i="10"/>
  <c r="Q57" i="10" s="1"/>
  <c r="Q70" i="10" s="1"/>
  <c r="Q74" i="10" s="1"/>
  <c r="T41" i="9"/>
  <c r="U33" i="11"/>
  <c r="T107" i="9"/>
  <c r="T202" i="8"/>
  <c r="T203" i="8" s="1"/>
  <c r="Q49" i="10"/>
  <c r="R43" i="9"/>
  <c r="R13" i="12"/>
  <c r="R25" i="9"/>
  <c r="O48" i="10"/>
  <c r="U204" i="8"/>
  <c r="S8" i="12"/>
  <c r="T8" i="9"/>
  <c r="S93" i="9"/>
  <c r="S219" i="8"/>
  <c r="P139" i="8"/>
  <c r="Q115" i="8"/>
  <c r="T81" i="9"/>
  <c r="U227" i="8"/>
  <c r="Q24" i="10"/>
  <c r="T167" i="8"/>
  <c r="U168" i="8"/>
  <c r="AA8" i="30"/>
  <c r="AK8" i="30"/>
  <c r="Q105" i="9"/>
  <c r="Q95" i="9"/>
  <c r="T53" i="9"/>
  <c r="T209" i="8"/>
  <c r="U162" i="8"/>
  <c r="M15" i="10"/>
  <c r="M20" i="10"/>
  <c r="T90" i="9"/>
  <c r="U193" i="8"/>
  <c r="T216" i="8"/>
  <c r="S211" i="8"/>
  <c r="S55" i="9"/>
  <c r="S103" i="9" s="1"/>
  <c r="T186" i="8"/>
  <c r="S185" i="8"/>
  <c r="P25" i="10"/>
  <c r="T217" i="8"/>
  <c r="U189" i="8"/>
  <c r="T91" i="9"/>
  <c r="Q80" i="8"/>
  <c r="R78" i="8"/>
  <c r="R79" i="8" s="1"/>
  <c r="T65" i="9"/>
  <c r="U91" i="8"/>
  <c r="U65" i="9" s="1"/>
  <c r="R215" i="8"/>
  <c r="R220" i="8" s="1"/>
  <c r="R89" i="9"/>
  <c r="T63" i="9"/>
  <c r="U87" i="8"/>
  <c r="U63" i="9" s="1"/>
  <c r="S60" i="9"/>
  <c r="T60" i="8"/>
  <c r="T63" i="8" s="1"/>
  <c r="S64" i="8"/>
  <c r="K58" i="10"/>
  <c r="K60" i="10"/>
  <c r="K64" i="10" s="1"/>
  <c r="K66" i="10" s="1"/>
  <c r="S234" i="8"/>
  <c r="S235" i="8"/>
  <c r="P30" i="10"/>
  <c r="P34" i="10" s="1"/>
  <c r="P84" i="10" s="1"/>
  <c r="S134" i="9"/>
  <c r="U210" i="8"/>
  <c r="U52" i="9"/>
  <c r="Q68" i="8"/>
  <c r="P72" i="8"/>
  <c r="P61" i="9"/>
  <c r="P67" i="9" s="1"/>
  <c r="P112" i="8"/>
  <c r="P114" i="8" s="1"/>
  <c r="T66" i="9"/>
  <c r="U101" i="8"/>
  <c r="U66" i="9" s="1"/>
  <c r="P90" i="10"/>
  <c r="T122" i="8"/>
  <c r="Q14" i="12"/>
  <c r="Q113" i="9"/>
  <c r="R26" i="11"/>
  <c r="R27" i="11" s="1"/>
  <c r="R32" i="11" s="1"/>
  <c r="R35" i="11" s="1"/>
  <c r="Q134" i="8"/>
  <c r="Q137" i="8" s="1"/>
  <c r="Q18" i="12"/>
  <c r="Q28" i="9"/>
  <c r="M54" i="10"/>
  <c r="M89" i="10"/>
  <c r="M91" i="10" s="1"/>
  <c r="P36" i="9"/>
  <c r="W34" i="9"/>
  <c r="X34" i="9"/>
  <c r="W38" i="9"/>
  <c r="Q37" i="11"/>
  <c r="Q38" i="11" s="1"/>
  <c r="P16" i="12"/>
  <c r="P122" i="9"/>
  <c r="X38" i="9"/>
  <c r="P45" i="9"/>
  <c r="L58" i="10"/>
  <c r="L60" i="10"/>
  <c r="L64" i="10" s="1"/>
  <c r="L66" i="10" s="1"/>
  <c r="M150" i="8"/>
  <c r="M75" i="9" s="1"/>
  <c r="N147" i="8" s="1"/>
  <c r="N150" i="8" s="1"/>
  <c r="N75" i="9" s="1"/>
  <c r="F64" i="10"/>
  <c r="F66" i="10" s="1"/>
  <c r="F62" i="10"/>
  <c r="S135" i="8" l="1"/>
  <c r="P17" i="12"/>
  <c r="P19" i="12" s="1"/>
  <c r="S114" i="9"/>
  <c r="T30" i="11"/>
  <c r="O90" i="10"/>
  <c r="R137" i="9"/>
  <c r="S30" i="11"/>
  <c r="R135" i="8"/>
  <c r="R114" i="9"/>
  <c r="U56" i="9"/>
  <c r="U106" i="9" s="1"/>
  <c r="U212" i="8"/>
  <c r="U23" i="9"/>
  <c r="V22" i="11" s="1"/>
  <c r="U51" i="8"/>
  <c r="U52" i="8" s="1"/>
  <c r="N50" i="10"/>
  <c r="N85" i="10"/>
  <c r="N86" i="10" s="1"/>
  <c r="Q15" i="12"/>
  <c r="Q44" i="10"/>
  <c r="Q46" i="10" s="1"/>
  <c r="T42" i="9"/>
  <c r="T16" i="9"/>
  <c r="T24" i="9"/>
  <c r="U184" i="8"/>
  <c r="U14" i="9"/>
  <c r="U172" i="8"/>
  <c r="U92" i="9"/>
  <c r="U135" i="9" s="1"/>
  <c r="U218" i="8"/>
  <c r="U230" i="8"/>
  <c r="U231" i="8" s="1"/>
  <c r="Q78" i="10"/>
  <c r="T132" i="8"/>
  <c r="U14" i="11"/>
  <c r="U15" i="11" s="1"/>
  <c r="U23" i="11" s="1"/>
  <c r="U131" i="8"/>
  <c r="V13" i="11"/>
  <c r="R49" i="10"/>
  <c r="U202" i="8"/>
  <c r="U203" i="8" s="1"/>
  <c r="U41" i="9"/>
  <c r="R53" i="10"/>
  <c r="R57" i="10" s="1"/>
  <c r="R70" i="10" s="1"/>
  <c r="R74" i="10" s="1"/>
  <c r="U108" i="9"/>
  <c r="V33" i="11"/>
  <c r="R45" i="10"/>
  <c r="U107" i="9"/>
  <c r="V31" i="11"/>
  <c r="U136" i="8"/>
  <c r="O50" i="10"/>
  <c r="O85" i="10"/>
  <c r="O86" i="10" s="1"/>
  <c r="S13" i="12"/>
  <c r="S43" i="9"/>
  <c r="S25" i="9"/>
  <c r="P48" i="10"/>
  <c r="V20" i="11"/>
  <c r="T233" i="8"/>
  <c r="T234" i="8" s="1"/>
  <c r="V18" i="11"/>
  <c r="U8" i="9"/>
  <c r="U8" i="12" s="1"/>
  <c r="T8" i="12"/>
  <c r="T93" i="9"/>
  <c r="T219" i="8"/>
  <c r="R69" i="8"/>
  <c r="R70" i="8" s="1"/>
  <c r="Q71" i="8"/>
  <c r="R77" i="8"/>
  <c r="Q81" i="8"/>
  <c r="Q62" i="9"/>
  <c r="N15" i="10"/>
  <c r="N20" i="10"/>
  <c r="S215" i="8"/>
  <c r="S220" i="8" s="1"/>
  <c r="S89" i="9"/>
  <c r="R24" i="10"/>
  <c r="U167" i="8"/>
  <c r="R111" i="8"/>
  <c r="R115" i="8" s="1"/>
  <c r="T185" i="8"/>
  <c r="Q25" i="10"/>
  <c r="U186" i="8"/>
  <c r="T211" i="8"/>
  <c r="T55" i="9"/>
  <c r="T103" i="9" s="1"/>
  <c r="U53" i="9"/>
  <c r="U209" i="8"/>
  <c r="Q30" i="10"/>
  <c r="Q34" i="10" s="1"/>
  <c r="Q84" i="10" s="1"/>
  <c r="T134" i="9"/>
  <c r="T60" i="9"/>
  <c r="U60" i="8"/>
  <c r="U63" i="8" s="1"/>
  <c r="T64" i="8"/>
  <c r="U81" i="9"/>
  <c r="R105" i="9"/>
  <c r="W66" i="11"/>
  <c r="W71" i="11" s="1"/>
  <c r="R95" i="9"/>
  <c r="U91" i="9"/>
  <c r="U217" i="8"/>
  <c r="U90" i="9"/>
  <c r="U216" i="8"/>
  <c r="P39" i="9"/>
  <c r="P112" i="9"/>
  <c r="Q29" i="9"/>
  <c r="N52" i="10"/>
  <c r="Q44" i="9"/>
  <c r="Q34" i="9"/>
  <c r="Q36" i="9" s="1"/>
  <c r="U122" i="8"/>
  <c r="Q138" i="8"/>
  <c r="Q38" i="9" s="1"/>
  <c r="M76" i="9"/>
  <c r="M85" i="9" s="1"/>
  <c r="M97" i="9" s="1"/>
  <c r="N76" i="9"/>
  <c r="O147" i="8"/>
  <c r="O150" i="8" s="1"/>
  <c r="O75" i="9" s="1"/>
  <c r="U133" i="8" l="1"/>
  <c r="U219" i="8"/>
  <c r="U93" i="9"/>
  <c r="R78" i="10"/>
  <c r="U132" i="8"/>
  <c r="V14" i="11"/>
  <c r="T235" i="8"/>
  <c r="T242" i="8"/>
  <c r="T243" i="8" s="1"/>
  <c r="T32" i="9" s="1"/>
  <c r="T43" i="9"/>
  <c r="T25" i="9"/>
  <c r="Q48" i="10"/>
  <c r="T13" i="12"/>
  <c r="P50" i="10"/>
  <c r="P85" i="10"/>
  <c r="P86" i="10" s="1"/>
  <c r="U15" i="9"/>
  <c r="V15" i="11"/>
  <c r="V23" i="11" s="1"/>
  <c r="U233" i="8"/>
  <c r="U242" i="8" s="1"/>
  <c r="U243" i="8" s="1"/>
  <c r="U32" i="9" s="1"/>
  <c r="N31" i="10"/>
  <c r="N32" i="10" s="1"/>
  <c r="R27" i="9"/>
  <c r="S26" i="11" s="1"/>
  <c r="S27" i="11" s="1"/>
  <c r="S32" i="11" s="1"/>
  <c r="S35" i="11" s="1"/>
  <c r="U60" i="9"/>
  <c r="U64" i="8"/>
  <c r="Q112" i="8"/>
  <c r="Q114" i="8" s="1"/>
  <c r="Q72" i="8"/>
  <c r="R68" i="8"/>
  <c r="Q61" i="9"/>
  <c r="Q67" i="9" s="1"/>
  <c r="S105" i="9"/>
  <c r="S95" i="9"/>
  <c r="U211" i="8"/>
  <c r="U55" i="9"/>
  <c r="U103" i="9" s="1"/>
  <c r="R30" i="10"/>
  <c r="R34" i="10" s="1"/>
  <c r="R84" i="10" s="1"/>
  <c r="U134" i="9"/>
  <c r="Q139" i="8"/>
  <c r="U185" i="8"/>
  <c r="R25" i="10"/>
  <c r="O15" i="10"/>
  <c r="O20" i="10"/>
  <c r="R124" i="8"/>
  <c r="R125" i="8" s="1"/>
  <c r="T215" i="8"/>
  <c r="T220" i="8" s="1"/>
  <c r="T89" i="9"/>
  <c r="R80" i="8"/>
  <c r="S78" i="8"/>
  <c r="S79" i="8" s="1"/>
  <c r="W39" i="9"/>
  <c r="P148" i="8"/>
  <c r="P149" i="8" s="1"/>
  <c r="P136" i="9" s="1"/>
  <c r="P142" i="9" s="1"/>
  <c r="M56" i="10"/>
  <c r="P46" i="9"/>
  <c r="X39" i="9"/>
  <c r="R37" i="11"/>
  <c r="R38" i="11" s="1"/>
  <c r="Q45" i="9"/>
  <c r="Q16" i="12"/>
  <c r="Q17" i="12" s="1"/>
  <c r="Q19" i="12" s="1"/>
  <c r="Q122" i="9"/>
  <c r="Q39" i="9"/>
  <c r="Q112" i="9"/>
  <c r="N54" i="10"/>
  <c r="N89" i="10"/>
  <c r="N91" i="10" s="1"/>
  <c r="N85" i="9"/>
  <c r="N97" i="9" s="1"/>
  <c r="O31" i="10"/>
  <c r="O76" i="9"/>
  <c r="P147" i="8"/>
  <c r="N70" i="11"/>
  <c r="N69" i="11"/>
  <c r="N67" i="11"/>
  <c r="N68" i="11"/>
  <c r="N77" i="11"/>
  <c r="N73" i="11"/>
  <c r="N74" i="11"/>
  <c r="N66" i="11"/>
  <c r="N78" i="11"/>
  <c r="R44" i="10" l="1"/>
  <c r="R46" i="10" s="1"/>
  <c r="U42" i="9"/>
  <c r="U16" i="9"/>
  <c r="U24" i="9"/>
  <c r="Q50" i="10"/>
  <c r="Q85" i="10"/>
  <c r="Q86" i="10" s="1"/>
  <c r="Q90" i="10"/>
  <c r="T137" i="9"/>
  <c r="U30" i="11"/>
  <c r="T114" i="9"/>
  <c r="T135" i="8"/>
  <c r="U234" i="8"/>
  <c r="U235" i="8"/>
  <c r="N38" i="10"/>
  <c r="N65" i="10" s="1"/>
  <c r="U215" i="8"/>
  <c r="U220" i="8" s="1"/>
  <c r="U89" i="9"/>
  <c r="R28" i="9"/>
  <c r="O52" i="10" s="1"/>
  <c r="R18" i="12"/>
  <c r="P15" i="10"/>
  <c r="P20" i="10"/>
  <c r="R134" i="8"/>
  <c r="R137" i="8" s="1"/>
  <c r="R138" i="8" s="1"/>
  <c r="R38" i="9" s="1"/>
  <c r="R113" i="9"/>
  <c r="R14" i="12"/>
  <c r="R15" i="12" s="1"/>
  <c r="S77" i="8"/>
  <c r="R62" i="9"/>
  <c r="R81" i="8"/>
  <c r="R71" i="8"/>
  <c r="S69" i="8"/>
  <c r="S70" i="8" s="1"/>
  <c r="S111" i="8" s="1"/>
  <c r="S115" i="8" s="1"/>
  <c r="T95" i="9"/>
  <c r="T105" i="9"/>
  <c r="P150" i="8"/>
  <c r="P75" i="9" s="1"/>
  <c r="P76" i="9" s="1"/>
  <c r="U137" i="9"/>
  <c r="V30" i="11"/>
  <c r="U114" i="9"/>
  <c r="R90" i="10"/>
  <c r="U135" i="8"/>
  <c r="N71" i="11"/>
  <c r="N56" i="10"/>
  <c r="Q148" i="8"/>
  <c r="Q149" i="8" s="1"/>
  <c r="Q136" i="9" s="1"/>
  <c r="Q142" i="9" s="1"/>
  <c r="Q46" i="9"/>
  <c r="M58" i="10"/>
  <c r="M60" i="10"/>
  <c r="M64" i="10" s="1"/>
  <c r="M66" i="10" s="1"/>
  <c r="N79" i="11"/>
  <c r="O85" i="9"/>
  <c r="O97" i="9" s="1"/>
  <c r="P31" i="10"/>
  <c r="N75" i="11"/>
  <c r="O32" i="10"/>
  <c r="O38" i="10"/>
  <c r="O65" i="10" s="1"/>
  <c r="O70" i="11"/>
  <c r="O69" i="11"/>
  <c r="O68" i="11"/>
  <c r="O67" i="11"/>
  <c r="O73" i="11"/>
  <c r="O66" i="11"/>
  <c r="O77" i="11"/>
  <c r="O74" i="11"/>
  <c r="O78" i="11"/>
  <c r="R29" i="9" l="1"/>
  <c r="R44" i="9"/>
  <c r="R34" i="9"/>
  <c r="R36" i="9" s="1"/>
  <c r="R39" i="9" s="1"/>
  <c r="U43" i="9"/>
  <c r="U13" i="12"/>
  <c r="U25" i="9"/>
  <c r="R48" i="10"/>
  <c r="W75" i="9"/>
  <c r="X75" i="9"/>
  <c r="Q147" i="8"/>
  <c r="Q150" i="8" s="1"/>
  <c r="Q75" i="9" s="1"/>
  <c r="R147" i="8" s="1"/>
  <c r="Q15" i="10"/>
  <c r="Q20" i="10"/>
  <c r="S80" i="8"/>
  <c r="T78" i="8"/>
  <c r="T79" i="8" s="1"/>
  <c r="U95" i="9"/>
  <c r="U105" i="9"/>
  <c r="R112" i="8"/>
  <c r="R114" i="8" s="1"/>
  <c r="R72" i="8"/>
  <c r="S68" i="8"/>
  <c r="R61" i="9"/>
  <c r="S124" i="8"/>
  <c r="S125" i="8" s="1"/>
  <c r="S27" i="9"/>
  <c r="T26" i="11" s="1"/>
  <c r="T27" i="11" s="1"/>
  <c r="T32" i="11" s="1"/>
  <c r="T35" i="11" s="1"/>
  <c r="R139" i="8"/>
  <c r="R122" i="9"/>
  <c r="S37" i="11"/>
  <c r="S38" i="11" s="1"/>
  <c r="R16" i="12"/>
  <c r="R17" i="12" s="1"/>
  <c r="R19" i="12" s="1"/>
  <c r="R45" i="9"/>
  <c r="O54" i="10"/>
  <c r="O89" i="10"/>
  <c r="O91" i="10" s="1"/>
  <c r="N60" i="10"/>
  <c r="N64" i="10" s="1"/>
  <c r="N66" i="10" s="1"/>
  <c r="N58" i="10"/>
  <c r="P38" i="10"/>
  <c r="P65" i="10" s="1"/>
  <c r="P32" i="10"/>
  <c r="O75" i="11"/>
  <c r="O79" i="11"/>
  <c r="P85" i="9"/>
  <c r="P97" i="9" s="1"/>
  <c r="Q31" i="10"/>
  <c r="P70" i="11"/>
  <c r="P66" i="11"/>
  <c r="P69" i="11"/>
  <c r="P68" i="11"/>
  <c r="P67" i="11"/>
  <c r="P77" i="11"/>
  <c r="P74" i="11"/>
  <c r="P73" i="11"/>
  <c r="P78" i="11"/>
  <c r="O71" i="11"/>
  <c r="N81" i="11"/>
  <c r="R112" i="9" l="1"/>
  <c r="R85" i="10"/>
  <c r="R86" i="10" s="1"/>
  <c r="R50" i="10"/>
  <c r="S113" i="9"/>
  <c r="Q76" i="9"/>
  <c r="Q85" i="9" s="1"/>
  <c r="Q97" i="9" s="1"/>
  <c r="S14" i="12"/>
  <c r="S15" i="12" s="1"/>
  <c r="S134" i="8"/>
  <c r="S137" i="8" s="1"/>
  <c r="S138" i="8" s="1"/>
  <c r="S38" i="9" s="1"/>
  <c r="R15" i="10"/>
  <c r="R20" i="10"/>
  <c r="R67" i="9"/>
  <c r="W54" i="11" s="1"/>
  <c r="T69" i="8"/>
  <c r="T70" i="8" s="1"/>
  <c r="T111" i="8" s="1"/>
  <c r="T124" i="8" s="1"/>
  <c r="T125" i="8" s="1"/>
  <c r="S71" i="8"/>
  <c r="S62" i="9"/>
  <c r="S81" i="8"/>
  <c r="T77" i="8"/>
  <c r="S28" i="9"/>
  <c r="P52" i="10" s="1"/>
  <c r="S18" i="12"/>
  <c r="R46" i="9"/>
  <c r="R148" i="8"/>
  <c r="R149" i="8" s="1"/>
  <c r="R136" i="9" s="1"/>
  <c r="R142" i="9" s="1"/>
  <c r="O56" i="10"/>
  <c r="P79" i="11"/>
  <c r="O81" i="11"/>
  <c r="Q77" i="11"/>
  <c r="Q69" i="11"/>
  <c r="Q68" i="11"/>
  <c r="Q66" i="11"/>
  <c r="Q67" i="11"/>
  <c r="Q74" i="11"/>
  <c r="Q73" i="11"/>
  <c r="Q70" i="11"/>
  <c r="Q78" i="11"/>
  <c r="P71" i="11"/>
  <c r="Q38" i="10"/>
  <c r="Q65" i="10" s="1"/>
  <c r="Q32" i="10"/>
  <c r="P75" i="11"/>
  <c r="R31" i="10" l="1"/>
  <c r="T27" i="9"/>
  <c r="T14" i="12" s="1"/>
  <c r="T15" i="12" s="1"/>
  <c r="T115" i="8"/>
  <c r="T80" i="8"/>
  <c r="U78" i="8"/>
  <c r="U79" i="8" s="1"/>
  <c r="S29" i="9"/>
  <c r="S44" i="9"/>
  <c r="S34" i="9"/>
  <c r="S36" i="9" s="1"/>
  <c r="S61" i="9"/>
  <c r="S67" i="9" s="1"/>
  <c r="T68" i="8"/>
  <c r="S72" i="8"/>
  <c r="S112" i="8"/>
  <c r="S114" i="8" s="1"/>
  <c r="Q75" i="11"/>
  <c r="R150" i="8"/>
  <c r="R75" i="9" s="1"/>
  <c r="S39" i="9"/>
  <c r="S112" i="9"/>
  <c r="T37" i="11"/>
  <c r="T38" i="11" s="1"/>
  <c r="S16" i="12"/>
  <c r="S17" i="12" s="1"/>
  <c r="S19" i="12" s="1"/>
  <c r="S122" i="9"/>
  <c r="P89" i="10"/>
  <c r="P91" i="10" s="1"/>
  <c r="P54" i="10"/>
  <c r="O60" i="10"/>
  <c r="O64" i="10" s="1"/>
  <c r="O66" i="10" s="1"/>
  <c r="O58" i="10"/>
  <c r="S139" i="8"/>
  <c r="P81" i="11"/>
  <c r="Q71" i="11"/>
  <c r="R38" i="10"/>
  <c r="R65" i="10" s="1"/>
  <c r="R32" i="10"/>
  <c r="R69" i="11"/>
  <c r="R74" i="11"/>
  <c r="R68" i="11"/>
  <c r="R67" i="11"/>
  <c r="R77" i="11"/>
  <c r="R66" i="11"/>
  <c r="R73" i="11"/>
  <c r="R70" i="11"/>
  <c r="R78" i="11"/>
  <c r="Q79" i="11"/>
  <c r="T28" i="9" l="1"/>
  <c r="T18" i="12"/>
  <c r="U26" i="11"/>
  <c r="U27" i="11" s="1"/>
  <c r="U32" i="11" s="1"/>
  <c r="U35" i="11" s="1"/>
  <c r="T113" i="9"/>
  <c r="T134" i="8"/>
  <c r="T137" i="8" s="1"/>
  <c r="T138" i="8" s="1"/>
  <c r="T38" i="9" s="1"/>
  <c r="S45" i="9"/>
  <c r="T62" i="9"/>
  <c r="T81" i="8"/>
  <c r="U77" i="8"/>
  <c r="U80" i="8" s="1"/>
  <c r="T71" i="8"/>
  <c r="U69" i="8"/>
  <c r="U70" i="8" s="1"/>
  <c r="U111" i="8" s="1"/>
  <c r="T112" i="8"/>
  <c r="T114" i="8" s="1"/>
  <c r="S147" i="8"/>
  <c r="R76" i="9"/>
  <c r="R85" i="9" s="1"/>
  <c r="R97" i="9" s="1"/>
  <c r="T34" i="9"/>
  <c r="T36" i="9" s="1"/>
  <c r="Q52" i="10"/>
  <c r="T44" i="9"/>
  <c r="T29" i="9"/>
  <c r="P56" i="10"/>
  <c r="S148" i="8"/>
  <c r="S46" i="9"/>
  <c r="R79" i="11"/>
  <c r="R75" i="11"/>
  <c r="R71" i="11"/>
  <c r="Q81" i="11"/>
  <c r="U124" i="8" l="1"/>
  <c r="U125" i="8" s="1"/>
  <c r="U115" i="8"/>
  <c r="U27" i="9"/>
  <c r="U68" i="8"/>
  <c r="U71" i="8" s="1"/>
  <c r="T72" i="8"/>
  <c r="T61" i="9"/>
  <c r="T67" i="9" s="1"/>
  <c r="S68" i="11"/>
  <c r="S67" i="11"/>
  <c r="S66" i="11"/>
  <c r="S77" i="11"/>
  <c r="S70" i="11"/>
  <c r="S78" i="11"/>
  <c r="S74" i="11"/>
  <c r="S73" i="11"/>
  <c r="S69" i="11"/>
  <c r="U62" i="9"/>
  <c r="U81" i="8"/>
  <c r="T139" i="8"/>
  <c r="S149" i="8"/>
  <c r="S136" i="9" s="1"/>
  <c r="S142" i="9" s="1"/>
  <c r="P60" i="10"/>
  <c r="P64" i="10" s="1"/>
  <c r="P66" i="10" s="1"/>
  <c r="P58" i="10"/>
  <c r="T122" i="9"/>
  <c r="T16" i="12"/>
  <c r="T17" i="12" s="1"/>
  <c r="T19" i="12" s="1"/>
  <c r="U37" i="11"/>
  <c r="U38" i="11" s="1"/>
  <c r="T45" i="9"/>
  <c r="Q89" i="10"/>
  <c r="Q91" i="10" s="1"/>
  <c r="Q54" i="10"/>
  <c r="T112" i="9"/>
  <c r="T39" i="9"/>
  <c r="R81" i="11"/>
  <c r="S75" i="11" l="1"/>
  <c r="S150" i="8"/>
  <c r="S75" i="9" s="1"/>
  <c r="T147" i="8" s="1"/>
  <c r="U112" i="8"/>
  <c r="U114" i="8" s="1"/>
  <c r="U72" i="8"/>
  <c r="U61" i="9"/>
  <c r="U67" i="9" s="1"/>
  <c r="V26" i="11"/>
  <c r="V27" i="11" s="1"/>
  <c r="V32" i="11" s="1"/>
  <c r="V35" i="11" s="1"/>
  <c r="U14" i="12"/>
  <c r="U15" i="12" s="1"/>
  <c r="U134" i="8"/>
  <c r="U137" i="8" s="1"/>
  <c r="U113" i="9"/>
  <c r="U18" i="12"/>
  <c r="U28" i="9"/>
  <c r="S79" i="11"/>
  <c r="S71" i="11"/>
  <c r="Q56" i="10"/>
  <c r="T148" i="8"/>
  <c r="T149" i="8" s="1"/>
  <c r="T136" i="9" s="1"/>
  <c r="T142" i="9" s="1"/>
  <c r="T46" i="9"/>
  <c r="S81" i="11" l="1"/>
  <c r="S76" i="9"/>
  <c r="S85" i="9" s="1"/>
  <c r="S97" i="9" s="1"/>
  <c r="T77" i="11" s="1"/>
  <c r="U138" i="8"/>
  <c r="U38" i="9" s="1"/>
  <c r="T150" i="8"/>
  <c r="T75" i="9" s="1"/>
  <c r="U147" i="8" s="1"/>
  <c r="U34" i="9"/>
  <c r="U36" i="9" s="1"/>
  <c r="R52" i="10"/>
  <c r="U44" i="9"/>
  <c r="U29" i="9"/>
  <c r="Q60" i="10"/>
  <c r="Q64" i="10" s="1"/>
  <c r="Q66" i="10" s="1"/>
  <c r="Q58" i="10"/>
  <c r="T78" i="11" l="1"/>
  <c r="T79" i="11" s="1"/>
  <c r="T74" i="11"/>
  <c r="T67" i="11"/>
  <c r="T68" i="11"/>
  <c r="T73" i="11"/>
  <c r="T69" i="11"/>
  <c r="T66" i="11"/>
  <c r="T70" i="11"/>
  <c r="U112" i="9"/>
  <c r="U39" i="9"/>
  <c r="U139" i="8"/>
  <c r="T76" i="9"/>
  <c r="T85" i="9" s="1"/>
  <c r="T97" i="9" s="1"/>
  <c r="U78" i="11" s="1"/>
  <c r="R54" i="10"/>
  <c r="R89" i="10"/>
  <c r="R91" i="10" s="1"/>
  <c r="V37" i="11"/>
  <c r="V38" i="11" s="1"/>
  <c r="U45" i="9"/>
  <c r="U16" i="12"/>
  <c r="U17" i="12" s="1"/>
  <c r="U19" i="12" s="1"/>
  <c r="U122" i="9"/>
  <c r="T75" i="11" l="1"/>
  <c r="T81" i="11" s="1"/>
  <c r="U66" i="11"/>
  <c r="T71" i="11"/>
  <c r="U73" i="11"/>
  <c r="U77" i="11"/>
  <c r="U79" i="11" s="1"/>
  <c r="U70" i="11"/>
  <c r="U68" i="11"/>
  <c r="U74" i="11"/>
  <c r="U148" i="8"/>
  <c r="U46" i="9"/>
  <c r="R56" i="10"/>
  <c r="U67" i="11"/>
  <c r="U69" i="11"/>
  <c r="U75" i="11" l="1"/>
  <c r="U71" i="11"/>
  <c r="U81" i="11" s="1"/>
  <c r="U149" i="8"/>
  <c r="U136" i="9" s="1"/>
  <c r="U142" i="9" s="1"/>
  <c r="R60" i="10"/>
  <c r="R64" i="10" s="1"/>
  <c r="R66" i="10" s="1"/>
  <c r="R58" i="10"/>
  <c r="U150" i="8" l="1"/>
  <c r="U75" i="9" s="1"/>
  <c r="U76" i="9" l="1"/>
  <c r="U85" i="9" s="1"/>
  <c r="U97" i="9" s="1"/>
  <c r="V67" i="11" l="1"/>
  <c r="V74" i="11"/>
  <c r="V69" i="11"/>
  <c r="V77" i="11"/>
  <c r="V73" i="11"/>
  <c r="V66" i="11"/>
  <c r="V68" i="11"/>
  <c r="V70" i="11"/>
  <c r="V78" i="11"/>
  <c r="V75" i="11" l="1"/>
  <c r="V71" i="11"/>
  <c r="V79" i="11"/>
  <c r="V81" i="11" l="1"/>
  <c r="K76" i="10"/>
  <c r="K75" i="10"/>
  <c r="O80" i="10"/>
  <c r="O79" i="10"/>
  <c r="O19" i="10"/>
  <c r="Q26" i="10"/>
  <c r="Q23" i="10"/>
  <c r="K71" i="10"/>
  <c r="K72" i="10"/>
  <c r="O26" i="10"/>
  <c r="O23" i="10"/>
  <c r="R60" i="11"/>
  <c r="R53" i="11"/>
  <c r="Q72" i="10"/>
  <c r="M223" i="8"/>
  <c r="L16" i="10"/>
  <c r="L14" i="10"/>
  <c r="N62" i="11"/>
  <c r="N50" i="11"/>
  <c r="N44" i="11"/>
  <c r="Q223" i="8"/>
  <c r="P80" i="10"/>
  <c r="P79" i="10"/>
  <c r="P19" i="10"/>
  <c r="R21" i="10"/>
  <c r="R18" i="10"/>
  <c r="Q71" i="10"/>
  <c r="Q75" i="10"/>
  <c r="Q76" i="10"/>
  <c r="N80" i="10"/>
  <c r="N79" i="10"/>
  <c r="N19" i="10"/>
  <c r="R16" i="10"/>
  <c r="R14" i="10"/>
  <c r="P30" i="12"/>
  <c r="P21" i="12"/>
  <c r="P23" i="12"/>
  <c r="P223" i="8"/>
  <c r="S60" i="11"/>
  <c r="S53" i="11"/>
  <c r="E28" i="26"/>
  <c r="P21" i="10"/>
  <c r="P18" i="10"/>
  <c r="K36" i="10"/>
  <c r="J36" i="10"/>
  <c r="P23" i="10"/>
  <c r="P26" i="10"/>
  <c r="P62" i="10"/>
  <c r="Q61" i="10"/>
  <c r="Q62" i="10"/>
  <c r="N223" i="8"/>
  <c r="R175" i="8"/>
  <c r="N828" i="16"/>
  <c r="N825" i="16"/>
  <c r="O30" i="12"/>
  <c r="O23" i="12"/>
  <c r="O21" i="12"/>
  <c r="N831" i="16"/>
  <c r="Q46" i="11"/>
  <c r="Q48" i="11"/>
  <c r="Q45" i="11"/>
  <c r="Q58" i="11"/>
  <c r="Q49" i="11"/>
  <c r="Q59" i="11"/>
  <c r="Q54" i="11"/>
  <c r="P99" i="9"/>
  <c r="Q56" i="11"/>
  <c r="Q55" i="11"/>
  <c r="Q57" i="11"/>
  <c r="L833" i="16"/>
  <c r="L830" i="16"/>
  <c r="J76" i="10"/>
  <c r="J75" i="10"/>
  <c r="J21" i="10"/>
  <c r="J18" i="10"/>
  <c r="R76" i="10"/>
  <c r="R75" i="10"/>
  <c r="R36" i="10"/>
  <c r="M828" i="16"/>
  <c r="M825" i="16"/>
  <c r="M104" i="9"/>
  <c r="N47" i="11"/>
  <c r="K80" i="10"/>
  <c r="K79" i="10"/>
  <c r="K19" i="10"/>
  <c r="R30" i="12"/>
  <c r="R23" i="12"/>
  <c r="R21" i="12"/>
  <c r="R26" i="10"/>
  <c r="R23" i="10"/>
  <c r="J16" i="10"/>
  <c r="J14" i="10"/>
  <c r="L72" i="10"/>
  <c r="N26" i="10"/>
  <c r="N23" i="10"/>
  <c r="O102" i="9"/>
  <c r="P60" i="11"/>
  <c r="P53" i="11"/>
  <c r="L828" i="16"/>
  <c r="L825" i="16"/>
  <c r="K833" i="16"/>
  <c r="K830" i="16"/>
  <c r="J26" i="10"/>
  <c r="J23" i="10"/>
  <c r="Q16" i="10"/>
  <c r="Q14" i="10"/>
  <c r="O145" i="9"/>
  <c r="P16" i="10"/>
  <c r="P14" i="10"/>
  <c r="C60" i="12"/>
  <c r="C59" i="12"/>
  <c r="M40" i="10"/>
  <c r="L62" i="10"/>
  <c r="R80" i="10"/>
  <c r="R79" i="10"/>
  <c r="R19" i="10"/>
  <c r="M21" i="10"/>
  <c r="M18" i="10"/>
  <c r="R104" i="9"/>
  <c r="R54" i="9"/>
  <c r="S47" i="11"/>
  <c r="N16" i="10"/>
  <c r="N14" i="10"/>
  <c r="V62" i="11"/>
  <c r="V44" i="11"/>
  <c r="V50" i="11"/>
  <c r="Q21" i="10"/>
  <c r="Q18" i="10"/>
  <c r="T62" i="11"/>
  <c r="T50" i="11"/>
  <c r="T44" i="11"/>
  <c r="N72" i="10"/>
  <c r="M23" i="10"/>
  <c r="M26" i="10"/>
  <c r="Q53" i="11"/>
  <c r="Q60" i="11"/>
  <c r="K828" i="16"/>
  <c r="K825" i="16"/>
  <c r="O40" i="10"/>
  <c r="P145" i="9"/>
  <c r="R71" i="10"/>
  <c r="R72" i="10"/>
  <c r="K21" i="10"/>
  <c r="K18" i="10"/>
  <c r="R62" i="11"/>
  <c r="R50" i="11"/>
  <c r="R44" i="11"/>
  <c r="R47" i="11"/>
  <c r="Q54" i="9"/>
  <c r="Q104" i="9"/>
  <c r="O44" i="11"/>
  <c r="O50" i="11"/>
  <c r="O62" i="11"/>
  <c r="T223" i="8"/>
  <c r="K23" i="10"/>
  <c r="K26" i="10"/>
  <c r="U44" i="11"/>
  <c r="U50" i="11"/>
  <c r="U62" i="11"/>
  <c r="L61" i="10"/>
  <c r="L71" i="10"/>
  <c r="L75" i="10"/>
  <c r="L76" i="10"/>
  <c r="U60" i="11"/>
  <c r="U53" i="11"/>
  <c r="L18" i="10"/>
  <c r="L21" i="10"/>
  <c r="P76" i="10"/>
  <c r="P75" i="10"/>
  <c r="Q175" i="8"/>
  <c r="V46" i="11"/>
  <c r="V56" i="11"/>
  <c r="V58" i="11"/>
  <c r="V59" i="11"/>
  <c r="V48" i="11"/>
  <c r="V57" i="11"/>
  <c r="V55" i="11"/>
  <c r="V45" i="11"/>
  <c r="V54" i="11"/>
  <c r="V49" i="11"/>
  <c r="U99" i="9"/>
  <c r="S223" i="8"/>
  <c r="M72" i="10"/>
  <c r="S175" i="8"/>
  <c r="K16" i="10"/>
  <c r="K14" i="10"/>
  <c r="C22" i="26"/>
  <c r="U47" i="11"/>
  <c r="T104" i="9"/>
  <c r="L39" i="10"/>
  <c r="L40" i="10"/>
  <c r="N30" i="12"/>
  <c r="N21" i="12"/>
  <c r="N23" i="12"/>
  <c r="P40" i="10"/>
  <c r="S30" i="12"/>
  <c r="S21" i="12"/>
  <c r="S23" i="12"/>
  <c r="S62" i="11"/>
  <c r="S44" i="11"/>
  <c r="S50" i="11"/>
  <c r="O16" i="10"/>
  <c r="O14" i="10"/>
  <c r="P175" i="8"/>
  <c r="O104" i="9"/>
  <c r="P47" i="11"/>
  <c r="N71" i="10"/>
  <c r="N75" i="10"/>
  <c r="N76" i="10"/>
  <c r="W60" i="11"/>
  <c r="W53" i="11"/>
  <c r="M62" i="10"/>
  <c r="Q145" i="9"/>
  <c r="U175" i="8"/>
  <c r="O76" i="10"/>
  <c r="O75" i="10"/>
  <c r="P44" i="11"/>
  <c r="P50" i="11"/>
  <c r="P62" i="11"/>
  <c r="T21" i="12"/>
  <c r="T23" i="12"/>
  <c r="T30" i="12"/>
  <c r="N833" i="16"/>
  <c r="N830" i="16"/>
  <c r="J62" i="10"/>
  <c r="R61" i="10"/>
  <c r="R62" i="10"/>
  <c r="T47" i="11"/>
  <c r="S54" i="9"/>
  <c r="S104" i="9"/>
  <c r="P104" i="9"/>
  <c r="Q47" i="11"/>
  <c r="R102" i="9"/>
  <c r="M54" i="9"/>
  <c r="J19" i="10"/>
  <c r="J79" i="10"/>
  <c r="J80" i="10"/>
  <c r="O47" i="11"/>
  <c r="N54" i="9"/>
  <c r="N104" i="9"/>
  <c r="M833" i="16"/>
  <c r="M830" i="16"/>
  <c r="T45" i="11"/>
  <c r="T59" i="11"/>
  <c r="T56" i="11"/>
  <c r="T57" i="11"/>
  <c r="T58" i="11"/>
  <c r="T54" i="11"/>
  <c r="T55" i="11"/>
  <c r="S99" i="9"/>
  <c r="T48" i="11"/>
  <c r="T46" i="11"/>
  <c r="T49" i="11"/>
  <c r="C41" i="12"/>
  <c r="C42" i="12"/>
  <c r="U30" i="12"/>
  <c r="N145" i="9"/>
  <c r="P102" i="9"/>
  <c r="T145" i="9"/>
  <c r="U145" i="9"/>
  <c r="N102" i="9"/>
  <c r="M36" i="10"/>
  <c r="Q21" i="12"/>
  <c r="Q23" i="12"/>
  <c r="Q30" i="12"/>
  <c r="L35" i="10"/>
  <c r="L36" i="10"/>
  <c r="V53" i="11"/>
  <c r="V60" i="11"/>
  <c r="R223" i="8"/>
  <c r="K61" i="10"/>
  <c r="K62" i="10"/>
  <c r="P69" i="9"/>
  <c r="M35" i="10"/>
  <c r="M39" i="10"/>
  <c r="M61" i="10"/>
  <c r="M71" i="10"/>
  <c r="M75" i="10"/>
  <c r="M76" i="10"/>
  <c r="Q39" i="10"/>
  <c r="Q40" i="10"/>
  <c r="N36" i="10"/>
  <c r="P54" i="9"/>
  <c r="M19" i="10"/>
  <c r="M79" i="10"/>
  <c r="M80" i="10"/>
  <c r="D27" i="26"/>
  <c r="D16" i="26"/>
  <c r="C21" i="26"/>
  <c r="C24" i="26"/>
  <c r="C25" i="26"/>
  <c r="M21" i="12"/>
  <c r="M23" i="12"/>
  <c r="M30" i="12"/>
  <c r="C39" i="12"/>
  <c r="C57" i="12"/>
  <c r="C58" i="12"/>
  <c r="C64" i="12"/>
  <c r="C66" i="12"/>
  <c r="C82" i="12"/>
  <c r="L23" i="10"/>
  <c r="L26" i="10"/>
  <c r="T54" i="9"/>
  <c r="Q19" i="10"/>
  <c r="Q79" i="10"/>
  <c r="Q80" i="10"/>
  <c r="N57" i="11"/>
  <c r="N46" i="11"/>
  <c r="N58" i="11"/>
  <c r="N56" i="11"/>
  <c r="N55" i="11"/>
  <c r="N54" i="11"/>
  <c r="N59" i="11"/>
  <c r="K831" i="16"/>
  <c r="N48" i="11"/>
  <c r="N49" i="11"/>
  <c r="N45" i="11"/>
  <c r="M99" i="9"/>
  <c r="P39" i="10"/>
  <c r="P61" i="10"/>
  <c r="P71" i="10"/>
  <c r="P72" i="10"/>
  <c r="U58" i="11"/>
  <c r="T99" i="9"/>
  <c r="U55" i="11"/>
  <c r="U57" i="11"/>
  <c r="U54" i="11"/>
  <c r="U56" i="11"/>
  <c r="U46" i="11"/>
  <c r="U59" i="11"/>
  <c r="U49" i="11"/>
  <c r="U48" i="11"/>
  <c r="U45" i="11"/>
  <c r="T175" i="8"/>
  <c r="L831" i="16"/>
  <c r="O56" i="11"/>
  <c r="O48" i="11"/>
  <c r="O55" i="11"/>
  <c r="O49" i="11"/>
  <c r="O45" i="11"/>
  <c r="O54" i="11"/>
  <c r="O59" i="11"/>
  <c r="O58" i="11"/>
  <c r="O57" i="11"/>
  <c r="O46" i="11"/>
  <c r="N99" i="9"/>
  <c r="O54" i="9"/>
  <c r="L19" i="10"/>
  <c r="L79" i="10"/>
  <c r="L80" i="10"/>
  <c r="M175" i="8"/>
  <c r="N175" i="8"/>
  <c r="O175" i="8"/>
  <c r="U102" i="9"/>
  <c r="R49" i="11"/>
  <c r="R48" i="11"/>
  <c r="R45" i="11"/>
  <c r="Q99" i="9"/>
  <c r="R56" i="11"/>
  <c r="R46" i="11"/>
  <c r="R58" i="11"/>
  <c r="R55" i="11"/>
  <c r="R57" i="11"/>
  <c r="R54" i="11"/>
  <c r="R59" i="11"/>
  <c r="U104" i="9"/>
  <c r="U54" i="9"/>
  <c r="V47" i="11"/>
  <c r="N40" i="10"/>
  <c r="K35" i="10"/>
  <c r="K39" i="10"/>
  <c r="K40" i="10"/>
  <c r="R145" i="9"/>
  <c r="Q102" i="9"/>
  <c r="W56" i="11"/>
  <c r="W57" i="11"/>
  <c r="R99" i="9"/>
  <c r="S56" i="11"/>
  <c r="W58" i="11"/>
  <c r="S58" i="11"/>
  <c r="W59" i="11"/>
  <c r="S55" i="11"/>
  <c r="S59" i="11"/>
  <c r="W55" i="11"/>
  <c r="S49" i="11"/>
  <c r="S48" i="11"/>
  <c r="S54" i="11"/>
  <c r="S57" i="11"/>
  <c r="S45" i="11"/>
  <c r="S46" i="11"/>
  <c r="O36" i="10"/>
  <c r="P57" i="9"/>
  <c r="M14" i="10"/>
  <c r="M16" i="10"/>
  <c r="J40" i="10"/>
  <c r="N18" i="10"/>
  <c r="N21" i="10"/>
  <c r="U223" i="8"/>
  <c r="T69" i="9"/>
  <c r="Q35" i="10"/>
  <c r="Q36" i="10"/>
  <c r="O18" i="10"/>
  <c r="O21" i="10"/>
  <c r="U123" i="9"/>
  <c r="U144" i="9"/>
  <c r="U147" i="9"/>
  <c r="U51" i="9"/>
  <c r="U57" i="9"/>
  <c r="U69" i="9"/>
  <c r="R35" i="10"/>
  <c r="R39" i="10"/>
  <c r="R40" i="10"/>
  <c r="N208" i="8"/>
  <c r="N213" i="8"/>
  <c r="N222" i="8"/>
  <c r="N121" i="9"/>
  <c r="N123" i="9"/>
  <c r="N144" i="9"/>
  <c r="N147" i="9"/>
  <c r="N51" i="9"/>
  <c r="N57" i="9"/>
  <c r="N69" i="9"/>
  <c r="O53" i="11"/>
  <c r="O60" i="11"/>
  <c r="T53" i="11"/>
  <c r="T60" i="11"/>
  <c r="M102" i="9"/>
  <c r="P208" i="8"/>
  <c r="P213" i="8"/>
  <c r="P222" i="8"/>
  <c r="P121" i="9"/>
  <c r="P123" i="9"/>
  <c r="P144" i="9"/>
  <c r="P147" i="9"/>
  <c r="P51" i="9"/>
  <c r="Q44" i="11"/>
  <c r="Q50" i="11"/>
  <c r="Q62" i="11"/>
  <c r="O223" i="8"/>
  <c r="S69" i="9"/>
  <c r="P35" i="10"/>
  <c r="P36" i="10"/>
  <c r="O62" i="10"/>
  <c r="P46" i="11"/>
  <c r="P56" i="11"/>
  <c r="P45" i="11"/>
  <c r="P59" i="11"/>
  <c r="M831" i="16"/>
  <c r="P49" i="11"/>
  <c r="P55" i="11"/>
  <c r="P54" i="11"/>
  <c r="P57" i="11"/>
  <c r="P58" i="11"/>
  <c r="P48" i="11"/>
  <c r="O208" i="8"/>
  <c r="O213" i="8"/>
  <c r="O222" i="8"/>
  <c r="O121" i="9"/>
  <c r="O123" i="9"/>
  <c r="O144" i="9"/>
  <c r="O147" i="9"/>
  <c r="O51" i="9"/>
  <c r="O57" i="9"/>
  <c r="O69" i="9"/>
  <c r="O99" i="9"/>
  <c r="Q208" i="8"/>
  <c r="Q213" i="8"/>
  <c r="Q222" i="8"/>
  <c r="Q121" i="9"/>
  <c r="Q123" i="9"/>
  <c r="Q144" i="9"/>
  <c r="Q147" i="9"/>
  <c r="Q51" i="9"/>
  <c r="Q57" i="9"/>
  <c r="Q69" i="9"/>
  <c r="N35" i="10"/>
  <c r="N39" i="10"/>
  <c r="N61" i="10"/>
  <c r="N62" i="10"/>
  <c r="J35" i="10"/>
  <c r="J39" i="10"/>
  <c r="J61" i="10"/>
  <c r="J71" i="10"/>
  <c r="J72" i="10"/>
  <c r="T208" i="8"/>
  <c r="T213" i="8"/>
  <c r="T222" i="8"/>
  <c r="T121" i="9"/>
  <c r="T123" i="9"/>
  <c r="T144" i="9"/>
  <c r="T147" i="9"/>
  <c r="T51" i="9"/>
  <c r="T57" i="9"/>
  <c r="T102" i="9"/>
  <c r="R51" i="9"/>
  <c r="R57" i="9"/>
  <c r="R69" i="9"/>
  <c r="O35" i="10"/>
  <c r="O39" i="10"/>
  <c r="O61" i="10"/>
  <c r="O71" i="10"/>
  <c r="O72" i="10"/>
  <c r="R208" i="8"/>
  <c r="R213" i="8"/>
  <c r="R222" i="8"/>
  <c r="R121" i="9"/>
  <c r="R123" i="9"/>
  <c r="R144" i="9"/>
  <c r="R147" i="9"/>
  <c r="S145" i="9"/>
  <c r="M208" i="8"/>
  <c r="M213" i="8"/>
  <c r="M222" i="8"/>
  <c r="M121" i="9"/>
  <c r="M123" i="9"/>
  <c r="M144" i="9"/>
  <c r="M147" i="9"/>
  <c r="M51" i="9"/>
  <c r="M57" i="9"/>
  <c r="M69" i="9"/>
  <c r="N53" i="11"/>
  <c r="N60" i="11"/>
  <c r="S208" i="8"/>
  <c r="S213" i="8"/>
  <c r="S222" i="8"/>
  <c r="S121" i="9"/>
  <c r="S123" i="9"/>
  <c r="S144" i="9"/>
  <c r="S147" i="9"/>
  <c r="S51" i="9"/>
  <c r="S57" i="9"/>
  <c r="S102" i="9"/>
  <c r="M176" i="8"/>
  <c r="M174" i="8"/>
  <c r="N176" i="8"/>
  <c r="N174" i="8"/>
  <c r="O176" i="8"/>
  <c r="O174" i="8"/>
  <c r="P176" i="8"/>
  <c r="P174" i="8"/>
  <c r="Q176" i="8"/>
  <c r="Q174" i="8"/>
  <c r="R176" i="8"/>
  <c r="R174" i="8"/>
  <c r="S176" i="8"/>
  <c r="S174" i="8"/>
  <c r="T176" i="8"/>
  <c r="T174" i="8"/>
  <c r="U176" i="8"/>
  <c r="U174" i="8"/>
  <c r="U208" i="8"/>
  <c r="U213" i="8"/>
  <c r="U222" i="8"/>
  <c r="U121" i="9"/>
  <c r="U21" i="12"/>
  <c r="U23" i="12"/>
  <c r="C36" i="12"/>
  <c r="C37" i="12"/>
  <c r="C38" i="12"/>
  <c r="C40" i="12"/>
  <c r="C47" i="12"/>
  <c r="C49" i="12"/>
  <c r="C71"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Vaibhav Singh Rana</author>
  </authors>
  <commentList>
    <comment ref="D10" authorId="0" shapeId="0" xr:uid="{8CD1CC9E-3A3B-45F8-8189-3EC4B2D67DD5}">
      <text>
        <r>
          <rPr>
            <b/>
            <sz val="9"/>
            <color indexed="81"/>
            <rFont val="Tahoma"/>
            <family val="2"/>
          </rPr>
          <t>Vaibhav Singh Rana:</t>
        </r>
        <r>
          <rPr>
            <sz val="9"/>
            <color indexed="81"/>
            <rFont val="Tahoma"/>
            <family val="2"/>
          </rPr>
          <t xml:space="preserve">
Taken From Trading Economics
</t>
        </r>
      </text>
    </comment>
    <comment ref="D13" authorId="0" shapeId="0" xr:uid="{B6DAE5EB-6D89-4345-BFD2-9A89AB350F2E}">
      <text>
        <r>
          <rPr>
            <b/>
            <sz val="9"/>
            <color indexed="81"/>
            <rFont val="Tahoma"/>
            <family val="2"/>
          </rPr>
          <t>Vaibhav Singh Rana:</t>
        </r>
        <r>
          <rPr>
            <sz val="9"/>
            <color indexed="81"/>
            <rFont val="Tahoma"/>
            <family val="2"/>
          </rPr>
          <t xml:space="preserve">
Taken From Dr Damodaran Website
</t>
        </r>
      </text>
    </comment>
    <comment ref="D18" authorId="0" shapeId="0" xr:uid="{4A587F1E-2047-46E7-910C-DF7BFA3E5738}">
      <text>
        <r>
          <rPr>
            <b/>
            <sz val="9"/>
            <color indexed="81"/>
            <rFont val="Tahoma"/>
            <family val="2"/>
          </rPr>
          <t>Vaibhav Singh Rana:</t>
        </r>
        <r>
          <rPr>
            <sz val="9"/>
            <color indexed="81"/>
            <rFont val="Tahoma"/>
            <family val="2"/>
          </rPr>
          <t xml:space="preserve">
Taken From Tax summaries Pwc India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<sst xmlns="http://schemas.openxmlformats.org/spreadsheetml/2006/main" count="2421" uniqueCount="1303">
  <si>
    <t>Worst Case</t>
  </si>
  <si>
    <t>Sales</t>
  </si>
  <si>
    <t>Depreciation</t>
  </si>
  <si>
    <t>Interest</t>
  </si>
  <si>
    <t>Profit before tax</t>
  </si>
  <si>
    <t>Sales Growth</t>
  </si>
  <si>
    <t>Net Block</t>
  </si>
  <si>
    <t>Capital Work in Progress</t>
  </si>
  <si>
    <t>Investments</t>
  </si>
  <si>
    <t>Debtors</t>
  </si>
  <si>
    <t>Inventory</t>
  </si>
  <si>
    <t>Debtor Days</t>
  </si>
  <si>
    <t>Return on Equity</t>
  </si>
  <si>
    <t>Other Liabilities</t>
  </si>
  <si>
    <t>Change in Inventory</t>
  </si>
  <si>
    <t>Employee Cost</t>
  </si>
  <si>
    <t>Other Expenses</t>
  </si>
  <si>
    <t>Control Sheet</t>
  </si>
  <si>
    <t>Current case:</t>
  </si>
  <si>
    <t>Actual</t>
  </si>
  <si>
    <t>In INR crores unless stated otherwise</t>
  </si>
  <si>
    <t>#</t>
  </si>
  <si>
    <t>Management case</t>
  </si>
  <si>
    <t>Best case</t>
  </si>
  <si>
    <t>Down case</t>
  </si>
  <si>
    <t>Marginal Tax Rate</t>
  </si>
  <si>
    <t>Dividend Payout %</t>
  </si>
  <si>
    <t>Total Sales</t>
  </si>
  <si>
    <t>COGS Schedule</t>
  </si>
  <si>
    <t xml:space="preserve"> </t>
  </si>
  <si>
    <t>SG&amp;A (Excluding Depreciation &amp; Interest Expenses) Schedule</t>
  </si>
  <si>
    <t>Total SG&amp;A Expenses (Excluding Depreciation &amp; Interest)</t>
  </si>
  <si>
    <t>Total SG&amp;A Expenses % of sales</t>
  </si>
  <si>
    <t>Non Current Asset Schedule</t>
  </si>
  <si>
    <t>Depreciation Schedule</t>
  </si>
  <si>
    <t>Useful Life</t>
  </si>
  <si>
    <t>Less:Depreciation</t>
  </si>
  <si>
    <t>Depreciation Waterfall Scheduel</t>
  </si>
  <si>
    <t>Total Depreciation</t>
  </si>
  <si>
    <t>Tax Expenses Schedule</t>
  </si>
  <si>
    <t>Revenue</t>
  </si>
  <si>
    <t>Less:COGS</t>
  </si>
  <si>
    <t>Less:SG&amp;A Expenses</t>
  </si>
  <si>
    <t>Less:Interest Expenses</t>
  </si>
  <si>
    <t>Earning Before Tax</t>
  </si>
  <si>
    <t>Less:Tax Expenses</t>
  </si>
  <si>
    <t>Net Income</t>
  </si>
  <si>
    <t>Add:Net Income</t>
  </si>
  <si>
    <t>Less:Dividend Paid</t>
  </si>
  <si>
    <t>Retained Earning - Ending of the year</t>
  </si>
  <si>
    <t>Dividend Payout Rate %</t>
  </si>
  <si>
    <t>Working Capital Schedule</t>
  </si>
  <si>
    <t>Debtors Days</t>
  </si>
  <si>
    <t>COGS</t>
  </si>
  <si>
    <t>Inventory Days</t>
  </si>
  <si>
    <t>Prepaid Expenses</t>
  </si>
  <si>
    <t>Other Current Assets</t>
  </si>
  <si>
    <t>Other Current Assets % of Sales</t>
  </si>
  <si>
    <t>Creditors</t>
  </si>
  <si>
    <t>Creditors Days</t>
  </si>
  <si>
    <t>Other Payable % of Sales</t>
  </si>
  <si>
    <t>other Current Liabilities</t>
  </si>
  <si>
    <t>other Current Liabilities % of Sales</t>
  </si>
  <si>
    <t>Change in working Capital</t>
  </si>
  <si>
    <t>Change in Debtors</t>
  </si>
  <si>
    <t>Change in Other Current Assets</t>
  </si>
  <si>
    <t>Change in Creditors</t>
  </si>
  <si>
    <t>Change in Other Current Liabilities</t>
  </si>
  <si>
    <t>Change in Total Current Liabilities</t>
  </si>
  <si>
    <t>Loan Schedule</t>
  </si>
  <si>
    <t>Interest Schedule</t>
  </si>
  <si>
    <t xml:space="preserve">              CAGR</t>
  </si>
  <si>
    <t xml:space="preserve">                              Actual</t>
  </si>
  <si>
    <t xml:space="preserve">                                                                      Explicit Forcast Period</t>
  </si>
  <si>
    <t>5 Year</t>
  </si>
  <si>
    <t>3 Year</t>
  </si>
  <si>
    <t>Income Statement</t>
  </si>
  <si>
    <t>Less: Cost of Goods Sold</t>
  </si>
  <si>
    <t>Gross Profit</t>
  </si>
  <si>
    <t>Less: Selling, General and Admin (SG&amp;A)</t>
  </si>
  <si>
    <t>EBITDA</t>
  </si>
  <si>
    <t>Less:Depreciation &amp; Amortization</t>
  </si>
  <si>
    <t>EBIT</t>
  </si>
  <si>
    <t>Less:Total  Interest Expenses</t>
  </si>
  <si>
    <t>Interest Expense</t>
  </si>
  <si>
    <t>EBT</t>
  </si>
  <si>
    <t>Pre-Tax Profit</t>
  </si>
  <si>
    <t>Less: Taxes</t>
  </si>
  <si>
    <t>Sales Growth %</t>
  </si>
  <si>
    <t>Gross Profit Margin %</t>
  </si>
  <si>
    <t>EBITDA Margin %</t>
  </si>
  <si>
    <t>EBIT Margin %</t>
  </si>
  <si>
    <t>Actual Tax Rate %</t>
  </si>
  <si>
    <t>Net Income Margin %</t>
  </si>
  <si>
    <t>Balance Sheet</t>
  </si>
  <si>
    <t>Assets</t>
  </si>
  <si>
    <t>Cash</t>
  </si>
  <si>
    <t>Total Current Assets</t>
  </si>
  <si>
    <t>Other Non-Current Assets</t>
  </si>
  <si>
    <t>Total Non-Current Assets</t>
  </si>
  <si>
    <t>Total Assets</t>
  </si>
  <si>
    <t>Liabilities and Shareholders' Equity</t>
  </si>
  <si>
    <t>Other Current Liabilities</t>
  </si>
  <si>
    <t>Total Current Liabilities</t>
  </si>
  <si>
    <t>Other Non-Current Liabilities</t>
  </si>
  <si>
    <t>Total Non-Current Liabilities</t>
  </si>
  <si>
    <t>Total Shareholders' Equity</t>
  </si>
  <si>
    <t>Total Liabilities and Shareholders' Equity</t>
  </si>
  <si>
    <t>Net Working Capital</t>
  </si>
  <si>
    <t>Other Current Asset % of Sales</t>
  </si>
  <si>
    <t>Other Current Liabilities % of Sales</t>
  </si>
  <si>
    <t>Cash Flow Statement</t>
  </si>
  <si>
    <t>Less:Change in Working Capital</t>
  </si>
  <si>
    <t>Net Cash Change</t>
  </si>
  <si>
    <t>Add:opening Cash Balance</t>
  </si>
  <si>
    <t>Closing Cash Balance</t>
  </si>
  <si>
    <t>Liquidity Ratio</t>
  </si>
  <si>
    <t xml:space="preserve">Current Asset </t>
  </si>
  <si>
    <t>Current Liabilities</t>
  </si>
  <si>
    <t>Current Ratio</t>
  </si>
  <si>
    <t xml:space="preserve">Inventory </t>
  </si>
  <si>
    <t>Quick Ratio</t>
  </si>
  <si>
    <t>Cash Conversion Cycle</t>
  </si>
  <si>
    <t>Leverage Ratio/Solvency Ratio</t>
  </si>
  <si>
    <t>Total Debt</t>
  </si>
  <si>
    <t>Total Equity</t>
  </si>
  <si>
    <t>Debt to Equity Ratio</t>
  </si>
  <si>
    <t>Total Asset</t>
  </si>
  <si>
    <t>Debt to Asset Ratio</t>
  </si>
  <si>
    <t>Equity Ratio</t>
  </si>
  <si>
    <t>Margin/Profitability Ratio</t>
  </si>
  <si>
    <t>Gross Margins</t>
  </si>
  <si>
    <t>EBITDA Margins</t>
  </si>
  <si>
    <t>EBIT Margins</t>
  </si>
  <si>
    <t>Net Profit</t>
  </si>
  <si>
    <t>Net Profit Margins</t>
  </si>
  <si>
    <t>Return on Asset</t>
  </si>
  <si>
    <t>Efficiency Ratio</t>
  </si>
  <si>
    <t>Asset Turnover Ratio</t>
  </si>
  <si>
    <t>Change In Revenue</t>
  </si>
  <si>
    <t>Change in Total Asset</t>
  </si>
  <si>
    <t>Reinvestment Ratio</t>
  </si>
  <si>
    <t>Inventory Turnover Ratio</t>
  </si>
  <si>
    <t>Coverage Ratio</t>
  </si>
  <si>
    <t>Debt to EBITDA Coverage Ratio</t>
  </si>
  <si>
    <t xml:space="preserve">Interest </t>
  </si>
  <si>
    <t>Interest Coverage Ratio</t>
  </si>
  <si>
    <t xml:space="preserve">   Actual</t>
  </si>
  <si>
    <t>Free cash Flow to Firm(FCFF)</t>
  </si>
  <si>
    <t>Less:Tax</t>
  </si>
  <si>
    <t>EBIT(1-T)</t>
  </si>
  <si>
    <t>Less:Reinvestment</t>
  </si>
  <si>
    <t>Change in working capital</t>
  </si>
  <si>
    <t>Free Cash Flow to Firm(FCFF)</t>
  </si>
  <si>
    <t>Discount Period(Years)</t>
  </si>
  <si>
    <t>Mid Year Convention?</t>
  </si>
  <si>
    <t>YES</t>
  </si>
  <si>
    <t>Discount Rate</t>
  </si>
  <si>
    <t>Present Value Factor</t>
  </si>
  <si>
    <t>NO</t>
  </si>
  <si>
    <t>Present Value of FCFF</t>
  </si>
  <si>
    <t>DCF Valuation - Perpetuity Growth</t>
  </si>
  <si>
    <t>Perpetual Growth Rate</t>
  </si>
  <si>
    <t>Terminal Year Growth Rate*(1+PGR)</t>
  </si>
  <si>
    <t>Terminal Value</t>
  </si>
  <si>
    <t>PV of Terminal Value</t>
  </si>
  <si>
    <t>PV of FCFF</t>
  </si>
  <si>
    <t>Enterprise Value</t>
  </si>
  <si>
    <t>Implied Exit multiple</t>
  </si>
  <si>
    <t>Implied EV/EBITDA</t>
  </si>
  <si>
    <t>Less:Debts</t>
  </si>
  <si>
    <t>Add:Cash</t>
  </si>
  <si>
    <t>Equity Value</t>
  </si>
  <si>
    <t>DCF Valuation - Exit Multiple</t>
  </si>
  <si>
    <t>Terminal Year EBITDA</t>
  </si>
  <si>
    <t>India is the second-largest producer of cement in the world. It accounts for more than 8% of the global installed capacity</t>
  </si>
  <si>
    <t> India has a lot of potential for development in the infrastructure and construction sector and the cement sector is expected to largely benefit from it. Furthermore, on the back of rising rural housing demand, the consumption of cement in India has been growing consistently as it is one of the cheapest products to buy in terms of Rs./kg. Strong expansion of the industrial sector, which has fully recovered from the COVID-19 pandemic shock, is one of the main demand drivers for the cement industry. As a result, there is a strong potential for an increase in the long-term demand for the cement industry. Some of the recent initiatives, such as the development of 98 smart cities, are expected to significantly boost the sector.</t>
  </si>
  <si>
    <t>https://www.ibef.org/industry/cement-india</t>
  </si>
  <si>
    <t>India cement market size was estimated at USD 26.85 billion in 2022. During the forecast period between 2023 and 2029, the size of India cement market is projected to grow at a CAGR of 9.05% reaching a value of USD 49.24 billion by 2029.</t>
  </si>
  <si>
    <t>https://www.blueweaveconsulting.com/report</t>
  </si>
  <si>
    <t xml:space="preserve">Major Growth Driver for Indian cement market </t>
  </si>
  <si>
    <t>1. Growing need from construction and infrastructure sectors</t>
  </si>
  <si>
    <t>https://www.mordorintelligence.com</t>
  </si>
  <si>
    <t>2.Rising governmental initiatives</t>
  </si>
  <si>
    <t>In order to help private sector companies thrive in the industry, the Government has been approving their investment schemes. Some of the initiatives taken by the Government of late are as below:</t>
  </si>
  <si>
    <t>The Union Budget allocated Rs. 13,750 crore (US$ 1.88 billion) and Rs. 12,294 crore (US$ 1.68 billion) for Urban Rejuvenation Mission: AMRUT and Smart Cities Mission and Swachh Bharat Mission.</t>
  </si>
  <si>
    <t>As per the Union Budget 2023-24:</t>
  </si>
  <si>
    <t>The government approved an outlay of US$ 32.57 billion (Rs. 2.7 lakh crore) for the Ministry of Road Transport and Highways which is likely to boost demand for cement.</t>
  </si>
  <si>
    <t>Under the housing for all segment, in 2023-24 the budget estimate for Pradhan Mantri Awas Yojana is US$ 9.63 billion (Rs. 79,590 crore), a 66% rise from the last year’s budget estimate of US$ 6.43 billion (Rs 48,000 crore) in 2022-23.</t>
  </si>
  <si>
    <t>As per Invest India, the National Infrastructure Pipeline (NIP) expanded to 9,305 projects from 7,400 projects.</t>
  </si>
  <si>
    <t>Government schemes like the Pradhan Mantri Awas Yojana (PMAY) for affordable housing and PM Gati Shakti National Master Plan for infrastructure are driving cement demand. PM Gati Shakti's focus on transport networks and PMAY's expansion will further increase cement consumption in coming years.</t>
  </si>
  <si>
    <t>In October 2021, Prime Minister, Mr. Narendra Modi, launched the ‘PM Gati Shakti - National Master Plan (NMP)’ for multimodal connectivity. Gati Shakti will bring synergy to create a world-class, seamless multimodal transport network in India. This will boost the demand for cement in the future.</t>
  </si>
  <si>
    <t>3. Investments in expansive infrastructure ventures encompassing highways, railways, airports, and public edifices</t>
  </si>
  <si>
    <t>https://www.ibef.org/industry/real-estate-india</t>
  </si>
  <si>
    <t>4.Positive real estate</t>
  </si>
  <si>
    <t>By 2040, the real estate market will grow to Rs. 65,000 crore (US$ 9.30 billion) from Rs. 12,000 crore (US$ 1.72 billion) in 2019. Real estate sector in India is expected to reach US$ 1 trillion in market size by 2030, up from US$ 200 billion in 2021 and contribute 13% to the country’s GDP by 2025. Retail, hospitality, and commercial real estate are also growing significantly, providing the much-needed infrastructure for India's growing needs.</t>
  </si>
  <si>
    <t>India’s real estate sector is expected to expand to US$ 5.8 trillion by 2047, contributing 15.5% to the GDP from an existing share of 7.3%</t>
  </si>
  <si>
    <t>5.Investments from international players</t>
  </si>
  <si>
    <t>Aided by suitable Government foreign policies, several foreign players such as Lafarge-Holcim, Heidelberg Cement, and Vicat have invested in the country in the recent past. A significant factor which aids the growth of this sector is the ready availability of raw materials for making cement, such as limestone and coal.</t>
  </si>
  <si>
    <t>Foreign investors pump around US$ 4 billion yearly into Indian real estate, with a 20% YoY increase in foreign inflows in 2023.</t>
  </si>
  <si>
    <t xml:space="preserve">Revenue Growth </t>
  </si>
  <si>
    <t>Company historical Growth</t>
  </si>
  <si>
    <t>Particular</t>
  </si>
  <si>
    <t>Revenue From operation</t>
  </si>
  <si>
    <t>CAGR 3 Year</t>
  </si>
  <si>
    <t>CAGR 7 Year</t>
  </si>
  <si>
    <t>CAGR 9 Year</t>
  </si>
  <si>
    <t>CAGR 5 Year</t>
  </si>
  <si>
    <t>Revenue Growth(Billion $)</t>
  </si>
  <si>
    <t>CAGR</t>
  </si>
  <si>
    <t>Blue Weave Consulting</t>
  </si>
  <si>
    <t>Techschi Research</t>
  </si>
  <si>
    <t>Yahoo Finance</t>
  </si>
  <si>
    <t>Median</t>
  </si>
  <si>
    <t>https://www.blueweaveconsulting.com/report/india-cement-market#:~:text=India%20cement%20market%20size%20was,USD%2049.24%20billion%20by%202029.</t>
  </si>
  <si>
    <t>https://www.techsciresearch.com/report/india-cement-market/4110.html</t>
  </si>
  <si>
    <t>https://finance.yahoo.com/news/india-cement-market-report-2022-112300575.html</t>
  </si>
  <si>
    <t>Volume Growth(Million tons)</t>
  </si>
  <si>
    <t>Imarc Group</t>
  </si>
  <si>
    <t>https://www.imarcgroup.com/india-cement-market</t>
  </si>
  <si>
    <t>Mordor Intelligence</t>
  </si>
  <si>
    <t>https://www.mordorintelligence.com/industry-reports/india-cement-market</t>
  </si>
  <si>
    <t>KRChoksey</t>
  </si>
  <si>
    <t>IDBI Capital</t>
  </si>
  <si>
    <t>BP Wealth</t>
  </si>
  <si>
    <t>Growth</t>
  </si>
  <si>
    <t>Average Revenue Eatimate</t>
  </si>
  <si>
    <t>Company Revenue Growth Consensus Estimate(In Crores)</t>
  </si>
  <si>
    <t>Base Case</t>
  </si>
  <si>
    <t>Jun2014</t>
  </si>
  <si>
    <t>Jun2015</t>
  </si>
  <si>
    <t>Mar2016</t>
  </si>
  <si>
    <t>Mar2017</t>
  </si>
  <si>
    <t>Mar2018</t>
  </si>
  <si>
    <t>Mar2019</t>
  </si>
  <si>
    <t>Mar2020</t>
  </si>
  <si>
    <t>Mar2021</t>
  </si>
  <si>
    <t>Mar2022</t>
  </si>
  <si>
    <t>Mar2023</t>
  </si>
  <si>
    <t>TTM</t>
  </si>
  <si>
    <t/>
  </si>
  <si>
    <t>Processing charges/Service income</t>
  </si>
  <si>
    <t>Other operational income</t>
  </si>
  <si>
    <t>Less: Excise duty</t>
  </si>
  <si>
    <t>Revenue From operations</t>
  </si>
  <si>
    <t>Opening Raw Materials</t>
  </si>
  <si>
    <t>Purchases Raw Materials</t>
  </si>
  <si>
    <t>Closing Raw Materials</t>
  </si>
  <si>
    <t>Changes in Inventories of Finished Goods, WIP and Stock in Trade</t>
  </si>
  <si>
    <t>Direct Purchases/Brought in cost</t>
  </si>
  <si>
    <t>Less: COGS</t>
  </si>
  <si>
    <t>Less: Selling, General and Administrative Expenses (excluding interest and depreciation)</t>
  </si>
  <si>
    <t>Salaries, Wages &amp; Bonus</t>
  </si>
  <si>
    <t>Contributions to EPF &amp; Pension Funds</t>
  </si>
  <si>
    <t>Workmen and Staff Welfare Expenses</t>
  </si>
  <si>
    <t>Other Employees Cost</t>
  </si>
  <si>
    <t>Power &amp; Fuel Cost</t>
  </si>
  <si>
    <t>Rent , Rates &amp; Taxes</t>
  </si>
  <si>
    <t>Insurance</t>
  </si>
  <si>
    <t>Travelling and conveyance</t>
  </si>
  <si>
    <t>Other Administration</t>
  </si>
  <si>
    <t>General and Administration Cost</t>
  </si>
  <si>
    <t>Advertisement &amp; Sales Promotion</t>
  </si>
  <si>
    <t>Freight and Forwarding</t>
  </si>
  <si>
    <t>Other Selling Expenses</t>
  </si>
  <si>
    <t>Selling and Distribution Cost</t>
  </si>
  <si>
    <t>Bad debts /advances written off</t>
  </si>
  <si>
    <t>Provision for doubtful debts</t>
  </si>
  <si>
    <t>Loss on foreign exchange fluctuations</t>
  </si>
  <si>
    <t>Loss on sale of non-trade current investments</t>
  </si>
  <si>
    <t>Other Miscellaneous Expenses</t>
  </si>
  <si>
    <t>Misc. Cost</t>
  </si>
  <si>
    <t>Repairs and Maintenance</t>
  </si>
  <si>
    <t>Packing Material Consumed</t>
  </si>
  <si>
    <t>Other manufacturing expense</t>
  </si>
  <si>
    <t>Total Seling, General and Adminstrative Expenses</t>
  </si>
  <si>
    <t>EBITDA (Earning before Interest, Tax and Depreciation)</t>
  </si>
  <si>
    <t>Less: Depreciation and Amortization</t>
  </si>
  <si>
    <t>EBIT (Earning before Interest and Tax)</t>
  </si>
  <si>
    <t>Bank Charges etc</t>
  </si>
  <si>
    <t>Other Interest</t>
  </si>
  <si>
    <t>Less: Finance Cost</t>
  </si>
  <si>
    <t>Interest Received</t>
  </si>
  <si>
    <t>Dividend Received</t>
  </si>
  <si>
    <t>Profit on sale of Fixed Assets</t>
  </si>
  <si>
    <t>Profits on sale of Investments</t>
  </si>
  <si>
    <t>Provision Written Back</t>
  </si>
  <si>
    <t>Foreign Exchange Gains</t>
  </si>
  <si>
    <t>Others</t>
  </si>
  <si>
    <t>Add: Other income</t>
  </si>
  <si>
    <t>Profit Before Tax and Exceptional Items</t>
  </si>
  <si>
    <t>Less: Exceptional Income/Expenses</t>
  </si>
  <si>
    <t>Current Income Tax</t>
  </si>
  <si>
    <t>Deferred Tax</t>
  </si>
  <si>
    <t>Other taxes</t>
  </si>
  <si>
    <t>Less: Tax</t>
  </si>
  <si>
    <t>PAT</t>
  </si>
  <si>
    <t>Minority Interest</t>
  </si>
  <si>
    <t>Extra items</t>
  </si>
  <si>
    <t>Attributable to Parent</t>
  </si>
  <si>
    <t>PAT Margin %</t>
  </si>
  <si>
    <t>Diluted EPS</t>
  </si>
  <si>
    <t>Basic EPS</t>
  </si>
  <si>
    <t>BalanceSheet</t>
  </si>
  <si>
    <t>Non-Current Asset</t>
  </si>
  <si>
    <t>Tangible and Intangible Assets</t>
  </si>
  <si>
    <t>Gross Block</t>
  </si>
  <si>
    <t>Less: Accumulated Depreciation</t>
  </si>
  <si>
    <t>Other Non-current Assets</t>
  </si>
  <si>
    <t>Long Term Investment</t>
  </si>
  <si>
    <t>:    Quoted</t>
  </si>
  <si>
    <t>:    Unquoted</t>
  </si>
  <si>
    <t>Long Term Loans &amp; Advances</t>
  </si>
  <si>
    <t>Other Non-current Asset</t>
  </si>
  <si>
    <t>Total Non-Current Asset</t>
  </si>
  <si>
    <t>Inventories</t>
  </si>
  <si>
    <t>:   Quoted</t>
  </si>
  <si>
    <t>:   Unquoted</t>
  </si>
  <si>
    <t>Trade Receivables</t>
  </si>
  <si>
    <t>Debtors: more than six months</t>
  </si>
  <si>
    <t>Debtors: others</t>
  </si>
  <si>
    <t>Less: Provision for Doubtful Debts</t>
  </si>
  <si>
    <t>Cash and Cash Equivalents</t>
  </si>
  <si>
    <t>Cash in hand</t>
  </si>
  <si>
    <t>Balances at bank</t>
  </si>
  <si>
    <t>Loans</t>
  </si>
  <si>
    <t>Advances recoverable in cash or in kind</t>
  </si>
  <si>
    <t>Advance income tax and TDS</t>
  </si>
  <si>
    <t>Other Loans and Advances</t>
  </si>
  <si>
    <t>Interest accrued on Investments</t>
  </si>
  <si>
    <t>Interest accrued on Debentures</t>
  </si>
  <si>
    <t>Deposits with Government</t>
  </si>
  <si>
    <t>Other Current Asset</t>
  </si>
  <si>
    <t>Total Current Asset</t>
  </si>
  <si>
    <t>EQUITY AND LIABILITIES</t>
  </si>
  <si>
    <t>Share Capital</t>
  </si>
  <si>
    <t>Authorised</t>
  </si>
  <si>
    <t xml:space="preserve">Issued </t>
  </si>
  <si>
    <t>Equity shares Paid up</t>
  </si>
  <si>
    <t>Other Equity</t>
  </si>
  <si>
    <t>Securities Premium</t>
  </si>
  <si>
    <t>Capital Reserves</t>
  </si>
  <si>
    <t>Profit &amp; Loss Account Balance</t>
  </si>
  <si>
    <t>General Reserves</t>
  </si>
  <si>
    <t>Revaluation reserve</t>
  </si>
  <si>
    <t>Other Reserves (other than considered above)</t>
  </si>
  <si>
    <t>Borrowings and Loans</t>
  </si>
  <si>
    <t>Long-Term Borrowings</t>
  </si>
  <si>
    <t>Secured Loans</t>
  </si>
  <si>
    <t>Non Convertible Debentures</t>
  </si>
  <si>
    <t>Term Loans - Banks</t>
  </si>
  <si>
    <t>Other Secured</t>
  </si>
  <si>
    <t>Short-Term Borrowings</t>
  </si>
  <si>
    <t>Secured ST Loans repayable on Demands</t>
  </si>
  <si>
    <t>Working Capital Loans- Sec</t>
  </si>
  <si>
    <t>Buyers Credits - Unsec</t>
  </si>
  <si>
    <t>Commercial Borrowings- Unsec</t>
  </si>
  <si>
    <t>Other Unsecured Loans</t>
  </si>
  <si>
    <t>Deferred Tax Liabilities (Net)</t>
  </si>
  <si>
    <t>Deferred Tax Assets</t>
  </si>
  <si>
    <t>Other Long Term Liabilities</t>
  </si>
  <si>
    <t>Long Term Trade Payables</t>
  </si>
  <si>
    <t>Long Term Provisions</t>
  </si>
  <si>
    <t>Total Non-Current Libalities</t>
  </si>
  <si>
    <t>Trade Payables</t>
  </si>
  <si>
    <t>Sundry Creditors</t>
  </si>
  <si>
    <t>Short Term Provisions</t>
  </si>
  <si>
    <t>Proposed Equity Dividend</t>
  </si>
  <si>
    <t>Provision for Corporate Dividend Tax</t>
  </si>
  <si>
    <t>Provision for Tax</t>
  </si>
  <si>
    <t>Provision for post retirement benefits</t>
  </si>
  <si>
    <t>Preference Dividend</t>
  </si>
  <si>
    <t>Other Provisions</t>
  </si>
  <si>
    <t>Non controlling Interest</t>
  </si>
  <si>
    <t>Bank Overdraft / Short term credit</t>
  </si>
  <si>
    <t>Advances received from customers</t>
  </si>
  <si>
    <t>Interest Accrued But Not Due</t>
  </si>
  <si>
    <t>Share application money</t>
  </si>
  <si>
    <t>Current maturity of Debentures &amp; Bonds</t>
  </si>
  <si>
    <t>Current maturity - Others</t>
  </si>
  <si>
    <t>Toatal Current Liabilities</t>
  </si>
  <si>
    <t>Total Liabilities</t>
  </si>
  <si>
    <t>CashFlow</t>
  </si>
  <si>
    <t>Cash Flow From Operating activities</t>
  </si>
  <si>
    <t>Profit Before Tax</t>
  </si>
  <si>
    <t>Depreciation, Amortisation and Impairment</t>
  </si>
  <si>
    <t>Profit/ Loss on sale of fixed assets</t>
  </si>
  <si>
    <t>Profit/ Loss on sale of investments</t>
  </si>
  <si>
    <t>Interest Income</t>
  </si>
  <si>
    <t>Effect of exchange rate change</t>
  </si>
  <si>
    <t>Other Adjustments</t>
  </si>
  <si>
    <t>operating profit Before working capital changes</t>
  </si>
  <si>
    <t>Changes in working capital</t>
  </si>
  <si>
    <t>Cash flow after changes in working capital</t>
  </si>
  <si>
    <t>Cash flow from Operating activities</t>
  </si>
  <si>
    <t>Tax paid</t>
  </si>
  <si>
    <t>Other direct expenses paid</t>
  </si>
  <si>
    <t>Other operating activities items</t>
  </si>
  <si>
    <t>Net Cash Flow from Operations</t>
  </si>
  <si>
    <t>Cash flow from Investing activities</t>
  </si>
  <si>
    <t>Purchase of fixed assets</t>
  </si>
  <si>
    <t>Sale of fixed assets</t>
  </si>
  <si>
    <t>Purchase of Investments</t>
  </si>
  <si>
    <t>Sale of Investments</t>
  </si>
  <si>
    <t>Dividend Income</t>
  </si>
  <si>
    <t xml:space="preserve">Other investing activities items </t>
  </si>
  <si>
    <t>Net Cash used in Investing activities</t>
  </si>
  <si>
    <t>Cash flow from Financing activities</t>
  </si>
  <si>
    <t>Proceeds from issue of share capital</t>
  </si>
  <si>
    <t>Proceeds from long term borrowings</t>
  </si>
  <si>
    <t>Repayment of long term borrowings</t>
  </si>
  <si>
    <t>Proceeds/(Repayment) of short term loans</t>
  </si>
  <si>
    <t>Dividend paid</t>
  </si>
  <si>
    <t>Interests paid</t>
  </si>
  <si>
    <t>Capital Subsidy</t>
  </si>
  <si>
    <t>Lease Financing</t>
  </si>
  <si>
    <t>Acquisition of Additional Stake in Subsidiary Company from Non
Controlling Interest</t>
  </si>
  <si>
    <r>
      <t>Net Cash use in Financing activi</t>
    </r>
    <r>
      <rPr>
        <b/>
        <i/>
        <sz val="11"/>
        <color theme="1"/>
        <rFont val="Calibri"/>
        <family val="2"/>
        <scheme val="minor"/>
      </rPr>
      <t>es</t>
    </r>
  </si>
  <si>
    <t>Net Cash Inflow/ Outflow</t>
  </si>
  <si>
    <t>Opening Cash &amp; Cash Equivalents</t>
  </si>
  <si>
    <t>Effect of Foreign exchange fluctuations</t>
  </si>
  <si>
    <t>Closing Cash &amp; Cash Equivalents</t>
  </si>
  <si>
    <t>Revenue Schedule</t>
  </si>
  <si>
    <t xml:space="preserve">Actual                                                                                         </t>
  </si>
  <si>
    <t xml:space="preserve">   </t>
  </si>
  <si>
    <t>COGS as % of Sales</t>
  </si>
  <si>
    <t>Gross Margins as % of sales</t>
  </si>
  <si>
    <t>Cost of Material Consumed</t>
  </si>
  <si>
    <t>Cost of Material Consumed as % of Sales</t>
  </si>
  <si>
    <t xml:space="preserve">Change in inventories as %  of Sales </t>
  </si>
  <si>
    <t>Change in direct purchase as % of Sales</t>
  </si>
  <si>
    <t>Company Gross Margins</t>
  </si>
  <si>
    <t>Average</t>
  </si>
  <si>
    <t>Sector Data - Damodaran</t>
  </si>
  <si>
    <t>just India</t>
  </si>
  <si>
    <t>Emerging Markets</t>
  </si>
  <si>
    <t>Global</t>
  </si>
  <si>
    <t xml:space="preserve">Cement </t>
  </si>
  <si>
    <t>Shortage of critical natural resources and impact of extreme weather events</t>
  </si>
  <si>
    <t>Raw material scarcity can impact production, supply chain operations and our business profitability. The rising difference between demand and supply of natural resources such as coal are areas of concern. In addition to this, the occurrence of extreme weather events can also create business disruptions by impacting the supply of critical raw materials.</t>
  </si>
  <si>
    <t>There is an increased risk of supply chain disruption in the operations due to raw material shortage/crisis and extreme weather events. • Cement industry is highly dependent on transportation of fuel such as coal. The unavailability and disruption of supply chain and transportation may directly impact the production capability</t>
  </si>
  <si>
    <t>Reducing dependency on conventional fuel (coal and pet coke) and transitioning to alternative fuel sources by continuously increasing its usage. • Strategic expansion of operations in new geographies where availability of critical raw materials is not a challenge.</t>
  </si>
  <si>
    <t>Ensuring Raw Material Security</t>
  </si>
  <si>
    <t>Limestone and Coal Mine</t>
  </si>
  <si>
    <t>We actively participate in limestone mine bidding processes to secure essential resources for our operations. We have eight existing operational mines with approximate 2,800 Million Tonnes of limestone reserves. Further bolstering our resource base, we have secured limestone mines at five new locations with around 500 Million Tonnes mineable reserves.Furthermore, to cater to our captive requirements, we have secured a dedicated coal mine in Chhattisgarh
with coal reserves of 4.3 Million Tonnes.</t>
  </si>
  <si>
    <t>Procurement of Raw Materials</t>
  </si>
  <si>
    <t>We have entered into agreements and contracts for the procurement of various raw materials. These agreements cover a wide range of materials including fly ash, gypsum, slag, and other materials associated with clinker and cement production. During the reporting year, more than 90% of our raw materials were sourced through these agreements and contracts. This streamlined approach ensures consistent availability and reliability in our supply chain, supporting our operational efficiency and continuity</t>
  </si>
  <si>
    <t>In the current year, we replaced 11.39 million tonnes of raw materials with alternative raw materials i.e. by-products and waste from other industries, such as fly ash, GBFS slag, chemical gypsum among others. Alternative raw materials constituted 24.41% of total raw materials consumption in the current year as compared to27.97% in the previous year.The other raw  materials include limestone,additives, gypsum, bed ash,sludge, low grade limestone etc</t>
  </si>
  <si>
    <t>We have pioneered in manufacturing of synthetic gypsum in-house by using hazardous waste from other industry (spent acid) and low-grade limestone through a patented process. Currently, we have synthetic gypsum manufacturing facilities at Beawar and Ras in Rajasthan reducing our reliance on natural gypsum.</t>
  </si>
  <si>
    <t>Despite inflationary pressures, the procurement cost of various raw materials of the Company was kept within control on account of pro-active procurement strategy and well diversified sourcing. Because of increased volumes, however, the cost of raw material consumed went up to ₹1,465 crore as against ₹1,300 crore during the previous year. The Company continued its focus on usage of alternative raw materials and enhanced capacity of using synthetic gypsum.</t>
  </si>
  <si>
    <t>: The Company is utilizing synthetic gypsum being produced captively to replace the consumption of mineral gypsum. The Company has been making constant efforts to enhance proportion of blended cement in its overall production so as to increase usage of fly ash and GBF Slag and thereby, reduce use of clinker to save natural resources such as limestone and fossil fuels. The Company’s alternative raw material consumption stood at 11.39 MMT making up to 24.41 % within total raw material consumption during FY 2023-24.</t>
  </si>
  <si>
    <t>Cost of material Consumed</t>
  </si>
  <si>
    <t xml:space="preserve">Gypsum </t>
  </si>
  <si>
    <t>Fly Ash</t>
  </si>
  <si>
    <t>Red ochre and Slag</t>
  </si>
  <si>
    <t>Sulphuric acid</t>
  </si>
  <si>
    <t>others</t>
  </si>
  <si>
    <t>31.03.24</t>
  </si>
  <si>
    <t>31.03.23</t>
  </si>
  <si>
    <t>The Company is utilizing synthetic gypsum being produced captively to replace the consumption of mineral gypsum. The Company has been making constant efforts to enhance proportion of blended cement in its overall production so as to increase usage of fly ash and GBF Slag and thereby, reduce use of clinker to save natural resources such as limestone and fossil fuels. The Company’s alternative raw material consumption stood at 11.39 MMT making up to 24.41 % within total raw material consumption during FY 2023-24.</t>
  </si>
  <si>
    <t> India has a scarcity of domestic gypsum supplies, which does not bode well for the fast-growing cement industry. An essential, non-substitutable critical raw material, gypsum is required for all varieties of cement production.</t>
  </si>
  <si>
    <t>Gypsum Market in India</t>
  </si>
  <si>
    <t>Since 2009, the gypsum supply deficit in the Indian domestic market has led to increased dependence on largely imports of natural gypsum predominantly from the Sultanate of Oman, and other countries like Iran, Thailand, small volume from Pakistan and Bhutan by road to the northern part of India. This dependency shall continue in coming years and is growing day by day.</t>
  </si>
  <si>
    <t>According to the production growth of cement and gypsum board, the industry’s demand for gypsum is expected to reach nearly 380 million tons cumulatively by FY 2037-2038 with a CAGR of 5.15 per cent. The maximum local gypsum supplies could be around 200 million tons, which includes FGD gypsum, Phospho-gypsum, Natural gypsum etc. The limited availability of domestic gypsum will lead to supply constraints and increased dependence on imports, cumulatively needing to import nearly 180 million tonnes of gypsum to meet the domestic demands.</t>
  </si>
  <si>
    <t>https://indiancementreview.com/2023/07/17/scarcity-of-domestic-gypsum-supply-2/</t>
  </si>
  <si>
    <t xml:space="preserve">Overall, the price of fly ash in India is expected to grow moderately, with fluctuations depending on regional demand, supply chain factors, and regulatory developments. Analysts forecast a gradual increase in prices, driven by sustained demand from the construction sector and potential supply constraints. However, the exact rate of increase will depend on the balance between these factors​ </t>
  </si>
  <si>
    <t>Fly ash Market</t>
  </si>
  <si>
    <t>The fly ash market in India is expected to grow significantly in the coming years, driven by the booming construction sector and government initiatives promoting the use of sustainable materials. The market is projected to grow at a compound annual growth rate (CAGR) of around 6.2% from 2024 to 2032, reflecting increasing demand for fly ash in applications such as cement and concrete production, road stabilization, and waste management.</t>
  </si>
  <si>
    <t>Slag market in India</t>
  </si>
  <si>
    <t>Gross margins Street estimate</t>
  </si>
  <si>
    <t>Total Revenue</t>
  </si>
  <si>
    <t>Expenses</t>
  </si>
  <si>
    <t>Gross Profits</t>
  </si>
  <si>
    <t>KR Choksey</t>
  </si>
  <si>
    <t>Cost of Material Consumed as % of COGS</t>
  </si>
  <si>
    <t xml:space="preserve"> Revenue - yoy % Growth</t>
  </si>
  <si>
    <t>COGS % OF Sales</t>
  </si>
  <si>
    <t>Gross Margins %</t>
  </si>
  <si>
    <t>COGS % of Sales</t>
  </si>
  <si>
    <t xml:space="preserve">COGS </t>
  </si>
  <si>
    <t>Base case</t>
  </si>
  <si>
    <t>SG&amp;A Expenses</t>
  </si>
  <si>
    <t>Company SG&amp;A Expenses</t>
  </si>
  <si>
    <t>Growth YOY %</t>
  </si>
  <si>
    <t>Historical SG&amp;A Expenses Analysis</t>
  </si>
  <si>
    <t>Employee Benefit Expenses</t>
  </si>
  <si>
    <t>: Power &amp; Fuel Cost</t>
  </si>
  <si>
    <t>   : Rent , Rates &amp; Taxes</t>
  </si>
  <si>
    <t>   : Insurance</t>
  </si>
  <si>
    <t>   : Printing and stationery</t>
  </si>
  <si>
    <t>   : Professional and legal fees</t>
  </si>
  <si>
    <t>   : Traveling and conveyance</t>
  </si>
  <si>
    <t>   : Other Administration</t>
  </si>
  <si>
    <t>: Selling and Distribution Expenses</t>
  </si>
  <si>
    <t>   : Handling and Clearing Charges</t>
  </si>
  <si>
    <t>   : Bad debts /advances written off</t>
  </si>
  <si>
    <t>   : Provision for doubtful debts</t>
  </si>
  <si>
    <t>   : Losson disposal of fixed assets(net)</t>
  </si>
  <si>
    <t>   : Losson foreign exchange fluctuations</t>
  </si>
  <si>
    <t>   : Losson sale of non-trade current investments</t>
  </si>
  <si>
    <t>   : Other Miscellaneous Expenses</t>
  </si>
  <si>
    <t>: Less: Expenses Capitalised</t>
  </si>
  <si>
    <t>:Operating and Direct Expenses</t>
  </si>
  <si>
    <t>Profit And Loss</t>
  </si>
  <si>
    <t>Mar2024</t>
  </si>
  <si>
    <t>3Y CAGR(%)</t>
  </si>
  <si>
    <t>5Y CAGR(%)</t>
  </si>
  <si>
    <t>Total SG&amp;A Expenses</t>
  </si>
  <si>
    <t xml:space="preserve">Median </t>
  </si>
  <si>
    <t>SG&amp;A Expenses % of sales</t>
  </si>
  <si>
    <t>Employee Benefit Expenses % of Sales</t>
  </si>
  <si>
    <t xml:space="preserve">: Power &amp; Fuel Cost % of Sales </t>
  </si>
  <si>
    <t>: Selling and Distribution Expenses % of sales</t>
  </si>
  <si>
    <t>:Operating and Direct Expenses % of Sales</t>
  </si>
  <si>
    <t>Other Expenses % of Sales</t>
  </si>
  <si>
    <t>Total SG&amp;A Expenses % of Sales</t>
  </si>
  <si>
    <t>Power &amp; Fuel Expenses</t>
  </si>
  <si>
    <t>Operating &amp; Direct Expenses</t>
  </si>
  <si>
    <t>Selling &amp; Distribution Expenses</t>
  </si>
  <si>
    <t>Total SG&amp;A Expenses as % of Sales</t>
  </si>
  <si>
    <t xml:space="preserve">Employee Benefit % of  Sales </t>
  </si>
  <si>
    <t>Power and Fuel Expenses</t>
  </si>
  <si>
    <t xml:space="preserve">Power and Fuel Expenses % of  Sales </t>
  </si>
  <si>
    <t>Operating and Direct Expenses</t>
  </si>
  <si>
    <t xml:space="preserve">Operating and Direct % of  Sales </t>
  </si>
  <si>
    <t>Selling and Distriubuting Expenses</t>
  </si>
  <si>
    <t xml:space="preserve">Selling and Distriubuting % of  Sales </t>
  </si>
  <si>
    <t xml:space="preserve">Other Expenses % of  Sales </t>
  </si>
  <si>
    <t>Gross Margin</t>
  </si>
  <si>
    <t>EBITDA Margin</t>
  </si>
  <si>
    <t>Current Asset</t>
  </si>
  <si>
    <t>Short Term Loans and Advances</t>
  </si>
  <si>
    <t>Current Invesrment</t>
  </si>
  <si>
    <t>Current Asset as % of Total Asset</t>
  </si>
  <si>
    <t>YoY Growth % Revenue</t>
  </si>
  <si>
    <t>YoY Growth % Inventories</t>
  </si>
  <si>
    <t>Average Inventories</t>
  </si>
  <si>
    <t>Peer Inventory Days Analysis</t>
  </si>
  <si>
    <t>Shree Cement</t>
  </si>
  <si>
    <t>Ultratech Cement</t>
  </si>
  <si>
    <t>Ambuja Cement</t>
  </si>
  <si>
    <t>ACC Cement</t>
  </si>
  <si>
    <t>JK Cement</t>
  </si>
  <si>
    <t>The Ramco Cement</t>
  </si>
  <si>
    <t>JK Lakshmi Cement</t>
  </si>
  <si>
    <t>Inventory Turnover Ratio(COGS)</t>
  </si>
  <si>
    <t>Inventory Turnover Ratio(Revenue)</t>
  </si>
  <si>
    <t>Inventory Days(COGS)</t>
  </si>
  <si>
    <t>Inventory Days(Revenue)</t>
  </si>
  <si>
    <t>Consensus Estimate(Inventory Days)</t>
  </si>
  <si>
    <t>GeoJit</t>
  </si>
  <si>
    <t>Trade Receivables YOY % Growth</t>
  </si>
  <si>
    <t>Average Trade Receivables</t>
  </si>
  <si>
    <t>Receivable Turnover Ratio(Revenue)</t>
  </si>
  <si>
    <t>Receivable Days</t>
  </si>
  <si>
    <t>Peer Debtors Days Analysis</t>
  </si>
  <si>
    <t>Consensus Estimate(Detors Days)</t>
  </si>
  <si>
    <t>Trade Receivables Days</t>
  </si>
  <si>
    <t>Trade Receivable</t>
  </si>
  <si>
    <t>Other Current Assets % of Revenue</t>
  </si>
  <si>
    <t>Other Current Assets YOY % Growth</t>
  </si>
  <si>
    <t>We anticipate that other current assets will decrease to 6.50% due to a significant drop in 2023 as a percentage of revenue, along with a year-on-year decline in growth of other current assets.</t>
  </si>
  <si>
    <t>Receivable Ageing Analysis</t>
  </si>
  <si>
    <t>Credit Risk Analysis</t>
  </si>
  <si>
    <t>Fixed Asset</t>
  </si>
  <si>
    <t>Net Fixed  Asset</t>
  </si>
  <si>
    <t>Net Fixed Asset % of Total Revenue</t>
  </si>
  <si>
    <t>Net Fixed Asset % of Total Assets</t>
  </si>
  <si>
    <t>Land</t>
  </si>
  <si>
    <t>Building</t>
  </si>
  <si>
    <t>Plant Machinery</t>
  </si>
  <si>
    <t>Equipments</t>
  </si>
  <si>
    <t>Furniture n fittings</t>
  </si>
  <si>
    <t>Railway sidings</t>
  </si>
  <si>
    <t>Vehicles</t>
  </si>
  <si>
    <t>Intangible Assets</t>
  </si>
  <si>
    <t>Other fixed assets</t>
  </si>
  <si>
    <t>Nature of Fixed Asset</t>
  </si>
  <si>
    <t>Total Fixed  Asset</t>
  </si>
  <si>
    <t>Nature of Fixed Asset- Common Size Statement</t>
  </si>
  <si>
    <t>Less: Land(Non Depreciable)</t>
  </si>
  <si>
    <t>Gross Block(Depreciable)</t>
  </si>
  <si>
    <t>Change in Gross block</t>
  </si>
  <si>
    <t>Change in Revenue</t>
  </si>
  <si>
    <t>Gross Block Reinvestment rate</t>
  </si>
  <si>
    <t>Depreciation and Amortization</t>
  </si>
  <si>
    <t>Maintenance Capex</t>
  </si>
  <si>
    <t>Growth Capex</t>
  </si>
  <si>
    <t>Growth Gross Block YOY %</t>
  </si>
  <si>
    <t>Management Guidence for Capex</t>
  </si>
  <si>
    <t xml:space="preserve"> Jan 2024</t>
  </si>
  <si>
    <t>Consensus estimation on Capital Expenditure</t>
  </si>
  <si>
    <t>The management has provided guidance indicating an allocation of approximately ~12500 for capital expenditure over the next 3 years, to be funded through internal accruals.</t>
  </si>
  <si>
    <t>BOB Capital</t>
  </si>
  <si>
    <t>Geojit Capital</t>
  </si>
  <si>
    <t>Capital Work in progress</t>
  </si>
  <si>
    <t>Other Non Current Asset</t>
  </si>
  <si>
    <t>Other Non Current Asset - Amount Spend</t>
  </si>
  <si>
    <t xml:space="preserve">Revenue </t>
  </si>
  <si>
    <t>Other Non Current Asset % of Revenue</t>
  </si>
  <si>
    <t>Other Non Current Asset  % of Revenue</t>
  </si>
  <si>
    <t>Financial Assets</t>
  </si>
  <si>
    <t>Financial Asset Growth %</t>
  </si>
  <si>
    <t>Non Current Financial Asset</t>
  </si>
  <si>
    <t xml:space="preserve"> Non Current Financial Asset - Amount Spend</t>
  </si>
  <si>
    <t xml:space="preserve"> Non Current Financial Asset YOY Growth %</t>
  </si>
  <si>
    <t>Deferred Tax Asset YOY Growth</t>
  </si>
  <si>
    <t>Deferred Tax  Asset</t>
  </si>
  <si>
    <t>Deferred Tax Asset - Amount Spend</t>
  </si>
  <si>
    <t>Deferred Tax  Asset YOY Growth %</t>
  </si>
  <si>
    <t>Deferred Tax Asset</t>
  </si>
  <si>
    <t>CWIP</t>
  </si>
  <si>
    <t>CWIP % of Fixed Asset</t>
  </si>
  <si>
    <t>Median CWIP % of Fixed Asset-Aggressive Capex</t>
  </si>
  <si>
    <t>Median CWIP % of Fixed Asset-Moderate Capex</t>
  </si>
  <si>
    <t>Management Guidance</t>
  </si>
  <si>
    <t>Consensus Estimate</t>
  </si>
  <si>
    <t>No Concrete Guidance for Capital Work in Progress</t>
  </si>
  <si>
    <t>Remains  Flat at 1930</t>
  </si>
  <si>
    <t>Capital Work in Progress % Net Fixed Asset</t>
  </si>
  <si>
    <t>CWIP % of Net Fixed asset</t>
  </si>
  <si>
    <t xml:space="preserve">Capital Work in Progress </t>
  </si>
  <si>
    <t>Less:Intangible Assets(Non Depreciable)</t>
  </si>
  <si>
    <t>Net Fixed  Asset(Depreciable)</t>
  </si>
  <si>
    <t>Depreciation For the year</t>
  </si>
  <si>
    <t>Average Life of asset</t>
  </si>
  <si>
    <t>Average Age of asset</t>
  </si>
  <si>
    <t>% of Asser Depreciated</t>
  </si>
  <si>
    <t>Depreciation % of Net Fixed Asset</t>
  </si>
  <si>
    <t>Depreciation % of Gross Block</t>
  </si>
  <si>
    <t>Depreciation % of Revenue</t>
  </si>
  <si>
    <t>Depreciation % of Fixed Asset</t>
  </si>
  <si>
    <t>Property, Plant and Equipment</t>
  </si>
  <si>
    <t>Right to use Asset</t>
  </si>
  <si>
    <t>Property, plant and Equipment</t>
  </si>
  <si>
    <t>Right of use Assets</t>
  </si>
  <si>
    <t>Right of Use Assets</t>
  </si>
  <si>
    <t>Right of use assets</t>
  </si>
  <si>
    <t>Property, plant and Equipment Growth %</t>
  </si>
  <si>
    <t>Right of Use Assets Growth %</t>
  </si>
  <si>
    <t>Right of Use Assets YOY Growth Rate</t>
  </si>
  <si>
    <t>Opening PP&amp;E</t>
  </si>
  <si>
    <t>Add:Capex During year</t>
  </si>
  <si>
    <t>Closing PP&amp;E</t>
  </si>
  <si>
    <t>YOY Growth%</t>
  </si>
  <si>
    <t>Total Net Depreciable Assets</t>
  </si>
  <si>
    <t>Add:Other Income</t>
  </si>
  <si>
    <t>Less:Exceptional Items</t>
  </si>
  <si>
    <t>Earning Before tax and exceptional Item</t>
  </si>
  <si>
    <t>Current Investment</t>
  </si>
  <si>
    <t>Short term Loan and Advances</t>
  </si>
  <si>
    <t>Total Shareholders Equity</t>
  </si>
  <si>
    <t>Long term Borrowings</t>
  </si>
  <si>
    <t>Other Non Current Liabilities</t>
  </si>
  <si>
    <t>Total Non Current Liabilities</t>
  </si>
  <si>
    <t>Non Current Liabilities</t>
  </si>
  <si>
    <t>Current Liabilites</t>
  </si>
  <si>
    <t>Check</t>
  </si>
  <si>
    <t>Profit Before tax</t>
  </si>
  <si>
    <t>Add:Depreciation, Amortisation and Impairment</t>
  </si>
  <si>
    <t>Add:Interest Expense</t>
  </si>
  <si>
    <t>Add:Profit/ Loss on sale of fixed assets</t>
  </si>
  <si>
    <t>Add:Profit/ Loss on sale of investments</t>
  </si>
  <si>
    <t>Add:Dividend Received</t>
  </si>
  <si>
    <t>Add:Interest Income</t>
  </si>
  <si>
    <t>Add:Effect of exchange rate change</t>
  </si>
  <si>
    <t>Add:Other Adjustments</t>
  </si>
  <si>
    <t>Less:Tax Paid</t>
  </si>
  <si>
    <t>Cash Flow From Operations</t>
  </si>
  <si>
    <t>Net Sale/Purchase of Fixed Assets</t>
  </si>
  <si>
    <t>Net Sale/Purchase of Investment</t>
  </si>
  <si>
    <t>Other Investing activities Item</t>
  </si>
  <si>
    <t>Net Cash Flow from Investing Activities</t>
  </si>
  <si>
    <t>YOY % Growth</t>
  </si>
  <si>
    <t xml:space="preserve"> COGS</t>
  </si>
  <si>
    <t>Trade Payable % of COGSS</t>
  </si>
  <si>
    <t>Trade Payable % of Revenue</t>
  </si>
  <si>
    <t>Trade Receivable % of Revenue</t>
  </si>
  <si>
    <t>Trade Payable Days(COGS)</t>
  </si>
  <si>
    <t>Trade Payable Days(Revenue)</t>
  </si>
  <si>
    <t xml:space="preserve"> No guidance regarding Days Payables</t>
  </si>
  <si>
    <t>Management Guidance(Payables Days)</t>
  </si>
  <si>
    <t>Short Term Borrowings</t>
  </si>
  <si>
    <t>Debts</t>
  </si>
  <si>
    <t>Total Borrowings</t>
  </si>
  <si>
    <t>Long-Term Borrowings % of Total Borrowings</t>
  </si>
  <si>
    <t>Short-Term Borrowings % of Total Borrowings</t>
  </si>
  <si>
    <t>Long-Term Borrowings % of Revenue</t>
  </si>
  <si>
    <t>Short-Term Borrowings % of Revenue</t>
  </si>
  <si>
    <t>Debt to Equity</t>
  </si>
  <si>
    <t>Debt to Capital Employed</t>
  </si>
  <si>
    <t>Debt To Asset</t>
  </si>
  <si>
    <t>Debt To EBITDA</t>
  </si>
  <si>
    <t>Change in Operating  Working Capital</t>
  </si>
  <si>
    <t>Long Term Debts</t>
  </si>
  <si>
    <t>Long Term loan  Growth YOY%</t>
  </si>
  <si>
    <t>Short Term Loan % of revenue</t>
  </si>
  <si>
    <t xml:space="preserve">Short Term Borrowings </t>
  </si>
  <si>
    <t>Short Term Borrowings  % of Revenue</t>
  </si>
  <si>
    <t>Net Proceeds from Long Term Borrowing</t>
  </si>
  <si>
    <t>Net Proceeds from issue of Share Capital</t>
  </si>
  <si>
    <t>Net Proceed from short term Borrowing</t>
  </si>
  <si>
    <t>ST% of Total Borrowings</t>
  </si>
  <si>
    <t>LT% Of Total Borrowings</t>
  </si>
  <si>
    <t>Interest Cost</t>
  </si>
  <si>
    <t>Interest Cost % of Total brrowings</t>
  </si>
  <si>
    <t>Intrest Rate</t>
  </si>
  <si>
    <t>Amount</t>
  </si>
  <si>
    <t>Average Loan Amount</t>
  </si>
  <si>
    <t>Interest Expenses</t>
  </si>
  <si>
    <t>We assume Other current Liabilities  excluding short term borrowings to remain flat at2023 level. The short term borrowings are seprately calculated</t>
  </si>
  <si>
    <t xml:space="preserve">Other Income </t>
  </si>
  <si>
    <t>Other Income</t>
  </si>
  <si>
    <t>Other Income % of Revenue</t>
  </si>
  <si>
    <t>We assume Other income to remain flat at 3.9% of total Revenue</t>
  </si>
  <si>
    <t>Interest Rate%</t>
  </si>
  <si>
    <t>Other Income % Of Revenue</t>
  </si>
  <si>
    <t>Other Income Schedule</t>
  </si>
  <si>
    <t>Other income % of Revenue</t>
  </si>
  <si>
    <t>Other income</t>
  </si>
  <si>
    <t>Other Equity Schedule</t>
  </si>
  <si>
    <t>Other Equity - Beginning of the year</t>
  </si>
  <si>
    <t xml:space="preserve">Dividend </t>
  </si>
  <si>
    <t>Total Net Profit</t>
  </si>
  <si>
    <t>Dividend Payout Ratio</t>
  </si>
  <si>
    <t>Current investment</t>
  </si>
  <si>
    <t>current Investment</t>
  </si>
  <si>
    <t>Growth %</t>
  </si>
  <si>
    <t>Loans and Advances</t>
  </si>
  <si>
    <t>Loan and Advances</t>
  </si>
  <si>
    <t>Short Term Provision</t>
  </si>
  <si>
    <t>Growth YOY%</t>
  </si>
  <si>
    <t>Non Controlling Interest</t>
  </si>
  <si>
    <t>YOY Growth %</t>
  </si>
  <si>
    <t>Change in short Term Provision</t>
  </si>
  <si>
    <t>Change in Non Controlling Interest</t>
  </si>
  <si>
    <t>Change in short Term Borrowings</t>
  </si>
  <si>
    <t>Change in Total Current Asset other than cash</t>
  </si>
  <si>
    <t>Short Term Loan Advances</t>
  </si>
  <si>
    <t>Current Investments</t>
  </si>
  <si>
    <t>Change in Working Capital other than cash</t>
  </si>
  <si>
    <t>Other Non Current Asset YOY % Growth</t>
  </si>
  <si>
    <t xml:space="preserve"> Revenue</t>
  </si>
  <si>
    <t>Net Cash From financing Activities</t>
  </si>
  <si>
    <t xml:space="preserve">Opening Right of Use Assets </t>
  </si>
  <si>
    <t>Opening Intangible Assets</t>
  </si>
  <si>
    <t>Closing Intangible Assets</t>
  </si>
  <si>
    <t>Closing Right to use Assets</t>
  </si>
  <si>
    <t>Cash Analysis</t>
  </si>
  <si>
    <t>Cash % of Total Revenue</t>
  </si>
  <si>
    <t xml:space="preserve">Please Provide Below Inputs </t>
  </si>
  <si>
    <t>Name of the company</t>
  </si>
  <si>
    <t>Shree Cement Ltd</t>
  </si>
  <si>
    <t>Revenue s</t>
  </si>
  <si>
    <t xml:space="preserve">Interest Rate </t>
  </si>
  <si>
    <t xml:space="preserve">Dividend Payout </t>
  </si>
  <si>
    <t xml:space="preserve">Short term loan </t>
  </si>
  <si>
    <t xml:space="preserve">Long Term Loan </t>
  </si>
  <si>
    <t xml:space="preserve">Tax Rate </t>
  </si>
  <si>
    <t xml:space="preserve">Current Liablities </t>
  </si>
  <si>
    <t xml:space="preserve">Non Current Asset </t>
  </si>
  <si>
    <t xml:space="preserve">Selling , General and Administrative (SG&amp;A)  </t>
  </si>
  <si>
    <t>WACC Inputs</t>
  </si>
  <si>
    <t>Country</t>
  </si>
  <si>
    <t>Local Currency 10y Government Bond Yield</t>
  </si>
  <si>
    <t>Asset Beta</t>
  </si>
  <si>
    <t xml:space="preserve">Provide Credit Rating </t>
  </si>
  <si>
    <t>Company Credit Ratin g Available?</t>
  </si>
  <si>
    <t>Small Size Premium</t>
  </si>
  <si>
    <t>Asset Specific Risk Premium</t>
  </si>
  <si>
    <t>Asset Beta Variation(+/-)</t>
  </si>
  <si>
    <t>Debt to Capital(Gearing)</t>
  </si>
  <si>
    <t xml:space="preserve"> Marginal Tax Rate</t>
  </si>
  <si>
    <t>Africa</t>
  </si>
  <si>
    <t>Moody's rating</t>
  </si>
  <si>
    <t>Rating-based Default Spread</t>
  </si>
  <si>
    <t>Abu Dhabi</t>
  </si>
  <si>
    <t>Middle East</t>
  </si>
  <si>
    <t>Aa2</t>
  </si>
  <si>
    <t>Albania</t>
  </si>
  <si>
    <t>Eastern Europe &amp; Russia</t>
  </si>
  <si>
    <t>B1</t>
  </si>
  <si>
    <t>Andorra (Principality of)</t>
  </si>
  <si>
    <t>Western Europe</t>
  </si>
  <si>
    <t>Baa1</t>
  </si>
  <si>
    <t>Angola</t>
  </si>
  <si>
    <t>B3</t>
  </si>
  <si>
    <t>Argentina</t>
  </si>
  <si>
    <t>Central and South America</t>
  </si>
  <si>
    <t>Ca</t>
  </si>
  <si>
    <t>Armenia</t>
  </si>
  <si>
    <t>Ba3</t>
  </si>
  <si>
    <t>Aruba</t>
  </si>
  <si>
    <t>Caribbean</t>
  </si>
  <si>
    <t>Baa3</t>
  </si>
  <si>
    <t>Australia</t>
  </si>
  <si>
    <t>Australia &amp; New Zealand</t>
  </si>
  <si>
    <t>Aaa</t>
  </si>
  <si>
    <t>Austria</t>
  </si>
  <si>
    <t>Aa1</t>
  </si>
  <si>
    <t>Azerbaijan</t>
  </si>
  <si>
    <t>Ba1</t>
  </si>
  <si>
    <t>Bahamas</t>
  </si>
  <si>
    <t>Bahrain</t>
  </si>
  <si>
    <t>B2</t>
  </si>
  <si>
    <t>Bangladesh</t>
  </si>
  <si>
    <t>Asia</t>
  </si>
  <si>
    <t>Barbados</t>
  </si>
  <si>
    <t>Belarus</t>
  </si>
  <si>
    <t>C</t>
  </si>
  <si>
    <t>Belgium</t>
  </si>
  <si>
    <t>Aa3</t>
  </si>
  <si>
    <t>Belize</t>
  </si>
  <si>
    <t>Caa2</t>
  </si>
  <si>
    <t>Benin</t>
  </si>
  <si>
    <t>Bermuda</t>
  </si>
  <si>
    <t>A2</t>
  </si>
  <si>
    <t>Bolivia</t>
  </si>
  <si>
    <t>Caa3</t>
  </si>
  <si>
    <t>Bosnia and Herzegovina</t>
  </si>
  <si>
    <t>Botswana</t>
  </si>
  <si>
    <t>A3</t>
  </si>
  <si>
    <t>Brazil</t>
  </si>
  <si>
    <t>Ba2</t>
  </si>
  <si>
    <t>Bulgaria</t>
  </si>
  <si>
    <t>Burkina Faso</t>
  </si>
  <si>
    <t>Caa1</t>
  </si>
  <si>
    <t>Cambodia</t>
  </si>
  <si>
    <t>Cameroon</t>
  </si>
  <si>
    <t>Canada</t>
  </si>
  <si>
    <t>North America</t>
  </si>
  <si>
    <t>Cape Verde</t>
  </si>
  <si>
    <t>Cayman Islands</t>
  </si>
  <si>
    <t>Chile</t>
  </si>
  <si>
    <t>China</t>
  </si>
  <si>
    <t>A1</t>
  </si>
  <si>
    <t>Colombia</t>
  </si>
  <si>
    <t>Baa2</t>
  </si>
  <si>
    <t>Congo (Democratic Republic of)</t>
  </si>
  <si>
    <t>Congo (Republic of)</t>
  </si>
  <si>
    <t>Cook Islands</t>
  </si>
  <si>
    <t>Costa Rica</t>
  </si>
  <si>
    <t>Côte d'Ivoire</t>
  </si>
  <si>
    <t>Croatia</t>
  </si>
  <si>
    <t>Cuba</t>
  </si>
  <si>
    <t>Curacao</t>
  </si>
  <si>
    <t>Cyprus</t>
  </si>
  <si>
    <t>Czech Republic</t>
  </si>
  <si>
    <t>Denmark</t>
  </si>
  <si>
    <t>Dominican Republic</t>
  </si>
  <si>
    <t>Ecuador</t>
  </si>
  <si>
    <t>Egypt</t>
  </si>
  <si>
    <t>El Salvador</t>
  </si>
  <si>
    <t>Estonia</t>
  </si>
  <si>
    <t>Ethiopia</t>
  </si>
  <si>
    <t>Fiji</t>
  </si>
  <si>
    <t>Finland</t>
  </si>
  <si>
    <t>France</t>
  </si>
  <si>
    <t>Gabon</t>
  </si>
  <si>
    <t>Georgia</t>
  </si>
  <si>
    <t>Germany</t>
  </si>
  <si>
    <t>Ghana</t>
  </si>
  <si>
    <t>Greece</t>
  </si>
  <si>
    <t>Guatemala</t>
  </si>
  <si>
    <t>Guernsey (States of)</t>
  </si>
  <si>
    <t>Honduras</t>
  </si>
  <si>
    <t>Hong Kong</t>
  </si>
  <si>
    <t>Hungary</t>
  </si>
  <si>
    <t>Iceland</t>
  </si>
  <si>
    <t>India</t>
  </si>
  <si>
    <t>Indonesia</t>
  </si>
  <si>
    <t>Iraq</t>
  </si>
  <si>
    <t>Ireland</t>
  </si>
  <si>
    <t>Isle of Man</t>
  </si>
  <si>
    <t>Israel</t>
  </si>
  <si>
    <t>Italy</t>
  </si>
  <si>
    <t>Jamaica</t>
  </si>
  <si>
    <t>Japan</t>
  </si>
  <si>
    <t>Jersey (States of)</t>
  </si>
  <si>
    <t>Jordan</t>
  </si>
  <si>
    <t>Kazakhstan</t>
  </si>
  <si>
    <t>Kenya</t>
  </si>
  <si>
    <t>Korea</t>
  </si>
  <si>
    <t>Kuwait</t>
  </si>
  <si>
    <t>Kyrgyzstan</t>
  </si>
  <si>
    <t>Laos</t>
  </si>
  <si>
    <t>Latvia</t>
  </si>
  <si>
    <t>Lebanon</t>
  </si>
  <si>
    <t>Liechtenstein</t>
  </si>
  <si>
    <t>Lithuania</t>
  </si>
  <si>
    <t>Luxembourg</t>
  </si>
  <si>
    <t>Macao</t>
  </si>
  <si>
    <t>Macedonia</t>
  </si>
  <si>
    <t>Malaysia</t>
  </si>
  <si>
    <t>Maldives</t>
  </si>
  <si>
    <t>Mali</t>
  </si>
  <si>
    <t>Malta</t>
  </si>
  <si>
    <t>Mauritius</t>
  </si>
  <si>
    <t>Mexico</t>
  </si>
  <si>
    <t>Moldova</t>
  </si>
  <si>
    <t>Mongolia</t>
  </si>
  <si>
    <t>Montenegro</t>
  </si>
  <si>
    <t>Montserrat</t>
  </si>
  <si>
    <t>Morocco</t>
  </si>
  <si>
    <t>Mozambique</t>
  </si>
  <si>
    <t>Namibia</t>
  </si>
  <si>
    <t>Netherlands</t>
  </si>
  <si>
    <t>New Zealand</t>
  </si>
  <si>
    <t>Nicaragua</t>
  </si>
  <si>
    <t>Niger</t>
  </si>
  <si>
    <t>Nigeria</t>
  </si>
  <si>
    <t>Norway</t>
  </si>
  <si>
    <t>Oman</t>
  </si>
  <si>
    <t>Pakistan</t>
  </si>
  <si>
    <t>Panama</t>
  </si>
  <si>
    <t>Papua New Guinea</t>
  </si>
  <si>
    <t>Paraguay</t>
  </si>
  <si>
    <t>Peru</t>
  </si>
  <si>
    <t>Philippines</t>
  </si>
  <si>
    <t>Poland</t>
  </si>
  <si>
    <t>Portugal</t>
  </si>
  <si>
    <t>Qatar</t>
  </si>
  <si>
    <t>Ras Al Khaimah (Emirate of)</t>
  </si>
  <si>
    <t>Romania</t>
  </si>
  <si>
    <t>Rwanda</t>
  </si>
  <si>
    <t>Saudi Arabia</t>
  </si>
  <si>
    <t>Senegal</t>
  </si>
  <si>
    <t>Serbia</t>
  </si>
  <si>
    <t>Sharjah</t>
  </si>
  <si>
    <t>Singapore</t>
  </si>
  <si>
    <t>Slovakia</t>
  </si>
  <si>
    <t>Slovenia</t>
  </si>
  <si>
    <t>Solomon Islands</t>
  </si>
  <si>
    <t>South Africa</t>
  </si>
  <si>
    <t>Spain</t>
  </si>
  <si>
    <t>Sri Lanka</t>
  </si>
  <si>
    <t>St. Maarten</t>
  </si>
  <si>
    <t>St. Vincent &amp; the Grenadines</t>
  </si>
  <si>
    <t>Suriname</t>
  </si>
  <si>
    <t>Swaziland</t>
  </si>
  <si>
    <t>Sweden</t>
  </si>
  <si>
    <t>Switzerland</t>
  </si>
  <si>
    <t>Taiwan</t>
  </si>
  <si>
    <t>Tajikistan</t>
  </si>
  <si>
    <t>Tanzania</t>
  </si>
  <si>
    <t>Thailand</t>
  </si>
  <si>
    <t>Togo</t>
  </si>
  <si>
    <t>Trinidad and Tobago</t>
  </si>
  <si>
    <t>Tunisia</t>
  </si>
  <si>
    <t>Turkey</t>
  </si>
  <si>
    <t>Turks and Caicos Islands</t>
  </si>
  <si>
    <t>Uganda</t>
  </si>
  <si>
    <t>Ukraine</t>
  </si>
  <si>
    <t>United Arab Emirates</t>
  </si>
  <si>
    <t>United Kingdom</t>
  </si>
  <si>
    <t>United States</t>
  </si>
  <si>
    <t>Uruguay</t>
  </si>
  <si>
    <t>Uzbekistan</t>
  </si>
  <si>
    <t>Venezuela</t>
  </si>
  <si>
    <t>Vietnam</t>
  </si>
  <si>
    <t>Zambia</t>
  </si>
  <si>
    <t>Credit Default Spread as per Dr Damodaran</t>
  </si>
  <si>
    <t>Implied US Equity Risk Premium</t>
  </si>
  <si>
    <t>Company is Large Firm or Small Firm?</t>
  </si>
  <si>
    <t>Yes</t>
  </si>
  <si>
    <t>No</t>
  </si>
  <si>
    <t>L</t>
  </si>
  <si>
    <t>S</t>
  </si>
  <si>
    <t>For large non-financial service firms</t>
  </si>
  <si>
    <t>For financial service firms (default spreads are slighty different)</t>
  </si>
  <si>
    <t>If interest coverage ratio is</t>
  </si>
  <si>
    <t>If long term interest coverage ratio is</t>
  </si>
  <si>
    <t>&gt;</t>
  </si>
  <si>
    <t>Rating is</t>
  </si>
  <si>
    <t>Spread is</t>
  </si>
  <si>
    <t>greater than</t>
  </si>
  <si>
    <t>D2/D</t>
  </si>
  <si>
    <t>C2/C</t>
  </si>
  <si>
    <t>Ca2/CC</t>
  </si>
  <si>
    <t>Caa/CCC</t>
  </si>
  <si>
    <t>B3/B-</t>
  </si>
  <si>
    <t>B2/B</t>
  </si>
  <si>
    <t>B1/B+</t>
  </si>
  <si>
    <t>Ba2/BB</t>
  </si>
  <si>
    <t>Ba1/BB+</t>
  </si>
  <si>
    <t>Baa2/BBB</t>
  </si>
  <si>
    <t>A3/A-</t>
  </si>
  <si>
    <t>A2/A</t>
  </si>
  <si>
    <t>A1/A+</t>
  </si>
  <si>
    <t>Aa2/AA</t>
  </si>
  <si>
    <t>Aaa/AAA</t>
  </si>
  <si>
    <t>For smaller and riskier firms</t>
  </si>
  <si>
    <t>≤ to</t>
  </si>
  <si>
    <t>Country's Data</t>
  </si>
  <si>
    <t>Company's Data</t>
  </si>
  <si>
    <t>Shree Cement LTD</t>
  </si>
  <si>
    <t>Weighted Average cost of Capital</t>
  </si>
  <si>
    <t xml:space="preserve">Low </t>
  </si>
  <si>
    <t>Mid</t>
  </si>
  <si>
    <t>High</t>
  </si>
  <si>
    <t>Risk Free Rate</t>
  </si>
  <si>
    <t>Equity Risk Premium(ERP)</t>
  </si>
  <si>
    <t>D/E Ratio</t>
  </si>
  <si>
    <t>Equity Beta</t>
  </si>
  <si>
    <t>CAPM Cost Of Equity</t>
  </si>
  <si>
    <t>Modified Cost of Equity</t>
  </si>
  <si>
    <t>Pre Tax Cost of Debt</t>
  </si>
  <si>
    <t>Capital Gearing(D/D+E)</t>
  </si>
  <si>
    <t>Weighted Average cost of Capital Rounded</t>
  </si>
  <si>
    <t>PostTax Cost of Debt</t>
  </si>
  <si>
    <t>Interest Coverage Ratio(ICR)</t>
  </si>
  <si>
    <t>ICR Based Spread</t>
  </si>
  <si>
    <t xml:space="preserve">Beta Analysis - 2 Year Weekly </t>
  </si>
  <si>
    <t>Comparable Company</t>
  </si>
  <si>
    <t>Ticker</t>
  </si>
  <si>
    <t>No. Of Weekly Observations</t>
  </si>
  <si>
    <t>Market Cap.</t>
  </si>
  <si>
    <t>2 Years average D/E</t>
  </si>
  <si>
    <t>2 Years average D/E+D</t>
  </si>
  <si>
    <t xml:space="preserve">Ultratech Cement </t>
  </si>
  <si>
    <t>Considered?</t>
  </si>
  <si>
    <t>N</t>
  </si>
  <si>
    <t>y</t>
  </si>
  <si>
    <t>Norrow Set</t>
  </si>
  <si>
    <t>Average-Broad Set</t>
  </si>
  <si>
    <t>Median-Broad Set</t>
  </si>
  <si>
    <t>Median-Considered Set</t>
  </si>
  <si>
    <t>Average-Considered Set</t>
  </si>
  <si>
    <t>Beta Analysis - 5 Year Monthly</t>
  </si>
  <si>
    <t>5 Years average D/E</t>
  </si>
  <si>
    <t>5 Years average D/E+D</t>
  </si>
  <si>
    <t>Blum Beta Analysis - 5 Year Monthly</t>
  </si>
  <si>
    <t>2/3 Beta + 1/3 *Market Beta</t>
  </si>
  <si>
    <t>we are taking 0.70 as asset beta for Cement units</t>
  </si>
  <si>
    <t>1.Tax Rate Considered as Marginal Tax Rate of India.
2.Asset Beta is considered as 5 year average beta of comps adjusted for blum effect.
3.Equity Beta =  Asset Beta*(1+(1-Tax Rate%)*debt/equity.</t>
  </si>
  <si>
    <t>Equity Risk Premium</t>
  </si>
  <si>
    <t>Cost of Debt</t>
  </si>
  <si>
    <t>For the purpose of assessing the cost of debt, we have used country's risk free rate, country's default spread and corporate default spread based on company's debt rating and interest coverage Ratio.</t>
  </si>
  <si>
    <t>Small size Premium &amp; Asset specific risk premium</t>
  </si>
  <si>
    <t>Empirically small sized assets have exceeded the returns as compared to large-sized assets. We have used the study on size premium conducted by incwert which is based on the difference between actual return and CAPM expected return arranged in decile basis market capitalization of Indian companies</t>
  </si>
  <si>
    <t>Add:Depreciation &amp; Amortization</t>
  </si>
  <si>
    <t>Cash NOPAT</t>
  </si>
  <si>
    <t>Capex during the Year</t>
  </si>
  <si>
    <t>Add:Non Operating Assets</t>
  </si>
  <si>
    <t>less: Value of options</t>
  </si>
  <si>
    <t>Valuing Options or Warrants</t>
  </si>
  <si>
    <t>Enter the current stock price =</t>
  </si>
  <si>
    <t>Enter the strike price on the option =</t>
  </si>
  <si>
    <t>Enter the expiration of the option =</t>
  </si>
  <si>
    <t>Enter the standard deviation in stock prices =</t>
  </si>
  <si>
    <t>(volatility)</t>
  </si>
  <si>
    <t>Enter the annualized dividend yield on stock =</t>
  </si>
  <si>
    <t>Enter the Risk Free rate =</t>
  </si>
  <si>
    <t>Enter the number of options outstanding =</t>
  </si>
  <si>
    <t>Enter the number of shares outstanding =</t>
  </si>
  <si>
    <t>Do not input any numbers below this line</t>
  </si>
  <si>
    <t>VALUING OPTIONS WHEN THERE IS DILUTION</t>
  </si>
  <si>
    <t>Stock Price=</t>
  </si>
  <si>
    <t># Warrants issued=</t>
  </si>
  <si>
    <t>Strike Price=</t>
  </si>
  <si>
    <t># Shares outstanding=</t>
  </si>
  <si>
    <t>Adjusted S =</t>
  </si>
  <si>
    <t>T.Bond rate=</t>
  </si>
  <si>
    <t>Adjusted K =</t>
  </si>
  <si>
    <t>Variance=</t>
  </si>
  <si>
    <t>Expiration (in years) =</t>
  </si>
  <si>
    <t>Annualized dividend yield=</t>
  </si>
  <si>
    <t>Div. Adj. interest rate=</t>
  </si>
  <si>
    <t xml:space="preserve">d1 = </t>
  </si>
  <si>
    <t>N (d1) =</t>
  </si>
  <si>
    <t xml:space="preserve">d2 = </t>
  </si>
  <si>
    <t>N (d2) =</t>
  </si>
  <si>
    <t xml:space="preserve">Value per option = </t>
  </si>
  <si>
    <t>Value of all options outstanding =</t>
  </si>
  <si>
    <t>Equity Value for Share Holders</t>
  </si>
  <si>
    <t>Comparable Companies</t>
  </si>
  <si>
    <t>Description</t>
  </si>
  <si>
    <t>Ambuja Cements Limited is an India-based holding company engaged in the manufacturing of clinkers and cement. The company operates through cement and cement related products. The company has a range of products for B2B and retail markets. The company's product, Ambuja Plus Roof Special, is suited for constructing roofs and slabs. The company also co-owns two brands in micro materials category – Alccofine, which includes a range of micro slag materials, and Dirk Pozzocrete, which includes superfine fly ash. Alccofine micro materials are used in construction projects, such as metro rail, dams, roads, flyovers, bridges, and tunnels.</t>
  </si>
  <si>
    <t>UltraTech Cement Ltd. is the largest manufacturer of grey cement, RMC, and white cement in India. It is also one of the leading cement producers globally. Its operations span across India, UAE, Bahrain, Bangladesh, and Sri Lanka. It is also India's largest exporter of cement, reaching out to meet the demand in countries around the Indian Ocean and the Middle East. In the white cement segment, UltraTech goes to market under the brand name of Birla White. It has a white cement plant with a capacity of 0.68 MTPA and 2 wallcare putty plants.</t>
  </si>
  <si>
    <t>JK Cement Ltd. is one of India’s leading manufacturers of Grey Cement and one of the leading White Cement manufacturer in the World.The Company has an installed Grey Cement capacity of 24 MnTPA as on date, making it one of the top cement manufacturers in the Country. One of the leading manufacturers of White Cement, globally, with a total white cement capacity of 1.20 MnTPA and wall putty capacity of 1.2MnTPA. JK White Cement is sold across 43 countries around the globe and the Company has a strong international presence with two subsidies, JK Cement Works Fujairah FZC and JK White Cement (Africa) Ltd.</t>
  </si>
  <si>
    <t>Benchmarking</t>
  </si>
  <si>
    <t>Revenue Growth in %</t>
  </si>
  <si>
    <t>Ultratech Cement Ltd</t>
  </si>
  <si>
    <t>N/A</t>
  </si>
  <si>
    <t>Ambuja Cement Ltd</t>
  </si>
  <si>
    <t>JK Cement Ltd</t>
  </si>
  <si>
    <t>Mean</t>
  </si>
  <si>
    <t>PAT Margin</t>
  </si>
  <si>
    <t>EBIT Margin</t>
  </si>
  <si>
    <t>PBT Margin</t>
  </si>
  <si>
    <t>Summary</t>
  </si>
  <si>
    <t>Average Revenue Growth</t>
  </si>
  <si>
    <t>Average EBITDA Margins</t>
  </si>
  <si>
    <t>Average EBIT Margins</t>
  </si>
  <si>
    <t>Average PBT Margins</t>
  </si>
  <si>
    <t>Average PAT Margins</t>
  </si>
  <si>
    <t>Median Revenue Growth</t>
  </si>
  <si>
    <t>Median EBITDA Margins</t>
  </si>
  <si>
    <t>Median EBIT Margins</t>
  </si>
  <si>
    <t>Median PBT Margins</t>
  </si>
  <si>
    <t>Median PAT Margins</t>
  </si>
  <si>
    <t>Averege</t>
  </si>
  <si>
    <t>Relative Valuation</t>
  </si>
  <si>
    <t xml:space="preserve">Ticker </t>
  </si>
  <si>
    <t>Share Price</t>
  </si>
  <si>
    <t>Market Cap</t>
  </si>
  <si>
    <t>Debt</t>
  </si>
  <si>
    <t>sales</t>
  </si>
  <si>
    <t>In INR Crores</t>
  </si>
  <si>
    <t>Market Data</t>
  </si>
  <si>
    <t xml:space="preserve">High </t>
  </si>
  <si>
    <t xml:space="preserve">Average </t>
  </si>
  <si>
    <t>Low</t>
  </si>
  <si>
    <t>NSE:AMBUJACEM</t>
  </si>
  <si>
    <t>NSE:JKCEMENT</t>
  </si>
  <si>
    <t>NSE:ULTRACEMCO</t>
  </si>
  <si>
    <t>PAT Margins</t>
  </si>
  <si>
    <t>Multiples</t>
  </si>
  <si>
    <t>EV/Sales</t>
  </si>
  <si>
    <t>EV/EBITDA</t>
  </si>
  <si>
    <t>Price/Earninigs</t>
  </si>
  <si>
    <t xml:space="preserve">Shree Cement </t>
  </si>
  <si>
    <t>NSE:SHREECEM</t>
  </si>
  <si>
    <t xml:space="preserve">Sales </t>
  </si>
  <si>
    <t>Earnings</t>
  </si>
  <si>
    <t>Price/Earnings</t>
  </si>
  <si>
    <t>Valuation Multiples</t>
  </si>
  <si>
    <t>Equity Value for Shareholders</t>
  </si>
  <si>
    <t xml:space="preserve">                                                     Maturity Period</t>
  </si>
  <si>
    <t>Sensitivity Analysis</t>
  </si>
  <si>
    <t>WACC</t>
  </si>
  <si>
    <t>Less:Exceptional Item</t>
  </si>
  <si>
    <t>Less: Minority Interest</t>
  </si>
  <si>
    <t>Explicit forcast Period</t>
  </si>
  <si>
    <t xml:space="preserve"> Explicit Forcast Period</t>
  </si>
  <si>
    <t xml:space="preserve">                                           Explicit Forcast  Period</t>
  </si>
  <si>
    <t>UltraTech Cem.</t>
  </si>
  <si>
    <t>Ambuja Cements</t>
  </si>
  <si>
    <t>ACC</t>
  </si>
  <si>
    <t>Dalmia BharatLtd</t>
  </si>
  <si>
    <t>J K Cements</t>
  </si>
  <si>
    <t>Nuvoco Vistas</t>
  </si>
  <si>
    <t>India Cements</t>
  </si>
  <si>
    <t>Birla Corpn.</t>
  </si>
  <si>
    <t>Prism Johnson</t>
  </si>
  <si>
    <t>JK Lakshmi Cem.</t>
  </si>
  <si>
    <t>Star Cement</t>
  </si>
  <si>
    <t>Kesoram Inds.</t>
  </si>
  <si>
    <t>Orient Cement</t>
  </si>
  <si>
    <t>S.No.</t>
  </si>
  <si>
    <t>Name</t>
  </si>
  <si>
    <t>CMP Rs.</t>
  </si>
  <si>
    <t>Dep Ann Rs.Cr.</t>
  </si>
  <si>
    <t>EV Rs.Cr.</t>
  </si>
  <si>
    <t>Net Block Rs.Cr.</t>
  </si>
  <si>
    <t>Net Block PY Rs.Cr.</t>
  </si>
  <si>
    <t>Working Cap Rs.Cr.</t>
  </si>
  <si>
    <t>Work Cap PY Rs.Cr.</t>
  </si>
  <si>
    <t>Mar Cap Rs.Cr. </t>
  </si>
  <si>
    <t>Heidelberg Cem.</t>
  </si>
  <si>
    <t>K C P</t>
  </si>
  <si>
    <t>Sagar Cements</t>
  </si>
  <si>
    <t>Mangalam Cement</t>
  </si>
  <si>
    <t>Sanghi Industrie</t>
  </si>
  <si>
    <t>Udaipur Cement</t>
  </si>
  <si>
    <t>Sh. Digvijay Cem</t>
  </si>
  <si>
    <t>Shiva Cement</t>
  </si>
  <si>
    <t>Saurashtra Cem.</t>
  </si>
  <si>
    <t>NCL Industries</t>
  </si>
  <si>
    <t>Deccan Cements</t>
  </si>
  <si>
    <t>Andhra Cements</t>
  </si>
  <si>
    <t>Anjani Portland</t>
  </si>
  <si>
    <t>Shri Keshav</t>
  </si>
  <si>
    <t>Kakatiya Cement</t>
  </si>
  <si>
    <t>Barak Valley</t>
  </si>
  <si>
    <t>Panyam Cement</t>
  </si>
  <si>
    <t>Keerthi Indus</t>
  </si>
  <si>
    <t>Bheema Cements</t>
  </si>
  <si>
    <t>Burnpur Cement</t>
  </si>
  <si>
    <t>Hemadri Cements</t>
  </si>
  <si>
    <t>Capex</t>
  </si>
  <si>
    <t>Dep/EBITDA</t>
  </si>
  <si>
    <t>Capex/EBITDA</t>
  </si>
  <si>
    <t>WC/EBITDA</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</si>
  <si>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</si>
  <si>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</si>
  <si>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</si>
  <si>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</si>
  <si>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</si>
  <si>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</si>
  <si>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</si>
  <si>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</si>
  <si>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</si>
  <si>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</si>
  <si>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</si>
  <si>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</si>
  <si>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</si>
  <si>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</si>
  <si>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</si>
  <si>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</si>
  <si>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</si>
  <si>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</si>
  <si>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</si>
  <si>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</si>
  <si>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</si>
  <si>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</si>
  <si>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</si>
  <si>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</si>
  <si>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over/under</t>
  </si>
  <si>
    <t>Non Controlling Interest Growth %</t>
  </si>
  <si>
    <t>Short Term Provision Growth %</t>
  </si>
  <si>
    <t>EXIT Multiple</t>
  </si>
  <si>
    <t>Acc Ltd</t>
  </si>
  <si>
    <t>Nuvoco Vistas Corp Ltd</t>
  </si>
  <si>
    <t>NSE:Nuvoco</t>
  </si>
  <si>
    <t>NSE:Acc</t>
  </si>
  <si>
    <t xml:space="preserve">Acc Cement </t>
  </si>
  <si>
    <t>10,67%</t>
  </si>
  <si>
    <t>Nuvoco Vistas Corporation Limited is the largest cement company in East India and fifth largest in India. It is a leading ready-mix concrete manufacturer with strategically located plants in East and North India. The company ensures a steady supply of raw materials like limestone, slag, and fly ash to its plants. With captive railway sidings at six plants, Nuvoco has a competitive edge in transporting materials efficiently. </t>
  </si>
  <si>
    <t>ACC Limited, part of Adani Cement, provides a wide range of products primarily in the cement industry, aiming for rapid capacity expansion to reach 140 MTPA by 2028. They offer premium cement products, ready-mix concrete, and have a significant focus on sustainability and value-added solutions through innovative product lines.</t>
  </si>
  <si>
    <t>ACC limited</t>
  </si>
  <si>
    <t xml:space="preserve">    Explicit Forcast Period</t>
  </si>
  <si>
    <t xml:space="preserve">                                                                 </t>
  </si>
  <si>
    <t>Management Case</t>
  </si>
  <si>
    <t>Shree Cement Ltd was incorporated in the year 1979. The company is presently promoted by Calcutta-based industrialists Hari M Bangur. Shree Cement is engaged in manufacturing and selling of cement and cement related products and is ** one of the lowest cost producers in the country. It is the 3rd largest cement producer in India with an installed capacity of 46.4 MTPA.</t>
  </si>
  <si>
    <t xml:space="preserve">. The company's manufacturing operations are spread over North and East India, The Co. has 4 fully integrated cement manufacturing plants and 10 grinding units across 10 states in India. Their manufacturing units are located at Beawar, Ras, Khushkhera Suratgarh and Jobner (Jaipur) in Rajasthan, Laksar (Roorkee) in Uttarakhand, Aurangabad in Bihar, Panipat in Haryana, Baloda Bazar in Chhattisgarh and Bulandshahr in Uttar Pradesh. The company is headquartered in Kolkata, India.
</t>
  </si>
  <si>
    <t>The company specializes in producing high-quality cement and markets its products under several well-known brand names, including Roofon, Bangur Power, Shree Jung Rodhak, Bangur Cement, and Rock Strong. Their extensive product lineup includes various types of cement, such as Portland Pozzolana Cement, Ordinary Portland Cement, Portland Slag Cement and AAC Blocks.</t>
  </si>
  <si>
    <t>Cement</t>
  </si>
  <si>
    <t>Clinker</t>
  </si>
  <si>
    <t>Power</t>
  </si>
  <si>
    <t>Date</t>
  </si>
  <si>
    <t>Price</t>
  </si>
  <si>
    <t>The past four years have put the resilience of the global economy to the test. A once-in-a-century pandemic, eruption of geopolitical conflicts, and extreme weather events have disrupted supply chains, caused energy and food crises, and prompted governments to take unprecedented actions to protect lives and livelihoods. The global economy has demonstrated resilience overall, but this masks uneven performance across regions and lingering fragilities.</t>
  </si>
  <si>
    <t>The sharpest contrasts are between advanced and developing economies. Whereas the former have caught up with activity and inflation projected before the pandemic, the latter are showing more permanent scars</t>
  </si>
  <si>
    <t>with large output shortfalls and persistent inflation</t>
  </si>
  <si>
    <t>Global growth, is projected to remain at 3.1% in 2024 and 3.2% in 2025. Nevertheless, the projection for global growth in 2024 and 2025 is below the historical (2000–2019) annual average of 3.8%, reflecting restrictive monetary policies and withdrawal of fiscal support, as well as low underlying productivity growth.</t>
  </si>
  <si>
    <t>World trade growth is projected at 3.3% in 2024 and 3.6% in 2025, below its historical average growth rate of 4.9%. Rising trade distortions and geoeconomic fragmentation are expected to continue to weigh on the level of global trade</t>
  </si>
  <si>
    <t>Annual average oil prices are projected to fall by about 2.3% in 2024, whereas non-fuel commodity prices are expected to fall by 0.9%.</t>
  </si>
  <si>
    <t>Advanced economies growth is projected to decline slightly from 1.6% in 2023 to 1.5% in 2024, before rising to 1.8% in 2025.</t>
  </si>
  <si>
    <t>In emerging and developing Asia, growth is expected to decline from 5.4% in 2023, 5.2% in 2024 to 4.8% in 2025.</t>
  </si>
  <si>
    <t>World  Output</t>
  </si>
  <si>
    <t>2023A</t>
  </si>
  <si>
    <t>2024P</t>
  </si>
  <si>
    <t>Emerging Economies</t>
  </si>
  <si>
    <t>Advanced Economies</t>
  </si>
  <si>
    <t>US</t>
  </si>
  <si>
    <t>In India, the outlook is for GDP growth to moderate from 8.2 percent in 2023 to 7 percent in 2024 and 6.5 percent in 2025, because pent-up demand accumulated during the pandemic has been exhausted, as the economy reconnects with its potential.</t>
  </si>
  <si>
    <t>The Indian economy demonstrates resilience and maintainshealthy macroeconomic fundamentals, despite uncertainty from adverse geopolitical developments.As per the provisional estimates, the Indian economy has registered a GDP growth rate of 8.2% in FY 2023-24, up from 7.0%in FY 2022-23. This robust growth is likely to have been driven
by enhanced performance across key sectors, including mining and quarrying, manufacturing, and select areas of the services sector. India is currently the fifth-largest economy with a GDP of $ 3.7 trillion economy in the world and is expected to continue to clock the highest GDP growth rate among the top five economies in the foreseeable future.India’s GDP is expected to grow at a rate of 7.0% in both 2024-25 and 2025-26, according to RBI estimates. This exceeds IMF forecasts, which peg the growth of the Indian economy at 6.8% in 2024-25 and 6.5% in 2025-26 . India still shines as a ‘bright spot’ on the global map, despite geopolitical conflicts and economic headwinds retaining its position as the fastest-growing nation in the world and on a growth trajectory to achieve a $ 5 trillion mark GDP by 2027, thereby becoming third-largest economy in the world.</t>
  </si>
  <si>
    <t>2018A</t>
  </si>
  <si>
    <t>2019A</t>
  </si>
  <si>
    <t>2020A</t>
  </si>
  <si>
    <t>2021A</t>
  </si>
  <si>
    <t>2022A</t>
  </si>
  <si>
    <t>2025P</t>
  </si>
  <si>
    <t>FY 2024 (Q1)</t>
  </si>
  <si>
    <t>FY 2023 (Q4)</t>
  </si>
  <si>
    <t>FY 2023 (Q3)</t>
  </si>
  <si>
    <t>FY 2023 (Q2)</t>
  </si>
  <si>
    <t>FY 2023 (Q1)</t>
  </si>
  <si>
    <t>FY 2022 (Q4)</t>
  </si>
  <si>
    <t>FY 2022 (Q3)</t>
  </si>
  <si>
    <t>FY 2022 (Q2)</t>
  </si>
  <si>
    <t>FY 2022 (Q1)</t>
  </si>
  <si>
    <t>FY 2021 (Q4)</t>
  </si>
  <si>
    <t>FY 2021 (Q3)</t>
  </si>
  <si>
    <t>projected</t>
  </si>
  <si>
    <t>Shree Cement plans to invest Rs 2,000 crore (US$ 240 million) to expand its cement production capacity in Uttar Pradesh by nearly 7 million tonnes annually over the next 24 months. The expansion includes new 3.5 MTPA facilities in Etah and Prayagraj, initiated under an MoU with the state government.</t>
  </si>
  <si>
    <t>Shree Cement announces US$ 844 million (Rs. 7,000 crore) investment for 12 million tonnes capacity expansion in India, including clinker manufacturing plants in Rajasthan and Karnataka, along with cement plants in Rajasthan, Uttar Pradesh, and Karnataka by March 2025 .</t>
  </si>
  <si>
    <t>A prime reason the company could achieve this is because it is the lowest cost cement producer. It costs Rs 2,684 on average for the company to produce a tonne of cement. For its large peers such as UltraTech Cement, ACC, Ambuja Cements, and The Ramco Cements, it is in the range of Rs 3,700-4,080 per tonne.</t>
  </si>
  <si>
    <t>Rest of the World</t>
  </si>
  <si>
    <t>Inventory % of revenue</t>
  </si>
  <si>
    <t>Inventory Days (Revenue)</t>
  </si>
  <si>
    <t>Industry inventory Days</t>
  </si>
  <si>
    <t>shree cement inventory Days</t>
  </si>
  <si>
    <t>Trade Receivables% of revenue</t>
  </si>
  <si>
    <t>Receivable</t>
  </si>
  <si>
    <t>Peers receivable days</t>
  </si>
  <si>
    <t xml:space="preserve">Payables </t>
  </si>
  <si>
    <t>Payable Days</t>
  </si>
  <si>
    <t>Short term Borrowings</t>
  </si>
  <si>
    <t>STB % TB</t>
  </si>
  <si>
    <t>LTB % TB</t>
  </si>
  <si>
    <t xml:space="preserve">Ev/EBIT </t>
  </si>
  <si>
    <t>Exit Multiple</t>
  </si>
  <si>
    <t>Perpetuity Growth</t>
  </si>
  <si>
    <t xml:space="preserve">   Financials</t>
  </si>
  <si>
    <t>Valuation Method</t>
  </si>
  <si>
    <t>Value per share</t>
  </si>
  <si>
    <t>Discount/Premium</t>
  </si>
  <si>
    <t>Discount/Premium %</t>
  </si>
  <si>
    <t>Discounted Cash Flow - Perpetuity Growth</t>
  </si>
  <si>
    <t>Discounted Cash Flow - Exit Multiple</t>
  </si>
  <si>
    <t>Relative Valuation - EV/EBITDA</t>
  </si>
  <si>
    <t>Relative Valuation - EV/Sales</t>
  </si>
  <si>
    <t>Relative Valuation - P/E</t>
  </si>
  <si>
    <t>–</t>
  </si>
  <si>
    <t>Market Price</t>
  </si>
  <si>
    <t>Overvalued/Undervalued</t>
  </si>
  <si>
    <t>Indian Cement Industry Market Share 2024(Listed Company)</t>
  </si>
  <si>
    <t xml:space="preserve">Ambuja Cement </t>
  </si>
  <si>
    <t>Dalmia Bharat</t>
  </si>
  <si>
    <t xml:space="preserve">Project 3 The Ultimate Financial Modeling Challenge!         </t>
  </si>
  <si>
    <r>
      <rPr>
        <b/>
        <sz val="14"/>
        <color theme="1"/>
        <rFont val="Calibri"/>
        <family val="2"/>
        <scheme val="minor"/>
      </rPr>
      <t xml:space="preserve">Select a Publicly Listed Company </t>
    </r>
    <r>
      <rPr>
        <sz val="11"/>
        <color theme="1"/>
        <rFont val="Calibri"/>
        <family val="2"/>
        <scheme val="minor"/>
      </rPr>
      <t xml:space="preserve">
•	Choose any publicly traded company for valuation. 
•	Ensure access to at least 5 years of financial data (Income Statement, Balance Sheet, Cash Flow Statement). 
Prepare a Complete Financial Model 
•	Forecast Revenue, Costs, EBITDA, Depreciation, Taxes, and Net Income for at least 5 
•	future years. 
•	Project Balance Sheet and Cash Flow Statements based on assumptions. 
•	Use sensitivity analysis to test key assumptions. 
Provide a Clear Rationale for Your Assumptions 
•	Justify your revenue growth estimates based on industry trends and historical data. 
•	Explain cost assumptions (inflation impact, margin trends, efficiency gains). 
•	Support capital expenditure and working capital assumptions with real-world 
•	references. 
•	Provide reasoning for discount rate (WACC) components and risk premium 
•	considerations. 
Discounted Cash Flow (DCF) Valuation 
•	Calculate Free Cash Flows to the Firm (FCFF). 
•	Determine the Weighted Average Cost of Capital (WACC). 
•	Compute the Terminal Value using the Gordon Growth Model or Exit Multiple 
•	Approach. 
•	Arrive at the Intrinsic Value per Share and compare it with the current market price. 
Relative Valuation     
•	Compare your company with industry peers using: 
•	Price-to-Earnings (P/E) Ratio 
•	Price-to-Book (P/B) Ratio 
  EV/EBITDA Multiple 
•	Price-to-Sales (P/S) Ratio 
•	Use appropriate multiples to estimate the fair value of your selected company. 
•	Final Investment Recommendation 
•	Is the company undervalued or overvalued? 
•	Would you recommend a Buy, Hold, or Sell? 
•	Provide clear justifications for your conclusion. 
•	Create a Dynamic Financial Model in Excel       
•	Your model should be structured, clean, and interactive. 
•	Use drop-downs, dynamic assumptions, and scenario analysis. 
•	Implement data validation &amp; error checks for accuracy.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</si>
</sst>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3" formatCode="_ * #,##0.00_ ;_ * \-#,##0.00_ ;_ * &quot;-&quot;??_ ;_ @_ "/>
    <numFmt numFmtId="164" formatCode="&quot;FY&quot;0"/>
    <numFmt numFmtId="165" formatCode="0.0%"/>
    <numFmt numFmtId="166" formatCode="&quot;₹&quot;\ #,##0.00"/>
    <numFmt numFmtId="167" formatCode="&quot;₹&quot;\ #,##0"/>
    <numFmt numFmtId="168" formatCode="0\ &quot;Years&quot;"/>
    <numFmt numFmtId="169" formatCode="&quot;₹&quot;\ #,##0;\(&quot;₹&quot;\ #,##0\);\-"/>
    <numFmt numFmtId="170" formatCode="0\ &quot;Days&quot;"/>
    <numFmt numFmtId="171" formatCode="0\ &quot;days&quot;"/>
    <numFmt numFmtId="172" formatCode="#,##0;\(#,##0\);\-"/>
    <numFmt numFmtId="173" formatCode="_(* #,##0_);_(* \(#,##0\);_(* &quot;-&quot;??_);_(@_)"/>
    <numFmt numFmtId="174" formatCode="0.0\ &quot;x&quot;"/>
    <numFmt numFmtId="175" formatCode="&quot;FY&quot;0.0"/>
    <numFmt numFmtId="176" formatCode="0.0000000"/>
    <numFmt numFmtId="177" formatCode="0.0"/>
    <numFmt numFmtId="178" formatCode="0.000"/>
    <numFmt numFmtId="179" formatCode="0.00&quot;x&quot;"/>
    <numFmt numFmtId="180" formatCode="0&quot;A&quot;"/>
    <numFmt numFmtId="181" formatCode="0&quot;E&quot;"/>
    <numFmt numFmtId="182" formatCode="&quot;FY&quot;###0"/>
    <numFmt numFmtId="183" formatCode="#,##0.0;\(#,##0.0\);\-;"/>
    <numFmt numFmtId="184" formatCode="&quot;₹&quot;\ #,##0.00;\(#,##0.00\);\-;"/>
    <numFmt numFmtId="185" formatCode="&quot;FY&quot;###0&quot;E&quot;"/>
    <numFmt numFmtId="186" formatCode="0\ "/>
    <numFmt numFmtId="187" formatCode="#,##0.00;\(#,##0.00\)"/>
    <numFmt numFmtId="188" formatCode="0\x"/>
    <numFmt numFmtId="189" formatCode="#,##0.00;\(#,##0.00\);\-;"/>
    <numFmt numFmtId="190" formatCode="#,##0.0"/>
    <numFmt numFmtId="191" formatCode="_(&quot;$&quot;* #,##0.00_);_(&quot;$&quot;* \(#,##0.00\);_(&quot;$&quot;* &quot;-&quot;??_);_(@_)"/>
    <numFmt numFmtId="192" formatCode="_(* #,##0.00_);_(* \(#,##0.00\);_(* &quot;-&quot;??_);_(@_)"/>
    <numFmt numFmtId="193" formatCode="#,##0.0000"/>
    <numFmt numFmtId="194" formatCode="0.0000"/>
    <numFmt numFmtId="195" formatCode="0.000000"/>
    <numFmt numFmtId="196" formatCode="0.0&quot;x&quot;"/>
    <numFmt numFmtId="197" formatCode="0&quot;F&quot;"/>
    <numFmt numFmtId="198" formatCode="\ #,##0;\(&quot;₹&quot;\ #,##0\);\-"/>
    <numFmt numFmtId="199" formatCode="#,##0;\(#,##0\);\-;"/>
  </numFmts>
  <fonts count="112">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b/>
      <sz val="11"/>
      <color theme="0"/>
      <name val="Calibri"/>
      <family val="2"/>
    </font>
    <font>
      <b/>
      <sz val="11"/>
      <color theme="1"/>
      <name val="Calibri"/>
      <family val="2"/>
    </font>
    <font>
      <b/>
      <sz val="14"/>
      <color rgb="FF3333FF"/>
      <name val="Calibri"/>
      <family val="2"/>
    </font>
    <font>
      <b/>
      <sz val="12"/>
      <color theme="1"/>
      <name val="Calibri"/>
      <family val="2"/>
    </font>
    <font>
      <i/>
      <sz val="11"/>
      <color rgb="FF3333FF"/>
      <name val="Calibri"/>
      <family val="2"/>
    </font>
    <font>
      <sz val="11"/>
      <color rgb="FF3333FF"/>
      <name val="Calibri"/>
      <family val="2"/>
    </font>
    <font>
      <i/>
      <sz val="11"/>
      <color theme="1"/>
      <name val="Calibri"/>
      <family val="2"/>
    </font>
    <font>
      <sz val="11"/>
      <color theme="9" tint="-0.249977111117893"/>
      <name val="Calibri"/>
      <family val="2"/>
    </font>
    <font>
      <b/>
      <sz val="11"/>
      <color theme="9" tint="-0.249977111117893"/>
      <name val="Calibri"/>
      <family val="2"/>
    </font>
    <font>
      <b/>
      <u/>
      <sz val="11"/>
      <color theme="1"/>
      <name val="Calibri"/>
      <family val="2"/>
    </font>
    <font>
      <sz val="12"/>
      <name val="Arial"/>
      <family val="2"/>
    </font>
    <font>
      <sz val="10"/>
      <color rgb="FF000000"/>
      <name val="Calibri"/>
      <family val="2"/>
      <scheme val="minor"/>
    </font>
    <font>
      <sz val="10"/>
      <name val="Arial"/>
      <family val="2"/>
    </font>
    <font>
      <sz val="10"/>
      <name val="Calibri"/>
      <family val="2"/>
      <scheme val="minor"/>
    </font>
    <font>
      <b/>
      <sz val="11"/>
      <color rgb="FF3333FF"/>
      <name val="Calibri"/>
      <family val="2"/>
    </font>
    <font>
      <b/>
      <sz val="10"/>
      <color rgb="FF000000"/>
      <name val="Calibri"/>
      <family val="2"/>
      <scheme val="minor"/>
    </font>
    <font>
      <b/>
      <u/>
      <sz val="10"/>
      <color rgb="FF000000"/>
      <name val="Calibri"/>
      <family val="2"/>
      <scheme val="minor"/>
    </font>
    <font>
      <b/>
      <u/>
      <sz val="11"/>
      <name val="Calibri"/>
      <family val="2"/>
      <scheme val="minor"/>
    </font>
    <font>
      <sz val="10"/>
      <color theme="1"/>
      <name val="Calibri"/>
      <family val="2"/>
      <scheme val="minor"/>
    </font>
    <font>
      <b/>
      <sz val="10"/>
      <name val="Calibri"/>
      <family val="2"/>
      <scheme val="minor"/>
    </font>
    <font>
      <b/>
      <sz val="10"/>
      <color theme="1"/>
      <name val="Calibri"/>
      <family val="2"/>
      <scheme val="minor"/>
    </font>
    <font>
      <sz val="9"/>
      <color rgb="FF000000"/>
      <name val="Arial"/>
      <family val="2"/>
    </font>
    <font>
      <sz val="10"/>
      <color rgb="FF333333"/>
      <name val="Arial"/>
      <family val="2"/>
    </font>
    <font>
      <b/>
      <sz val="10"/>
      <color rgb="FF333333"/>
      <name val="Arial"/>
      <family val="2"/>
    </font>
    <font>
      <sz val="10"/>
      <color rgb="FF000000"/>
      <name val="Arial"/>
      <family val="2"/>
    </font>
    <font>
      <sz val="10"/>
      <color theme="1"/>
      <name val="Calibri"/>
      <family val="2"/>
    </font>
    <font>
      <b/>
      <sz val="11"/>
      <name val="Calibri"/>
      <family val="2"/>
    </font>
    <font>
      <b/>
      <sz val="11"/>
      <color theme="0" tint="-4.9989318521683403E-2"/>
      <name val="Calibri"/>
      <family val="2"/>
    </font>
    <font>
      <b/>
      <i/>
      <sz val="11"/>
      <color theme="1"/>
      <name val="Calibri"/>
      <family val="2"/>
      <scheme val="minor"/>
    </font>
    <font>
      <sz val="11"/>
      <color theme="9" tint="-0.249977111117893"/>
      <name val="Calibri"/>
      <family val="2"/>
      <scheme val="minor"/>
    </font>
    <font>
      <sz val="11"/>
      <color rgb="FF92D050"/>
      <name val="Calibri"/>
      <family val="2"/>
    </font>
    <font>
      <sz val="11"/>
      <name val="Calibri"/>
      <family val="2"/>
    </font>
    <font>
      <sz val="11"/>
      <color rgb="FF008000"/>
      <name val="Calibri"/>
      <family val="2"/>
    </font>
    <font>
      <sz val="11"/>
      <color rgb="FF22222F"/>
      <name val="Arial"/>
      <family val="2"/>
    </font>
    <font>
      <i/>
      <sz val="11"/>
      <color theme="1"/>
      <name val="Calibri"/>
      <family val="2"/>
      <scheme val="minor"/>
    </font>
    <font>
      <b/>
      <sz val="11"/>
      <name val="Calibri"/>
      <family val="2"/>
      <scheme val="minor"/>
    </font>
    <font>
      <b/>
      <u/>
      <sz val="11"/>
      <color theme="1"/>
      <name val="Calibri"/>
      <family val="2"/>
      <scheme val="minor"/>
    </font>
    <font>
      <sz val="11"/>
      <color rgb="FF3333FF"/>
      <name val="Calibri"/>
      <family val="2"/>
      <scheme val="minor"/>
    </font>
    <font>
      <sz val="11"/>
      <color theme="0"/>
      <name val="Calibri"/>
      <family val="2"/>
      <scheme val="minor"/>
    </font>
    <font>
      <sz val="9"/>
      <color indexed="81"/>
      <name val="Tahoma"/>
      <family val="2"/>
    </font>
    <font>
      <b/>
      <sz val="9"/>
      <color indexed="81"/>
      <name val="Tahoma"/>
      <family val="2"/>
    </font>
    <font>
      <sz val="11"/>
      <color theme="0" tint="-0.14999847407452621"/>
      <name val="Calibri"/>
      <family val="2"/>
      <scheme val="minor"/>
    </font>
    <font>
      <sz val="10"/>
      <name val="Geneva"/>
      <charset val="1"/>
    </font>
    <font>
      <sz val="10"/>
      <name val="Geneva"/>
      <family val="2"/>
      <charset val="1"/>
    </font>
    <font>
      <sz val="10"/>
      <name val="Times"/>
      <family val="1"/>
    </font>
    <font>
      <b/>
      <sz val="10"/>
      <name val="Times"/>
      <family val="1"/>
    </font>
    <font>
      <i/>
      <sz val="10"/>
      <name val="Times"/>
      <family val="1"/>
    </font>
    <font>
      <i/>
      <sz val="10"/>
      <name val="Times Roman"/>
    </font>
    <font>
      <sz val="10"/>
      <name val="Times Roman"/>
    </font>
    <font>
      <sz val="12"/>
      <name val="Helvetica"/>
      <family val="2"/>
    </font>
    <font>
      <b/>
      <sz val="11"/>
      <color theme="0" tint="-4.9989318521683403E-2"/>
      <name val="Calibri"/>
      <family val="2"/>
      <scheme val="minor"/>
    </font>
    <font>
      <sz val="11"/>
      <color theme="0" tint="-4.9989318521683403E-2"/>
      <name val="Calibri"/>
      <family val="2"/>
      <scheme val="minor"/>
    </font>
    <font>
      <i/>
      <sz val="9"/>
      <color theme="1"/>
      <name val="Calibri"/>
      <family val="2"/>
      <scheme val="minor"/>
    </font>
    <font>
      <b/>
      <sz val="11"/>
      <color theme="1" tint="4.9989318521683403E-2"/>
      <name val="Calibri"/>
      <family val="2"/>
      <scheme val="minor"/>
    </font>
    <font>
      <b/>
      <sz val="11"/>
      <color rgb="FF92D050"/>
      <name val="Calibri"/>
      <family val="2"/>
    </font>
    <font>
      <sz val="9"/>
      <name val="Geneva"/>
      <family val="2"/>
    </font>
    <font>
      <b/>
      <sz val="14"/>
      <name val="Geneva"/>
      <family val="2"/>
    </font>
    <font>
      <sz val="11"/>
      <name val="Calibri"/>
      <family val="2"/>
      <scheme val="minor"/>
    </font>
    <font>
      <b/>
      <sz val="11"/>
      <color rgb="FF3333FF"/>
      <name val="Calibri"/>
      <family val="2"/>
      <scheme val="minor"/>
    </font>
    <font>
      <b/>
      <i/>
      <sz val="11"/>
      <name val="Calibri"/>
      <family val="2"/>
      <scheme val="minor"/>
    </font>
    <font>
      <i/>
      <sz val="11"/>
      <name val="Calibri"/>
      <family val="2"/>
      <scheme val="minor"/>
    </font>
    <font>
      <i/>
      <sz val="10"/>
      <name val="Geneva"/>
      <family val="2"/>
    </font>
    <font>
      <u/>
      <sz val="11"/>
      <color theme="10"/>
      <name val="Calibri"/>
      <family val="2"/>
      <scheme val="minor"/>
    </font>
    <font>
      <sz val="10"/>
      <color rgb="FF212529"/>
      <name val="Arial"/>
      <family val="2"/>
    </font>
    <font>
      <sz val="10"/>
      <color rgb="FF000000"/>
      <name val="Arial"/>
      <family val="2"/>
    </font>
    <font>
      <u/>
      <sz val="10"/>
      <color theme="10"/>
      <name val="Calibri"/>
      <family val="2"/>
      <scheme val="minor"/>
    </font>
    <font>
      <i/>
      <sz val="10"/>
      <color theme="1"/>
      <name val="Calibri"/>
      <family val="2"/>
      <scheme val="minor"/>
    </font>
    <font>
      <b/>
      <sz val="11"/>
      <color theme="1" tint="4.9989318521683403E-2"/>
      <name val="Calibri"/>
      <family val="2"/>
    </font>
    <font>
      <sz val="11"/>
      <color theme="0" tint="-4.9989318521683403E-2"/>
      <name val="Calibri"/>
      <family val="2"/>
    </font>
    <font>
      <u/>
      <sz val="11"/>
      <name val="Calibri"/>
      <family val="2"/>
      <scheme val="minor"/>
    </font>
    <font>
      <sz val="11"/>
      <color rgb="FF92D050"/>
      <name val="Calibri"/>
      <family val="2"/>
      <scheme val="minor"/>
    </font>
    <font>
      <sz val="11"/>
      <color rgb="FF22222F"/>
      <name val="Arial"/>
      <family val="2"/>
    </font>
    <font>
      <sz val="8"/>
      <color rgb="FF666666"/>
      <name val="Arial"/>
      <family val="2"/>
    </font>
    <font>
      <sz val="10"/>
      <color rgb="FF606F7B"/>
      <name val="Arial"/>
      <family val="2"/>
    </font>
    <font>
      <i/>
      <sz val="7"/>
      <color rgb="FF333333"/>
      <name val="Arial"/>
      <family val="2"/>
    </font>
    <font>
      <sz val="8"/>
      <color rgb="FF000000"/>
      <name val="Arial"/>
      <family val="2"/>
    </font>
    <font>
      <sz val="11"/>
      <color theme="0"/>
      <name val="Calibri"/>
      <family val="2"/>
    </font>
    <font>
      <sz val="18"/>
      <color theme="1"/>
      <name val="Calibri"/>
      <family val="2"/>
      <scheme val="minor"/>
    </font>
    <font>
      <b/>
      <sz val="14"/>
      <color theme="1"/>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5"/>
        <bgColor indexed="64"/>
      </patternFill>
    </fill>
    <fill>
      <patternFill patternType="solid">
        <fgColor rgb="FFFFFFFF"/>
        <bgColor indexed="64"/>
      </patternFill>
    </fill>
    <fill>
      <patternFill patternType="solid">
        <fgColor rgb="FFF6F9FA"/>
        <bgColor indexed="64"/>
      </patternFill>
    </fill>
    <fill>
      <patternFill patternType="solid">
        <fgColor theme="0" tint="-0.34998626667073579"/>
        <bgColor indexed="64"/>
      </patternFill>
    </fill>
    <fill>
      <patternFill patternType="solid">
        <fgColor rgb="FFC00000"/>
        <bgColor indexed="64"/>
      </patternFill>
    </fill>
    <fill>
      <patternFill patternType="solid">
        <fgColor rgb="FFEDF4FA"/>
        <bgColor indexed="64"/>
      </patternFill>
    </fill>
    <fill>
      <patternFill patternType="solid">
        <fgColor rgb="FFFFFF00"/>
        <bgColor indexed="64"/>
      </patternFill>
    </fill>
  </fills>
  <borders count="19">
    <border>
      <left/>
      <right/>
      <top/>
      <bottom/>
      <diagonal/>
    </border>
    <border>
      <left/>
      <right/>
      <top/>
      <bottom style="thin">
        <color indexed="64"/>
      </bottom>
      <diagonal/>
    </border>
    <border>
      <left/>
      <right/>
      <top style="hair">
        <color auto="1"/>
      </top>
      <bottom style="hair">
        <color auto="1"/>
      </bottom>
      <diagonal/>
    </border>
    <border>
      <left/>
      <right/>
      <top style="thin">
        <color auto="1"/>
      </top>
      <bottom style="hair">
        <color auto="1"/>
      </bottom>
      <diagonal/>
    </border>
    <border>
      <left/>
      <right/>
      <top/>
      <bottom style="hair">
        <color auto="1"/>
      </bottom>
      <diagonal/>
    </border>
    <border>
      <left/>
      <right/>
      <top style="thin">
        <color auto="1"/>
      </top>
      <bottom/>
      <diagonal/>
    </border>
    <border>
      <left/>
      <right/>
      <top style="thin">
        <color indexed="64"/>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medium">
        <color auto="1"/>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thin">
        <color auto="1"/>
      </bottom>
      <diagonal/>
    </border>
    <border>
      <left/>
      <right/>
      <top style="medium">
        <color rgb="FFBABABA"/>
      </top>
      <bottom/>
      <diagonal/>
    </border>
    <border>
      <left/>
      <right style="hair">
        <color auto="1"/>
      </right>
      <top/>
      <bottom/>
      <diagonal/>
    </border>
    <border>
      <left/>
      <right style="hair">
        <color auto="1"/>
      </right>
      <top style="hair">
        <color auto="1"/>
      </top>
      <bottom style="hair">
        <color auto="1"/>
      </bottom>
      <diagonal/>
    </border>
    <border>
      <left/>
      <right style="hair">
        <color auto="1"/>
      </right>
      <top/>
      <bottom style="hair">
        <color auto="1"/>
      </bottom>
      <diagonal/>
    </border>
  </borders>
  <cellStyleXfs count="15">
    <xf numFmtId="0" fontId="0" fillId="0" borderId="0"/>
    <xf numFmtId="9" fontId="31" fillId="0" borderId="0" applyFont="0" applyFill="0" applyBorder="0" applyAlignment="0" applyProtection="0"/>
    <xf numFmtId="0" fontId="28" fillId="0" borderId="0"/>
    <xf numFmtId="0" fontId="43" fillId="0" borderId="0"/>
    <xf numFmtId="0" fontId="45" fillId="0" borderId="0"/>
    <xf numFmtId="0" fontId="32" fillId="0" borderId="0" applyNumberFormat="0" applyFill="0" applyBorder="0" applyAlignment="0" applyProtection="0"/>
    <xf numFmtId="0" fontId="31" fillId="0" borderId="0"/>
    <xf numFmtId="0" fontId="75" fillId="0" borderId="0"/>
    <xf numFmtId="191" fontId="76" fillId="0" borderId="0" applyFont="0" applyFill="0" applyBorder="0" applyAlignment="0" applyProtection="0"/>
    <xf numFmtId="9" fontId="76" fillId="0" borderId="0" applyFont="0" applyFill="0" applyBorder="0" applyAlignment="0" applyProtection="0"/>
    <xf numFmtId="0" fontId="88" fillId="0" borderId="0"/>
    <xf numFmtId="191" fontId="88" fillId="0" borderId="0" applyFont="0" applyFill="0" applyBorder="0" applyAlignment="0" applyProtection="0"/>
    <xf numFmtId="9" fontId="88" fillId="0" borderId="0" applyFont="0" applyFill="0" applyBorder="0" applyAlignment="0" applyProtection="0"/>
    <xf numFmtId="192" fontId="88" fillId="0" borderId="0" applyFont="0" applyFill="0" applyBorder="0" applyAlignment="0" applyProtection="0"/>
    <xf numFmtId="0" fontId="95" fillId="0" borderId="0" applyNumberFormat="0" applyFill="0" applyBorder="0" applyAlignment="0" applyProtection="0"/>
  </cellStyleXfs>
  <cellXfs count="564">
    <xf numFmtId="0" fontId="0" fillId="0" borderId="0" xfId="0"/>
    <xf numFmtId="0" fontId="29" fillId="0" borderId="0" xfId="0" applyFont="1"/>
    <xf numFmtId="10" fontId="0" fillId="0" borderId="0" xfId="0" applyNumberFormat="1"/>
    <xf numFmtId="0" fontId="28" fillId="0" borderId="0" xfId="2"/>
    <xf numFmtId="0" fontId="35" fillId="0" borderId="0" xfId="2" applyFont="1"/>
    <xf numFmtId="0" fontId="36" fillId="0" borderId="0" xfId="2" applyFont="1"/>
    <xf numFmtId="0" fontId="34" fillId="2" borderId="0" xfId="2" applyFont="1" applyFill="1"/>
    <xf numFmtId="164" fontId="34" fillId="0" borderId="0" xfId="2" applyNumberFormat="1" applyFont="1"/>
    <xf numFmtId="0" fontId="37" fillId="0" borderId="1" xfId="2" applyFont="1" applyBorder="1"/>
    <xf numFmtId="0" fontId="28" fillId="0" borderId="1" xfId="2" applyBorder="1"/>
    <xf numFmtId="0" fontId="33" fillId="3" borderId="0" xfId="2" applyFont="1" applyFill="1"/>
    <xf numFmtId="0" fontId="28" fillId="3" borderId="0" xfId="2" applyFill="1"/>
    <xf numFmtId="0" fontId="34" fillId="4" borderId="0" xfId="2" applyFont="1" applyFill="1"/>
    <xf numFmtId="0" fontId="28" fillId="4" borderId="0" xfId="2" applyFill="1"/>
    <xf numFmtId="0" fontId="34" fillId="0" borderId="0" xfId="2" applyFont="1"/>
    <xf numFmtId="0" fontId="38" fillId="0" borderId="2" xfId="2" applyFont="1" applyBorder="1"/>
    <xf numFmtId="0" fontId="28" fillId="0" borderId="2" xfId="2" applyBorder="1"/>
    <xf numFmtId="165" fontId="38" fillId="0" borderId="2" xfId="2" applyNumberFormat="1" applyFont="1" applyBorder="1"/>
    <xf numFmtId="0" fontId="34" fillId="5" borderId="0" xfId="2" applyFont="1" applyFill="1"/>
    <xf numFmtId="0" fontId="28" fillId="5" borderId="0" xfId="2" applyFill="1"/>
    <xf numFmtId="165" fontId="0" fillId="5" borderId="0" xfId="1" applyNumberFormat="1" applyFont="1" applyFill="1"/>
    <xf numFmtId="0" fontId="28" fillId="0" borderId="3" xfId="2" applyBorder="1"/>
    <xf numFmtId="0" fontId="39" fillId="0" borderId="0" xfId="2" applyFont="1"/>
    <xf numFmtId="165" fontId="0" fillId="0" borderId="0" xfId="1" applyNumberFormat="1" applyFont="1" applyFill="1"/>
    <xf numFmtId="0" fontId="28" fillId="0" borderId="4" xfId="2" applyBorder="1"/>
    <xf numFmtId="165" fontId="28" fillId="5" borderId="0" xfId="1" applyNumberFormat="1" applyFont="1" applyFill="1"/>
    <xf numFmtId="0" fontId="34" fillId="2" borderId="0" xfId="2" applyFont="1" applyFill="1" applyAlignment="1">
      <alignment horizontal="right"/>
    </xf>
    <xf numFmtId="164" fontId="34" fillId="0" borderId="0" xfId="2" applyNumberFormat="1" applyFont="1" applyAlignment="1">
      <alignment horizontal="right"/>
    </xf>
    <xf numFmtId="166" fontId="28" fillId="0" borderId="0" xfId="2" applyNumberFormat="1"/>
    <xf numFmtId="0" fontId="38" fillId="0" borderId="0" xfId="2" applyFont="1"/>
    <xf numFmtId="0" fontId="28" fillId="6" borderId="0" xfId="2" applyFill="1"/>
    <xf numFmtId="165" fontId="40" fillId="6" borderId="0" xfId="1" applyNumberFormat="1" applyFont="1" applyFill="1"/>
    <xf numFmtId="165" fontId="0" fillId="6" borderId="0" xfId="1" applyNumberFormat="1" applyFont="1" applyFill="1"/>
    <xf numFmtId="0" fontId="34" fillId="0" borderId="1" xfId="2" applyFont="1" applyBorder="1"/>
    <xf numFmtId="0" fontId="34" fillId="0" borderId="6" xfId="2" applyFont="1" applyBorder="1"/>
    <xf numFmtId="0" fontId="28" fillId="0" borderId="6" xfId="2" applyBorder="1"/>
    <xf numFmtId="165" fontId="34" fillId="6" borderId="0" xfId="1" applyNumberFormat="1" applyFont="1" applyFill="1"/>
    <xf numFmtId="167" fontId="34" fillId="0" borderId="0" xfId="2" applyNumberFormat="1" applyFont="1"/>
    <xf numFmtId="167" fontId="28" fillId="0" borderId="0" xfId="2" applyNumberFormat="1"/>
    <xf numFmtId="0" fontId="34" fillId="0" borderId="5" xfId="2" applyFont="1" applyBorder="1"/>
    <xf numFmtId="0" fontId="28" fillId="0" borderId="5" xfId="2" applyBorder="1"/>
    <xf numFmtId="167" fontId="28" fillId="0" borderId="5" xfId="2" applyNumberFormat="1" applyBorder="1"/>
    <xf numFmtId="167" fontId="28" fillId="6" borderId="0" xfId="2" applyNumberFormat="1" applyFill="1"/>
    <xf numFmtId="167" fontId="40" fillId="6" borderId="5" xfId="2" applyNumberFormat="1" applyFont="1" applyFill="1" applyBorder="1"/>
    <xf numFmtId="165" fontId="0" fillId="0" borderId="0" xfId="1" applyNumberFormat="1" applyFont="1"/>
    <xf numFmtId="0" fontId="28" fillId="0" borderId="0" xfId="2" applyAlignment="1">
      <alignment horizontal="left" indent="1"/>
    </xf>
    <xf numFmtId="0" fontId="28" fillId="0" borderId="7" xfId="2" applyBorder="1"/>
    <xf numFmtId="168" fontId="38" fillId="0" borderId="8" xfId="2" applyNumberFormat="1" applyFont="1" applyBorder="1"/>
    <xf numFmtId="169" fontId="28" fillId="0" borderId="0" xfId="2" applyNumberFormat="1"/>
    <xf numFmtId="164" fontId="28" fillId="0" borderId="0" xfId="2" applyNumberFormat="1" applyAlignment="1">
      <alignment horizontal="left"/>
    </xf>
    <xf numFmtId="167" fontId="34" fillId="0" borderId="5" xfId="2" applyNumberFormat="1" applyFont="1" applyBorder="1"/>
    <xf numFmtId="169" fontId="40" fillId="0" borderId="0" xfId="2" applyNumberFormat="1" applyFont="1"/>
    <xf numFmtId="169" fontId="41" fillId="0" borderId="5" xfId="2" applyNumberFormat="1" applyFont="1" applyBorder="1"/>
    <xf numFmtId="165" fontId="40" fillId="0" borderId="0" xfId="1" applyNumberFormat="1" applyFont="1"/>
    <xf numFmtId="170" fontId="38" fillId="0" borderId="0" xfId="2" applyNumberFormat="1" applyFont="1"/>
    <xf numFmtId="167" fontId="40" fillId="0" borderId="0" xfId="2" applyNumberFormat="1" applyFont="1"/>
    <xf numFmtId="0" fontId="34" fillId="6" borderId="0" xfId="2" applyFont="1" applyFill="1"/>
    <xf numFmtId="171" fontId="34" fillId="6" borderId="0" xfId="2" applyNumberFormat="1" applyFont="1" applyFill="1"/>
    <xf numFmtId="165" fontId="34" fillId="6" borderId="0" xfId="2" applyNumberFormat="1" applyFont="1" applyFill="1"/>
    <xf numFmtId="165" fontId="34" fillId="0" borderId="0" xfId="1" applyNumberFormat="1" applyFont="1" applyFill="1"/>
    <xf numFmtId="165" fontId="34" fillId="0" borderId="0" xfId="2" applyNumberFormat="1" applyFont="1"/>
    <xf numFmtId="0" fontId="42" fillId="0" borderId="0" xfId="2" applyFont="1"/>
    <xf numFmtId="172" fontId="44" fillId="0" borderId="0" xfId="3" applyNumberFormat="1" applyFont="1" applyAlignment="1">
      <alignment horizontal="left" vertical="center" indent="1"/>
    </xf>
    <xf numFmtId="165" fontId="34" fillId="0" borderId="5" xfId="1" applyNumberFormat="1" applyFont="1" applyFill="1" applyBorder="1"/>
    <xf numFmtId="0" fontId="46" fillId="0" borderId="0" xfId="4" applyFont="1" applyAlignment="1">
      <alignment horizontal="left" indent="1"/>
    </xf>
    <xf numFmtId="0" fontId="46" fillId="0" borderId="1" xfId="4" applyFont="1" applyBorder="1" applyAlignment="1">
      <alignment horizontal="left" indent="1"/>
    </xf>
    <xf numFmtId="165" fontId="34" fillId="0" borderId="0" xfId="1" applyNumberFormat="1" applyFont="1" applyFill="1" applyBorder="1"/>
    <xf numFmtId="0" fontId="28" fillId="2" borderId="0" xfId="2" applyFill="1"/>
    <xf numFmtId="165" fontId="38" fillId="0" borderId="0" xfId="2" applyNumberFormat="1" applyFont="1"/>
    <xf numFmtId="165" fontId="28" fillId="0" borderId="0" xfId="2" applyNumberFormat="1"/>
    <xf numFmtId="164" fontId="47" fillId="0" borderId="0" xfId="2" applyNumberFormat="1" applyFont="1"/>
    <xf numFmtId="172" fontId="44" fillId="0" borderId="0" xfId="3" applyNumberFormat="1" applyFont="1" applyAlignment="1">
      <alignment horizontal="left" vertical="center"/>
    </xf>
    <xf numFmtId="172" fontId="48" fillId="0" borderId="5" xfId="3" applyNumberFormat="1" applyFont="1" applyBorder="1" applyAlignment="1">
      <alignment vertical="center"/>
    </xf>
    <xf numFmtId="169" fontId="34" fillId="0" borderId="5" xfId="2" applyNumberFormat="1" applyFont="1" applyBorder="1"/>
    <xf numFmtId="172" fontId="44" fillId="0" borderId="0" xfId="3" applyNumberFormat="1" applyFont="1" applyAlignment="1">
      <alignment vertical="center"/>
    </xf>
    <xf numFmtId="172" fontId="49" fillId="0" borderId="0" xfId="3" applyNumberFormat="1" applyFont="1" applyAlignment="1">
      <alignment horizontal="left" vertical="center"/>
    </xf>
    <xf numFmtId="172" fontId="48" fillId="0" borderId="5" xfId="3" applyNumberFormat="1" applyFont="1" applyBorder="1" applyAlignment="1">
      <alignment horizontal="left" vertical="center"/>
    </xf>
    <xf numFmtId="172" fontId="48" fillId="0" borderId="0" xfId="3" applyNumberFormat="1" applyFont="1" applyAlignment="1">
      <alignment horizontal="left" vertical="center"/>
    </xf>
    <xf numFmtId="172" fontId="48" fillId="0" borderId="0" xfId="3" applyNumberFormat="1" applyFont="1" applyAlignment="1">
      <alignment vertical="center"/>
    </xf>
    <xf numFmtId="172" fontId="48" fillId="0" borderId="6" xfId="3" applyNumberFormat="1" applyFont="1" applyBorder="1" applyAlignment="1">
      <alignment vertical="center"/>
    </xf>
    <xf numFmtId="0" fontId="50" fillId="0" borderId="0" xfId="4" applyFont="1"/>
    <xf numFmtId="0" fontId="46" fillId="0" borderId="0" xfId="4" applyFont="1"/>
    <xf numFmtId="173" fontId="46" fillId="0" borderId="0" xfId="4" applyNumberFormat="1" applyFont="1"/>
    <xf numFmtId="172" fontId="51" fillId="0" borderId="0" xfId="1" applyNumberFormat="1" applyFont="1" applyFill="1"/>
    <xf numFmtId="172" fontId="44" fillId="0" borderId="1" xfId="3" applyNumberFormat="1" applyFont="1" applyBorder="1" applyAlignment="1">
      <alignment horizontal="left" vertical="center" indent="1"/>
    </xf>
    <xf numFmtId="0" fontId="46" fillId="0" borderId="5" xfId="4" applyFont="1" applyBorder="1"/>
    <xf numFmtId="173" fontId="46" fillId="0" borderId="5" xfId="4" applyNumberFormat="1" applyFont="1" applyBorder="1"/>
    <xf numFmtId="172" fontId="51" fillId="0" borderId="5" xfId="1" applyNumberFormat="1" applyFont="1" applyFill="1" applyBorder="1"/>
    <xf numFmtId="0" fontId="52" fillId="0" borderId="0" xfId="4" applyFont="1"/>
    <xf numFmtId="173" fontId="52" fillId="0" borderId="0" xfId="4" applyNumberFormat="1" applyFont="1"/>
    <xf numFmtId="172" fontId="53" fillId="0" borderId="0" xfId="1" applyNumberFormat="1" applyFont="1" applyFill="1" applyBorder="1"/>
    <xf numFmtId="165" fontId="51" fillId="0" borderId="0" xfId="1" applyNumberFormat="1" applyFont="1" applyFill="1"/>
    <xf numFmtId="0" fontId="46" fillId="0" borderId="1" xfId="4" applyFont="1" applyBorder="1"/>
    <xf numFmtId="173" fontId="46" fillId="0" borderId="1" xfId="4" applyNumberFormat="1" applyFont="1" applyBorder="1"/>
    <xf numFmtId="172" fontId="51" fillId="0" borderId="1" xfId="1" applyNumberFormat="1" applyFont="1" applyFill="1" applyBorder="1"/>
    <xf numFmtId="172" fontId="53" fillId="0" borderId="0" xfId="1" applyNumberFormat="1" applyFont="1" applyFill="1"/>
    <xf numFmtId="0" fontId="52" fillId="0" borderId="6" xfId="4" applyFont="1" applyBorder="1"/>
    <xf numFmtId="173" fontId="52" fillId="0" borderId="6" xfId="4" applyNumberFormat="1" applyFont="1" applyBorder="1"/>
    <xf numFmtId="172" fontId="53" fillId="0" borderId="6" xfId="1" applyNumberFormat="1" applyFont="1" applyFill="1" applyBorder="1"/>
    <xf numFmtId="172" fontId="51" fillId="0" borderId="0" xfId="1" applyNumberFormat="1" applyFont="1" applyFill="1" applyBorder="1"/>
    <xf numFmtId="171" fontId="28" fillId="6" borderId="0" xfId="2" applyNumberFormat="1" applyFill="1"/>
    <xf numFmtId="169" fontId="28" fillId="0" borderId="5" xfId="2" applyNumberFormat="1" applyBorder="1"/>
    <xf numFmtId="174" fontId="28" fillId="0" borderId="0" xfId="2" applyNumberFormat="1"/>
    <xf numFmtId="174" fontId="28" fillId="0" borderId="5" xfId="2" applyNumberFormat="1" applyBorder="1"/>
    <xf numFmtId="170" fontId="28" fillId="0" borderId="5" xfId="2" applyNumberFormat="1" applyBorder="1"/>
    <xf numFmtId="165" fontId="0" fillId="0" borderId="5" xfId="1" applyNumberFormat="1" applyFont="1" applyBorder="1"/>
    <xf numFmtId="174" fontId="0" fillId="0" borderId="5" xfId="1" applyNumberFormat="1" applyFont="1" applyBorder="1"/>
    <xf numFmtId="165" fontId="41" fillId="0" borderId="5" xfId="1" applyNumberFormat="1" applyFont="1" applyBorder="1"/>
    <xf numFmtId="165" fontId="40" fillId="0" borderId="5" xfId="1" applyNumberFormat="1" applyFont="1" applyBorder="1"/>
    <xf numFmtId="1" fontId="28" fillId="0" borderId="0" xfId="2" applyNumberFormat="1"/>
    <xf numFmtId="164" fontId="28" fillId="0" borderId="0" xfId="2" applyNumberFormat="1"/>
    <xf numFmtId="175" fontId="28" fillId="0" borderId="0" xfId="2" applyNumberFormat="1"/>
    <xf numFmtId="169" fontId="40" fillId="0" borderId="0" xfId="1" applyNumberFormat="1" applyFont="1"/>
    <xf numFmtId="176" fontId="28" fillId="0" borderId="0" xfId="2" applyNumberFormat="1"/>
    <xf numFmtId="0" fontId="34" fillId="0" borderId="0" xfId="2" applyFont="1" applyAlignment="1">
      <alignment horizontal="left" indent="1"/>
    </xf>
    <xf numFmtId="0" fontId="28" fillId="0" borderId="0" xfId="2" applyAlignment="1">
      <alignment horizontal="left" indent="2"/>
    </xf>
    <xf numFmtId="0" fontId="28" fillId="0" borderId="9" xfId="2" applyBorder="1"/>
    <xf numFmtId="177" fontId="28" fillId="0" borderId="0" xfId="2" applyNumberFormat="1"/>
    <xf numFmtId="9" fontId="28" fillId="0" borderId="9" xfId="2" applyNumberFormat="1" applyBorder="1"/>
    <xf numFmtId="178" fontId="28" fillId="0" borderId="0" xfId="2" applyNumberFormat="1"/>
    <xf numFmtId="167" fontId="28" fillId="0" borderId="6" xfId="2" applyNumberFormat="1" applyBorder="1"/>
    <xf numFmtId="10" fontId="28" fillId="0" borderId="0" xfId="2" applyNumberFormat="1"/>
    <xf numFmtId="9" fontId="28" fillId="0" borderId="0" xfId="2" applyNumberFormat="1"/>
    <xf numFmtId="179" fontId="28" fillId="0" borderId="0" xfId="2" applyNumberFormat="1"/>
    <xf numFmtId="169" fontId="28" fillId="0" borderId="0" xfId="1" applyNumberFormat="1" applyFont="1"/>
    <xf numFmtId="0" fontId="54" fillId="0" borderId="0" xfId="2" applyFont="1"/>
    <xf numFmtId="0" fontId="54" fillId="0" borderId="0" xfId="2" applyFont="1" applyAlignment="1">
      <alignment wrapText="1"/>
    </xf>
    <xf numFmtId="0" fontId="32" fillId="0" borderId="0" xfId="5" applyAlignment="1">
      <alignment vertical="top"/>
    </xf>
    <xf numFmtId="0" fontId="55" fillId="0" borderId="0" xfId="2" applyFont="1" applyAlignment="1">
      <alignment wrapText="1"/>
    </xf>
    <xf numFmtId="0" fontId="32" fillId="0" borderId="0" xfId="5" applyAlignment="1">
      <alignment vertical="top" wrapText="1"/>
    </xf>
    <xf numFmtId="0" fontId="55" fillId="0" borderId="0" xfId="2" applyFont="1"/>
    <xf numFmtId="0" fontId="56" fillId="0" borderId="0" xfId="2" applyFont="1"/>
    <xf numFmtId="0" fontId="32" fillId="0" borderId="0" xfId="5" applyAlignment="1">
      <alignment wrapText="1"/>
    </xf>
    <xf numFmtId="0" fontId="32" fillId="0" borderId="0" xfId="5"/>
    <xf numFmtId="0" fontId="57" fillId="0" borderId="0" xfId="2" applyFont="1" applyAlignment="1">
      <alignment vertical="center" wrapText="1"/>
    </xf>
    <xf numFmtId="0" fontId="58" fillId="0" borderId="0" xfId="2" applyFont="1"/>
    <xf numFmtId="0" fontId="58" fillId="0" borderId="0" xfId="2" applyFont="1" applyAlignment="1">
      <alignment horizontal="left" vertical="center" wrapText="1" indent="1"/>
    </xf>
    <xf numFmtId="0" fontId="57" fillId="0" borderId="0" xfId="2" applyFont="1" applyAlignment="1">
      <alignment horizontal="left" vertical="center" wrapText="1" indent="1"/>
    </xf>
    <xf numFmtId="0" fontId="57" fillId="0" borderId="0" xfId="2" applyFont="1" applyAlignment="1">
      <alignment horizontal="left" vertical="center" wrapText="1" indent="2"/>
    </xf>
    <xf numFmtId="0" fontId="28" fillId="0" borderId="0" xfId="2" applyAlignment="1">
      <alignment wrapText="1"/>
    </xf>
    <xf numFmtId="0" fontId="57" fillId="0" borderId="0" xfId="2" applyFont="1" applyAlignment="1">
      <alignment horizontal="left" wrapText="1" indent="1"/>
    </xf>
    <xf numFmtId="0" fontId="30" fillId="8" borderId="0" xfId="0" applyFont="1" applyFill="1"/>
    <xf numFmtId="17" fontId="30" fillId="8" borderId="0" xfId="0" applyNumberFormat="1" applyFont="1" applyFill="1"/>
    <xf numFmtId="43" fontId="29" fillId="0" borderId="0" xfId="0" applyNumberFormat="1" applyFont="1"/>
    <xf numFmtId="10" fontId="29" fillId="0" borderId="0" xfId="1" applyNumberFormat="1" applyFont="1"/>
    <xf numFmtId="0" fontId="42" fillId="0" borderId="0" xfId="0" applyFont="1"/>
    <xf numFmtId="0" fontId="0" fillId="0" borderId="0" xfId="0" applyAlignment="1">
      <alignment horizontal="center"/>
    </xf>
    <xf numFmtId="2" fontId="0" fillId="0" borderId="0" xfId="0" applyNumberFormat="1" applyAlignment="1">
      <alignment horizontal="center"/>
    </xf>
    <xf numFmtId="10" fontId="0" fillId="0" borderId="0" xfId="0" applyNumberFormat="1" applyAlignment="1">
      <alignment horizontal="center"/>
    </xf>
    <xf numFmtId="2" fontId="0" fillId="0" borderId="0" xfId="0" applyNumberFormat="1"/>
    <xf numFmtId="0" fontId="0" fillId="0" borderId="0" xfId="0" applyAlignment="1">
      <alignment wrapText="1"/>
    </xf>
    <xf numFmtId="10" fontId="0" fillId="0" borderId="0" xfId="1" applyNumberFormat="1" applyFont="1" applyAlignment="1">
      <alignment horizontal="center"/>
    </xf>
    <xf numFmtId="177" fontId="0" fillId="0" borderId="0" xfId="0" applyNumberFormat="1" applyAlignment="1">
      <alignment horizontal="center"/>
    </xf>
    <xf numFmtId="177" fontId="0" fillId="0" borderId="0" xfId="0" applyNumberFormat="1"/>
    <xf numFmtId="10" fontId="0" fillId="0" borderId="0" xfId="1" applyNumberFormat="1" applyFont="1"/>
    <xf numFmtId="43" fontId="0" fillId="0" borderId="0" xfId="0" applyNumberFormat="1"/>
    <xf numFmtId="180" fontId="29" fillId="0" borderId="0" xfId="0" applyNumberFormat="1" applyFont="1"/>
    <xf numFmtId="181" fontId="29" fillId="0" borderId="0" xfId="0" applyNumberFormat="1" applyFont="1"/>
    <xf numFmtId="0" fontId="27" fillId="0" borderId="0" xfId="2" applyFont="1"/>
    <xf numFmtId="10" fontId="28" fillId="0" borderId="2" xfId="2" applyNumberFormat="1" applyBorder="1"/>
    <xf numFmtId="0" fontId="26" fillId="0" borderId="0" xfId="2" applyFont="1"/>
    <xf numFmtId="0" fontId="31" fillId="0" borderId="0" xfId="6"/>
    <xf numFmtId="182" fontId="30" fillId="7" borderId="0" xfId="4" applyNumberFormat="1" applyFont="1" applyFill="1" applyAlignment="1">
      <alignment horizontal="left"/>
    </xf>
    <xf numFmtId="182" fontId="30" fillId="7" borderId="0" xfId="4" applyNumberFormat="1" applyFont="1" applyFill="1" applyAlignment="1">
      <alignment horizontal="right"/>
    </xf>
    <xf numFmtId="0" fontId="59" fillId="0" borderId="0" xfId="6" applyFont="1"/>
    <xf numFmtId="0" fontId="29" fillId="0" borderId="0" xfId="6" applyFont="1"/>
    <xf numFmtId="183" fontId="29" fillId="0" borderId="0" xfId="6" applyNumberFormat="1" applyFont="1"/>
    <xf numFmtId="0" fontId="31" fillId="0" borderId="0" xfId="6" applyAlignment="1">
      <alignment horizontal="left" indent="1"/>
    </xf>
    <xf numFmtId="183" fontId="31" fillId="0" borderId="1" xfId="6" applyNumberFormat="1" applyBorder="1"/>
    <xf numFmtId="0" fontId="29" fillId="0" borderId="5" xfId="6" applyFont="1" applyBorder="1"/>
    <xf numFmtId="183" fontId="31" fillId="0" borderId="0" xfId="6" applyNumberFormat="1"/>
    <xf numFmtId="0" fontId="29" fillId="0" borderId="6" xfId="6" applyFont="1" applyBorder="1"/>
    <xf numFmtId="183" fontId="29" fillId="0" borderId="6" xfId="6" applyNumberFormat="1" applyFont="1" applyBorder="1"/>
    <xf numFmtId="0" fontId="29" fillId="0" borderId="0" xfId="6" applyFont="1" applyAlignment="1">
      <alignment horizontal="left"/>
    </xf>
    <xf numFmtId="9" fontId="31" fillId="0" borderId="0" xfId="1"/>
    <xf numFmtId="1" fontId="29" fillId="0" borderId="0" xfId="6" applyNumberFormat="1" applyFont="1"/>
    <xf numFmtId="1" fontId="31" fillId="0" borderId="0" xfId="6" applyNumberFormat="1"/>
    <xf numFmtId="0" fontId="29" fillId="0" borderId="10" xfId="6" applyFont="1" applyBorder="1"/>
    <xf numFmtId="0" fontId="29" fillId="0" borderId="10" xfId="6" applyFont="1" applyBorder="1" applyAlignment="1">
      <alignment horizontal="left"/>
    </xf>
    <xf numFmtId="183" fontId="29" fillId="0" borderId="1" xfId="6" applyNumberFormat="1" applyFont="1" applyBorder="1"/>
    <xf numFmtId="0" fontId="60" fillId="7" borderId="0" xfId="6" applyFont="1" applyFill="1" applyAlignment="1">
      <alignment horizontal="left"/>
    </xf>
    <xf numFmtId="0" fontId="60" fillId="7" borderId="0" xfId="6" applyFont="1" applyFill="1" applyAlignment="1">
      <alignment horizontal="right"/>
    </xf>
    <xf numFmtId="0" fontId="60" fillId="9" borderId="0" xfId="6" applyFont="1" applyFill="1"/>
    <xf numFmtId="0" fontId="31" fillId="0" borderId="0" xfId="6" applyAlignment="1">
      <alignment horizontal="left" indent="2"/>
    </xf>
    <xf numFmtId="0" fontId="31" fillId="0" borderId="0" xfId="6" applyAlignment="1">
      <alignment horizontal="left" indent="3"/>
    </xf>
    <xf numFmtId="183" fontId="29" fillId="0" borderId="10" xfId="6" applyNumberFormat="1" applyFont="1" applyBorder="1"/>
    <xf numFmtId="0" fontId="31" fillId="0" borderId="0" xfId="6" applyAlignment="1">
      <alignment horizontal="left" wrapText="1" indent="2"/>
    </xf>
    <xf numFmtId="10" fontId="31" fillId="0" borderId="0" xfId="1" applyNumberFormat="1"/>
    <xf numFmtId="0" fontId="29" fillId="5" borderId="0" xfId="6" applyFont="1" applyFill="1"/>
    <xf numFmtId="10" fontId="29" fillId="5" borderId="0" xfId="1" applyNumberFormat="1" applyFont="1" applyFill="1" applyBorder="1"/>
    <xf numFmtId="183" fontId="29" fillId="5" borderId="0" xfId="6" applyNumberFormat="1" applyFont="1" applyFill="1"/>
    <xf numFmtId="10" fontId="29" fillId="0" borderId="0" xfId="0" applyNumberFormat="1" applyFont="1"/>
    <xf numFmtId="17" fontId="30" fillId="8" borderId="0" xfId="0" applyNumberFormat="1" applyFont="1" applyFill="1" applyAlignment="1">
      <alignment horizontal="center"/>
    </xf>
    <xf numFmtId="10" fontId="29" fillId="0" borderId="0" xfId="1" applyNumberFormat="1" applyFont="1" applyAlignment="1">
      <alignment horizontal="center"/>
    </xf>
    <xf numFmtId="0" fontId="30" fillId="8" borderId="0" xfId="0" applyFont="1" applyFill="1" applyAlignment="1">
      <alignment horizontal="left"/>
    </xf>
    <xf numFmtId="0" fontId="29" fillId="0" borderId="0" xfId="0" applyFont="1" applyAlignment="1">
      <alignment horizontal="left"/>
    </xf>
    <xf numFmtId="0" fontId="0" fillId="0" borderId="0" xfId="0" applyAlignment="1">
      <alignment horizontal="left"/>
    </xf>
    <xf numFmtId="10" fontId="29" fillId="0" borderId="0" xfId="0" applyNumberFormat="1" applyFont="1" applyAlignment="1">
      <alignment horizontal="left"/>
    </xf>
    <xf numFmtId="0" fontId="29" fillId="0" borderId="0" xfId="0" applyFont="1" applyAlignment="1">
      <alignment wrapText="1"/>
    </xf>
    <xf numFmtId="0" fontId="62" fillId="0" borderId="0" xfId="0" applyFont="1"/>
    <xf numFmtId="0" fontId="0" fillId="0" borderId="0" xfId="0" applyAlignment="1">
      <alignment horizontal="right"/>
    </xf>
    <xf numFmtId="9" fontId="29" fillId="5" borderId="0" xfId="1" applyFont="1" applyFill="1"/>
    <xf numFmtId="43" fontId="25" fillId="0" borderId="0" xfId="2" applyNumberFormat="1" applyFont="1"/>
    <xf numFmtId="0" fontId="60" fillId="3" borderId="0" xfId="2" applyFont="1" applyFill="1"/>
    <xf numFmtId="184" fontId="34" fillId="0" borderId="5" xfId="2" applyNumberFormat="1" applyFont="1" applyBorder="1"/>
    <xf numFmtId="166" fontId="28" fillId="0" borderId="1" xfId="2" applyNumberFormat="1" applyBorder="1"/>
    <xf numFmtId="0" fontId="25" fillId="0" borderId="0" xfId="2" applyFont="1"/>
    <xf numFmtId="10" fontId="28" fillId="0" borderId="0" xfId="1" applyNumberFormat="1" applyFont="1"/>
    <xf numFmtId="166" fontId="63" fillId="0" borderId="0" xfId="2" applyNumberFormat="1" applyFont="1"/>
    <xf numFmtId="184" fontId="63" fillId="0" borderId="0" xfId="2" applyNumberFormat="1" applyFont="1"/>
    <xf numFmtId="0" fontId="29" fillId="0" borderId="0" xfId="6" applyFont="1" applyAlignment="1">
      <alignment horizontal="left" indent="1"/>
    </xf>
    <xf numFmtId="0" fontId="59" fillId="0" borderId="0" xfId="0" applyFont="1"/>
    <xf numFmtId="165" fontId="59" fillId="0" borderId="0" xfId="0" applyNumberFormat="1" applyFont="1"/>
    <xf numFmtId="165" fontId="0" fillId="0" borderId="0" xfId="0" applyNumberFormat="1"/>
    <xf numFmtId="4" fontId="0" fillId="0" borderId="0" xfId="0" applyNumberFormat="1" applyAlignment="1">
      <alignment horizontal="right"/>
    </xf>
    <xf numFmtId="0" fontId="0" fillId="0" borderId="6" xfId="0" applyBorder="1"/>
    <xf numFmtId="10" fontId="0" fillId="0" borderId="0" xfId="1" applyNumberFormat="1" applyFont="1" applyAlignment="1">
      <alignment horizontal="right"/>
    </xf>
    <xf numFmtId="10" fontId="0" fillId="0" borderId="6" xfId="1" applyNumberFormat="1" applyFont="1" applyBorder="1"/>
    <xf numFmtId="4" fontId="29" fillId="0" borderId="0" xfId="0" applyNumberFormat="1" applyFont="1" applyAlignment="1">
      <alignment horizontal="right"/>
    </xf>
    <xf numFmtId="0" fontId="64" fillId="0" borderId="0" xfId="0" applyFont="1"/>
    <xf numFmtId="0" fontId="59" fillId="5" borderId="0" xfId="0" applyFont="1" applyFill="1"/>
    <xf numFmtId="10" fontId="0" fillId="5" borderId="0" xfId="1" applyNumberFormat="1" applyFont="1" applyFill="1" applyAlignment="1">
      <alignment horizontal="right"/>
    </xf>
    <xf numFmtId="0" fontId="0" fillId="5" borderId="0" xfId="0" applyFill="1"/>
    <xf numFmtId="10" fontId="0" fillId="5" borderId="0" xfId="0" applyNumberFormat="1" applyFill="1"/>
    <xf numFmtId="10" fontId="0" fillId="5" borderId="0" xfId="1" applyNumberFormat="1" applyFont="1" applyFill="1" applyAlignment="1">
      <alignment horizontal="left"/>
    </xf>
    <xf numFmtId="4" fontId="0" fillId="0" borderId="6" xfId="0" applyNumberFormat="1" applyBorder="1"/>
    <xf numFmtId="4" fontId="0" fillId="0" borderId="0" xfId="0" applyNumberFormat="1"/>
    <xf numFmtId="10" fontId="38" fillId="0" borderId="2" xfId="2" applyNumberFormat="1" applyFont="1" applyBorder="1"/>
    <xf numFmtId="10" fontId="28" fillId="5" borderId="2" xfId="2" applyNumberFormat="1" applyFill="1" applyBorder="1"/>
    <xf numFmtId="0" fontId="24" fillId="0" borderId="0" xfId="2" applyFont="1"/>
    <xf numFmtId="0" fontId="24" fillId="6" borderId="0" xfId="2" applyFont="1" applyFill="1"/>
    <xf numFmtId="4" fontId="65" fillId="6" borderId="0" xfId="2" applyNumberFormat="1" applyFont="1" applyFill="1"/>
    <xf numFmtId="10" fontId="65" fillId="6" borderId="0" xfId="2" applyNumberFormat="1" applyFont="1" applyFill="1"/>
    <xf numFmtId="4" fontId="65" fillId="6" borderId="1" xfId="2" applyNumberFormat="1" applyFont="1" applyFill="1" applyBorder="1"/>
    <xf numFmtId="167" fontId="24" fillId="6" borderId="0" xfId="2" applyNumberFormat="1" applyFont="1" applyFill="1"/>
    <xf numFmtId="4" fontId="34" fillId="0" borderId="6" xfId="2" applyNumberFormat="1" applyFont="1" applyBorder="1"/>
    <xf numFmtId="4" fontId="34" fillId="0" borderId="5" xfId="2" applyNumberFormat="1" applyFont="1" applyBorder="1"/>
    <xf numFmtId="165" fontId="29" fillId="0" borderId="5" xfId="1" applyNumberFormat="1" applyFont="1" applyBorder="1"/>
    <xf numFmtId="184" fontId="34" fillId="0" borderId="0" xfId="2" applyNumberFormat="1" applyFont="1"/>
    <xf numFmtId="10" fontId="34" fillId="0" borderId="0" xfId="1" applyNumberFormat="1" applyFont="1" applyBorder="1"/>
    <xf numFmtId="165" fontId="29" fillId="0" borderId="0" xfId="1" applyNumberFormat="1" applyFont="1" applyBorder="1"/>
    <xf numFmtId="172" fontId="48" fillId="2" borderId="0" xfId="3" applyNumberFormat="1" applyFont="1" applyFill="1" applyAlignment="1">
      <alignment vertical="center"/>
    </xf>
    <xf numFmtId="10" fontId="34" fillId="2" borderId="0" xfId="1" applyNumberFormat="1" applyFont="1" applyFill="1" applyBorder="1"/>
    <xf numFmtId="0" fontId="29" fillId="0" borderId="6" xfId="0" applyFont="1" applyBorder="1"/>
    <xf numFmtId="10" fontId="0" fillId="0" borderId="0" xfId="1" applyNumberFormat="1" applyFont="1" applyAlignment="1">
      <alignment horizontal="center" vertical="center"/>
    </xf>
    <xf numFmtId="0" fontId="0" fillId="0" borderId="0" xfId="0" applyAlignment="1">
      <alignment horizontal="center" vertical="center"/>
    </xf>
    <xf numFmtId="10" fontId="29" fillId="0" borderId="6" xfId="1" applyNumberFormat="1" applyFont="1" applyBorder="1"/>
    <xf numFmtId="4" fontId="29" fillId="0" borderId="0" xfId="0" applyNumberFormat="1" applyFont="1"/>
    <xf numFmtId="179" fontId="0" fillId="0" borderId="0" xfId="0" applyNumberFormat="1"/>
    <xf numFmtId="1" fontId="0" fillId="0" borderId="0" xfId="0" applyNumberFormat="1"/>
    <xf numFmtId="170" fontId="0" fillId="0" borderId="0" xfId="0" applyNumberFormat="1"/>
    <xf numFmtId="0" fontId="66" fillId="9" borderId="0" xfId="0" applyFont="1" applyFill="1" applyAlignment="1">
      <alignment horizontal="right" vertical="center" wrapText="1"/>
    </xf>
    <xf numFmtId="1" fontId="29" fillId="0" borderId="0" xfId="0" applyNumberFormat="1" applyFont="1"/>
    <xf numFmtId="185" fontId="30" fillId="7" borderId="0" xfId="4" applyNumberFormat="1" applyFont="1" applyFill="1" applyAlignment="1">
      <alignment horizontal="left"/>
    </xf>
    <xf numFmtId="186" fontId="34" fillId="6" borderId="0" xfId="2" applyNumberFormat="1" applyFont="1" applyFill="1"/>
    <xf numFmtId="2" fontId="59" fillId="0" borderId="0" xfId="0" applyNumberFormat="1" applyFont="1"/>
    <xf numFmtId="2" fontId="29" fillId="0" borderId="0" xfId="0" applyNumberFormat="1" applyFont="1"/>
    <xf numFmtId="0" fontId="23" fillId="6" borderId="0" xfId="2" applyFont="1" applyFill="1"/>
    <xf numFmtId="4" fontId="28" fillId="0" borderId="0" xfId="2" applyNumberFormat="1"/>
    <xf numFmtId="185" fontId="30" fillId="7" borderId="0" xfId="4" applyNumberFormat="1" applyFont="1" applyFill="1" applyAlignment="1">
      <alignment horizontal="right"/>
    </xf>
    <xf numFmtId="0" fontId="67" fillId="0" borderId="0" xfId="0" applyFont="1"/>
    <xf numFmtId="4" fontId="29" fillId="0" borderId="6" xfId="0" applyNumberFormat="1" applyFont="1" applyBorder="1"/>
    <xf numFmtId="3" fontId="0" fillId="0" borderId="0" xfId="0" applyNumberFormat="1"/>
    <xf numFmtId="0" fontId="29" fillId="0" borderId="5" xfId="0" applyFont="1" applyBorder="1"/>
    <xf numFmtId="4" fontId="29" fillId="0" borderId="5" xfId="0" applyNumberFormat="1" applyFont="1" applyBorder="1"/>
    <xf numFmtId="0" fontId="0" fillId="2" borderId="0" xfId="0" applyFill="1"/>
    <xf numFmtId="10" fontId="0" fillId="2" borderId="0" xfId="1" applyNumberFormat="1" applyFont="1" applyFill="1"/>
    <xf numFmtId="187" fontId="29" fillId="0" borderId="0" xfId="0" applyNumberFormat="1" applyFont="1"/>
    <xf numFmtId="188" fontId="0" fillId="0" borderId="0" xfId="1" applyNumberFormat="1" applyFont="1"/>
    <xf numFmtId="189" fontId="29" fillId="0" borderId="0" xfId="0" applyNumberFormat="1" applyFont="1"/>
    <xf numFmtId="189" fontId="0" fillId="0" borderId="0" xfId="0" applyNumberFormat="1"/>
    <xf numFmtId="0" fontId="29" fillId="0" borderId="11" xfId="0" applyFont="1" applyBorder="1"/>
    <xf numFmtId="0" fontId="0" fillId="0" borderId="0" xfId="0" applyAlignment="1">
      <alignment vertical="center" wrapText="1"/>
    </xf>
    <xf numFmtId="182" fontId="0" fillId="0" borderId="0" xfId="0" applyNumberFormat="1"/>
    <xf numFmtId="0" fontId="22" fillId="6" borderId="0" xfId="2" applyFont="1" applyFill="1"/>
    <xf numFmtId="165" fontId="28" fillId="6" borderId="0" xfId="1" applyNumberFormat="1" applyFont="1" applyFill="1"/>
    <xf numFmtId="10" fontId="28" fillId="6" borderId="0" xfId="1" applyNumberFormat="1" applyFont="1" applyFill="1"/>
    <xf numFmtId="172" fontId="53" fillId="0" borderId="5" xfId="1" applyNumberFormat="1" applyFont="1" applyFill="1" applyBorder="1"/>
    <xf numFmtId="0" fontId="0" fillId="9" borderId="0" xfId="0" applyFill="1"/>
    <xf numFmtId="4" fontId="57" fillId="10" borderId="0" xfId="0" applyNumberFormat="1" applyFont="1" applyFill="1" applyAlignment="1">
      <alignment horizontal="right" vertical="center" indent="1"/>
    </xf>
    <xf numFmtId="10" fontId="57" fillId="10" borderId="0" xfId="0" applyNumberFormat="1" applyFont="1" applyFill="1" applyAlignment="1">
      <alignment horizontal="right" vertical="center" indent="1"/>
    </xf>
    <xf numFmtId="0" fontId="57" fillId="9" borderId="0" xfId="0" applyFont="1" applyFill="1" applyAlignment="1">
      <alignment horizontal="right" vertical="center" indent="1"/>
    </xf>
    <xf numFmtId="0" fontId="21" fillId="6" borderId="0" xfId="2" applyFont="1" applyFill="1"/>
    <xf numFmtId="0" fontId="52" fillId="0" borderId="5" xfId="4" applyFont="1" applyBorder="1"/>
    <xf numFmtId="0" fontId="0" fillId="0" borderId="1" xfId="0" applyBorder="1"/>
    <xf numFmtId="9" fontId="0" fillId="0" borderId="0" xfId="1" applyFont="1"/>
    <xf numFmtId="0" fontId="20" fillId="6" borderId="0" xfId="2" applyFont="1" applyFill="1"/>
    <xf numFmtId="0" fontId="19" fillId="0" borderId="0" xfId="2" applyFont="1"/>
    <xf numFmtId="165" fontId="28" fillId="0" borderId="0" xfId="1" applyNumberFormat="1" applyFont="1"/>
    <xf numFmtId="4" fontId="34" fillId="0" borderId="0" xfId="2" applyNumberFormat="1" applyFont="1"/>
    <xf numFmtId="0" fontId="18" fillId="6" borderId="0" xfId="2" applyFont="1" applyFill="1"/>
    <xf numFmtId="0" fontId="17" fillId="6" borderId="0" xfId="2" applyFont="1" applyFill="1"/>
    <xf numFmtId="2" fontId="38" fillId="6" borderId="0" xfId="1" applyNumberFormat="1" applyFont="1" applyFill="1"/>
    <xf numFmtId="2" fontId="28" fillId="6" borderId="0" xfId="1" applyNumberFormat="1" applyFont="1" applyFill="1"/>
    <xf numFmtId="0" fontId="28" fillId="6" borderId="5" xfId="2" applyFill="1" applyBorder="1"/>
    <xf numFmtId="10" fontId="28" fillId="6" borderId="5" xfId="1" applyNumberFormat="1" applyFont="1" applyFill="1" applyBorder="1"/>
    <xf numFmtId="2" fontId="28" fillId="6" borderId="5" xfId="1" applyNumberFormat="1" applyFont="1" applyFill="1" applyBorder="1"/>
    <xf numFmtId="0" fontId="17" fillId="6" borderId="5" xfId="2" applyFont="1" applyFill="1" applyBorder="1"/>
    <xf numFmtId="167" fontId="38" fillId="6" borderId="0" xfId="2" applyNumberFormat="1" applyFont="1" applyFill="1"/>
    <xf numFmtId="0" fontId="16" fillId="0" borderId="0" xfId="2" applyFont="1"/>
    <xf numFmtId="2" fontId="34" fillId="0" borderId="5" xfId="2" applyNumberFormat="1" applyFont="1" applyBorder="1"/>
    <xf numFmtId="177" fontId="34" fillId="0" borderId="5" xfId="2" applyNumberFormat="1" applyFont="1" applyBorder="1"/>
    <xf numFmtId="177" fontId="34" fillId="0" borderId="6" xfId="2" applyNumberFormat="1" applyFont="1" applyBorder="1"/>
    <xf numFmtId="0" fontId="68" fillId="0" borderId="0" xfId="4" applyFont="1"/>
    <xf numFmtId="0" fontId="50" fillId="0" borderId="5" xfId="4" applyFont="1" applyBorder="1"/>
    <xf numFmtId="173" fontId="52" fillId="0" borderId="5" xfId="4" applyNumberFormat="1" applyFont="1" applyBorder="1"/>
    <xf numFmtId="0" fontId="69" fillId="0" borderId="0" xfId="6" applyFont="1"/>
    <xf numFmtId="0" fontId="15" fillId="0" borderId="5" xfId="2" applyFont="1" applyBorder="1"/>
    <xf numFmtId="172" fontId="31" fillId="0" borderId="0" xfId="6" applyNumberFormat="1"/>
    <xf numFmtId="0" fontId="15" fillId="0" borderId="0" xfId="2" applyFont="1"/>
    <xf numFmtId="0" fontId="31" fillId="0" borderId="0" xfId="6" applyAlignment="1">
      <alignment horizontal="left"/>
    </xf>
    <xf numFmtId="189" fontId="63" fillId="0" borderId="0" xfId="2" applyNumberFormat="1" applyFont="1"/>
    <xf numFmtId="189" fontId="28" fillId="0" borderId="5" xfId="2" applyNumberFormat="1" applyBorder="1"/>
    <xf numFmtId="189" fontId="34" fillId="0" borderId="5" xfId="2" applyNumberFormat="1" applyFont="1" applyBorder="1"/>
    <xf numFmtId="4" fontId="28" fillId="0" borderId="5" xfId="2" applyNumberFormat="1" applyBorder="1"/>
    <xf numFmtId="9" fontId="0" fillId="0" borderId="0" xfId="0" applyNumberFormat="1"/>
    <xf numFmtId="166" fontId="15" fillId="0" borderId="0" xfId="2" applyNumberFormat="1" applyFont="1"/>
    <xf numFmtId="0" fontId="14" fillId="0" borderId="0" xfId="2" applyFont="1"/>
    <xf numFmtId="183" fontId="63" fillId="0" borderId="0" xfId="2" applyNumberFormat="1" applyFont="1"/>
    <xf numFmtId="0" fontId="0" fillId="0" borderId="5" xfId="0" applyBorder="1"/>
    <xf numFmtId="179" fontId="0" fillId="0" borderId="0" xfId="1" applyNumberFormat="1" applyFont="1"/>
    <xf numFmtId="0" fontId="13" fillId="0" borderId="0" xfId="2" applyFont="1"/>
    <xf numFmtId="166" fontId="13" fillId="0" borderId="0" xfId="2" applyNumberFormat="1" applyFont="1"/>
    <xf numFmtId="165" fontId="63" fillId="0" borderId="0" xfId="1" applyNumberFormat="1" applyFont="1"/>
    <xf numFmtId="2" fontId="13" fillId="0" borderId="0" xfId="2" applyNumberFormat="1" applyFont="1"/>
    <xf numFmtId="165" fontId="29" fillId="0" borderId="0" xfId="1" applyNumberFormat="1" applyFont="1"/>
    <xf numFmtId="0" fontId="12" fillId="0" borderId="0" xfId="2" applyFont="1"/>
    <xf numFmtId="0" fontId="12" fillId="0" borderId="5" xfId="2" applyFont="1" applyBorder="1"/>
    <xf numFmtId="165" fontId="38" fillId="0" borderId="5" xfId="2" applyNumberFormat="1" applyFont="1" applyBorder="1"/>
    <xf numFmtId="2" fontId="28" fillId="0" borderId="5" xfId="2" applyNumberFormat="1" applyBorder="1"/>
    <xf numFmtId="0" fontId="13" fillId="0" borderId="5" xfId="2" applyFont="1" applyBorder="1"/>
    <xf numFmtId="0" fontId="11" fillId="0" borderId="0" xfId="2" applyFont="1"/>
    <xf numFmtId="166" fontId="46" fillId="0" borderId="0" xfId="4" applyNumberFormat="1" applyFont="1"/>
    <xf numFmtId="10" fontId="70" fillId="0" borderId="0" xfId="1" applyNumberFormat="1" applyFont="1"/>
    <xf numFmtId="172" fontId="28" fillId="0" borderId="0" xfId="2" applyNumberFormat="1"/>
    <xf numFmtId="169" fontId="0" fillId="0" borderId="0" xfId="0" applyNumberFormat="1"/>
    <xf numFmtId="166" fontId="0" fillId="0" borderId="0" xfId="0" applyNumberFormat="1"/>
    <xf numFmtId="190" fontId="31" fillId="0" borderId="0" xfId="6" applyNumberFormat="1"/>
    <xf numFmtId="0" fontId="10" fillId="6" borderId="0" xfId="2" applyFont="1" applyFill="1"/>
    <xf numFmtId="0" fontId="9" fillId="0" borderId="0" xfId="2" applyFont="1"/>
    <xf numFmtId="172" fontId="28" fillId="0" borderId="5" xfId="2" applyNumberFormat="1" applyBorder="1"/>
    <xf numFmtId="172" fontId="63" fillId="0" borderId="0" xfId="2" applyNumberFormat="1" applyFont="1"/>
    <xf numFmtId="0" fontId="8" fillId="6" borderId="0" xfId="2" applyFont="1" applyFill="1"/>
    <xf numFmtId="0" fontId="8" fillId="6" borderId="5" xfId="2" applyFont="1" applyFill="1" applyBorder="1"/>
    <xf numFmtId="177" fontId="34" fillId="0" borderId="0" xfId="2" applyNumberFormat="1" applyFont="1"/>
    <xf numFmtId="10" fontId="36" fillId="0" borderId="0" xfId="2" applyNumberFormat="1" applyFont="1"/>
    <xf numFmtId="0" fontId="71" fillId="7" borderId="0" xfId="0" applyFont="1" applyFill="1"/>
    <xf numFmtId="0" fontId="29" fillId="0" borderId="7" xfId="0" applyFont="1" applyBorder="1"/>
    <xf numFmtId="0" fontId="29" fillId="0" borderId="8" xfId="0" applyFont="1" applyBorder="1"/>
    <xf numFmtId="0" fontId="0" fillId="0" borderId="7" xfId="0" applyBorder="1"/>
    <xf numFmtId="0" fontId="0" fillId="0" borderId="8" xfId="0" applyBorder="1"/>
    <xf numFmtId="10" fontId="0" fillId="0" borderId="8" xfId="0" applyNumberFormat="1" applyBorder="1"/>
    <xf numFmtId="0" fontId="0" fillId="0" borderId="8" xfId="0" applyBorder="1" applyAlignment="1">
      <alignment horizontal="right"/>
    </xf>
    <xf numFmtId="10" fontId="0" fillId="0" borderId="8" xfId="1" applyNumberFormat="1" applyFont="1" applyBorder="1"/>
    <xf numFmtId="9" fontId="0" fillId="0" borderId="8" xfId="0" applyNumberFormat="1" applyBorder="1"/>
    <xf numFmtId="0" fontId="74" fillId="0" borderId="0" xfId="0" applyFont="1"/>
    <xf numFmtId="0" fontId="75" fillId="0" borderId="0" xfId="7"/>
    <xf numFmtId="0" fontId="77" fillId="0" borderId="0" xfId="7" applyFont="1"/>
    <xf numFmtId="0" fontId="76" fillId="0" borderId="0" xfId="7" applyFont="1"/>
    <xf numFmtId="0" fontId="78" fillId="0" borderId="0" xfId="7" applyFont="1"/>
    <xf numFmtId="0" fontId="79" fillId="0" borderId="0" xfId="7" applyFont="1"/>
    <xf numFmtId="0" fontId="77" fillId="0" borderId="0" xfId="7" applyFont="1" applyAlignment="1">
      <alignment horizontal="centerContinuous"/>
    </xf>
    <xf numFmtId="0" fontId="77" fillId="0" borderId="9" xfId="7" applyFont="1" applyBorder="1" applyAlignment="1">
      <alignment horizontal="center"/>
    </xf>
    <xf numFmtId="0" fontId="46" fillId="0" borderId="9" xfId="7" applyFont="1" applyBorder="1" applyAlignment="1">
      <alignment horizontal="center"/>
    </xf>
    <xf numFmtId="0" fontId="80" fillId="0" borderId="9" xfId="7" applyFont="1" applyBorder="1" applyAlignment="1">
      <alignment horizontal="centerContinuous"/>
    </xf>
    <xf numFmtId="0" fontId="80" fillId="0" borderId="9" xfId="7" applyFont="1" applyBorder="1"/>
    <xf numFmtId="0" fontId="80" fillId="0" borderId="9" xfId="7" applyFont="1" applyBorder="1" applyAlignment="1">
      <alignment horizontal="center"/>
    </xf>
    <xf numFmtId="0" fontId="81" fillId="0" borderId="9" xfId="7" applyFont="1" applyBorder="1" applyAlignment="1">
      <alignment horizontal="center"/>
    </xf>
    <xf numFmtId="2" fontId="81" fillId="0" borderId="9" xfId="7" applyNumberFormat="1" applyFont="1" applyBorder="1" applyAlignment="1">
      <alignment horizontal="center"/>
    </xf>
    <xf numFmtId="0" fontId="76" fillId="0" borderId="0" xfId="7" applyFont="1" applyAlignment="1">
      <alignment horizontal="center"/>
    </xf>
    <xf numFmtId="0" fontId="78" fillId="0" borderId="0" xfId="7" applyFont="1" applyAlignment="1">
      <alignment horizontal="center"/>
    </xf>
    <xf numFmtId="10" fontId="82" fillId="0" borderId="12" xfId="9" applyNumberFormat="1" applyFont="1" applyBorder="1" applyAlignment="1">
      <alignment horizontal="center"/>
    </xf>
    <xf numFmtId="177" fontId="0" fillId="0" borderId="8" xfId="0" applyNumberFormat="1" applyBorder="1"/>
    <xf numFmtId="0" fontId="83" fillId="7" borderId="0" xfId="0" applyFont="1" applyFill="1"/>
    <xf numFmtId="0" fontId="84" fillId="7" borderId="0" xfId="0" applyFont="1" applyFill="1"/>
    <xf numFmtId="0" fontId="29" fillId="5" borderId="0" xfId="0" applyFont="1" applyFill="1"/>
    <xf numFmtId="10" fontId="0" fillId="5" borderId="0" xfId="1" applyNumberFormat="1" applyFont="1" applyFill="1"/>
    <xf numFmtId="0" fontId="83" fillId="7" borderId="0" xfId="0" applyFont="1" applyFill="1" applyAlignment="1">
      <alignment vertical="center"/>
    </xf>
    <xf numFmtId="0" fontId="83" fillId="7" borderId="0" xfId="0" applyFont="1" applyFill="1" applyAlignment="1">
      <alignment vertical="center" wrapText="1"/>
    </xf>
    <xf numFmtId="0" fontId="83" fillId="7" borderId="0" xfId="0" applyFont="1" applyFill="1" applyAlignment="1">
      <alignment horizontal="left" vertical="center"/>
    </xf>
    <xf numFmtId="2" fontId="0" fillId="0" borderId="0" xfId="1" applyNumberFormat="1" applyFont="1"/>
    <xf numFmtId="0" fontId="84" fillId="7" borderId="0" xfId="0" applyFont="1" applyFill="1" applyAlignment="1">
      <alignment horizontal="right"/>
    </xf>
    <xf numFmtId="0" fontId="86" fillId="0" borderId="0" xfId="0" applyFont="1" applyAlignment="1">
      <alignment horizontal="left"/>
    </xf>
    <xf numFmtId="164" fontId="87" fillId="0" borderId="0" xfId="2" applyNumberFormat="1" applyFont="1"/>
    <xf numFmtId="0" fontId="7" fillId="0" borderId="0" xfId="2" applyFont="1" applyAlignment="1">
      <alignment horizontal="left" indent="1"/>
    </xf>
    <xf numFmtId="183" fontId="34" fillId="0" borderId="5" xfId="2" applyNumberFormat="1" applyFont="1" applyBorder="1"/>
    <xf numFmtId="0" fontId="7" fillId="0" borderId="0" xfId="2" applyFont="1" applyAlignment="1">
      <alignment horizontal="left" indent="2"/>
    </xf>
    <xf numFmtId="1" fontId="63" fillId="0" borderId="0" xfId="2" applyNumberFormat="1" applyFont="1"/>
    <xf numFmtId="0" fontId="7" fillId="0" borderId="0" xfId="2" applyFont="1"/>
    <xf numFmtId="0" fontId="68" fillId="0" borderId="0" xfId="10" applyFont="1"/>
    <xf numFmtId="0" fontId="68" fillId="0" borderId="0" xfId="10" applyFont="1" applyAlignment="1">
      <alignment horizontal="right"/>
    </xf>
    <xf numFmtId="0" fontId="89" fillId="0" borderId="0" xfId="10" applyFont="1"/>
    <xf numFmtId="0" fontId="90" fillId="0" borderId="0" xfId="10" applyFont="1"/>
    <xf numFmtId="2" fontId="91" fillId="0" borderId="9" xfId="10" applyNumberFormat="1" applyFont="1" applyBorder="1" applyAlignment="1">
      <alignment horizontal="right"/>
    </xf>
    <xf numFmtId="0" fontId="88" fillId="0" borderId="0" xfId="10"/>
    <xf numFmtId="2" fontId="91" fillId="0" borderId="9" xfId="11" applyNumberFormat="1" applyFont="1" applyFill="1" applyBorder="1" applyAlignment="1">
      <alignment horizontal="right"/>
    </xf>
    <xf numFmtId="10" fontId="91" fillId="0" borderId="9" xfId="12" applyNumberFormat="1" applyFont="1" applyFill="1" applyBorder="1" applyAlignment="1">
      <alignment horizontal="right"/>
    </xf>
    <xf numFmtId="10" fontId="91" fillId="0" borderId="9" xfId="10" applyNumberFormat="1" applyFont="1" applyBorder="1" applyAlignment="1">
      <alignment horizontal="right"/>
    </xf>
    <xf numFmtId="0" fontId="92" fillId="0" borderId="0" xfId="10" applyFont="1"/>
    <xf numFmtId="0" fontId="93" fillId="0" borderId="0" xfId="10" applyFont="1"/>
    <xf numFmtId="0" fontId="94" fillId="0" borderId="0" xfId="10" applyFont="1"/>
    <xf numFmtId="0" fontId="77" fillId="0" borderId="0" xfId="10" applyFont="1"/>
    <xf numFmtId="2" fontId="68" fillId="0" borderId="9" xfId="10" applyNumberFormat="1" applyFont="1" applyBorder="1" applyAlignment="1">
      <alignment horizontal="right"/>
    </xf>
    <xf numFmtId="2" fontId="90" fillId="0" borderId="9" xfId="10" applyNumberFormat="1" applyFont="1" applyBorder="1"/>
    <xf numFmtId="10" fontId="68" fillId="0" borderId="0" xfId="10" applyNumberFormat="1" applyFont="1"/>
    <xf numFmtId="10" fontId="68" fillId="0" borderId="9" xfId="10" applyNumberFormat="1" applyFont="1" applyBorder="1"/>
    <xf numFmtId="193" fontId="68" fillId="0" borderId="9" xfId="13" applyNumberFormat="1" applyFont="1" applyBorder="1"/>
    <xf numFmtId="10" fontId="90" fillId="0" borderId="9" xfId="10" applyNumberFormat="1" applyFont="1" applyBorder="1"/>
    <xf numFmtId="2" fontId="90" fillId="0" borderId="9" xfId="10" applyNumberFormat="1" applyFont="1" applyBorder="1" applyAlignment="1">
      <alignment horizontal="right"/>
    </xf>
    <xf numFmtId="0" fontId="90" fillId="0" borderId="0" xfId="10" applyFont="1" applyAlignment="1">
      <alignment horizontal="right"/>
    </xf>
    <xf numFmtId="2" fontId="90" fillId="0" borderId="13" xfId="11" applyNumberFormat="1" applyFont="1" applyBorder="1" applyAlignment="1">
      <alignment horizontal="right"/>
    </xf>
    <xf numFmtId="194" fontId="90" fillId="0" borderId="0" xfId="10" applyNumberFormat="1" applyFont="1"/>
    <xf numFmtId="191" fontId="90" fillId="0" borderId="0" xfId="11" applyFont="1"/>
    <xf numFmtId="195" fontId="90" fillId="0" borderId="13" xfId="10" applyNumberFormat="1" applyFont="1" applyBorder="1" applyAlignment="1">
      <alignment horizontal="right"/>
    </xf>
    <xf numFmtId="0" fontId="0" fillId="8" borderId="0" xfId="0" applyFill="1"/>
    <xf numFmtId="0" fontId="83" fillId="8" borderId="0" xfId="0" applyFont="1" applyFill="1"/>
    <xf numFmtId="0" fontId="83" fillId="8" borderId="0" xfId="0" applyFont="1" applyFill="1" applyAlignment="1">
      <alignment horizontal="center"/>
    </xf>
    <xf numFmtId="0" fontId="97" fillId="0" borderId="0" xfId="0" applyFont="1" applyAlignment="1">
      <alignment wrapText="1"/>
    </xf>
    <xf numFmtId="0" fontId="51" fillId="0" borderId="0" xfId="0" applyFont="1"/>
    <xf numFmtId="0" fontId="98" fillId="0" borderId="0" xfId="14" applyFont="1" applyAlignment="1">
      <alignment vertical="center" wrapText="1"/>
    </xf>
    <xf numFmtId="0" fontId="97" fillId="0" borderId="4" xfId="0" applyFont="1" applyBorder="1" applyAlignment="1">
      <alignment wrapText="1"/>
    </xf>
    <xf numFmtId="0" fontId="96" fillId="0" borderId="4" xfId="0" applyFont="1" applyBorder="1" applyAlignment="1">
      <alignment vertical="center" wrapText="1"/>
    </xf>
    <xf numFmtId="0" fontId="84" fillId="8" borderId="0" xfId="0" applyFont="1" applyFill="1"/>
    <xf numFmtId="10" fontId="57" fillId="9" borderId="0" xfId="0" applyNumberFormat="1" applyFont="1" applyFill="1" applyAlignment="1">
      <alignment horizontal="right" vertical="center" indent="1"/>
    </xf>
    <xf numFmtId="0" fontId="29" fillId="0" borderId="1" xfId="0" applyFont="1" applyBorder="1"/>
    <xf numFmtId="0" fontId="51" fillId="0" borderId="1" xfId="0" applyFont="1" applyBorder="1"/>
    <xf numFmtId="0" fontId="53" fillId="0" borderId="0" xfId="0" applyFont="1"/>
    <xf numFmtId="10" fontId="0" fillId="0" borderId="5" xfId="0" applyNumberFormat="1" applyBorder="1"/>
    <xf numFmtId="0" fontId="29" fillId="0" borderId="0" xfId="0" applyFont="1" applyAlignment="1">
      <alignment horizontal="center"/>
    </xf>
    <xf numFmtId="0" fontId="29" fillId="0" borderId="1" xfId="0" applyFont="1" applyBorder="1" applyAlignment="1">
      <alignment horizontal="center"/>
    </xf>
    <xf numFmtId="10" fontId="57" fillId="9" borderId="0" xfId="0" applyNumberFormat="1" applyFont="1" applyFill="1" applyAlignment="1">
      <alignment horizontal="center" vertical="center"/>
    </xf>
    <xf numFmtId="10" fontId="0" fillId="0" borderId="5" xfId="0" applyNumberFormat="1" applyBorder="1" applyAlignment="1">
      <alignment horizontal="center"/>
    </xf>
    <xf numFmtId="0" fontId="84" fillId="8" borderId="0" xfId="0" applyFont="1" applyFill="1" applyAlignment="1">
      <alignment horizontal="center"/>
    </xf>
    <xf numFmtId="0" fontId="53" fillId="0" borderId="11" xfId="0" applyFont="1" applyBorder="1"/>
    <xf numFmtId="0" fontId="0" fillId="0" borderId="11" xfId="0" applyBorder="1"/>
    <xf numFmtId="10" fontId="0" fillId="0" borderId="11" xfId="0" applyNumberFormat="1" applyBorder="1" applyAlignment="1">
      <alignment horizontal="center"/>
    </xf>
    <xf numFmtId="10" fontId="0" fillId="0" borderId="11" xfId="0" applyNumberFormat="1" applyBorder="1"/>
    <xf numFmtId="0" fontId="83" fillId="8" borderId="0" xfId="0" applyFont="1" applyFill="1" applyAlignment="1">
      <alignment horizontal="right"/>
    </xf>
    <xf numFmtId="180" fontId="83" fillId="8" borderId="0" xfId="0" applyNumberFormat="1" applyFont="1" applyFill="1"/>
    <xf numFmtId="181" fontId="83" fillId="8" borderId="0" xfId="0" applyNumberFormat="1" applyFont="1" applyFill="1"/>
    <xf numFmtId="0" fontId="99" fillId="0" borderId="0" xfId="0" applyFont="1"/>
    <xf numFmtId="0" fontId="0" fillId="5" borderId="2" xfId="0" applyFill="1" applyBorder="1"/>
    <xf numFmtId="0" fontId="29" fillId="5" borderId="2" xfId="0" applyFont="1" applyFill="1" applyBorder="1"/>
    <xf numFmtId="0" fontId="0" fillId="0" borderId="2" xfId="0" applyBorder="1"/>
    <xf numFmtId="10" fontId="0" fillId="0" borderId="2" xfId="0" applyNumberFormat="1" applyBorder="1"/>
    <xf numFmtId="180" fontId="30" fillId="8" borderId="0" xfId="0" applyNumberFormat="1" applyFont="1" applyFill="1"/>
    <xf numFmtId="180" fontId="71" fillId="8" borderId="0" xfId="0" applyNumberFormat="1" applyFont="1" applyFill="1"/>
    <xf numFmtId="0" fontId="30" fillId="8" borderId="0" xfId="0" applyFont="1" applyFill="1" applyAlignment="1">
      <alignment horizontal="right"/>
    </xf>
    <xf numFmtId="196" fontId="0" fillId="0" borderId="2" xfId="0" applyNumberFormat="1" applyBorder="1"/>
    <xf numFmtId="196" fontId="0" fillId="5" borderId="2" xfId="0" applyNumberFormat="1" applyFill="1" applyBorder="1"/>
    <xf numFmtId="196" fontId="29" fillId="5" borderId="2" xfId="0" applyNumberFormat="1" applyFont="1" applyFill="1" applyBorder="1"/>
    <xf numFmtId="0" fontId="0" fillId="11" borderId="0" xfId="0" applyFill="1"/>
    <xf numFmtId="196" fontId="29" fillId="5" borderId="0" xfId="0" applyNumberFormat="1" applyFont="1" applyFill="1"/>
    <xf numFmtId="0" fontId="0" fillId="11" borderId="0" xfId="0" applyFill="1" applyAlignment="1">
      <alignment horizontal="right"/>
    </xf>
    <xf numFmtId="177" fontId="29" fillId="0" borderId="6" xfId="0" applyNumberFormat="1" applyFont="1" applyBorder="1"/>
    <xf numFmtId="184" fontId="34" fillId="0" borderId="6" xfId="2" applyNumberFormat="1" applyFont="1" applyBorder="1"/>
    <xf numFmtId="0" fontId="33" fillId="2" borderId="0" xfId="2" applyFont="1" applyFill="1" applyAlignment="1">
      <alignment horizontal="center"/>
    </xf>
    <xf numFmtId="0" fontId="100" fillId="2" borderId="0" xfId="2" applyFont="1" applyFill="1" applyAlignment="1">
      <alignment horizontal="center"/>
    </xf>
    <xf numFmtId="167" fontId="101" fillId="6" borderId="0" xfId="2" applyNumberFormat="1" applyFont="1" applyFill="1"/>
    <xf numFmtId="9" fontId="60" fillId="7" borderId="0" xfId="2" applyNumberFormat="1" applyFont="1" applyFill="1"/>
    <xf numFmtId="196" fontId="60" fillId="7" borderId="0" xfId="2" applyNumberFormat="1" applyFont="1" applyFill="1"/>
    <xf numFmtId="167" fontId="101" fillId="6" borderId="0" xfId="2" applyNumberFormat="1" applyFont="1" applyFill="1" applyAlignment="1">
      <alignment wrapText="1"/>
    </xf>
    <xf numFmtId="9" fontId="60" fillId="7" borderId="0" xfId="2" applyNumberFormat="1" applyFont="1" applyFill="1" applyAlignment="1">
      <alignment wrapText="1"/>
    </xf>
    <xf numFmtId="9" fontId="60" fillId="7" borderId="0" xfId="1" applyFont="1" applyFill="1" applyAlignment="1">
      <alignment wrapText="1"/>
    </xf>
    <xf numFmtId="10" fontId="53" fillId="0" borderId="0" xfId="1" applyNumberFormat="1" applyFont="1" applyFill="1" applyBorder="1"/>
    <xf numFmtId="9" fontId="41" fillId="0" borderId="6" xfId="1" applyFont="1" applyBorder="1"/>
    <xf numFmtId="0" fontId="90" fillId="0" borderId="0" xfId="4" applyFont="1"/>
    <xf numFmtId="0" fontId="102" fillId="0" borderId="0" xfId="4" applyFont="1"/>
    <xf numFmtId="165" fontId="34" fillId="0" borderId="5" xfId="2" applyNumberFormat="1" applyFont="1" applyBorder="1"/>
    <xf numFmtId="165" fontId="48" fillId="0" borderId="5" xfId="1" applyNumberFormat="1" applyFont="1" applyBorder="1" applyAlignment="1">
      <alignment horizontal="right" vertical="center"/>
    </xf>
    <xf numFmtId="165" fontId="34" fillId="0" borderId="6" xfId="1" applyNumberFormat="1" applyFont="1" applyBorder="1"/>
    <xf numFmtId="165" fontId="28" fillId="0" borderId="5" xfId="2" applyNumberFormat="1" applyBorder="1"/>
    <xf numFmtId="9" fontId="53" fillId="0" borderId="6" xfId="1" applyFont="1" applyFill="1" applyBorder="1"/>
    <xf numFmtId="165" fontId="53" fillId="0" borderId="5" xfId="1" applyNumberFormat="1" applyFont="1" applyFill="1" applyBorder="1"/>
    <xf numFmtId="169" fontId="63" fillId="0" borderId="0" xfId="2" applyNumberFormat="1" applyFont="1"/>
    <xf numFmtId="169" fontId="63" fillId="0" borderId="1" xfId="2" applyNumberFormat="1" applyFont="1" applyBorder="1"/>
    <xf numFmtId="170" fontId="63" fillId="0" borderId="0" xfId="2" applyNumberFormat="1" applyFont="1"/>
    <xf numFmtId="169" fontId="6" fillId="0" borderId="0" xfId="2" applyNumberFormat="1" applyFont="1"/>
    <xf numFmtId="165" fontId="103" fillId="0" borderId="0" xfId="1" applyNumberFormat="1" applyFont="1"/>
    <xf numFmtId="0" fontId="5" fillId="0" borderId="0" xfId="2" applyFont="1" applyAlignment="1">
      <alignment horizontal="left" indent="1"/>
    </xf>
    <xf numFmtId="17" fontId="30" fillId="7" borderId="0" xfId="6" applyNumberFormat="1" applyFont="1" applyFill="1"/>
    <xf numFmtId="4" fontId="59" fillId="0" borderId="0" xfId="0" applyNumberFormat="1" applyFont="1"/>
    <xf numFmtId="183" fontId="0" fillId="0" borderId="0" xfId="0" applyNumberFormat="1"/>
    <xf numFmtId="1" fontId="34" fillId="0" borderId="0" xfId="2" applyNumberFormat="1" applyFont="1"/>
    <xf numFmtId="186" fontId="34" fillId="0" borderId="0" xfId="2" applyNumberFormat="1" applyFont="1"/>
    <xf numFmtId="171" fontId="34" fillId="0" borderId="0" xfId="2" applyNumberFormat="1" applyFont="1"/>
    <xf numFmtId="9" fontId="0" fillId="0" borderId="0" xfId="1" applyFont="1" applyFill="1"/>
    <xf numFmtId="166" fontId="28" fillId="6" borderId="0" xfId="2" applyNumberFormat="1" applyFill="1"/>
    <xf numFmtId="0" fontId="33" fillId="7" borderId="0" xfId="2" applyFont="1" applyFill="1" applyAlignment="1">
      <alignment horizontal="center"/>
    </xf>
    <xf numFmtId="0" fontId="33" fillId="7" borderId="0" xfId="2" applyFont="1" applyFill="1"/>
    <xf numFmtId="0" fontId="28" fillId="7" borderId="0" xfId="2" applyFill="1"/>
    <xf numFmtId="0" fontId="83" fillId="12" borderId="0" xfId="0" applyFont="1" applyFill="1"/>
    <xf numFmtId="0" fontId="67" fillId="0" borderId="14" xfId="0" applyFont="1" applyBorder="1" applyAlignment="1">
      <alignment horizontal="center"/>
    </xf>
    <xf numFmtId="0" fontId="67" fillId="0" borderId="14" xfId="0" applyFont="1" applyBorder="1" applyAlignment="1">
      <alignment horizontal="centerContinuous"/>
    </xf>
    <xf numFmtId="165" fontId="0" fillId="0" borderId="0" xfId="1" applyNumberFormat="1" applyFont="1" applyAlignment="1">
      <alignment horizontal="right"/>
    </xf>
    <xf numFmtId="0" fontId="4" fillId="0" borderId="0" xfId="2" applyFont="1"/>
    <xf numFmtId="165" fontId="60" fillId="7" borderId="0" xfId="1" applyNumberFormat="1" applyFont="1" applyFill="1" applyAlignment="1">
      <alignment wrapText="1"/>
    </xf>
    <xf numFmtId="1" fontId="0" fillId="0" borderId="2" xfId="0" applyNumberFormat="1" applyBorder="1"/>
    <xf numFmtId="0" fontId="53" fillId="0" borderId="5" xfId="0" applyFont="1" applyBorder="1"/>
    <xf numFmtId="3" fontId="104" fillId="9" borderId="0" xfId="0" applyNumberFormat="1" applyFont="1" applyFill="1" applyAlignment="1">
      <alignment horizontal="right" vertical="center" wrapText="1"/>
    </xf>
    <xf numFmtId="3" fontId="66" fillId="9" borderId="0" xfId="0" applyNumberFormat="1" applyFont="1" applyFill="1" applyAlignment="1">
      <alignment horizontal="right" vertical="center" wrapText="1"/>
    </xf>
    <xf numFmtId="0" fontId="57" fillId="0" borderId="4" xfId="0" applyFont="1" applyBorder="1" applyAlignment="1">
      <alignment vertical="center" wrapText="1"/>
    </xf>
    <xf numFmtId="0" fontId="57" fillId="0" borderId="0" xfId="0" applyFont="1" applyAlignment="1">
      <alignment vertical="center" wrapText="1"/>
    </xf>
    <xf numFmtId="0" fontId="96" fillId="0" borderId="0" xfId="0" applyFont="1" applyAlignment="1">
      <alignment vertical="center" wrapText="1"/>
    </xf>
    <xf numFmtId="0" fontId="3" fillId="0" borderId="0" xfId="2" applyFont="1"/>
    <xf numFmtId="0" fontId="105" fillId="0" borderId="0" xfId="0" applyFont="1" applyAlignment="1">
      <alignment horizontal="left" vertical="top" wrapText="1"/>
    </xf>
    <xf numFmtId="0" fontId="105" fillId="0" borderId="0" xfId="0" applyFont="1" applyAlignment="1">
      <alignment wrapText="1"/>
    </xf>
    <xf numFmtId="0" fontId="106" fillId="0" borderId="0" xfId="0" applyFont="1"/>
    <xf numFmtId="0" fontId="95" fillId="0" borderId="0" xfId="14" applyAlignment="1">
      <alignment wrapText="1"/>
    </xf>
    <xf numFmtId="14" fontId="0" fillId="0" borderId="0" xfId="0" applyNumberFormat="1"/>
    <xf numFmtId="14" fontId="0" fillId="0" borderId="0" xfId="0" applyNumberFormat="1" applyAlignment="1">
      <alignment wrapText="1"/>
    </xf>
    <xf numFmtId="3" fontId="0" fillId="0" borderId="0" xfId="0" applyNumberFormat="1" applyAlignment="1">
      <alignment wrapText="1"/>
    </xf>
    <xf numFmtId="0" fontId="0" fillId="0" borderId="0" xfId="0" applyAlignment="1">
      <alignment horizontal="left" vertical="top" wrapText="1"/>
    </xf>
    <xf numFmtId="0" fontId="107" fillId="13" borderId="15" xfId="0" applyFont="1" applyFill="1" applyBorder="1" applyAlignment="1">
      <alignment horizontal="center" vertical="center" wrapText="1"/>
    </xf>
    <xf numFmtId="0" fontId="107" fillId="9" borderId="15" xfId="0" applyFont="1" applyFill="1" applyBorder="1" applyAlignment="1">
      <alignment horizontal="center" vertical="center" wrapText="1"/>
    </xf>
    <xf numFmtId="180" fontId="0" fillId="0" borderId="0" xfId="0" applyNumberFormat="1"/>
    <xf numFmtId="197" fontId="0" fillId="0" borderId="0" xfId="0" applyNumberFormat="1" applyAlignment="1">
      <alignment horizontal="center"/>
    </xf>
    <xf numFmtId="180" fontId="0" fillId="0" borderId="0" xfId="0" applyNumberFormat="1" applyAlignment="1">
      <alignment horizontal="center"/>
    </xf>
    <xf numFmtId="197" fontId="0" fillId="0" borderId="0" xfId="0" applyNumberFormat="1"/>
    <xf numFmtId="0" fontId="108" fillId="0" borderId="0" xfId="0" applyFont="1" applyAlignment="1">
      <alignment horizontal="left" vertical="center" wrapText="1" indent="1"/>
    </xf>
    <xf numFmtId="180" fontId="47" fillId="0" borderId="0" xfId="2" applyNumberFormat="1" applyFont="1"/>
    <xf numFmtId="180" fontId="34" fillId="0" borderId="0" xfId="2" applyNumberFormat="1" applyFont="1"/>
    <xf numFmtId="197" fontId="34" fillId="0" borderId="0" xfId="2" applyNumberFormat="1" applyFont="1"/>
    <xf numFmtId="0" fontId="2" fillId="0" borderId="0" xfId="2" applyFont="1"/>
    <xf numFmtId="3" fontId="31" fillId="0" borderId="0" xfId="6" applyNumberFormat="1"/>
    <xf numFmtId="1" fontId="109" fillId="3" borderId="0" xfId="2" applyNumberFormat="1" applyFont="1" applyFill="1"/>
    <xf numFmtId="1" fontId="84" fillId="3" borderId="0" xfId="0" applyNumberFormat="1" applyFont="1" applyFill="1"/>
    <xf numFmtId="0" fontId="34" fillId="0" borderId="0" xfId="2" applyFont="1" applyAlignment="1">
      <alignment textRotation="90"/>
    </xf>
    <xf numFmtId="165" fontId="0" fillId="0" borderId="2" xfId="1" applyNumberFormat="1" applyFont="1" applyBorder="1"/>
    <xf numFmtId="177" fontId="103" fillId="0" borderId="0" xfId="0" applyNumberFormat="1" applyFont="1"/>
    <xf numFmtId="198" fontId="103" fillId="0" borderId="0" xfId="0" applyNumberFormat="1" applyFont="1"/>
    <xf numFmtId="0" fontId="0" fillId="0" borderId="16" xfId="0" applyBorder="1"/>
    <xf numFmtId="0" fontId="51" fillId="0" borderId="16" xfId="0" applyFont="1" applyBorder="1" applyAlignment="1">
      <alignment vertical="top"/>
    </xf>
    <xf numFmtId="0" fontId="51" fillId="0" borderId="16" xfId="0" applyFont="1" applyBorder="1"/>
    <xf numFmtId="0" fontId="0" fillId="0" borderId="16" xfId="0" applyBorder="1" applyAlignment="1">
      <alignment vertical="top"/>
    </xf>
    <xf numFmtId="0" fontId="0" fillId="0" borderId="16" xfId="0" applyBorder="1" applyAlignment="1">
      <alignment horizontal="left" vertical="top"/>
    </xf>
    <xf numFmtId="0" fontId="51" fillId="0" borderId="17" xfId="0" applyFont="1" applyBorder="1" applyAlignment="1">
      <alignment vertical="top"/>
    </xf>
    <xf numFmtId="0" fontId="0" fillId="0" borderId="18" xfId="0" applyBorder="1"/>
    <xf numFmtId="0" fontId="51" fillId="0" borderId="18" xfId="0" applyFont="1" applyBorder="1" applyAlignment="1">
      <alignment vertical="top"/>
    </xf>
    <xf numFmtId="180" fontId="29" fillId="0" borderId="0" xfId="0" applyNumberFormat="1" applyFont="1" applyAlignment="1">
      <alignment horizontal="center"/>
    </xf>
    <xf numFmtId="197" fontId="29" fillId="0" borderId="0" xfId="0" applyNumberFormat="1" applyFont="1" applyAlignment="1">
      <alignment horizontal="center"/>
    </xf>
    <xf numFmtId="3" fontId="0" fillId="0" borderId="0" xfId="0" applyNumberFormat="1" applyAlignment="1">
      <alignment horizontal="center"/>
    </xf>
    <xf numFmtId="199" fontId="0" fillId="0" borderId="0" xfId="0" applyNumberFormat="1" applyAlignment="1">
      <alignment horizontal="center"/>
    </xf>
    <xf numFmtId="0" fontId="71" fillId="0" borderId="0" xfId="0" applyFont="1"/>
    <xf numFmtId="0" fontId="71" fillId="0" borderId="0" xfId="0" applyFont="1" applyAlignment="1">
      <alignment horizontal="center"/>
    </xf>
    <xf numFmtId="0" fontId="84" fillId="6" borderId="0" xfId="0" applyFont="1" applyFill="1" applyAlignment="1">
      <alignment horizontal="center"/>
    </xf>
    <xf numFmtId="9" fontId="31" fillId="0" borderId="0" xfId="1" applyFont="1" applyAlignment="1">
      <alignment horizontal="center"/>
    </xf>
    <xf numFmtId="0" fontId="1" fillId="0" borderId="0" xfId="2" applyFont="1"/>
    <xf numFmtId="166" fontId="28" fillId="6" borderId="10" xfId="2" applyNumberFormat="1" applyFill="1" applyBorder="1"/>
    <xf numFmtId="0" fontId="0" fillId="0" borderId="0" xfId="0" applyAlignment="1">
      <alignment wrapText="1"/>
    </xf>
    <xf numFmtId="0" fontId="0" fillId="14" borderId="0" xfId="0" applyFill="1"/>
    <xf numFmtId="0" fontId="110" fillId="14" borderId="0" xfId="0" applyFont="1" applyFill="1"/>
    <xf numFmtId="0" fontId="0" fillId="0" borderId="0" xfId="0" applyAlignment="1">
      <alignment horizontal="center" vertical="top"/>
    </xf>
    <xf numFmtId="0" fontId="80" fillId="0" borderId="7" xfId="7" applyFont="1" applyBorder="1" applyAlignment="1">
      <alignment horizontal="center"/>
    </xf>
    <xf numFmtId="0" fontId="80" fillId="0" borderId="8" xfId="7" applyFont="1" applyBorder="1" applyAlignment="1">
      <alignment horizontal="center"/>
    </xf>
    <xf numFmtId="0" fontId="0" fillId="0" borderId="0" xfId="0" applyAlignment="1">
      <alignment wrapText="1"/>
    </xf>
    <xf numFmtId="0" fontId="85" fillId="0" borderId="0" xfId="0" applyFont="1" applyAlignment="1">
      <alignment wrapText="1"/>
    </xf>
    <xf numFmtId="0" fontId="33" fillId="3" borderId="0" xfId="2" applyFont="1" applyFill="1" applyAlignment="1">
      <alignment horizontal="center"/>
    </xf>
    <xf numFmtId="0" fontId="33" fillId="7" borderId="0" xfId="2" applyFont="1" applyFill="1" applyAlignment="1">
      <alignment horizontal="center"/>
    </xf>
    <xf numFmtId="0" fontId="34" fillId="0" borderId="0" xfId="2" applyFont="1" applyAlignment="1">
      <alignment horizontal="center"/>
    </xf>
    <xf numFmtId="0" fontId="34" fillId="2" borderId="0" xfId="2" applyFont="1" applyFill="1" applyAlignment="1">
      <alignment horizontal="center"/>
    </xf>
    <xf numFmtId="0" fontId="34" fillId="0" borderId="0" xfId="2" applyFont="1" applyAlignment="1">
      <alignment horizontal="center" textRotation="90"/>
    </xf>
    <xf numFmtId="0" fontId="83" fillId="8" borderId="0" xfId="0" applyFont="1" applyFill="1" applyAlignment="1">
      <alignment horizontal="center"/>
    </xf>
    <xf numFmtId="0" fontId="30" fillId="8" borderId="0" xfId="0" applyFont="1" applyFill="1" applyAlignment="1">
      <alignment horizontal="center"/>
    </xf>
  </cellXfs>
  <cellStyles count="15">
    <cellStyle name="Comma 2" xfId="13" xr:uid="{CB417A76-3149-4D95-A9EF-15B7DB6D447F}"/>
    <cellStyle name="Currency 2" xfId="8" xr:uid="{ACAD809E-E012-48F1-B182-4D4B9E445B0B}"/>
    <cellStyle name="Currency 3" xfId="11" xr:uid="{1A923CC8-41CC-4D76-A7D4-A51C0B71FF97}"/>
    <cellStyle name="Hyperlink" xfId="14" builtinId="8"/>
    <cellStyle name="Hyperlink 2" xfId="5" xr:uid="{8E5BC80C-F511-46EA-8FD2-D77D0BF7841C}"/>
    <cellStyle name="Normal" xfId="0" builtinId="0"/>
    <cellStyle name="Normal 2" xfId="2" xr:uid="{DAF04DF8-1D6E-46E5-A321-C15DC7EA63AB}"/>
    <cellStyle name="Normal 2 2" xfId="3" xr:uid="{99B8BE62-E3D5-41C0-8E4E-968F2DF4F4DC}"/>
    <cellStyle name="Normal 3" xfId="4" xr:uid="{D59448D2-2FA6-4938-9FF5-AA479A316051}"/>
    <cellStyle name="Normal 4" xfId="6" xr:uid="{99FE1931-9469-4C3B-80CE-CAA4922670DF}"/>
    <cellStyle name="Normal 5" xfId="7" xr:uid="{8E63C05E-E762-4466-9FE4-3CBE1A40919A}"/>
    <cellStyle name="Normal 6" xfId="10" xr:uid="{4A99B186-F496-497C-A1EE-8B4F119D2C71}"/>
    <cellStyle name="Percent" xfId="1" builtinId="5"/>
    <cellStyle name="Percent 2" xfId="9" xr:uid="{BD0A0275-2EA3-4FB1-BCB0-D7797017C70A}"/>
    <cellStyle name="Percent 5" xfId="12" xr:uid="{1D668DE8-F53A-4C98-A434-1C6A8430E316}"/>
  </cellStyles>
  <dxfs count="2">
    <dxf>
      <font>
        <color rgb="FFE95215"/>
      </font>
    </dxf>
    <dxf>
      <font>
        <u val="none"/>
        <color theme="1" tint="4.9989318521683403E-2"/>
      </font>
      <fill>
        <patternFill patternType="solid">
          <fgColor auto="1"/>
          <bgColor rgb="FF14C686"/>
        </patternFill>
      </fill>
    </dxf>
  </dxfs>
  <tableStyles count="0" defaultTableStyle="TableStyleMedium9" defaultPivotStyle="PivotStyleLight16"/>
  <colors>
    <mruColors>
      <color rgb="FFF34335"/>
      <color rgb="FF14C686"/>
      <color rgb="FF41DF81"/>
      <color rgb="FF009A46"/>
      <color rgb="FFE95215"/>
      <color rgb="FF92D050"/>
      <color rgb="FFFF0000"/>
      <color rgb="FF00FF00"/>
      <color rgb="FFCCFF33"/>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Indian</a:t>
            </a:r>
            <a:r>
              <a:rPr lang="en-IN" baseline="0"/>
              <a:t> Cement Industry Market Share2024 (listed)</a:t>
            </a:r>
            <a:endParaRPr lang="en-IN"/>
          </a:p>
        </c:rich>
      </c:tx>
      <c:layout>
        <c:manualLayout>
          <c:xMode val="edge"/>
          <c:yMode val="edge"/>
          <c:x val="0.2079582239720034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055555555555558E-2"/>
          <c:y val="0.23421551472732574"/>
          <c:w val="0.81388888888888888"/>
          <c:h val="0.4432808398950131"/>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0BC6-45C2-8DFD-0F355B507A9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BC6-45C2-8DFD-0F355B507A9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0BC6-45C2-8DFD-0F355B507A9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0BC6-45C2-8DFD-0F355B507A9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7D1-42D5-99E8-163DCAECBE4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6-0BC6-45C2-8DFD-0F355B507A94}"/>
              </c:ext>
            </c:extLst>
          </c:dPt>
          <c:dLbls>
            <c:dLbl>
              <c:idx val="0"/>
              <c:layout>
                <c:manualLayout>
                  <c:x val="6.958912948381453E-2"/>
                  <c:y val="-3.69320501603966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C6-45C2-8DFD-0F355B507A94}"/>
                </c:ext>
              </c:extLst>
            </c:dLbl>
            <c:dLbl>
              <c:idx val="1"/>
              <c:layout>
                <c:manualLayout>
                  <c:x val="7.721620734908137E-2"/>
                  <c:y val="-2.56339311752697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C6-45C2-8DFD-0F355B507A94}"/>
                </c:ext>
              </c:extLst>
            </c:dLbl>
            <c:dLbl>
              <c:idx val="2"/>
              <c:layout>
                <c:manualLayout>
                  <c:x val="-6.3336614173228343E-3"/>
                  <c:y val="-1.032808398950139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C6-45C2-8DFD-0F355B507A94}"/>
                </c:ext>
              </c:extLst>
            </c:dLbl>
            <c:dLbl>
              <c:idx val="3"/>
              <c:layout>
                <c:manualLayout>
                  <c:x val="4.5114282589676293E-2"/>
                  <c:y val="3.760863225430154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C6-45C2-8DFD-0F355B507A94}"/>
                </c:ext>
              </c:extLst>
            </c:dLbl>
            <c:dLbl>
              <c:idx val="5"/>
              <c:layout>
                <c:manualLayout>
                  <c:x val="-0.10212510936132985"/>
                  <c:y val="-5.770268299795858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C6-45C2-8DFD-0F355B507A9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'Industry Information'!$E$117:$E$122</c:f>
              <c:strCache>
                <c:ptCount val="6"/>
                <c:pt idx="0">
                  <c:v>Ultratech Cement</c:v>
                </c:pt>
                <c:pt idx="1">
                  <c:v>ACC Cement</c:v>
                </c:pt>
                <c:pt idx="2">
                  <c:v>Shree Cement Ltd</c:v>
                </c:pt>
                <c:pt idx="3">
                  <c:v>Ambuja Cement </c:v>
                </c:pt>
                <c:pt idx="4">
                  <c:v>Dalmia Bharat</c:v>
                </c:pt>
                <c:pt idx="5">
                  <c:v>Others</c:v>
                </c:pt>
              </c:strCache>
            </c:strRef>
          </c:cat>
          <c:val>
            <c:numRef>
              <c:f>'Industry Information'!$F$117:$F$122</c:f>
              <c:numCache>
                <c:formatCode>0.00%</c:formatCode>
                <c:ptCount val="6"/>
                <c:pt idx="0">
                  <c:v>0.30199999999999999</c:v>
                </c:pt>
                <c:pt idx="1">
                  <c:v>9.6000000000000002E-2</c:v>
                </c:pt>
                <c:pt idx="2">
                  <c:v>8.5000000000000006E-2</c:v>
                </c:pt>
                <c:pt idx="3">
                  <c:v>8.3000000000000004E-2</c:v>
                </c:pt>
                <c:pt idx="4">
                  <c:v>6.7000000000000004E-2</c:v>
                </c:pt>
                <c:pt idx="5">
                  <c:v>0.36599999999999999</c:v>
                </c:pt>
              </c:numCache>
            </c:numRef>
          </c:val>
          <c:extLst>
            <c:ext xmlns:c16="http://schemas.microsoft.com/office/drawing/2014/chart" uri="{C3380CC4-5D6E-409C-BE32-E72D297353CC}">
              <c16:uniqueId val="{00000000-0BC6-45C2-8DFD-0F355B507A94}"/>
            </c:ext>
          </c:extLst>
        </c:ser>
        <c:ser>
          <c:idx val="1"/>
          <c:order val="1"/>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E7D1-42D5-99E8-163DCAECBE41}"/>
              </c:ext>
            </c:extLst>
          </c:dPt>
          <c:cat>
            <c:strRef>
              <c:f>'Industry Information'!$E$117:$E$122</c:f>
              <c:strCache>
                <c:ptCount val="6"/>
                <c:pt idx="0">
                  <c:v>Ultratech Cement</c:v>
                </c:pt>
                <c:pt idx="1">
                  <c:v>ACC Cement</c:v>
                </c:pt>
                <c:pt idx="2">
                  <c:v>Shree Cement Ltd</c:v>
                </c:pt>
                <c:pt idx="3">
                  <c:v>Ambuja Cement </c:v>
                </c:pt>
                <c:pt idx="4">
                  <c:v>Dalmia Bharat</c:v>
                </c:pt>
                <c:pt idx="5">
                  <c:v>Others</c:v>
                </c:pt>
              </c:strCache>
            </c:strRef>
          </c:cat>
          <c:val>
            <c:numRef>
              <c:f>'Industry Information'!$I$115</c:f>
              <c:numCache>
                <c:formatCode>General</c:formatCode>
                <c:ptCount val="1"/>
                <c:pt idx="0">
                  <c:v>0</c:v>
                </c:pt>
              </c:numCache>
            </c:numRef>
          </c:val>
          <c:extLst>
            <c:ext xmlns:c16="http://schemas.microsoft.com/office/drawing/2014/chart" uri="{C3380CC4-5D6E-409C-BE32-E72D297353CC}">
              <c16:uniqueId val="{00000001-0BC6-45C2-8DFD-0F355B507A94}"/>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Volume</a:t>
            </a:r>
            <a:r>
              <a:rPr lang="en-IN" baseline="0"/>
              <a:t>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'Market Size Information'!$B$34:$O$34</c:f>
              <c:numCache>
                <c:formatCode>0"A"</c:formatCode>
                <c:ptCount val="14"/>
                <c:pt idx="0">
                  <c:v>2019</c:v>
                </c:pt>
                <c:pt idx="1">
                  <c:v>2020</c:v>
                </c:pt>
                <c:pt idx="2">
                  <c:v>2021</c:v>
                </c:pt>
                <c:pt idx="3">
                  <c:v>2022</c:v>
                </c:pt>
                <c:pt idx="4">
                  <c:v>2023</c:v>
                </c:pt>
                <c:pt idx="5" formatCode="0&quot;F&quot;">
                  <c:v>2024</c:v>
                </c:pt>
                <c:pt idx="6" formatCode="0&quot;F&quot;">
                  <c:v>2025</c:v>
                </c:pt>
                <c:pt idx="7" formatCode="0&quot;F&quot;">
                  <c:v>2026</c:v>
                </c:pt>
                <c:pt idx="8" formatCode="0&quot;F&quot;">
                  <c:v>2027</c:v>
                </c:pt>
                <c:pt idx="9" formatCode="0&quot;F&quot;">
                  <c:v>2028</c:v>
                </c:pt>
                <c:pt idx="10" formatCode="0&quot;F&quot;">
                  <c:v>2029</c:v>
                </c:pt>
                <c:pt idx="11" formatCode="0&quot;F&quot;">
                  <c:v>2030</c:v>
                </c:pt>
                <c:pt idx="12" formatCode="0&quot;F&quot;">
                  <c:v>2031</c:v>
                </c:pt>
                <c:pt idx="13" formatCode="0&quot;F&quot;">
                  <c:v>2032</c:v>
                </c:pt>
              </c:numCache>
            </c:numRef>
          </c:cat>
          <c:val>
            <c:numRef>
              <c:f>'Market Size Information'!$B$35:$O$35</c:f>
              <c:numCache>
                <c:formatCode>General</c:formatCode>
                <c:ptCount val="14"/>
                <c:pt idx="0">
                  <c:v>328</c:v>
                </c:pt>
                <c:pt idx="1">
                  <c:v>327</c:v>
                </c:pt>
                <c:pt idx="2">
                  <c:v>285</c:v>
                </c:pt>
                <c:pt idx="3">
                  <c:v>351</c:v>
                </c:pt>
                <c:pt idx="4">
                  <c:v>396.7</c:v>
                </c:pt>
                <c:pt idx="5">
                  <c:v>425</c:v>
                </c:pt>
                <c:pt idx="6">
                  <c:v>460</c:v>
                </c:pt>
                <c:pt idx="7" formatCode="0.0">
                  <c:v>482.55555555555554</c:v>
                </c:pt>
                <c:pt idx="8" formatCode="0.0">
                  <c:v>505.11111111111109</c:v>
                </c:pt>
                <c:pt idx="9" formatCode="0.0">
                  <c:v>527.66666666666663</c:v>
                </c:pt>
                <c:pt idx="10" formatCode="0.0">
                  <c:v>550.22222222222217</c:v>
                </c:pt>
                <c:pt idx="11" formatCode="0.0">
                  <c:v>572.77777777777771</c:v>
                </c:pt>
                <c:pt idx="12" formatCode="0.0">
                  <c:v>595.33333333333326</c:v>
                </c:pt>
                <c:pt idx="13" formatCode="0.0">
                  <c:v>599.70000000000005</c:v>
                </c:pt>
              </c:numCache>
            </c:numRef>
          </c:val>
          <c:extLst>
            <c:ext xmlns:c16="http://schemas.microsoft.com/office/drawing/2014/chart" uri="{C3380CC4-5D6E-409C-BE32-E72D297353CC}">
              <c16:uniqueId val="{00000000-EE04-44EB-907A-F8CCE4D1D03E}"/>
            </c:ext>
          </c:extLst>
        </c:ser>
        <c:dLbls>
          <c:dLblPos val="outEnd"/>
          <c:showLegendKey val="0"/>
          <c:showVal val="1"/>
          <c:showCatName val="0"/>
          <c:showSerName val="0"/>
          <c:showPercent val="0"/>
          <c:showBubbleSize val="0"/>
        </c:dLbls>
        <c:gapWidth val="219"/>
        <c:overlap val="-27"/>
        <c:axId val="239958368"/>
        <c:axId val="239955488"/>
      </c:barChart>
      <c:catAx>
        <c:axId val="2399583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62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9955488"/>
        <c:crosses val="autoZero"/>
        <c:auto val="1"/>
        <c:lblAlgn val="ctr"/>
        <c:lblOffset val="100"/>
        <c:noMultiLvlLbl val="0"/>
      </c:catAx>
      <c:valAx>
        <c:axId val="239955488"/>
        <c:scaling>
          <c:orientation val="minMax"/>
          <c:min val="2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9958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b="1">
                <a:solidFill>
                  <a:srgbClr val="FF0000"/>
                </a:solidFill>
              </a:rPr>
              <a:t>Market</a:t>
            </a:r>
            <a:r>
              <a:rPr lang="en-IN" b="1" baseline="0">
                <a:solidFill>
                  <a:srgbClr val="FF0000"/>
                </a:solidFill>
              </a:rPr>
              <a:t> Size In billion dollar</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dPt>
            <c:idx val="3"/>
            <c:invertIfNegative val="0"/>
            <c:bubble3D val="0"/>
            <c:spPr>
              <a:solidFill>
                <a:schemeClr val="tx2">
                  <a:lumMod val="50000"/>
                </a:schemeClr>
              </a:solidFill>
              <a:ln>
                <a:noFill/>
              </a:ln>
              <a:effectLst/>
            </c:spPr>
            <c:extLst>
              <c:ext xmlns:c16="http://schemas.microsoft.com/office/drawing/2014/chart" uri="{C3380CC4-5D6E-409C-BE32-E72D297353CC}">
                <c16:uniqueId val="{00000000-74B9-4F95-8571-6194AB3E6FA7}"/>
              </c:ext>
            </c:extLst>
          </c:dPt>
          <c:dPt>
            <c:idx val="4"/>
            <c:invertIfNegative val="0"/>
            <c:bubble3D val="0"/>
            <c:spPr>
              <a:solidFill>
                <a:schemeClr val="tx2">
                  <a:lumMod val="50000"/>
                </a:schemeClr>
              </a:solidFill>
              <a:ln>
                <a:noFill/>
              </a:ln>
              <a:effectLst/>
            </c:spPr>
            <c:extLst>
              <c:ext xmlns:c16="http://schemas.microsoft.com/office/drawing/2014/chart" uri="{C3380CC4-5D6E-409C-BE32-E72D297353CC}">
                <c16:uniqueId val="{00000001-74B9-4F95-8571-6194AB3E6FA7}"/>
              </c:ext>
            </c:extLst>
          </c:dPt>
          <c:dPt>
            <c:idx val="5"/>
            <c:invertIfNegative val="0"/>
            <c:bubble3D val="0"/>
            <c:spPr>
              <a:solidFill>
                <a:schemeClr val="tx2">
                  <a:lumMod val="50000"/>
                </a:schemeClr>
              </a:solidFill>
              <a:ln>
                <a:noFill/>
              </a:ln>
              <a:effectLst/>
            </c:spPr>
            <c:extLst>
              <c:ext xmlns:c16="http://schemas.microsoft.com/office/drawing/2014/chart" uri="{C3380CC4-5D6E-409C-BE32-E72D297353CC}">
                <c16:uniqueId val="{00000002-74B9-4F95-8571-6194AB3E6FA7}"/>
              </c:ext>
            </c:extLst>
          </c:dPt>
          <c:dPt>
            <c:idx val="6"/>
            <c:invertIfNegative val="0"/>
            <c:bubble3D val="0"/>
            <c:spPr>
              <a:solidFill>
                <a:schemeClr val="tx2">
                  <a:lumMod val="50000"/>
                </a:schemeClr>
              </a:solidFill>
              <a:ln>
                <a:noFill/>
              </a:ln>
              <a:effectLst/>
            </c:spPr>
            <c:extLst>
              <c:ext xmlns:c16="http://schemas.microsoft.com/office/drawing/2014/chart" uri="{C3380CC4-5D6E-409C-BE32-E72D297353CC}">
                <c16:uniqueId val="{00000003-74B9-4F95-8571-6194AB3E6FA7}"/>
              </c:ext>
            </c:extLst>
          </c:dPt>
          <c:dPt>
            <c:idx val="7"/>
            <c:invertIfNegative val="0"/>
            <c:bubble3D val="0"/>
            <c:spPr>
              <a:solidFill>
                <a:schemeClr val="tx2">
                  <a:lumMod val="50000"/>
                </a:schemeClr>
              </a:solidFill>
              <a:ln>
                <a:noFill/>
              </a:ln>
              <a:effectLst/>
            </c:spPr>
            <c:extLst>
              <c:ext xmlns:c16="http://schemas.microsoft.com/office/drawing/2014/chart" uri="{C3380CC4-5D6E-409C-BE32-E72D297353CC}">
                <c16:uniqueId val="{00000004-74B9-4F95-8571-6194AB3E6FA7}"/>
              </c:ext>
            </c:extLst>
          </c:dPt>
          <c:dPt>
            <c:idx val="8"/>
            <c:invertIfNegative val="0"/>
            <c:bubble3D val="0"/>
            <c:spPr>
              <a:solidFill>
                <a:schemeClr val="tx2">
                  <a:lumMod val="50000"/>
                </a:schemeClr>
              </a:solidFill>
              <a:ln>
                <a:noFill/>
              </a:ln>
              <a:effectLst/>
            </c:spPr>
            <c:extLst>
              <c:ext xmlns:c16="http://schemas.microsoft.com/office/drawing/2014/chart" uri="{C3380CC4-5D6E-409C-BE32-E72D297353CC}">
                <c16:uniqueId val="{00000005-74B9-4F95-8571-6194AB3E6FA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'Market Size Information'!$E$4:$M$4</c:f>
              <c:numCache>
                <c:formatCode>0"A"</c:formatCode>
                <c:ptCount val="9"/>
                <c:pt idx="0">
                  <c:v>2022</c:v>
                </c:pt>
                <c:pt idx="1">
                  <c:v>2023</c:v>
                </c:pt>
                <c:pt idx="2">
                  <c:v>2024</c:v>
                </c:pt>
                <c:pt idx="3" formatCode="0&quot;F&quot;">
                  <c:v>2025</c:v>
                </c:pt>
                <c:pt idx="4" formatCode="0&quot;F&quot;">
                  <c:v>2026</c:v>
                </c:pt>
                <c:pt idx="5" formatCode="0&quot;F&quot;">
                  <c:v>2027</c:v>
                </c:pt>
                <c:pt idx="6" formatCode="0&quot;F&quot;">
                  <c:v>2028</c:v>
                </c:pt>
                <c:pt idx="7" formatCode="0&quot;F&quot;">
                  <c:v>2029</c:v>
                </c:pt>
                <c:pt idx="8" formatCode="0&quot;F&quot;">
                  <c:v>2030</c:v>
                </c:pt>
              </c:numCache>
            </c:numRef>
          </c:cat>
          <c:val>
            <c:numRef>
              <c:f>'Market Size Information'!$E$11:$M$11</c:f>
              <c:numCache>
                <c:formatCode>0.00</c:formatCode>
                <c:ptCount val="9"/>
                <c:pt idx="0" formatCode="General">
                  <c:v>26.02</c:v>
                </c:pt>
                <c:pt idx="1">
                  <c:v>29.23875</c:v>
                </c:pt>
                <c:pt idx="2">
                  <c:v>32.457500000000003</c:v>
                </c:pt>
                <c:pt idx="3">
                  <c:v>35.676250000000003</c:v>
                </c:pt>
                <c:pt idx="4">
                  <c:v>38.895000000000003</c:v>
                </c:pt>
                <c:pt idx="5">
                  <c:v>42.113750000000003</c:v>
                </c:pt>
                <c:pt idx="6">
                  <c:v>45.332500000000003</c:v>
                </c:pt>
                <c:pt idx="7">
                  <c:v>48.551250000000003</c:v>
                </c:pt>
                <c:pt idx="8">
                  <c:v>51.77</c:v>
                </c:pt>
              </c:numCache>
            </c:numRef>
          </c:val>
          <c:extLst>
            <c:ext xmlns:c16="http://schemas.microsoft.com/office/drawing/2014/chart" uri="{C3380CC4-5D6E-409C-BE32-E72D297353CC}">
              <c16:uniqueId val="{00000000-FA43-490C-8B2F-801F2AC09D68}"/>
            </c:ext>
          </c:extLst>
        </c:ser>
        <c:dLbls>
          <c:showLegendKey val="0"/>
          <c:showVal val="0"/>
          <c:showCatName val="0"/>
          <c:showSerName val="0"/>
          <c:showPercent val="0"/>
          <c:showBubbleSize val="0"/>
        </c:dLbls>
        <c:gapWidth val="219"/>
        <c:overlap val="-27"/>
        <c:axId val="1294064575"/>
        <c:axId val="1294062655"/>
      </c:barChart>
      <c:catAx>
        <c:axId val="1294064575"/>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32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4062655"/>
        <c:crosses val="autoZero"/>
        <c:auto val="1"/>
        <c:lblAlgn val="ctr"/>
        <c:lblOffset val="100"/>
        <c:noMultiLvlLbl val="0"/>
      </c:catAx>
      <c:valAx>
        <c:axId val="1294062655"/>
        <c:scaling>
          <c:orientation val="minMax"/>
          <c:max val="60"/>
          <c:min val="1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40645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Capex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solidFill>
                <a:srgbClr val="FF0000"/>
              </a:solidFill>
            </a:ln>
            <a:effectLst/>
          </c:spPr>
          <c:invertIfNegative val="0"/>
          <c:dPt>
            <c:idx val="8"/>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2-71BE-4B19-8E0E-B329DCF3601B}"/>
              </c:ext>
            </c:extLst>
          </c:dPt>
          <c:dPt>
            <c:idx val="9"/>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3-71BE-4B19-8E0E-B329DCF3601B}"/>
              </c:ext>
            </c:extLst>
          </c:dPt>
          <c:dPt>
            <c:idx val="10"/>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4-71BE-4B19-8E0E-B329DCF3601B}"/>
              </c:ext>
            </c:extLst>
          </c:dPt>
          <c:dLbls>
            <c:delete val="1"/>
          </c:dLbls>
          <c:cat>
            <c:numRef>
              <c:f>'Market Size Information'!$S$25:$AC$25</c:f>
              <c:numCache>
                <c:formatCode>0"A"</c:formatCode>
                <c:ptCount val="11"/>
                <c:pt idx="0">
                  <c:v>2017</c:v>
                </c:pt>
                <c:pt idx="1">
                  <c:v>2018</c:v>
                </c:pt>
                <c:pt idx="2">
                  <c:v>2019</c:v>
                </c:pt>
                <c:pt idx="3">
                  <c:v>2020</c:v>
                </c:pt>
                <c:pt idx="4">
                  <c:v>2021</c:v>
                </c:pt>
                <c:pt idx="5">
                  <c:v>2022</c:v>
                </c:pt>
                <c:pt idx="6">
                  <c:v>2023</c:v>
                </c:pt>
                <c:pt idx="7">
                  <c:v>2024</c:v>
                </c:pt>
                <c:pt idx="8" formatCode="0&quot;F&quot;">
                  <c:v>2025</c:v>
                </c:pt>
                <c:pt idx="9" formatCode="0&quot;F&quot;">
                  <c:v>2026</c:v>
                </c:pt>
                <c:pt idx="10" formatCode="0&quot;F&quot;">
                  <c:v>2027</c:v>
                </c:pt>
              </c:numCache>
            </c:numRef>
          </c:cat>
          <c:val>
            <c:numRef>
              <c:f>'Market Size Information'!$S$26:$AC$26</c:f>
              <c:numCache>
                <c:formatCode>General</c:formatCode>
                <c:ptCount val="11"/>
                <c:pt idx="0">
                  <c:v>1294.5999999999999</c:v>
                </c:pt>
                <c:pt idx="1">
                  <c:v>2526.2000000000003</c:v>
                </c:pt>
                <c:pt idx="2">
                  <c:v>1922.4</c:v>
                </c:pt>
                <c:pt idx="3">
                  <c:v>1540.3999999999999</c:v>
                </c:pt>
                <c:pt idx="4">
                  <c:v>1129.0999999999999</c:v>
                </c:pt>
                <c:pt idx="5">
                  <c:v>2209.3999999999996</c:v>
                </c:pt>
                <c:pt idx="6">
                  <c:v>3279.4</c:v>
                </c:pt>
                <c:pt idx="7">
                  <c:v>3169.5</c:v>
                </c:pt>
                <c:pt idx="8">
                  <c:v>4166</c:v>
                </c:pt>
                <c:pt idx="9">
                  <c:v>4166</c:v>
                </c:pt>
                <c:pt idx="10">
                  <c:v>4166</c:v>
                </c:pt>
              </c:numCache>
            </c:numRef>
          </c:val>
          <c:extLst>
            <c:ext xmlns:c16="http://schemas.microsoft.com/office/drawing/2014/chart" uri="{C3380CC4-5D6E-409C-BE32-E72D297353CC}">
              <c16:uniqueId val="{00000000-71BE-4B19-8E0E-B329DCF3601B}"/>
            </c:ext>
          </c:extLst>
        </c:ser>
        <c:dLbls>
          <c:dLblPos val="outEnd"/>
          <c:showLegendKey val="0"/>
          <c:showVal val="1"/>
          <c:showCatName val="0"/>
          <c:showSerName val="0"/>
          <c:showPercent val="0"/>
          <c:showBubbleSize val="0"/>
        </c:dLbls>
        <c:gapWidth val="219"/>
        <c:overlap val="-27"/>
        <c:axId val="799471199"/>
        <c:axId val="799472639"/>
      </c:barChart>
      <c:catAx>
        <c:axId val="799471199"/>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38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9472639"/>
        <c:crosses val="autoZero"/>
        <c:auto val="1"/>
        <c:lblAlgn val="ctr"/>
        <c:lblOffset val="100"/>
        <c:noMultiLvlLbl val="0"/>
      </c:catAx>
      <c:valAx>
        <c:axId val="799472639"/>
        <c:scaling>
          <c:orientation val="minMax"/>
          <c:min val="5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94711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'Company Information'!$B$289</c:f>
              <c:strCache>
                <c:ptCount val="1"/>
                <c:pt idx="0">
                  <c:v>YoY Growth % Revenue</c:v>
                </c:pt>
              </c:strCache>
            </c:strRef>
          </c:tx>
          <c:spPr>
            <a:ln w="28575" cap="rnd">
              <a:solidFill>
                <a:schemeClr val="accent1"/>
              </a:solidFill>
              <a:round/>
            </a:ln>
            <a:effectLst/>
          </c:spPr>
          <c:marker>
            <c:symbol val="none"/>
          </c:marker>
          <c:cat>
            <c:numRef>
              <c:f>'Company Information'!$C$286:$K$286</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Information'!$C$289:$K$289</c:f>
              <c:numCache>
                <c:formatCode>0.00%</c:formatCode>
                <c:ptCount val="9"/>
                <c:pt idx="1">
                  <c:v>-0.14113207547169815</c:v>
                </c:pt>
                <c:pt idx="2">
                  <c:v>0.49156414762741663</c:v>
                </c:pt>
                <c:pt idx="3">
                  <c:v>0.1587133262636975</c:v>
                </c:pt>
                <c:pt idx="4">
                  <c:v>0.27668293675005073</c:v>
                </c:pt>
                <c:pt idx="5">
                  <c:v>2.4930505221069099E-2</c:v>
                </c:pt>
                <c:pt idx="6">
                  <c:v>5.3761686055999958E-2</c:v>
                </c:pt>
                <c:pt idx="7">
                  <c:v>0.10689027043371158</c:v>
                </c:pt>
                <c:pt idx="8">
                  <c:v>0.18945839524022112</c:v>
                </c:pt>
              </c:numCache>
            </c:numRef>
          </c:val>
          <c:smooth val="0"/>
          <c:extLst>
            <c:ext xmlns:c16="http://schemas.microsoft.com/office/drawing/2014/chart" uri="{C3380CC4-5D6E-409C-BE32-E72D297353CC}">
              <c16:uniqueId val="{00000000-7517-49E3-BE4B-28FA3CCECA24}"/>
            </c:ext>
          </c:extLst>
        </c:ser>
        <c:ser>
          <c:idx val="1"/>
          <c:order val="1"/>
          <c:tx>
            <c:strRef>
              <c:f>'Company Information'!$B$294</c:f>
              <c:strCache>
                <c:ptCount val="1"/>
                <c:pt idx="0">
                  <c:v>YoY Growth % Inventories</c:v>
                </c:pt>
              </c:strCache>
            </c:strRef>
          </c:tx>
          <c:spPr>
            <a:ln w="28575" cap="rnd">
              <a:solidFill>
                <a:schemeClr val="accent2"/>
              </a:solidFill>
              <a:round/>
            </a:ln>
            <a:effectLst/>
          </c:spPr>
          <c:marker>
            <c:symbol val="none"/>
          </c:marker>
          <c:cat>
            <c:numRef>
              <c:f>'Company Information'!$C$286:$K$286</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Information'!$C$294:$K$294</c:f>
              <c:numCache>
                <c:formatCode>0.00%</c:formatCode>
                <c:ptCount val="9"/>
                <c:pt idx="1">
                  <c:v>-0.11282458698822451</c:v>
                </c:pt>
                <c:pt idx="2">
                  <c:v>0.61250751358578981</c:v>
                </c:pt>
                <c:pt idx="3">
                  <c:v>0.19362495245340439</c:v>
                </c:pt>
                <c:pt idx="4">
                  <c:v>0.19202432091369137</c:v>
                </c:pt>
                <c:pt idx="5">
                  <c:v>-8.3847062786382986E-2</c:v>
                </c:pt>
                <c:pt idx="6">
                  <c:v>1.3014374172011234E-3</c:v>
                </c:pt>
                <c:pt idx="7">
                  <c:v>0.45537733429697158</c:v>
                </c:pt>
                <c:pt idx="8">
                  <c:v>0.10518938574781123</c:v>
                </c:pt>
              </c:numCache>
            </c:numRef>
          </c:val>
          <c:smooth val="0"/>
          <c:extLst>
            <c:ext xmlns:c16="http://schemas.microsoft.com/office/drawing/2014/chart" uri="{C3380CC4-5D6E-409C-BE32-E72D297353CC}">
              <c16:uniqueId val="{00000001-7517-49E3-BE4B-28FA3CCECA24}"/>
            </c:ext>
          </c:extLst>
        </c:ser>
        <c:dLbls>
          <c:showLegendKey val="0"/>
          <c:showVal val="0"/>
          <c:showCatName val="0"/>
          <c:showSerName val="0"/>
          <c:showPercent val="0"/>
          <c:showBubbleSize val="0"/>
        </c:dLbls>
        <c:smooth val="0"/>
        <c:axId val="668733087"/>
        <c:axId val="668738367"/>
      </c:lineChart>
      <c:catAx>
        <c:axId val="668733087"/>
        <c:scaling>
          <c:orientation val="minMax"/>
        </c:scaling>
        <c:delete val="0"/>
        <c:axPos val="b"/>
        <c:numFmt formatCode="&quot;FY&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38367"/>
        <c:crosses val="autoZero"/>
        <c:auto val="1"/>
        <c:lblAlgn val="ctr"/>
        <c:lblOffset val="100"/>
        <c:noMultiLvlLbl val="0"/>
      </c:catAx>
      <c:valAx>
        <c:axId val="66873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3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'Company Information'!$B$341</c:f>
              <c:strCache>
                <c:ptCount val="1"/>
                <c:pt idx="0">
                  <c:v>YoY Growth % Revenue</c:v>
                </c:pt>
              </c:strCache>
            </c:strRef>
          </c:tx>
          <c:spPr>
            <a:ln w="28575" cap="rnd">
              <a:solidFill>
                <a:schemeClr val="accent1"/>
              </a:solidFill>
              <a:round/>
            </a:ln>
            <a:effectLst/>
          </c:spPr>
          <c:marker>
            <c:symbol val="none"/>
          </c:marker>
          <c:cat>
            <c:numRef>
              <c:f>'Company Information'!$C$338:$K$338</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Information'!$C$341:$K$341</c:f>
              <c:numCache>
                <c:formatCode>0.00%</c:formatCode>
                <c:ptCount val="9"/>
                <c:pt idx="1">
                  <c:v>-0.14113207547169815</c:v>
                </c:pt>
                <c:pt idx="2">
                  <c:v>0.49156414762741663</c:v>
                </c:pt>
                <c:pt idx="3">
                  <c:v>0.1587133262636975</c:v>
                </c:pt>
                <c:pt idx="4">
                  <c:v>0.27668293675005073</c:v>
                </c:pt>
                <c:pt idx="5">
                  <c:v>2.4930505221069099E-2</c:v>
                </c:pt>
                <c:pt idx="6">
                  <c:v>5.3761686055999958E-2</c:v>
                </c:pt>
                <c:pt idx="7">
                  <c:v>0.10689027043371158</c:v>
                </c:pt>
                <c:pt idx="8">
                  <c:v>0.18945839524022112</c:v>
                </c:pt>
              </c:numCache>
            </c:numRef>
          </c:val>
          <c:smooth val="0"/>
          <c:extLst>
            <c:ext xmlns:c16="http://schemas.microsoft.com/office/drawing/2014/chart" uri="{C3380CC4-5D6E-409C-BE32-E72D297353CC}">
              <c16:uniqueId val="{00000000-4B11-43B3-87FD-D336813620EA}"/>
            </c:ext>
          </c:extLst>
        </c:ser>
        <c:ser>
          <c:idx val="1"/>
          <c:order val="1"/>
          <c:tx>
            <c:strRef>
              <c:f>'Company Information'!$B$344</c:f>
              <c:strCache>
                <c:ptCount val="1"/>
                <c:pt idx="0">
                  <c:v>Trade Receivables YOY % Growth</c:v>
                </c:pt>
              </c:strCache>
            </c:strRef>
          </c:tx>
          <c:spPr>
            <a:ln w="28575" cap="rnd">
              <a:solidFill>
                <a:schemeClr val="accent2"/>
              </a:solidFill>
              <a:round/>
            </a:ln>
            <a:effectLst/>
          </c:spPr>
          <c:marker>
            <c:symbol val="none"/>
          </c:marker>
          <c:cat>
            <c:numRef>
              <c:f>'Company Information'!$C$338:$K$338</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Information'!$C$344:$K$344</c:f>
              <c:numCache>
                <c:formatCode>0.00%</c:formatCode>
                <c:ptCount val="9"/>
                <c:pt idx="1">
                  <c:v>-0.31018703163374539</c:v>
                </c:pt>
                <c:pt idx="2">
                  <c:v>1.9779684742255554E-2</c:v>
                </c:pt>
                <c:pt idx="3">
                  <c:v>0.37040463117689182</c:v>
                </c:pt>
                <c:pt idx="4">
                  <c:v>1.229090909090909</c:v>
                </c:pt>
                <c:pt idx="5">
                  <c:v>5.5425853024782423E-2</c:v>
                </c:pt>
                <c:pt idx="6">
                  <c:v>-0.37116016474617064</c:v>
                </c:pt>
                <c:pt idx="7">
                  <c:v>0.16022253948162435</c:v>
                </c:pt>
                <c:pt idx="8">
                  <c:v>0.53695974831597515</c:v>
                </c:pt>
              </c:numCache>
            </c:numRef>
          </c:val>
          <c:smooth val="0"/>
          <c:extLst>
            <c:ext xmlns:c16="http://schemas.microsoft.com/office/drawing/2014/chart" uri="{C3380CC4-5D6E-409C-BE32-E72D297353CC}">
              <c16:uniqueId val="{00000001-4B11-43B3-87FD-D336813620EA}"/>
            </c:ext>
          </c:extLst>
        </c:ser>
        <c:dLbls>
          <c:showLegendKey val="0"/>
          <c:showVal val="0"/>
          <c:showCatName val="0"/>
          <c:showSerName val="0"/>
          <c:showPercent val="0"/>
          <c:showBubbleSize val="0"/>
        </c:dLbls>
        <c:smooth val="0"/>
        <c:axId val="1462236383"/>
        <c:axId val="1462236863"/>
      </c:lineChart>
      <c:catAx>
        <c:axId val="1462236383"/>
        <c:scaling>
          <c:orientation val="minMax"/>
        </c:scaling>
        <c:delete val="0"/>
        <c:axPos val="b"/>
        <c:numFmt formatCode="&quot;FY&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36863"/>
        <c:crosses val="autoZero"/>
        <c:auto val="1"/>
        <c:lblAlgn val="ctr"/>
        <c:lblOffset val="100"/>
        <c:noMultiLvlLbl val="0"/>
      </c:catAx>
      <c:valAx>
        <c:axId val="146223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36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'Company Information'!$B$683</c:f>
              <c:strCache>
                <c:ptCount val="1"/>
                <c:pt idx="0">
                  <c:v>Trade Payable % of Revenue</c:v>
                </c:pt>
              </c:strCache>
            </c:strRef>
          </c:tx>
          <c:spPr>
            <a:solidFill>
              <a:schemeClr val="accent1"/>
            </a:solidFill>
            <a:ln>
              <a:noFill/>
            </a:ln>
            <a:effectLst/>
          </c:spPr>
          <c:invertIfNegative val="0"/>
          <c:cat>
            <c:numRef>
              <c:f>'Company Information'!$C$669:$K$669</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Information'!$C$683:$K$683</c:f>
              <c:numCache>
                <c:formatCode>0.0%</c:formatCode>
                <c:ptCount val="9"/>
                <c:pt idx="0">
                  <c:v>4.4135849056603768E-2</c:v>
                </c:pt>
                <c:pt idx="1">
                  <c:v>4.5212653778558876E-2</c:v>
                </c:pt>
                <c:pt idx="2">
                  <c:v>4.1438670908448216E-2</c:v>
                </c:pt>
                <c:pt idx="3">
                  <c:v>7.3955664022778117E-2</c:v>
                </c:pt>
                <c:pt idx="4">
                  <c:v>4.2866928450246526E-2</c:v>
                </c:pt>
                <c:pt idx="5">
                  <c:v>5.1107795366765359E-2</c:v>
                </c:pt>
                <c:pt idx="6">
                  <c:v>6.5117222357426785E-2</c:v>
                </c:pt>
                <c:pt idx="7">
                  <c:v>5.9322011313136705E-2</c:v>
                </c:pt>
                <c:pt idx="8">
                  <c:v>6.6992667775742601E-2</c:v>
                </c:pt>
              </c:numCache>
            </c:numRef>
          </c:val>
          <c:extLst>
            <c:ext xmlns:c16="http://schemas.microsoft.com/office/drawing/2014/chart" uri="{C3380CC4-5D6E-409C-BE32-E72D297353CC}">
              <c16:uniqueId val="{00000000-2C99-4675-9F15-DA9D06B0302E}"/>
            </c:ext>
          </c:extLst>
        </c:ser>
        <c:ser>
          <c:idx val="1"/>
          <c:order val="1"/>
          <c:tx>
            <c:strRef>
              <c:f>'Company Information'!$B$684</c:f>
              <c:strCache>
                <c:ptCount val="1"/>
                <c:pt idx="0">
                  <c:v>Trade Receivable % of Revenue</c:v>
                </c:pt>
              </c:strCache>
            </c:strRef>
          </c:tx>
          <c:spPr>
            <a:solidFill>
              <a:schemeClr val="accent2"/>
            </a:solidFill>
            <a:ln>
              <a:noFill/>
            </a:ln>
            <a:effectLst/>
          </c:spPr>
          <c:invertIfNegative val="0"/>
          <c:cat>
            <c:numRef>
              <c:f>'Company Information'!$C$669:$K$669</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Information'!$C$684:$K$684</c:f>
              <c:numCache>
                <c:formatCode>0.0%</c:formatCode>
                <c:ptCount val="9"/>
                <c:pt idx="0">
                  <c:v>7.1907924528301886E-2</c:v>
                </c:pt>
                <c:pt idx="1">
                  <c:v>5.7753954305799653E-2</c:v>
                </c:pt>
                <c:pt idx="2">
                  <c:v>3.9486273123600799E-2</c:v>
                </c:pt>
                <c:pt idx="3">
                  <c:v>4.670022371364653E-2</c:v>
                </c:pt>
                <c:pt idx="4">
                  <c:v>8.1538682108180868E-2</c:v>
                </c:pt>
                <c:pt idx="5">
                  <c:v>8.3964749492924262E-2</c:v>
                </c:pt>
                <c:pt idx="6">
                  <c:v>5.010656577947889E-2</c:v>
                </c:pt>
                <c:pt idx="7">
                  <c:v>5.2520804045545703E-2</c:v>
                </c:pt>
                <c:pt idx="8">
                  <c:v>6.7864804763425129E-2</c:v>
                </c:pt>
              </c:numCache>
            </c:numRef>
          </c:val>
          <c:extLst>
            <c:ext xmlns:c16="http://schemas.microsoft.com/office/drawing/2014/chart" uri="{C3380CC4-5D6E-409C-BE32-E72D297353CC}">
              <c16:uniqueId val="{00000001-2C99-4675-9F15-DA9D06B0302E}"/>
            </c:ext>
          </c:extLst>
        </c:ser>
        <c:dLbls>
          <c:showLegendKey val="0"/>
          <c:showVal val="0"/>
          <c:showCatName val="0"/>
          <c:showSerName val="0"/>
          <c:showPercent val="0"/>
          <c:showBubbleSize val="0"/>
        </c:dLbls>
        <c:gapWidth val="219"/>
        <c:overlap val="-27"/>
        <c:axId val="345528560"/>
        <c:axId val="345532880"/>
      </c:barChart>
      <c:catAx>
        <c:axId val="345528560"/>
        <c:scaling>
          <c:orientation val="minMax"/>
        </c:scaling>
        <c:delete val="0"/>
        <c:axPos val="b"/>
        <c:numFmt formatCode="&quot;FY&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532880"/>
        <c:crosses val="autoZero"/>
        <c:auto val="1"/>
        <c:lblAlgn val="ctr"/>
        <c:lblOffset val="100"/>
        <c:noMultiLvlLbl val="0"/>
      </c:catAx>
      <c:valAx>
        <c:axId val="3455328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5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26246719160106"/>
          <c:y val="0.14309413580246916"/>
          <c:w val="0.86601618547681536"/>
          <c:h val="0.61983601876154371"/>
        </c:manualLayout>
      </c:layout>
      <c:barChart>
        <c:barDir val="col"/>
        <c:grouping val="clustered"/>
        <c:varyColors val="0"/>
        <c:ser>
          <c:idx val="0"/>
          <c:order val="0"/>
          <c:tx>
            <c:strRef>
              <c:f>'Company Information'!$B$734</c:f>
              <c:strCache>
                <c:ptCount val="1"/>
                <c:pt idx="0">
                  <c:v>Long-Term Borrowings % of Total Borrowings</c:v>
                </c:pt>
              </c:strCache>
            </c:strRef>
          </c:tx>
          <c:spPr>
            <a:solidFill>
              <a:schemeClr val="accent1"/>
            </a:solidFill>
            <a:ln>
              <a:noFill/>
            </a:ln>
            <a:effectLst/>
          </c:spPr>
          <c:invertIfNegative val="0"/>
          <c:cat>
            <c:numRef>
              <c:f>'Company Information'!$C$725:$K$725</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Information'!$C$734:$K$734</c:f>
              <c:numCache>
                <c:formatCode>0.0%</c:formatCode>
                <c:ptCount val="9"/>
                <c:pt idx="0">
                  <c:v>0.65137763371150725</c:v>
                </c:pt>
                <c:pt idx="1">
                  <c:v>0.73059988992845359</c:v>
                </c:pt>
                <c:pt idx="2">
                  <c:v>0.40126797587753205</c:v>
                </c:pt>
                <c:pt idx="3">
                  <c:v>0.65055981143193875</c:v>
                </c:pt>
                <c:pt idx="4">
                  <c:v>0.82995005928214705</c:v>
                </c:pt>
                <c:pt idx="5">
                  <c:v>0.69780313351498635</c:v>
                </c:pt>
                <c:pt idx="6">
                  <c:v>0.72344123397784055</c:v>
                </c:pt>
                <c:pt idx="7">
                  <c:v>0.80247295208655334</c:v>
                </c:pt>
                <c:pt idx="8">
                  <c:v>0.37401828247714686</c:v>
                </c:pt>
              </c:numCache>
            </c:numRef>
          </c:val>
          <c:extLst>
            <c:ext xmlns:c16="http://schemas.microsoft.com/office/drawing/2014/chart" uri="{C3380CC4-5D6E-409C-BE32-E72D297353CC}">
              <c16:uniqueId val="{00000000-BFE9-4858-9F07-C70C03D7BCB0}"/>
            </c:ext>
          </c:extLst>
        </c:ser>
        <c:ser>
          <c:idx val="1"/>
          <c:order val="1"/>
          <c:tx>
            <c:strRef>
              <c:f>'Company Information'!$B$735</c:f>
              <c:strCache>
                <c:ptCount val="1"/>
                <c:pt idx="0">
                  <c:v>Short-Term Borrowings % of Total Borrowings</c:v>
                </c:pt>
              </c:strCache>
            </c:strRef>
          </c:tx>
          <c:spPr>
            <a:solidFill>
              <a:schemeClr val="accent2"/>
            </a:solidFill>
            <a:ln>
              <a:noFill/>
            </a:ln>
            <a:effectLst/>
          </c:spPr>
          <c:invertIfNegative val="0"/>
          <c:cat>
            <c:numRef>
              <c:f>'Company Information'!$C$725:$K$725</c:f>
              <c:numCache>
                <c:formatCode>"FY"###0</c:formatCode>
                <c:ptCount val="9"/>
                <c:pt idx="0">
                  <c:v>2015</c:v>
                </c:pt>
                <c:pt idx="1">
                  <c:v>2016</c:v>
                </c:pt>
                <c:pt idx="2">
                  <c:v>2017</c:v>
                </c:pt>
                <c:pt idx="3">
                  <c:v>2018</c:v>
                </c:pt>
                <c:pt idx="4">
                  <c:v>2019</c:v>
                </c:pt>
                <c:pt idx="5">
                  <c:v>2020</c:v>
                </c:pt>
                <c:pt idx="6">
                  <c:v>2021</c:v>
                </c:pt>
                <c:pt idx="7">
                  <c:v>2022</c:v>
                </c:pt>
                <c:pt idx="8">
                  <c:v>2023</c:v>
                </c:pt>
              </c:numCache>
            </c:numRef>
          </c:cat>
          <c:val>
            <c:numRef>
              <c:f>'Company Information'!$C$735:$K$735</c:f>
              <c:numCache>
                <c:formatCode>0.0%</c:formatCode>
                <c:ptCount val="9"/>
                <c:pt idx="0">
                  <c:v>0.34862236628849269</c:v>
                </c:pt>
                <c:pt idx="1">
                  <c:v>0.26940011007154652</c:v>
                </c:pt>
                <c:pt idx="2">
                  <c:v>0.59873202412246784</c:v>
                </c:pt>
                <c:pt idx="3">
                  <c:v>0.34944018856806131</c:v>
                </c:pt>
                <c:pt idx="4">
                  <c:v>0.1700499407178529</c:v>
                </c:pt>
                <c:pt idx="5">
                  <c:v>0.30219686648501359</c:v>
                </c:pt>
                <c:pt idx="6">
                  <c:v>0.27655876602215945</c:v>
                </c:pt>
                <c:pt idx="7">
                  <c:v>0.19752704791344669</c:v>
                </c:pt>
                <c:pt idx="8">
                  <c:v>0.62598171752285303</c:v>
                </c:pt>
              </c:numCache>
            </c:numRef>
          </c:val>
          <c:extLst>
            <c:ext xmlns:c16="http://schemas.microsoft.com/office/drawing/2014/chart" uri="{C3380CC4-5D6E-409C-BE32-E72D297353CC}">
              <c16:uniqueId val="{00000001-BFE9-4858-9F07-C70C03D7BCB0}"/>
            </c:ext>
          </c:extLst>
        </c:ser>
        <c:dLbls>
          <c:showLegendKey val="0"/>
          <c:showVal val="0"/>
          <c:showCatName val="0"/>
          <c:showSerName val="0"/>
          <c:showPercent val="0"/>
          <c:showBubbleSize val="0"/>
        </c:dLbls>
        <c:gapWidth val="219"/>
        <c:overlap val="-27"/>
        <c:axId val="493883839"/>
        <c:axId val="493885759"/>
      </c:barChart>
      <c:catAx>
        <c:axId val="493883839"/>
        <c:scaling>
          <c:orientation val="minMax"/>
        </c:scaling>
        <c:delete val="0"/>
        <c:axPos val="b"/>
        <c:numFmt formatCode="&quot;FY&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885759"/>
        <c:crosses val="autoZero"/>
        <c:auto val="1"/>
        <c:lblAlgn val="ctr"/>
        <c:lblOffset val="100"/>
        <c:noMultiLvlLbl val="0"/>
      </c:catAx>
      <c:valAx>
        <c:axId val="4938857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883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Product</a:t>
            </a:r>
            <a:r>
              <a:rPr lang="en-IN" sz="1200" b="1" baseline="0">
                <a:solidFill>
                  <a:schemeClr val="tx1"/>
                </a:solidFill>
              </a:rPr>
              <a:t> Wise Revenue Breakup</a:t>
            </a:r>
            <a:endParaRPr lang="en-IN"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911832895888016"/>
          <c:y val="0.20412037037037037"/>
          <c:w val="0.40287467191601051"/>
          <c:h val="0.6714577865266842"/>
        </c:manualLayout>
      </c:layout>
      <c:doughnutChart>
        <c:varyColors val="1"/>
        <c:ser>
          <c:idx val="0"/>
          <c:order val="0"/>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AF89-4D7F-BD17-23A6962611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F89-4D7F-BD17-23A696261111}"/>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2-AF89-4D7F-BD17-23A6962611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AF89-4D7F-BD17-23A696261111}"/>
              </c:ext>
            </c:extLst>
          </c:dPt>
          <c:dLbls>
            <c:dLbl>
              <c:idx val="0"/>
              <c:layout>
                <c:manualLayout>
                  <c:x val="8.0555555555555561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89-4D7F-BD17-23A696261111}"/>
                </c:ext>
              </c:extLst>
            </c:dLbl>
            <c:dLbl>
              <c:idx val="1"/>
              <c:layout>
                <c:manualLayout>
                  <c:x val="-0.14444444444444443"/>
                  <c:y val="5.5555555555555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89-4D7F-BD17-23A696261111}"/>
                </c:ext>
              </c:extLst>
            </c:dLbl>
            <c:dLbl>
              <c:idx val="2"/>
              <c:layout>
                <c:manualLayout>
                  <c:x val="-0.1250000000000000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89-4D7F-BD17-23A696261111}"/>
                </c:ext>
              </c:extLst>
            </c:dLbl>
            <c:dLbl>
              <c:idx val="3"/>
              <c:layout>
                <c:manualLayout>
                  <c:x val="-6.3888888888888884E-2"/>
                  <c:y val="-9.2592592592592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89-4D7F-BD17-23A6962611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'Company Information'!$D$843:$D$846</c:f>
              <c:strCache>
                <c:ptCount val="4"/>
                <c:pt idx="0">
                  <c:v>Cement</c:v>
                </c:pt>
                <c:pt idx="1">
                  <c:v>Clinker</c:v>
                </c:pt>
                <c:pt idx="2">
                  <c:v>Power</c:v>
                </c:pt>
                <c:pt idx="3">
                  <c:v>others</c:v>
                </c:pt>
              </c:strCache>
            </c:strRef>
          </c:cat>
          <c:val>
            <c:numRef>
              <c:f>'Company Information'!$E$843:$E$846</c:f>
              <c:numCache>
                <c:formatCode>0%</c:formatCode>
                <c:ptCount val="4"/>
                <c:pt idx="0">
                  <c:v>0.89</c:v>
                </c:pt>
                <c:pt idx="1">
                  <c:v>0.04</c:v>
                </c:pt>
                <c:pt idx="2">
                  <c:v>0.03</c:v>
                </c:pt>
                <c:pt idx="3">
                  <c:v>0.04</c:v>
                </c:pt>
              </c:numCache>
            </c:numRef>
          </c:val>
          <c:extLst>
            <c:ext xmlns:c16="http://schemas.microsoft.com/office/drawing/2014/chart" uri="{C3380CC4-5D6E-409C-BE32-E72D297353CC}">
              <c16:uniqueId val="{00000000-AF89-4D7F-BD17-23A69626111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3403324584427"/>
          <c:y val="0.17171296296296298"/>
          <c:w val="0.80674365704286966"/>
          <c:h val="0.59832276173811605"/>
        </c:manualLayout>
      </c:layout>
      <c:lineChart>
        <c:grouping val="standard"/>
        <c:varyColors val="0"/>
        <c:ser>
          <c:idx val="0"/>
          <c:order val="0"/>
          <c:tx>
            <c:strRef>
              <c:f>'Company Information'!$D$854</c:f>
              <c:strCache>
                <c:ptCount val="1"/>
                <c:pt idx="0">
                  <c:v>Price</c:v>
                </c:pt>
              </c:strCache>
            </c:strRef>
          </c:tx>
          <c:spPr>
            <a:ln w="28575" cap="rnd">
              <a:solidFill>
                <a:schemeClr val="accent2"/>
              </a:solidFill>
              <a:round/>
            </a:ln>
            <a:effectLst/>
          </c:spPr>
          <c:marker>
            <c:symbol val="none"/>
          </c:marker>
          <c:cat>
            <c:numRef>
              <c:f>'Company Information'!$C$855:$C$1102</c:f>
              <c:numCache>
                <c:formatCode>m/d/yyyy</c:formatCode>
                <c:ptCount val="248"/>
                <c:pt idx="0">
                  <c:v>45614</c:v>
                </c:pt>
                <c:pt idx="1">
                  <c:v>45610</c:v>
                </c:pt>
                <c:pt idx="2">
                  <c:v>45609</c:v>
                </c:pt>
                <c:pt idx="3">
                  <c:v>45608</c:v>
                </c:pt>
                <c:pt idx="4">
                  <c:v>45607</c:v>
                </c:pt>
                <c:pt idx="5">
                  <c:v>45604</c:v>
                </c:pt>
                <c:pt idx="6">
                  <c:v>45603</c:v>
                </c:pt>
                <c:pt idx="7">
                  <c:v>45602</c:v>
                </c:pt>
                <c:pt idx="8">
                  <c:v>45601</c:v>
                </c:pt>
                <c:pt idx="9">
                  <c:v>45600</c:v>
                </c:pt>
                <c:pt idx="10">
                  <c:v>45597</c:v>
                </c:pt>
                <c:pt idx="11">
                  <c:v>45596</c:v>
                </c:pt>
                <c:pt idx="12">
                  <c:v>45595</c:v>
                </c:pt>
                <c:pt idx="13">
                  <c:v>45594</c:v>
                </c:pt>
                <c:pt idx="14">
                  <c:v>45593</c:v>
                </c:pt>
                <c:pt idx="15">
                  <c:v>45590</c:v>
                </c:pt>
                <c:pt idx="16">
                  <c:v>45589</c:v>
                </c:pt>
                <c:pt idx="17">
                  <c:v>45588</c:v>
                </c:pt>
                <c:pt idx="18">
                  <c:v>45587</c:v>
                </c:pt>
                <c:pt idx="19">
                  <c:v>45586</c:v>
                </c:pt>
                <c:pt idx="20">
                  <c:v>45583</c:v>
                </c:pt>
                <c:pt idx="21">
                  <c:v>45582</c:v>
                </c:pt>
                <c:pt idx="22">
                  <c:v>45581</c:v>
                </c:pt>
                <c:pt idx="23">
                  <c:v>45580</c:v>
                </c:pt>
                <c:pt idx="24">
                  <c:v>45579</c:v>
                </c:pt>
                <c:pt idx="25">
                  <c:v>45576</c:v>
                </c:pt>
                <c:pt idx="26">
                  <c:v>45575</c:v>
                </c:pt>
                <c:pt idx="27">
                  <c:v>45574</c:v>
                </c:pt>
                <c:pt idx="28">
                  <c:v>45573</c:v>
                </c:pt>
                <c:pt idx="29">
                  <c:v>45572</c:v>
                </c:pt>
                <c:pt idx="30">
                  <c:v>45569</c:v>
                </c:pt>
                <c:pt idx="31">
                  <c:v>45568</c:v>
                </c:pt>
                <c:pt idx="32">
                  <c:v>45566</c:v>
                </c:pt>
                <c:pt idx="33">
                  <c:v>45565</c:v>
                </c:pt>
                <c:pt idx="34">
                  <c:v>45562</c:v>
                </c:pt>
                <c:pt idx="35">
                  <c:v>45561</c:v>
                </c:pt>
                <c:pt idx="36">
                  <c:v>45560</c:v>
                </c:pt>
                <c:pt idx="37">
                  <c:v>45559</c:v>
                </c:pt>
                <c:pt idx="38">
                  <c:v>45558</c:v>
                </c:pt>
                <c:pt idx="39">
                  <c:v>45555</c:v>
                </c:pt>
                <c:pt idx="40">
                  <c:v>45554</c:v>
                </c:pt>
                <c:pt idx="41">
                  <c:v>45553</c:v>
                </c:pt>
                <c:pt idx="42">
                  <c:v>45552</c:v>
                </c:pt>
                <c:pt idx="43">
                  <c:v>45551</c:v>
                </c:pt>
                <c:pt idx="44">
                  <c:v>45548</c:v>
                </c:pt>
                <c:pt idx="45">
                  <c:v>45547</c:v>
                </c:pt>
                <c:pt idx="46">
                  <c:v>45546</c:v>
                </c:pt>
                <c:pt idx="47">
                  <c:v>45545</c:v>
                </c:pt>
                <c:pt idx="48">
                  <c:v>45544</c:v>
                </c:pt>
                <c:pt idx="49">
                  <c:v>45541</c:v>
                </c:pt>
                <c:pt idx="50">
                  <c:v>45540</c:v>
                </c:pt>
                <c:pt idx="51">
                  <c:v>45539</c:v>
                </c:pt>
                <c:pt idx="52">
                  <c:v>45538</c:v>
                </c:pt>
                <c:pt idx="53">
                  <c:v>45537</c:v>
                </c:pt>
                <c:pt idx="54">
                  <c:v>45534</c:v>
                </c:pt>
                <c:pt idx="55">
                  <c:v>45533</c:v>
                </c:pt>
                <c:pt idx="56">
                  <c:v>45532</c:v>
                </c:pt>
                <c:pt idx="57">
                  <c:v>45531</c:v>
                </c:pt>
                <c:pt idx="58">
                  <c:v>45530</c:v>
                </c:pt>
                <c:pt idx="59">
                  <c:v>45527</c:v>
                </c:pt>
                <c:pt idx="60">
                  <c:v>45526</c:v>
                </c:pt>
                <c:pt idx="61">
                  <c:v>45525</c:v>
                </c:pt>
                <c:pt idx="62">
                  <c:v>45524</c:v>
                </c:pt>
                <c:pt idx="63">
                  <c:v>45523</c:v>
                </c:pt>
                <c:pt idx="64">
                  <c:v>45520</c:v>
                </c:pt>
                <c:pt idx="65">
                  <c:v>45518</c:v>
                </c:pt>
                <c:pt idx="66">
                  <c:v>45517</c:v>
                </c:pt>
                <c:pt idx="67">
                  <c:v>45516</c:v>
                </c:pt>
                <c:pt idx="68">
                  <c:v>45513</c:v>
                </c:pt>
                <c:pt idx="69">
                  <c:v>45512</c:v>
                </c:pt>
                <c:pt idx="70">
                  <c:v>45511</c:v>
                </c:pt>
                <c:pt idx="71">
                  <c:v>45510</c:v>
                </c:pt>
                <c:pt idx="72">
                  <c:v>45509</c:v>
                </c:pt>
                <c:pt idx="73">
                  <c:v>45506</c:v>
                </c:pt>
                <c:pt idx="74">
                  <c:v>45505</c:v>
                </c:pt>
                <c:pt idx="75">
                  <c:v>45504</c:v>
                </c:pt>
                <c:pt idx="76">
                  <c:v>45503</c:v>
                </c:pt>
                <c:pt idx="77">
                  <c:v>45502</c:v>
                </c:pt>
                <c:pt idx="78">
                  <c:v>45499</c:v>
                </c:pt>
                <c:pt idx="79">
                  <c:v>45498</c:v>
                </c:pt>
                <c:pt idx="80">
                  <c:v>45497</c:v>
                </c:pt>
                <c:pt idx="81">
                  <c:v>45496</c:v>
                </c:pt>
                <c:pt idx="82">
                  <c:v>45495</c:v>
                </c:pt>
                <c:pt idx="83">
                  <c:v>45492</c:v>
                </c:pt>
                <c:pt idx="84">
                  <c:v>45491</c:v>
                </c:pt>
                <c:pt idx="85">
                  <c:v>45489</c:v>
                </c:pt>
                <c:pt idx="86">
                  <c:v>45488</c:v>
                </c:pt>
                <c:pt idx="87">
                  <c:v>45485</c:v>
                </c:pt>
                <c:pt idx="88">
                  <c:v>45484</c:v>
                </c:pt>
                <c:pt idx="89">
                  <c:v>45483</c:v>
                </c:pt>
                <c:pt idx="90">
                  <c:v>45482</c:v>
                </c:pt>
                <c:pt idx="91">
                  <c:v>45481</c:v>
                </c:pt>
                <c:pt idx="92">
                  <c:v>45478</c:v>
                </c:pt>
                <c:pt idx="93">
                  <c:v>45477</c:v>
                </c:pt>
                <c:pt idx="94">
                  <c:v>45476</c:v>
                </c:pt>
                <c:pt idx="95">
                  <c:v>45475</c:v>
                </c:pt>
                <c:pt idx="96">
                  <c:v>45474</c:v>
                </c:pt>
                <c:pt idx="97">
                  <c:v>45471</c:v>
                </c:pt>
                <c:pt idx="98">
                  <c:v>45470</c:v>
                </c:pt>
                <c:pt idx="99">
                  <c:v>45469</c:v>
                </c:pt>
                <c:pt idx="100">
                  <c:v>45468</c:v>
                </c:pt>
                <c:pt idx="101">
                  <c:v>45467</c:v>
                </c:pt>
                <c:pt idx="102">
                  <c:v>45464</c:v>
                </c:pt>
                <c:pt idx="103">
                  <c:v>45463</c:v>
                </c:pt>
                <c:pt idx="104">
                  <c:v>45462</c:v>
                </c:pt>
                <c:pt idx="105">
                  <c:v>45461</c:v>
                </c:pt>
                <c:pt idx="106">
                  <c:v>45457</c:v>
                </c:pt>
                <c:pt idx="107">
                  <c:v>45456</c:v>
                </c:pt>
                <c:pt idx="108">
                  <c:v>45455</c:v>
                </c:pt>
                <c:pt idx="109">
                  <c:v>45454</c:v>
                </c:pt>
                <c:pt idx="110">
                  <c:v>45453</c:v>
                </c:pt>
                <c:pt idx="111">
                  <c:v>45450</c:v>
                </c:pt>
                <c:pt idx="112">
                  <c:v>45449</c:v>
                </c:pt>
                <c:pt idx="113">
                  <c:v>45448</c:v>
                </c:pt>
                <c:pt idx="114">
                  <c:v>45447</c:v>
                </c:pt>
                <c:pt idx="115">
                  <c:v>45446</c:v>
                </c:pt>
                <c:pt idx="116">
                  <c:v>45443</c:v>
                </c:pt>
                <c:pt idx="117">
                  <c:v>45442</c:v>
                </c:pt>
                <c:pt idx="118">
                  <c:v>45441</c:v>
                </c:pt>
                <c:pt idx="119">
                  <c:v>45440</c:v>
                </c:pt>
                <c:pt idx="120">
                  <c:v>45439</c:v>
                </c:pt>
                <c:pt idx="121">
                  <c:v>45436</c:v>
                </c:pt>
                <c:pt idx="122">
                  <c:v>45435</c:v>
                </c:pt>
                <c:pt idx="123">
                  <c:v>45434</c:v>
                </c:pt>
                <c:pt idx="124">
                  <c:v>45433</c:v>
                </c:pt>
                <c:pt idx="125">
                  <c:v>45430</c:v>
                </c:pt>
                <c:pt idx="126">
                  <c:v>45429</c:v>
                </c:pt>
                <c:pt idx="127">
                  <c:v>45428</c:v>
                </c:pt>
                <c:pt idx="128">
                  <c:v>45427</c:v>
                </c:pt>
                <c:pt idx="129">
                  <c:v>45426</c:v>
                </c:pt>
                <c:pt idx="130">
                  <c:v>45425</c:v>
                </c:pt>
                <c:pt idx="131">
                  <c:v>45422</c:v>
                </c:pt>
                <c:pt idx="132">
                  <c:v>45421</c:v>
                </c:pt>
                <c:pt idx="133">
                  <c:v>45420</c:v>
                </c:pt>
                <c:pt idx="134">
                  <c:v>45419</c:v>
                </c:pt>
                <c:pt idx="135">
                  <c:v>45418</c:v>
                </c:pt>
                <c:pt idx="136">
                  <c:v>45415</c:v>
                </c:pt>
                <c:pt idx="137">
                  <c:v>45414</c:v>
                </c:pt>
                <c:pt idx="138">
                  <c:v>45412</c:v>
                </c:pt>
                <c:pt idx="139">
                  <c:v>45411</c:v>
                </c:pt>
                <c:pt idx="140">
                  <c:v>45408</c:v>
                </c:pt>
                <c:pt idx="141">
                  <c:v>45407</c:v>
                </c:pt>
                <c:pt idx="142">
                  <c:v>45406</c:v>
                </c:pt>
                <c:pt idx="143">
                  <c:v>45405</c:v>
                </c:pt>
                <c:pt idx="144">
                  <c:v>45404</c:v>
                </c:pt>
                <c:pt idx="145">
                  <c:v>45401</c:v>
                </c:pt>
                <c:pt idx="146">
                  <c:v>45400</c:v>
                </c:pt>
                <c:pt idx="147">
                  <c:v>45398</c:v>
                </c:pt>
                <c:pt idx="148">
                  <c:v>45397</c:v>
                </c:pt>
                <c:pt idx="149">
                  <c:v>45394</c:v>
                </c:pt>
                <c:pt idx="150">
                  <c:v>45392</c:v>
                </c:pt>
                <c:pt idx="151">
                  <c:v>45391</c:v>
                </c:pt>
                <c:pt idx="152">
                  <c:v>45390</c:v>
                </c:pt>
                <c:pt idx="153">
                  <c:v>45387</c:v>
                </c:pt>
                <c:pt idx="154">
                  <c:v>45386</c:v>
                </c:pt>
                <c:pt idx="155">
                  <c:v>45385</c:v>
                </c:pt>
                <c:pt idx="156">
                  <c:v>45384</c:v>
                </c:pt>
                <c:pt idx="157">
                  <c:v>45383</c:v>
                </c:pt>
                <c:pt idx="158">
                  <c:v>45379</c:v>
                </c:pt>
                <c:pt idx="159">
                  <c:v>45378</c:v>
                </c:pt>
                <c:pt idx="160">
                  <c:v>45377</c:v>
                </c:pt>
                <c:pt idx="161">
                  <c:v>45373</c:v>
                </c:pt>
                <c:pt idx="162">
                  <c:v>45372</c:v>
                </c:pt>
                <c:pt idx="163">
                  <c:v>45371</c:v>
                </c:pt>
                <c:pt idx="164">
                  <c:v>45370</c:v>
                </c:pt>
                <c:pt idx="165">
                  <c:v>45369</c:v>
                </c:pt>
                <c:pt idx="166">
                  <c:v>45366</c:v>
                </c:pt>
                <c:pt idx="167">
                  <c:v>45365</c:v>
                </c:pt>
                <c:pt idx="168">
                  <c:v>45364</c:v>
                </c:pt>
                <c:pt idx="169">
                  <c:v>45363</c:v>
                </c:pt>
                <c:pt idx="170">
                  <c:v>45362</c:v>
                </c:pt>
                <c:pt idx="171">
                  <c:v>45358</c:v>
                </c:pt>
                <c:pt idx="172">
                  <c:v>45357</c:v>
                </c:pt>
                <c:pt idx="173">
                  <c:v>45356</c:v>
                </c:pt>
                <c:pt idx="174">
                  <c:v>45355</c:v>
                </c:pt>
                <c:pt idx="175">
                  <c:v>45353</c:v>
                </c:pt>
                <c:pt idx="176">
                  <c:v>45352</c:v>
                </c:pt>
                <c:pt idx="177">
                  <c:v>45351</c:v>
                </c:pt>
                <c:pt idx="178">
                  <c:v>45350</c:v>
                </c:pt>
                <c:pt idx="179">
                  <c:v>45349</c:v>
                </c:pt>
                <c:pt idx="180">
                  <c:v>45348</c:v>
                </c:pt>
                <c:pt idx="181">
                  <c:v>45345</c:v>
                </c:pt>
                <c:pt idx="182">
                  <c:v>45344</c:v>
                </c:pt>
                <c:pt idx="183">
                  <c:v>45343</c:v>
                </c:pt>
                <c:pt idx="184">
                  <c:v>45342</c:v>
                </c:pt>
                <c:pt idx="185">
                  <c:v>45341</c:v>
                </c:pt>
                <c:pt idx="186">
                  <c:v>45338</c:v>
                </c:pt>
                <c:pt idx="187">
                  <c:v>45337</c:v>
                </c:pt>
                <c:pt idx="188">
                  <c:v>45336</c:v>
                </c:pt>
                <c:pt idx="189">
                  <c:v>45335</c:v>
                </c:pt>
                <c:pt idx="190">
                  <c:v>45334</c:v>
                </c:pt>
                <c:pt idx="191">
                  <c:v>45331</c:v>
                </c:pt>
                <c:pt idx="192">
                  <c:v>45330</c:v>
                </c:pt>
                <c:pt idx="193">
                  <c:v>45329</c:v>
                </c:pt>
                <c:pt idx="194">
                  <c:v>45328</c:v>
                </c:pt>
                <c:pt idx="195">
                  <c:v>45327</c:v>
                </c:pt>
                <c:pt idx="196">
                  <c:v>45324</c:v>
                </c:pt>
                <c:pt idx="197">
                  <c:v>45323</c:v>
                </c:pt>
                <c:pt idx="198">
                  <c:v>45322</c:v>
                </c:pt>
                <c:pt idx="199">
                  <c:v>45321</c:v>
                </c:pt>
                <c:pt idx="200">
                  <c:v>45320</c:v>
                </c:pt>
                <c:pt idx="201">
                  <c:v>45316</c:v>
                </c:pt>
                <c:pt idx="202">
                  <c:v>45315</c:v>
                </c:pt>
                <c:pt idx="203">
                  <c:v>45314</c:v>
                </c:pt>
                <c:pt idx="204">
                  <c:v>45311</c:v>
                </c:pt>
                <c:pt idx="205">
                  <c:v>45310</c:v>
                </c:pt>
                <c:pt idx="206">
                  <c:v>45309</c:v>
                </c:pt>
                <c:pt idx="207">
                  <c:v>45308</c:v>
                </c:pt>
                <c:pt idx="208">
                  <c:v>45307</c:v>
                </c:pt>
                <c:pt idx="209">
                  <c:v>45306</c:v>
                </c:pt>
                <c:pt idx="210">
                  <c:v>45303</c:v>
                </c:pt>
                <c:pt idx="211">
                  <c:v>45302</c:v>
                </c:pt>
                <c:pt idx="212">
                  <c:v>45301</c:v>
                </c:pt>
                <c:pt idx="213">
                  <c:v>45300</c:v>
                </c:pt>
                <c:pt idx="214">
                  <c:v>45299</c:v>
                </c:pt>
                <c:pt idx="215">
                  <c:v>45296</c:v>
                </c:pt>
                <c:pt idx="216">
                  <c:v>45295</c:v>
                </c:pt>
                <c:pt idx="217">
                  <c:v>45294</c:v>
                </c:pt>
                <c:pt idx="218">
                  <c:v>45293</c:v>
                </c:pt>
                <c:pt idx="219">
                  <c:v>45292</c:v>
                </c:pt>
                <c:pt idx="220">
                  <c:v>45289</c:v>
                </c:pt>
                <c:pt idx="221">
                  <c:v>45288</c:v>
                </c:pt>
                <c:pt idx="222">
                  <c:v>45287</c:v>
                </c:pt>
                <c:pt idx="223">
                  <c:v>45286</c:v>
                </c:pt>
                <c:pt idx="224">
                  <c:v>45282</c:v>
                </c:pt>
                <c:pt idx="225">
                  <c:v>45281</c:v>
                </c:pt>
                <c:pt idx="226">
                  <c:v>45280</c:v>
                </c:pt>
                <c:pt idx="227">
                  <c:v>45279</c:v>
                </c:pt>
                <c:pt idx="228">
                  <c:v>45278</c:v>
                </c:pt>
                <c:pt idx="229">
                  <c:v>45275</c:v>
                </c:pt>
                <c:pt idx="230">
                  <c:v>45274</c:v>
                </c:pt>
                <c:pt idx="231">
                  <c:v>45273</c:v>
                </c:pt>
                <c:pt idx="232">
                  <c:v>45272</c:v>
                </c:pt>
                <c:pt idx="233">
                  <c:v>45271</c:v>
                </c:pt>
                <c:pt idx="234">
                  <c:v>45268</c:v>
                </c:pt>
                <c:pt idx="235">
                  <c:v>45267</c:v>
                </c:pt>
                <c:pt idx="236">
                  <c:v>45266</c:v>
                </c:pt>
                <c:pt idx="237">
                  <c:v>45265</c:v>
                </c:pt>
                <c:pt idx="238">
                  <c:v>45264</c:v>
                </c:pt>
                <c:pt idx="239">
                  <c:v>45261</c:v>
                </c:pt>
                <c:pt idx="240">
                  <c:v>45260</c:v>
                </c:pt>
                <c:pt idx="241">
                  <c:v>45259</c:v>
                </c:pt>
                <c:pt idx="242">
                  <c:v>45258</c:v>
                </c:pt>
                <c:pt idx="243">
                  <c:v>45254</c:v>
                </c:pt>
                <c:pt idx="244">
                  <c:v>45253</c:v>
                </c:pt>
                <c:pt idx="245">
                  <c:v>45252</c:v>
                </c:pt>
                <c:pt idx="246">
                  <c:v>45251</c:v>
                </c:pt>
                <c:pt idx="247">
                  <c:v>45250</c:v>
                </c:pt>
              </c:numCache>
            </c:numRef>
          </c:cat>
          <c:val>
            <c:numRef>
              <c:f>'Company Information'!$D$855:$D$1102</c:f>
              <c:numCache>
                <c:formatCode>#,##0</c:formatCode>
                <c:ptCount val="248"/>
                <c:pt idx="0">
                  <c:v>23935.05</c:v>
                </c:pt>
                <c:pt idx="1">
                  <c:v>24091.7</c:v>
                </c:pt>
                <c:pt idx="2">
                  <c:v>24049.200000000001</c:v>
                </c:pt>
                <c:pt idx="3">
                  <c:v>24372.799999999999</c:v>
                </c:pt>
                <c:pt idx="4">
                  <c:v>24418.25</c:v>
                </c:pt>
                <c:pt idx="5">
                  <c:v>24533</c:v>
                </c:pt>
                <c:pt idx="6">
                  <c:v>24778.65</c:v>
                </c:pt>
                <c:pt idx="7">
                  <c:v>25009.15</c:v>
                </c:pt>
                <c:pt idx="8">
                  <c:v>24695.9</c:v>
                </c:pt>
                <c:pt idx="9">
                  <c:v>24865.3</c:v>
                </c:pt>
                <c:pt idx="10">
                  <c:v>25241.05</c:v>
                </c:pt>
                <c:pt idx="11">
                  <c:v>25072.15</c:v>
                </c:pt>
                <c:pt idx="12">
                  <c:v>25351.35</c:v>
                </c:pt>
                <c:pt idx="13">
                  <c:v>25331.75</c:v>
                </c:pt>
                <c:pt idx="14">
                  <c:v>25056.15</c:v>
                </c:pt>
                <c:pt idx="15">
                  <c:v>24956.799999999999</c:v>
                </c:pt>
                <c:pt idx="16">
                  <c:v>25065.3</c:v>
                </c:pt>
                <c:pt idx="17">
                  <c:v>24710.25</c:v>
                </c:pt>
                <c:pt idx="18">
                  <c:v>24434.400000000001</c:v>
                </c:pt>
                <c:pt idx="19">
                  <c:v>24297.75</c:v>
                </c:pt>
                <c:pt idx="20">
                  <c:v>24325.25</c:v>
                </c:pt>
                <c:pt idx="21">
                  <c:v>24245.1</c:v>
                </c:pt>
                <c:pt idx="22">
                  <c:v>24439.55</c:v>
                </c:pt>
                <c:pt idx="23">
                  <c:v>24718.5</c:v>
                </c:pt>
                <c:pt idx="24">
                  <c:v>24572.2</c:v>
                </c:pt>
                <c:pt idx="25">
                  <c:v>24337.05</c:v>
                </c:pt>
                <c:pt idx="26">
                  <c:v>24641.8</c:v>
                </c:pt>
                <c:pt idx="27">
                  <c:v>24975.05</c:v>
                </c:pt>
                <c:pt idx="28">
                  <c:v>25582.9</c:v>
                </c:pt>
                <c:pt idx="29">
                  <c:v>25376.45</c:v>
                </c:pt>
                <c:pt idx="30">
                  <c:v>26034.2</c:v>
                </c:pt>
                <c:pt idx="31">
                  <c:v>26259.200000000001</c:v>
                </c:pt>
                <c:pt idx="32">
                  <c:v>26523.25</c:v>
                </c:pt>
                <c:pt idx="33">
                  <c:v>26308.9</c:v>
                </c:pt>
                <c:pt idx="34">
                  <c:v>26247.9</c:v>
                </c:pt>
                <c:pt idx="35">
                  <c:v>26123.1</c:v>
                </c:pt>
                <c:pt idx="36">
                  <c:v>25903.65</c:v>
                </c:pt>
                <c:pt idx="37">
                  <c:v>25911.65</c:v>
                </c:pt>
                <c:pt idx="38">
                  <c:v>25958.1</c:v>
                </c:pt>
                <c:pt idx="39">
                  <c:v>25141.7</c:v>
                </c:pt>
                <c:pt idx="40">
                  <c:v>24931.7</c:v>
                </c:pt>
                <c:pt idx="41">
                  <c:v>25076.65</c:v>
                </c:pt>
                <c:pt idx="42">
                  <c:v>25437.1</c:v>
                </c:pt>
                <c:pt idx="43">
                  <c:v>25619.4</c:v>
                </c:pt>
                <c:pt idx="44">
                  <c:v>25883.1</c:v>
                </c:pt>
                <c:pt idx="45">
                  <c:v>26019.65</c:v>
                </c:pt>
                <c:pt idx="46">
                  <c:v>25614.1</c:v>
                </c:pt>
                <c:pt idx="47">
                  <c:v>25725.15</c:v>
                </c:pt>
                <c:pt idx="48">
                  <c:v>25798.6</c:v>
                </c:pt>
                <c:pt idx="49">
                  <c:v>25610.45</c:v>
                </c:pt>
                <c:pt idx="50">
                  <c:v>25662.25</c:v>
                </c:pt>
                <c:pt idx="51">
                  <c:v>25770.75</c:v>
                </c:pt>
                <c:pt idx="52">
                  <c:v>25507.599999999999</c:v>
                </c:pt>
                <c:pt idx="53">
                  <c:v>25427.3</c:v>
                </c:pt>
                <c:pt idx="54">
                  <c:v>25482</c:v>
                </c:pt>
                <c:pt idx="55">
                  <c:v>24821.35</c:v>
                </c:pt>
                <c:pt idx="56">
                  <c:v>24692.2</c:v>
                </c:pt>
                <c:pt idx="57">
                  <c:v>24813.200000000001</c:v>
                </c:pt>
                <c:pt idx="58">
                  <c:v>24906.45</c:v>
                </c:pt>
                <c:pt idx="59">
                  <c:v>24706.05</c:v>
                </c:pt>
                <c:pt idx="60">
                  <c:v>25012.400000000001</c:v>
                </c:pt>
                <c:pt idx="61">
                  <c:v>24808.05</c:v>
                </c:pt>
                <c:pt idx="62">
                  <c:v>24730.55</c:v>
                </c:pt>
                <c:pt idx="63">
                  <c:v>24848.95</c:v>
                </c:pt>
                <c:pt idx="64">
                  <c:v>24642.85</c:v>
                </c:pt>
                <c:pt idx="65">
                  <c:v>24338.95</c:v>
                </c:pt>
                <c:pt idx="66">
                  <c:v>24205.95</c:v>
                </c:pt>
                <c:pt idx="67">
                  <c:v>24408.35</c:v>
                </c:pt>
                <c:pt idx="68">
                  <c:v>24296.6</c:v>
                </c:pt>
                <c:pt idx="69">
                  <c:v>24143.4</c:v>
                </c:pt>
                <c:pt idx="70">
                  <c:v>25098.6</c:v>
                </c:pt>
                <c:pt idx="71">
                  <c:v>26101.35</c:v>
                </c:pt>
                <c:pt idx="72">
                  <c:v>26834.799999999999</c:v>
                </c:pt>
                <c:pt idx="73">
                  <c:v>27295.35</c:v>
                </c:pt>
                <c:pt idx="74">
                  <c:v>27768.5</c:v>
                </c:pt>
                <c:pt idx="75">
                  <c:v>27740.45</c:v>
                </c:pt>
                <c:pt idx="76">
                  <c:v>27314.35</c:v>
                </c:pt>
                <c:pt idx="77">
                  <c:v>27237.9</c:v>
                </c:pt>
                <c:pt idx="78">
                  <c:v>27566.75</c:v>
                </c:pt>
                <c:pt idx="79">
                  <c:v>27484.35</c:v>
                </c:pt>
                <c:pt idx="80">
                  <c:v>27552</c:v>
                </c:pt>
                <c:pt idx="81">
                  <c:v>28162.2</c:v>
                </c:pt>
                <c:pt idx="82">
                  <c:v>27919.8</c:v>
                </c:pt>
                <c:pt idx="83">
                  <c:v>27284.15</c:v>
                </c:pt>
                <c:pt idx="84">
                  <c:v>28061.599999999999</c:v>
                </c:pt>
                <c:pt idx="85">
                  <c:v>27906.799999999999</c:v>
                </c:pt>
                <c:pt idx="86">
                  <c:v>27616.85</c:v>
                </c:pt>
                <c:pt idx="87">
                  <c:v>27665.5</c:v>
                </c:pt>
                <c:pt idx="88">
                  <c:v>27772.6</c:v>
                </c:pt>
                <c:pt idx="89">
                  <c:v>27905.45</c:v>
                </c:pt>
                <c:pt idx="90">
                  <c:v>27776.3</c:v>
                </c:pt>
                <c:pt idx="91">
                  <c:v>27193.25</c:v>
                </c:pt>
                <c:pt idx="92">
                  <c:v>27528.7</c:v>
                </c:pt>
                <c:pt idx="93">
                  <c:v>27459.05</c:v>
                </c:pt>
                <c:pt idx="94">
                  <c:v>27383.9</c:v>
                </c:pt>
                <c:pt idx="95">
                  <c:v>27697.75</c:v>
                </c:pt>
                <c:pt idx="96">
                  <c:v>28353.35</c:v>
                </c:pt>
                <c:pt idx="97">
                  <c:v>27870.400000000001</c:v>
                </c:pt>
                <c:pt idx="98">
                  <c:v>27832.45</c:v>
                </c:pt>
                <c:pt idx="99">
                  <c:v>27498.9</c:v>
                </c:pt>
                <c:pt idx="100">
                  <c:v>27217.55</c:v>
                </c:pt>
                <c:pt idx="101">
                  <c:v>27318.799999999999</c:v>
                </c:pt>
                <c:pt idx="102">
                  <c:v>27403.8</c:v>
                </c:pt>
                <c:pt idx="103">
                  <c:v>27698.45</c:v>
                </c:pt>
                <c:pt idx="104">
                  <c:v>27443.4</c:v>
                </c:pt>
                <c:pt idx="105">
                  <c:v>27462.1</c:v>
                </c:pt>
                <c:pt idx="106">
                  <c:v>27538</c:v>
                </c:pt>
                <c:pt idx="107">
                  <c:v>27490.75</c:v>
                </c:pt>
                <c:pt idx="108">
                  <c:v>27538.9</c:v>
                </c:pt>
                <c:pt idx="109">
                  <c:v>27063.85</c:v>
                </c:pt>
                <c:pt idx="110">
                  <c:v>27239.7</c:v>
                </c:pt>
                <c:pt idx="111">
                  <c:v>26077.5</c:v>
                </c:pt>
                <c:pt idx="112">
                  <c:v>25636.25</c:v>
                </c:pt>
                <c:pt idx="113">
                  <c:v>25481.05</c:v>
                </c:pt>
                <c:pt idx="114">
                  <c:v>24882.799999999999</c:v>
                </c:pt>
                <c:pt idx="115">
                  <c:v>25309.25</c:v>
                </c:pt>
                <c:pt idx="116">
                  <c:v>24680.6</c:v>
                </c:pt>
                <c:pt idx="117">
                  <c:v>25062.35</c:v>
                </c:pt>
                <c:pt idx="118">
                  <c:v>25325.55</c:v>
                </c:pt>
                <c:pt idx="119">
                  <c:v>25634.65</c:v>
                </c:pt>
                <c:pt idx="120">
                  <c:v>25415.200000000001</c:v>
                </c:pt>
                <c:pt idx="121">
                  <c:v>25456.45</c:v>
                </c:pt>
                <c:pt idx="122">
                  <c:v>25676.9</c:v>
                </c:pt>
                <c:pt idx="123">
                  <c:v>25678.95</c:v>
                </c:pt>
                <c:pt idx="124">
                  <c:v>25833.45</c:v>
                </c:pt>
                <c:pt idx="125">
                  <c:v>26288.7</c:v>
                </c:pt>
                <c:pt idx="126">
                  <c:v>26305.8</c:v>
                </c:pt>
                <c:pt idx="127">
                  <c:v>25685.599999999999</c:v>
                </c:pt>
                <c:pt idx="128">
                  <c:v>25819.65</c:v>
                </c:pt>
                <c:pt idx="129">
                  <c:v>26024.9</c:v>
                </c:pt>
                <c:pt idx="130">
                  <c:v>25992.5</c:v>
                </c:pt>
                <c:pt idx="131">
                  <c:v>25661.25</c:v>
                </c:pt>
                <c:pt idx="132">
                  <c:v>25500.75</c:v>
                </c:pt>
                <c:pt idx="133">
                  <c:v>25660.45</c:v>
                </c:pt>
                <c:pt idx="134">
                  <c:v>25395.65</c:v>
                </c:pt>
                <c:pt idx="135">
                  <c:v>25537</c:v>
                </c:pt>
                <c:pt idx="136">
                  <c:v>25746.55</c:v>
                </c:pt>
                <c:pt idx="137">
                  <c:v>24827.200000000001</c:v>
                </c:pt>
                <c:pt idx="138">
                  <c:v>24444.85</c:v>
                </c:pt>
                <c:pt idx="139">
                  <c:v>24145.15</c:v>
                </c:pt>
                <c:pt idx="140">
                  <c:v>24140.5</c:v>
                </c:pt>
                <c:pt idx="141">
                  <c:v>23971.599999999999</c:v>
                </c:pt>
                <c:pt idx="142">
                  <c:v>24369.15</c:v>
                </c:pt>
                <c:pt idx="143">
                  <c:v>24377.75</c:v>
                </c:pt>
                <c:pt idx="144">
                  <c:v>24396.400000000001</c:v>
                </c:pt>
                <c:pt idx="145">
                  <c:v>24368.75</c:v>
                </c:pt>
                <c:pt idx="146">
                  <c:v>24425.85</c:v>
                </c:pt>
                <c:pt idx="147">
                  <c:v>24882.55</c:v>
                </c:pt>
                <c:pt idx="148">
                  <c:v>25296.2</c:v>
                </c:pt>
                <c:pt idx="149">
                  <c:v>25491.15</c:v>
                </c:pt>
                <c:pt idx="150">
                  <c:v>25610</c:v>
                </c:pt>
                <c:pt idx="151">
                  <c:v>25991.8</c:v>
                </c:pt>
                <c:pt idx="152">
                  <c:v>25955.200000000001</c:v>
                </c:pt>
                <c:pt idx="153">
                  <c:v>25811.05</c:v>
                </c:pt>
                <c:pt idx="154">
                  <c:v>25910.25</c:v>
                </c:pt>
                <c:pt idx="155">
                  <c:v>26354.3</c:v>
                </c:pt>
                <c:pt idx="156">
                  <c:v>26532.9</c:v>
                </c:pt>
                <c:pt idx="157">
                  <c:v>26458</c:v>
                </c:pt>
                <c:pt idx="158">
                  <c:v>25682.85</c:v>
                </c:pt>
                <c:pt idx="159">
                  <c:v>25939.35</c:v>
                </c:pt>
                <c:pt idx="160">
                  <c:v>25684.15</c:v>
                </c:pt>
                <c:pt idx="161">
                  <c:v>25366.05</c:v>
                </c:pt>
                <c:pt idx="162">
                  <c:v>25361.4</c:v>
                </c:pt>
                <c:pt idx="163">
                  <c:v>24935.85</c:v>
                </c:pt>
                <c:pt idx="164">
                  <c:v>25005.45</c:v>
                </c:pt>
                <c:pt idx="165">
                  <c:v>25343.200000000001</c:v>
                </c:pt>
                <c:pt idx="166">
                  <c:v>25070.45</c:v>
                </c:pt>
                <c:pt idx="167">
                  <c:v>24957.599999999999</c:v>
                </c:pt>
                <c:pt idx="168">
                  <c:v>24360.35</c:v>
                </c:pt>
                <c:pt idx="169">
                  <c:v>24960.400000000001</c:v>
                </c:pt>
                <c:pt idx="170">
                  <c:v>25312.25</c:v>
                </c:pt>
                <c:pt idx="171">
                  <c:v>24705.9</c:v>
                </c:pt>
                <c:pt idx="172">
                  <c:v>24754.25</c:v>
                </c:pt>
                <c:pt idx="173">
                  <c:v>25009.75</c:v>
                </c:pt>
                <c:pt idx="174">
                  <c:v>25730.3</c:v>
                </c:pt>
                <c:pt idx="175">
                  <c:v>25749</c:v>
                </c:pt>
                <c:pt idx="176">
                  <c:v>25637.8</c:v>
                </c:pt>
                <c:pt idx="177">
                  <c:v>25504.400000000001</c:v>
                </c:pt>
                <c:pt idx="178">
                  <c:v>25606.400000000001</c:v>
                </c:pt>
                <c:pt idx="179">
                  <c:v>26191.3</c:v>
                </c:pt>
                <c:pt idx="180">
                  <c:v>26099.7</c:v>
                </c:pt>
                <c:pt idx="181">
                  <c:v>26489.65</c:v>
                </c:pt>
                <c:pt idx="182">
                  <c:v>26603.35</c:v>
                </c:pt>
                <c:pt idx="183">
                  <c:v>26345</c:v>
                </c:pt>
                <c:pt idx="184">
                  <c:v>26524.9</c:v>
                </c:pt>
                <c:pt idx="185">
                  <c:v>26815.3</c:v>
                </c:pt>
                <c:pt idx="186">
                  <c:v>26298</c:v>
                </c:pt>
                <c:pt idx="187">
                  <c:v>26332.9</c:v>
                </c:pt>
                <c:pt idx="188">
                  <c:v>26898.45</c:v>
                </c:pt>
                <c:pt idx="189">
                  <c:v>27249.65</c:v>
                </c:pt>
                <c:pt idx="190">
                  <c:v>27265.5</c:v>
                </c:pt>
                <c:pt idx="191">
                  <c:v>27630.1</c:v>
                </c:pt>
                <c:pt idx="192">
                  <c:v>27370.2</c:v>
                </c:pt>
                <c:pt idx="193">
                  <c:v>28116.3</c:v>
                </c:pt>
                <c:pt idx="194">
                  <c:v>27569.4</c:v>
                </c:pt>
                <c:pt idx="195">
                  <c:v>26954.799999999999</c:v>
                </c:pt>
                <c:pt idx="196">
                  <c:v>28453.95</c:v>
                </c:pt>
                <c:pt idx="197">
                  <c:v>29613.55</c:v>
                </c:pt>
                <c:pt idx="198">
                  <c:v>28556.25</c:v>
                </c:pt>
                <c:pt idx="199">
                  <c:v>28077.75</c:v>
                </c:pt>
                <c:pt idx="200">
                  <c:v>28411.55</c:v>
                </c:pt>
                <c:pt idx="201">
                  <c:v>27948.799999999999</c:v>
                </c:pt>
                <c:pt idx="202">
                  <c:v>27635.15</c:v>
                </c:pt>
                <c:pt idx="203">
                  <c:v>27493.75</c:v>
                </c:pt>
                <c:pt idx="204">
                  <c:v>27593.8</c:v>
                </c:pt>
                <c:pt idx="205">
                  <c:v>26649.5</c:v>
                </c:pt>
                <c:pt idx="206">
                  <c:v>26477.15</c:v>
                </c:pt>
                <c:pt idx="207">
                  <c:v>26137</c:v>
                </c:pt>
                <c:pt idx="208">
                  <c:v>27082.1</c:v>
                </c:pt>
                <c:pt idx="209">
                  <c:v>26813.7</c:v>
                </c:pt>
                <c:pt idx="210">
                  <c:v>26874</c:v>
                </c:pt>
                <c:pt idx="211">
                  <c:v>26909.95</c:v>
                </c:pt>
                <c:pt idx="212">
                  <c:v>26842.15</c:v>
                </c:pt>
                <c:pt idx="213">
                  <c:v>27312.9</c:v>
                </c:pt>
                <c:pt idx="214">
                  <c:v>27329.65</c:v>
                </c:pt>
                <c:pt idx="215">
                  <c:v>27023.3</c:v>
                </c:pt>
                <c:pt idx="216">
                  <c:v>28357.9</c:v>
                </c:pt>
                <c:pt idx="217">
                  <c:v>28221.75</c:v>
                </c:pt>
                <c:pt idx="218">
                  <c:v>28088.55</c:v>
                </c:pt>
                <c:pt idx="219">
                  <c:v>28461.599999999999</c:v>
                </c:pt>
                <c:pt idx="220">
                  <c:v>28653.3</c:v>
                </c:pt>
                <c:pt idx="221">
                  <c:v>28601.5</c:v>
                </c:pt>
                <c:pt idx="222">
                  <c:v>28644.9</c:v>
                </c:pt>
                <c:pt idx="223">
                  <c:v>28606.75</c:v>
                </c:pt>
                <c:pt idx="224">
                  <c:v>28186.55</c:v>
                </c:pt>
                <c:pt idx="225">
                  <c:v>28213.8</c:v>
                </c:pt>
                <c:pt idx="226">
                  <c:v>28253</c:v>
                </c:pt>
                <c:pt idx="227">
                  <c:v>28585.95</c:v>
                </c:pt>
                <c:pt idx="228">
                  <c:v>28557</c:v>
                </c:pt>
                <c:pt idx="229">
                  <c:v>28758.9</c:v>
                </c:pt>
                <c:pt idx="230">
                  <c:v>28733.05</c:v>
                </c:pt>
                <c:pt idx="231">
                  <c:v>28536.85</c:v>
                </c:pt>
                <c:pt idx="232">
                  <c:v>28606.799999999999</c:v>
                </c:pt>
                <c:pt idx="233">
                  <c:v>28302.6</c:v>
                </c:pt>
                <c:pt idx="234">
                  <c:v>27670.25</c:v>
                </c:pt>
                <c:pt idx="235">
                  <c:v>28020.5</c:v>
                </c:pt>
                <c:pt idx="236">
                  <c:v>27799.1</c:v>
                </c:pt>
                <c:pt idx="237">
                  <c:v>28003.85</c:v>
                </c:pt>
                <c:pt idx="238">
                  <c:v>27717</c:v>
                </c:pt>
                <c:pt idx="239">
                  <c:v>27026.55</c:v>
                </c:pt>
                <c:pt idx="240">
                  <c:v>26741.75</c:v>
                </c:pt>
                <c:pt idx="241">
                  <c:v>26106.9</c:v>
                </c:pt>
                <c:pt idx="242">
                  <c:v>26067.45</c:v>
                </c:pt>
                <c:pt idx="243">
                  <c:v>25645.4</c:v>
                </c:pt>
                <c:pt idx="244">
                  <c:v>25922.2</c:v>
                </c:pt>
                <c:pt idx="245">
                  <c:v>25997.05</c:v>
                </c:pt>
                <c:pt idx="246">
                  <c:v>25937.05</c:v>
                </c:pt>
                <c:pt idx="247">
                  <c:v>25953.65</c:v>
                </c:pt>
              </c:numCache>
            </c:numRef>
          </c:val>
          <c:smooth val="0"/>
          <c:extLst>
            <c:ext xmlns:c16="http://schemas.microsoft.com/office/drawing/2014/chart" uri="{C3380CC4-5D6E-409C-BE32-E72D297353CC}">
              <c16:uniqueId val="{00000000-2A8C-4C87-ACFC-0C009F0B802C}"/>
            </c:ext>
          </c:extLst>
        </c:ser>
        <c:dLbls>
          <c:showLegendKey val="0"/>
          <c:showVal val="0"/>
          <c:showCatName val="0"/>
          <c:showSerName val="0"/>
          <c:showPercent val="0"/>
          <c:showBubbleSize val="0"/>
        </c:dLbls>
        <c:smooth val="0"/>
        <c:axId val="1203582799"/>
        <c:axId val="1203580399"/>
      </c:lineChart>
      <c:catAx>
        <c:axId val="1203582799"/>
        <c:scaling>
          <c:orientation val="minMax"/>
        </c:scaling>
        <c:delete val="0"/>
        <c:axPos val="b"/>
        <c:numFmt formatCode="m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alpha val="69000"/>
                  </a:schemeClr>
                </a:solidFill>
                <a:latin typeface="+mn-lt"/>
                <a:ea typeface="+mn-ea"/>
                <a:cs typeface="+mn-cs"/>
              </a:defRPr>
            </a:pPr>
            <a:endParaRPr lang="en-US"/>
          </a:p>
        </c:txPr>
        <c:crossAx val="1203580399"/>
        <c:crosses val="autoZero"/>
        <c:auto val="0"/>
        <c:lblAlgn val="ctr"/>
        <c:lblOffset val="100"/>
        <c:noMultiLvlLbl val="0"/>
      </c:catAx>
      <c:valAx>
        <c:axId val="1203580399"/>
        <c:scaling>
          <c:orientation val="minMax"/>
          <c:max val="29500"/>
          <c:min val="215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alpha val="69000"/>
                  </a:schemeClr>
                </a:solidFill>
                <a:latin typeface="+mn-lt"/>
                <a:ea typeface="+mn-ea"/>
                <a:cs typeface="+mn-cs"/>
              </a:defRPr>
            </a:pPr>
            <a:endParaRPr lang="en-US"/>
          </a:p>
        </c:txPr>
        <c:crossAx val="12035827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Region</a:t>
            </a:r>
            <a:r>
              <a:rPr lang="en-IN" b="1" baseline="0">
                <a:solidFill>
                  <a:srgbClr val="FF0000"/>
                </a:solidFill>
              </a:rPr>
              <a:t> Wise Revenue Break-up</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solidFill>
              <a:schemeClr val="bg1">
                <a:lumMod val="65000"/>
              </a:schemeClr>
            </a:solidFill>
          </c:spPr>
          <c:dPt>
            <c:idx val="0"/>
            <c:bubble3D val="0"/>
            <c:spPr>
              <a:solidFill>
                <a:schemeClr val="bg1">
                  <a:lumMod val="65000"/>
                </a:schemeClr>
              </a:solidFill>
              <a:ln w="19050">
                <a:solidFill>
                  <a:schemeClr val="bg1">
                    <a:lumMod val="65000"/>
                  </a:schemeClr>
                </a:solidFill>
              </a:ln>
              <a:effectLst/>
            </c:spPr>
            <c:extLst>
              <c:ext xmlns:c16="http://schemas.microsoft.com/office/drawing/2014/chart" uri="{C3380CC4-5D6E-409C-BE32-E72D297353CC}">
                <c16:uniqueId val="{00000002-5F70-4669-9CCE-261442A43D74}"/>
              </c:ext>
            </c:extLst>
          </c:dPt>
          <c:dPt>
            <c:idx val="1"/>
            <c:bubble3D val="0"/>
            <c:spPr>
              <a:solidFill>
                <a:srgbClr val="FF0000"/>
              </a:solidFill>
              <a:ln w="19050">
                <a:solidFill>
                  <a:srgbClr val="FF0000"/>
                </a:solidFill>
              </a:ln>
              <a:effectLst/>
            </c:spPr>
            <c:extLst>
              <c:ext xmlns:c16="http://schemas.microsoft.com/office/drawing/2014/chart" uri="{C3380CC4-5D6E-409C-BE32-E72D297353CC}">
                <c16:uniqueId val="{00000001-5F70-4669-9CCE-261442A43D74}"/>
              </c:ext>
            </c:extLst>
          </c:dPt>
          <c:dLbls>
            <c:dLbl>
              <c:idx val="0"/>
              <c:layout>
                <c:manualLayout>
                  <c:x val="4.7735892388451447E-2"/>
                  <c:y val="1.877661125692621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0-4669-9CCE-261442A43D74}"/>
                </c:ext>
              </c:extLst>
            </c:dLbl>
            <c:dLbl>
              <c:idx val="1"/>
              <c:layout>
                <c:manualLayout>
                  <c:x val="-0.15789676290463692"/>
                  <c:y val="-6.72936716243803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0-4669-9CCE-261442A43D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'Company Information'!$H$31:$H$32</c:f>
              <c:strCache>
                <c:ptCount val="2"/>
                <c:pt idx="0">
                  <c:v>India</c:v>
                </c:pt>
                <c:pt idx="1">
                  <c:v>Rest of the World</c:v>
                </c:pt>
              </c:strCache>
            </c:strRef>
          </c:cat>
          <c:val>
            <c:numRef>
              <c:f>'Company Information'!$I$31:$I$32</c:f>
              <c:numCache>
                <c:formatCode>0.00%</c:formatCode>
                <c:ptCount val="2"/>
                <c:pt idx="0">
                  <c:v>6.6000000000000003E-2</c:v>
                </c:pt>
                <c:pt idx="1">
                  <c:v>0.93400000000000005</c:v>
                </c:pt>
              </c:numCache>
            </c:numRef>
          </c:val>
          <c:extLst>
            <c:ext xmlns:c16="http://schemas.microsoft.com/office/drawing/2014/chart" uri="{C3380CC4-5D6E-409C-BE32-E72D297353CC}">
              <c16:uniqueId val="{00000000-5F70-4669-9CCE-261442A43D74}"/>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5-C7D2-4297-8998-6C9B49CAFEC7}"/>
              </c:ext>
            </c:extLst>
          </c:dPt>
          <c:cat>
            <c:strRef>
              <c:f>'Company Information'!$H$31:$H$32</c:f>
              <c:strCache>
                <c:ptCount val="2"/>
                <c:pt idx="0">
                  <c:v>India</c:v>
                </c:pt>
                <c:pt idx="1">
                  <c:v>Rest of the World</c:v>
                </c:pt>
              </c:strCache>
            </c:strRef>
          </c:cat>
          <c:val>
            <c:numRef>
              <c:f>'3 Statment Model'!$E$8</c:f>
              <c:numCache>
                <c:formatCode>"FY"0</c:formatCode>
                <c:ptCount val="1"/>
                <c:pt idx="0">
                  <c:v>2017</c:v>
                </c:pt>
              </c:numCache>
            </c:numRef>
          </c:val>
          <c:extLst>
            <c:ext xmlns:c16="http://schemas.microsoft.com/office/drawing/2014/chart" uri="{C3380CC4-5D6E-409C-BE32-E72D297353CC}">
              <c16:uniqueId val="{00000003-5F70-4669-9CCE-261442A43D74}"/>
            </c:ext>
          </c:extLst>
        </c:ser>
        <c:ser>
          <c:idx val="2"/>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7-C7D2-4297-8998-6C9B49CAFEC7}"/>
              </c:ext>
            </c:extLst>
          </c:dPt>
          <c:cat>
            <c:strRef>
              <c:f>'Company Information'!$H$31:$H$32</c:f>
              <c:strCache>
                <c:ptCount val="2"/>
                <c:pt idx="0">
                  <c:v>India</c:v>
                </c:pt>
                <c:pt idx="1">
                  <c:v>Rest of the World</c:v>
                </c:pt>
              </c:strCache>
            </c:strRef>
          </c:cat>
          <c:val>
            <c:numRef>
              <c:f>'3 Statment Model'!$F$8</c:f>
              <c:numCache>
                <c:formatCode>"FY"0</c:formatCode>
                <c:ptCount val="1"/>
                <c:pt idx="0">
                  <c:v>2018</c:v>
                </c:pt>
              </c:numCache>
            </c:numRef>
          </c:val>
          <c:extLst>
            <c:ext xmlns:c16="http://schemas.microsoft.com/office/drawing/2014/chart" uri="{C3380CC4-5D6E-409C-BE32-E72D297353CC}">
              <c16:uniqueId val="{00000004-5F70-4669-9CCE-261442A43D74}"/>
            </c:ext>
          </c:extLst>
        </c:ser>
        <c:ser>
          <c:idx val="3"/>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9-C7D2-4297-8998-6C9B49CAFEC7}"/>
              </c:ext>
            </c:extLst>
          </c:dPt>
          <c:cat>
            <c:strRef>
              <c:f>'Company Information'!$H$31:$H$32</c:f>
              <c:strCache>
                <c:ptCount val="2"/>
                <c:pt idx="0">
                  <c:v>India</c:v>
                </c:pt>
                <c:pt idx="1">
                  <c:v>Rest of the World</c:v>
                </c:pt>
              </c:strCache>
            </c:strRef>
          </c:cat>
          <c:val>
            <c:numRef>
              <c:f>'3 Statment Model'!$G$8</c:f>
              <c:numCache>
                <c:formatCode>"FY"0</c:formatCode>
                <c:ptCount val="1"/>
                <c:pt idx="0">
                  <c:v>2019</c:v>
                </c:pt>
              </c:numCache>
            </c:numRef>
          </c:val>
          <c:extLst>
            <c:ext xmlns:c16="http://schemas.microsoft.com/office/drawing/2014/chart" uri="{C3380CC4-5D6E-409C-BE32-E72D297353CC}">
              <c16:uniqueId val="{00000005-5F70-4669-9CCE-261442A43D74}"/>
            </c:ext>
          </c:extLst>
        </c:ser>
        <c:ser>
          <c:idx val="4"/>
          <c:order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B-C7D2-4297-8998-6C9B49CAFEC7}"/>
              </c:ext>
            </c:extLst>
          </c:dPt>
          <c:cat>
            <c:strRef>
              <c:f>'Company Information'!$H$31:$H$32</c:f>
              <c:strCache>
                <c:ptCount val="2"/>
                <c:pt idx="0">
                  <c:v>India</c:v>
                </c:pt>
                <c:pt idx="1">
                  <c:v>Rest of the World</c:v>
                </c:pt>
              </c:strCache>
            </c:strRef>
          </c:cat>
          <c:val>
            <c:numRef>
              <c:f>'3 Statment Model'!$H$8</c:f>
              <c:numCache>
                <c:formatCode>"FY"0</c:formatCode>
                <c:ptCount val="1"/>
                <c:pt idx="0">
                  <c:v>2020</c:v>
                </c:pt>
              </c:numCache>
            </c:numRef>
          </c:val>
          <c:extLst>
            <c:ext xmlns:c16="http://schemas.microsoft.com/office/drawing/2014/chart" uri="{C3380CC4-5D6E-409C-BE32-E72D297353CC}">
              <c16:uniqueId val="{00000006-5F70-4669-9CCE-261442A43D74}"/>
            </c:ext>
          </c:extLst>
        </c:ser>
        <c:ser>
          <c:idx val="5"/>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D-C7D2-4297-8998-6C9B49CAFEC7}"/>
              </c:ext>
            </c:extLst>
          </c:dPt>
          <c:cat>
            <c:strRef>
              <c:f>'Company Information'!$H$31:$H$32</c:f>
              <c:strCache>
                <c:ptCount val="2"/>
                <c:pt idx="0">
                  <c:v>India</c:v>
                </c:pt>
                <c:pt idx="1">
                  <c:v>Rest of the World</c:v>
                </c:pt>
              </c:strCache>
            </c:strRef>
          </c:cat>
          <c:val>
            <c:numRef>
              <c:f>'3 Statment Model'!$I$8</c:f>
              <c:numCache>
                <c:formatCode>"FY"0</c:formatCode>
                <c:ptCount val="1"/>
                <c:pt idx="0">
                  <c:v>2021</c:v>
                </c:pt>
              </c:numCache>
            </c:numRef>
          </c:val>
          <c:extLst>
            <c:ext xmlns:c16="http://schemas.microsoft.com/office/drawing/2014/chart" uri="{C3380CC4-5D6E-409C-BE32-E72D297353CC}">
              <c16:uniqueId val="{00000007-5F70-4669-9CCE-261442A43D74}"/>
            </c:ext>
          </c:extLst>
        </c:ser>
        <c:ser>
          <c:idx val="6"/>
          <c:order val="6"/>
          <c:dPt>
            <c:idx val="0"/>
            <c:bubble3D val="0"/>
            <c:spPr>
              <a:solidFill>
                <a:schemeClr val="accent1"/>
              </a:solidFill>
              <a:ln w="19050">
                <a:solidFill>
                  <a:schemeClr val="lt1"/>
                </a:solidFill>
              </a:ln>
              <a:effectLst/>
            </c:spPr>
            <c:extLst>
              <c:ext xmlns:c16="http://schemas.microsoft.com/office/drawing/2014/chart" uri="{C3380CC4-5D6E-409C-BE32-E72D297353CC}">
                <c16:uniqueId val="{0000000F-C7D2-4297-8998-6C9B49CAFEC7}"/>
              </c:ext>
            </c:extLst>
          </c:dPt>
          <c:cat>
            <c:strRef>
              <c:f>'Company Information'!$H$31:$H$32</c:f>
              <c:strCache>
                <c:ptCount val="2"/>
                <c:pt idx="0">
                  <c:v>India</c:v>
                </c:pt>
                <c:pt idx="1">
                  <c:v>Rest of the World</c:v>
                </c:pt>
              </c:strCache>
            </c:strRef>
          </c:cat>
          <c:val>
            <c:numRef>
              <c:f>'3 Statment Model'!$J$8</c:f>
              <c:numCache>
                <c:formatCode>"FY"0</c:formatCode>
                <c:ptCount val="1"/>
                <c:pt idx="0">
                  <c:v>2022</c:v>
                </c:pt>
              </c:numCache>
            </c:numRef>
          </c:val>
          <c:extLst>
            <c:ext xmlns:c16="http://schemas.microsoft.com/office/drawing/2014/chart" uri="{C3380CC4-5D6E-409C-BE32-E72D297353CC}">
              <c16:uniqueId val="{00000008-5F70-4669-9CCE-261442A43D74}"/>
            </c:ext>
          </c:extLst>
        </c:ser>
        <c:ser>
          <c:idx val="7"/>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11-C7D2-4297-8998-6C9B49CAFEC7}"/>
              </c:ext>
            </c:extLst>
          </c:dPt>
          <c:cat>
            <c:strRef>
              <c:f>'Company Information'!$H$31:$H$32</c:f>
              <c:strCache>
                <c:ptCount val="2"/>
                <c:pt idx="0">
                  <c:v>India</c:v>
                </c:pt>
                <c:pt idx="1">
                  <c:v>Rest of the World</c:v>
                </c:pt>
              </c:strCache>
            </c:strRef>
          </c:cat>
          <c:val>
            <c:numRef>
              <c:f>'3 Statment Model'!$K$8</c:f>
              <c:numCache>
                <c:formatCode>"FY"0</c:formatCode>
                <c:ptCount val="1"/>
                <c:pt idx="0">
                  <c:v>2023</c:v>
                </c:pt>
              </c:numCache>
            </c:numRef>
          </c:val>
          <c:extLst>
            <c:ext xmlns:c16="http://schemas.microsoft.com/office/drawing/2014/chart" uri="{C3380CC4-5D6E-409C-BE32-E72D297353CC}">
              <c16:uniqueId val="{00000009-5F70-4669-9CCE-261442A43D74}"/>
            </c:ext>
          </c:extLst>
        </c:ser>
        <c:ser>
          <c:idx val="8"/>
          <c:order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13-C7D2-4297-8998-6C9B49CAFEC7}"/>
              </c:ext>
            </c:extLst>
          </c:dPt>
          <c:cat>
            <c:strRef>
              <c:f>'Company Information'!$H$31:$H$32</c:f>
              <c:strCache>
                <c:ptCount val="2"/>
                <c:pt idx="0">
                  <c:v>India</c:v>
                </c:pt>
                <c:pt idx="1">
                  <c:v>Rest of the World</c:v>
                </c:pt>
              </c:strCache>
            </c:strRef>
          </c:cat>
          <c:val>
            <c:numRef>
              <c:f>'3 Statment Model'!$L$8</c:f>
              <c:numCache>
                <c:formatCode>"FY"0</c:formatCode>
                <c:ptCount val="1"/>
                <c:pt idx="0">
                  <c:v>2024</c:v>
                </c:pt>
              </c:numCache>
            </c:numRef>
          </c:val>
          <c:extLst>
            <c:ext xmlns:c16="http://schemas.microsoft.com/office/drawing/2014/chart" uri="{C3380CC4-5D6E-409C-BE32-E72D297353CC}">
              <c16:uniqueId val="{0000000A-5F70-4669-9CCE-261442A43D74}"/>
            </c:ext>
          </c:extLst>
        </c:ser>
        <c:ser>
          <c:idx val="9"/>
          <c:order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15-C7D2-4297-8998-6C9B49CAFEC7}"/>
              </c:ext>
            </c:extLst>
          </c:dPt>
          <c:cat>
            <c:strRef>
              <c:f>'Company Information'!$H$31:$H$32</c:f>
              <c:strCache>
                <c:ptCount val="2"/>
                <c:pt idx="0">
                  <c:v>India</c:v>
                </c:pt>
                <c:pt idx="1">
                  <c:v>Rest of the World</c:v>
                </c:pt>
              </c:strCache>
            </c:strRef>
          </c:cat>
          <c:val>
            <c:numRef>
              <c:f>'3 Statment Model'!$M$8</c:f>
              <c:numCache>
                <c:formatCode>"FY"0</c:formatCode>
                <c:ptCount val="1"/>
                <c:pt idx="0">
                  <c:v>2025</c:v>
                </c:pt>
              </c:numCache>
            </c:numRef>
          </c:val>
          <c:extLst>
            <c:ext xmlns:c16="http://schemas.microsoft.com/office/drawing/2014/chart" uri="{C3380CC4-5D6E-409C-BE32-E72D297353CC}">
              <c16:uniqueId val="{0000000B-5F70-4669-9CCE-261442A43D74}"/>
            </c:ext>
          </c:extLst>
        </c:ser>
        <c:ser>
          <c:idx val="10"/>
          <c:order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17-C7D2-4297-8998-6C9B49CAFEC7}"/>
              </c:ext>
            </c:extLst>
          </c:dPt>
          <c:cat>
            <c:strRef>
              <c:f>'Company Information'!$H$31:$H$32</c:f>
              <c:strCache>
                <c:ptCount val="2"/>
                <c:pt idx="0">
                  <c:v>India</c:v>
                </c:pt>
                <c:pt idx="1">
                  <c:v>Rest of the World</c:v>
                </c:pt>
              </c:strCache>
            </c:strRef>
          </c:cat>
          <c:val>
            <c:numRef>
              <c:f>'3 Statment Model'!$N$8</c:f>
              <c:numCache>
                <c:formatCode>"FY"0</c:formatCode>
                <c:ptCount val="1"/>
                <c:pt idx="0">
                  <c:v>2026</c:v>
                </c:pt>
              </c:numCache>
            </c:numRef>
          </c:val>
          <c:extLst>
            <c:ext xmlns:c16="http://schemas.microsoft.com/office/drawing/2014/chart" uri="{C3380CC4-5D6E-409C-BE32-E72D297353CC}">
              <c16:uniqueId val="{0000000C-5F70-4669-9CCE-261442A43D74}"/>
            </c:ext>
          </c:extLst>
        </c:ser>
        <c:ser>
          <c:idx val="11"/>
          <c:order val="11"/>
          <c:dPt>
            <c:idx val="0"/>
            <c:bubble3D val="0"/>
            <c:spPr>
              <a:solidFill>
                <a:schemeClr val="accent1"/>
              </a:solidFill>
              <a:ln w="19050">
                <a:solidFill>
                  <a:schemeClr val="lt1"/>
                </a:solidFill>
              </a:ln>
              <a:effectLst/>
            </c:spPr>
            <c:extLst>
              <c:ext xmlns:c16="http://schemas.microsoft.com/office/drawing/2014/chart" uri="{C3380CC4-5D6E-409C-BE32-E72D297353CC}">
                <c16:uniqueId val="{00000019-C7D2-4297-8998-6C9B49CAFEC7}"/>
              </c:ext>
            </c:extLst>
          </c:dPt>
          <c:cat>
            <c:strRef>
              <c:f>'Company Information'!$H$31:$H$32</c:f>
              <c:strCache>
                <c:ptCount val="2"/>
                <c:pt idx="0">
                  <c:v>India</c:v>
                </c:pt>
                <c:pt idx="1">
                  <c:v>Rest of the World</c:v>
                </c:pt>
              </c:strCache>
            </c:strRef>
          </c:cat>
          <c:val>
            <c:numRef>
              <c:f>'3 Statment Model'!$O$8</c:f>
              <c:numCache>
                <c:formatCode>"FY"0</c:formatCode>
                <c:ptCount val="1"/>
                <c:pt idx="0">
                  <c:v>2027</c:v>
                </c:pt>
              </c:numCache>
            </c:numRef>
          </c:val>
          <c:extLst>
            <c:ext xmlns:c16="http://schemas.microsoft.com/office/drawing/2014/chart" uri="{C3380CC4-5D6E-409C-BE32-E72D297353CC}">
              <c16:uniqueId val="{0000000D-5F70-4669-9CCE-261442A43D74}"/>
            </c:ext>
          </c:extLst>
        </c:ser>
        <c:ser>
          <c:idx val="12"/>
          <c:order val="12"/>
          <c:dPt>
            <c:idx val="0"/>
            <c:bubble3D val="0"/>
            <c:spPr>
              <a:solidFill>
                <a:schemeClr val="accent1"/>
              </a:solidFill>
              <a:ln w="19050">
                <a:solidFill>
                  <a:schemeClr val="lt1"/>
                </a:solidFill>
              </a:ln>
              <a:effectLst/>
            </c:spPr>
            <c:extLst>
              <c:ext xmlns:c16="http://schemas.microsoft.com/office/drawing/2014/chart" uri="{C3380CC4-5D6E-409C-BE32-E72D297353CC}">
                <c16:uniqueId val="{0000001B-C7D2-4297-8998-6C9B49CAFEC7}"/>
              </c:ext>
            </c:extLst>
          </c:dPt>
          <c:cat>
            <c:strRef>
              <c:f>'Company Information'!$H$31:$H$32</c:f>
              <c:strCache>
                <c:ptCount val="2"/>
                <c:pt idx="0">
                  <c:v>India</c:v>
                </c:pt>
                <c:pt idx="1">
                  <c:v>Rest of the World</c:v>
                </c:pt>
              </c:strCache>
            </c:strRef>
          </c:cat>
          <c:val>
            <c:numRef>
              <c:f>'3 Statment Model'!$P$8</c:f>
              <c:numCache>
                <c:formatCode>"FY"0</c:formatCode>
                <c:ptCount val="1"/>
                <c:pt idx="0">
                  <c:v>2028</c:v>
                </c:pt>
              </c:numCache>
            </c:numRef>
          </c:val>
          <c:extLst>
            <c:ext xmlns:c16="http://schemas.microsoft.com/office/drawing/2014/chart" uri="{C3380CC4-5D6E-409C-BE32-E72D297353CC}">
              <c16:uniqueId val="{0000000E-5F70-4669-9CCE-261442A43D74}"/>
            </c:ext>
          </c:extLst>
        </c:ser>
        <c:ser>
          <c:idx val="13"/>
          <c:order val="13"/>
          <c:dPt>
            <c:idx val="0"/>
            <c:bubble3D val="0"/>
            <c:spPr>
              <a:solidFill>
                <a:schemeClr val="accent1"/>
              </a:solidFill>
              <a:ln w="19050">
                <a:solidFill>
                  <a:schemeClr val="lt1"/>
                </a:solidFill>
              </a:ln>
              <a:effectLst/>
            </c:spPr>
            <c:extLst>
              <c:ext xmlns:c16="http://schemas.microsoft.com/office/drawing/2014/chart" uri="{C3380CC4-5D6E-409C-BE32-E72D297353CC}">
                <c16:uniqueId val="{0000001D-C7D2-4297-8998-6C9B49CAFEC7}"/>
              </c:ext>
            </c:extLst>
          </c:dPt>
          <c:cat>
            <c:strRef>
              <c:f>'Company Information'!$H$31:$H$32</c:f>
              <c:strCache>
                <c:ptCount val="2"/>
                <c:pt idx="0">
                  <c:v>India</c:v>
                </c:pt>
                <c:pt idx="1">
                  <c:v>Rest of the World</c:v>
                </c:pt>
              </c:strCache>
            </c:strRef>
          </c:cat>
          <c:val>
            <c:numRef>
              <c:f>'3 Statment Model'!$E$8</c:f>
              <c:numCache>
                <c:formatCode>"FY"0</c:formatCode>
                <c:ptCount val="1"/>
                <c:pt idx="0">
                  <c:v>2017</c:v>
                </c:pt>
              </c:numCache>
            </c:numRef>
          </c:val>
          <c:extLst>
            <c:ext xmlns:c16="http://schemas.microsoft.com/office/drawing/2014/chart" uri="{C3380CC4-5D6E-409C-BE32-E72D297353CC}">
              <c16:uniqueId val="{0000000F-5F70-4669-9CCE-261442A43D74}"/>
            </c:ext>
          </c:extLst>
        </c:ser>
        <c:ser>
          <c:idx val="14"/>
          <c:order val="14"/>
          <c:dPt>
            <c:idx val="0"/>
            <c:bubble3D val="0"/>
            <c:spPr>
              <a:solidFill>
                <a:schemeClr val="accent1"/>
              </a:solidFill>
              <a:ln w="19050">
                <a:solidFill>
                  <a:schemeClr val="lt1"/>
                </a:solidFill>
              </a:ln>
              <a:effectLst/>
            </c:spPr>
            <c:extLst>
              <c:ext xmlns:c16="http://schemas.microsoft.com/office/drawing/2014/chart" uri="{C3380CC4-5D6E-409C-BE32-E72D297353CC}">
                <c16:uniqueId val="{0000001F-C7D2-4297-8998-6C9B49CAFEC7}"/>
              </c:ext>
            </c:extLst>
          </c:dPt>
          <c:cat>
            <c:strRef>
              <c:f>'Company Information'!$H$31:$H$32</c:f>
              <c:strCache>
                <c:ptCount val="2"/>
                <c:pt idx="0">
                  <c:v>India</c:v>
                </c:pt>
                <c:pt idx="1">
                  <c:v>Rest of the World</c:v>
                </c:pt>
              </c:strCache>
            </c:strRef>
          </c:cat>
          <c:val>
            <c:numRef>
              <c:f>'3 Statment Model'!$F$8</c:f>
              <c:numCache>
                <c:formatCode>"FY"0</c:formatCode>
                <c:ptCount val="1"/>
                <c:pt idx="0">
                  <c:v>2018</c:v>
                </c:pt>
              </c:numCache>
            </c:numRef>
          </c:val>
          <c:extLst>
            <c:ext xmlns:c16="http://schemas.microsoft.com/office/drawing/2014/chart" uri="{C3380CC4-5D6E-409C-BE32-E72D297353CC}">
              <c16:uniqueId val="{00000010-5F70-4669-9CCE-261442A43D74}"/>
            </c:ext>
          </c:extLst>
        </c:ser>
        <c:ser>
          <c:idx val="15"/>
          <c:order val="15"/>
          <c:dPt>
            <c:idx val="0"/>
            <c:bubble3D val="0"/>
            <c:spPr>
              <a:solidFill>
                <a:schemeClr val="accent1"/>
              </a:solidFill>
              <a:ln w="19050">
                <a:solidFill>
                  <a:schemeClr val="lt1"/>
                </a:solidFill>
              </a:ln>
              <a:effectLst/>
            </c:spPr>
            <c:extLst>
              <c:ext xmlns:c16="http://schemas.microsoft.com/office/drawing/2014/chart" uri="{C3380CC4-5D6E-409C-BE32-E72D297353CC}">
                <c16:uniqueId val="{00000021-C7D2-4297-8998-6C9B49CAFEC7}"/>
              </c:ext>
            </c:extLst>
          </c:dPt>
          <c:cat>
            <c:strRef>
              <c:f>'Company Information'!$H$31:$H$32</c:f>
              <c:strCache>
                <c:ptCount val="2"/>
                <c:pt idx="0">
                  <c:v>India</c:v>
                </c:pt>
                <c:pt idx="1">
                  <c:v>Rest of the World</c:v>
                </c:pt>
              </c:strCache>
            </c:strRef>
          </c:cat>
          <c:val>
            <c:numRef>
              <c:f>'3 Statment Model'!$G$8</c:f>
              <c:numCache>
                <c:formatCode>"FY"0</c:formatCode>
                <c:ptCount val="1"/>
                <c:pt idx="0">
                  <c:v>2019</c:v>
                </c:pt>
              </c:numCache>
            </c:numRef>
          </c:val>
          <c:extLst>
            <c:ext xmlns:c16="http://schemas.microsoft.com/office/drawing/2014/chart" uri="{C3380CC4-5D6E-409C-BE32-E72D297353CC}">
              <c16:uniqueId val="{00000011-5F70-4669-9CCE-261442A43D74}"/>
            </c:ext>
          </c:extLst>
        </c:ser>
        <c:ser>
          <c:idx val="16"/>
          <c:order val="16"/>
          <c:dPt>
            <c:idx val="0"/>
            <c:bubble3D val="0"/>
            <c:spPr>
              <a:solidFill>
                <a:schemeClr val="accent1"/>
              </a:solidFill>
              <a:ln w="19050">
                <a:solidFill>
                  <a:schemeClr val="lt1"/>
                </a:solidFill>
              </a:ln>
              <a:effectLst/>
            </c:spPr>
            <c:extLst>
              <c:ext xmlns:c16="http://schemas.microsoft.com/office/drawing/2014/chart" uri="{C3380CC4-5D6E-409C-BE32-E72D297353CC}">
                <c16:uniqueId val="{00000023-C7D2-4297-8998-6C9B49CAFEC7}"/>
              </c:ext>
            </c:extLst>
          </c:dPt>
          <c:cat>
            <c:strRef>
              <c:f>'Company Information'!$H$31:$H$32</c:f>
              <c:strCache>
                <c:ptCount val="2"/>
                <c:pt idx="0">
                  <c:v>India</c:v>
                </c:pt>
                <c:pt idx="1">
                  <c:v>Rest of the World</c:v>
                </c:pt>
              </c:strCache>
            </c:strRef>
          </c:cat>
          <c:val>
            <c:numRef>
              <c:f>'3 Statment Model'!$H$8</c:f>
              <c:numCache>
                <c:formatCode>"FY"0</c:formatCode>
                <c:ptCount val="1"/>
                <c:pt idx="0">
                  <c:v>2020</c:v>
                </c:pt>
              </c:numCache>
            </c:numRef>
          </c:val>
          <c:extLst>
            <c:ext xmlns:c16="http://schemas.microsoft.com/office/drawing/2014/chart" uri="{C3380CC4-5D6E-409C-BE32-E72D297353CC}">
              <c16:uniqueId val="{00000012-5F70-4669-9CCE-261442A43D74}"/>
            </c:ext>
          </c:extLst>
        </c:ser>
        <c:ser>
          <c:idx val="17"/>
          <c:order val="17"/>
          <c:dPt>
            <c:idx val="0"/>
            <c:bubble3D val="0"/>
            <c:spPr>
              <a:solidFill>
                <a:schemeClr val="accent1"/>
              </a:solidFill>
              <a:ln w="19050">
                <a:solidFill>
                  <a:schemeClr val="lt1"/>
                </a:solidFill>
              </a:ln>
              <a:effectLst/>
            </c:spPr>
            <c:extLst>
              <c:ext xmlns:c16="http://schemas.microsoft.com/office/drawing/2014/chart" uri="{C3380CC4-5D6E-409C-BE32-E72D297353CC}">
                <c16:uniqueId val="{00000025-C7D2-4297-8998-6C9B49CAFEC7}"/>
              </c:ext>
            </c:extLst>
          </c:dPt>
          <c:cat>
            <c:strRef>
              <c:f>'Company Information'!$H$31:$H$32</c:f>
              <c:strCache>
                <c:ptCount val="2"/>
                <c:pt idx="0">
                  <c:v>India</c:v>
                </c:pt>
                <c:pt idx="1">
                  <c:v>Rest of the World</c:v>
                </c:pt>
              </c:strCache>
            </c:strRef>
          </c:cat>
          <c:val>
            <c:numRef>
              <c:f>'3 Statment Model'!$I$8</c:f>
              <c:numCache>
                <c:formatCode>"FY"0</c:formatCode>
                <c:ptCount val="1"/>
                <c:pt idx="0">
                  <c:v>2021</c:v>
                </c:pt>
              </c:numCache>
            </c:numRef>
          </c:val>
          <c:extLst>
            <c:ext xmlns:c16="http://schemas.microsoft.com/office/drawing/2014/chart" uri="{C3380CC4-5D6E-409C-BE32-E72D297353CC}">
              <c16:uniqueId val="{00000013-5F70-4669-9CCE-261442A43D74}"/>
            </c:ext>
          </c:extLst>
        </c:ser>
        <c:ser>
          <c:idx val="18"/>
          <c:order val="18"/>
          <c:dPt>
            <c:idx val="0"/>
            <c:bubble3D val="0"/>
            <c:spPr>
              <a:solidFill>
                <a:schemeClr val="accent1"/>
              </a:solidFill>
              <a:ln w="19050">
                <a:solidFill>
                  <a:schemeClr val="lt1"/>
                </a:solidFill>
              </a:ln>
              <a:effectLst/>
            </c:spPr>
            <c:extLst>
              <c:ext xmlns:c16="http://schemas.microsoft.com/office/drawing/2014/chart" uri="{C3380CC4-5D6E-409C-BE32-E72D297353CC}">
                <c16:uniqueId val="{00000027-C7D2-4297-8998-6C9B49CAFEC7}"/>
              </c:ext>
            </c:extLst>
          </c:dPt>
          <c:cat>
            <c:strRef>
              <c:f>'Company Information'!$H$31:$H$32</c:f>
              <c:strCache>
                <c:ptCount val="2"/>
                <c:pt idx="0">
                  <c:v>India</c:v>
                </c:pt>
                <c:pt idx="1">
                  <c:v>Rest of the World</c:v>
                </c:pt>
              </c:strCache>
            </c:strRef>
          </c:cat>
          <c:val>
            <c:numRef>
              <c:f>'3 Statment Model'!$J$8</c:f>
              <c:numCache>
                <c:formatCode>"FY"0</c:formatCode>
                <c:ptCount val="1"/>
                <c:pt idx="0">
                  <c:v>2022</c:v>
                </c:pt>
              </c:numCache>
            </c:numRef>
          </c:val>
          <c:extLst>
            <c:ext xmlns:c16="http://schemas.microsoft.com/office/drawing/2014/chart" uri="{C3380CC4-5D6E-409C-BE32-E72D297353CC}">
              <c16:uniqueId val="{00000014-5F70-4669-9CCE-261442A43D74}"/>
            </c:ext>
          </c:extLst>
        </c:ser>
        <c:ser>
          <c:idx val="19"/>
          <c:order val="19"/>
          <c:dPt>
            <c:idx val="0"/>
            <c:bubble3D val="0"/>
            <c:spPr>
              <a:solidFill>
                <a:schemeClr val="accent1"/>
              </a:solidFill>
              <a:ln w="19050">
                <a:solidFill>
                  <a:schemeClr val="lt1"/>
                </a:solidFill>
              </a:ln>
              <a:effectLst/>
            </c:spPr>
            <c:extLst>
              <c:ext xmlns:c16="http://schemas.microsoft.com/office/drawing/2014/chart" uri="{C3380CC4-5D6E-409C-BE32-E72D297353CC}">
                <c16:uniqueId val="{00000029-C7D2-4297-8998-6C9B49CAFEC7}"/>
              </c:ext>
            </c:extLst>
          </c:dPt>
          <c:cat>
            <c:strRef>
              <c:f>'Company Information'!$H$31:$H$32</c:f>
              <c:strCache>
                <c:ptCount val="2"/>
                <c:pt idx="0">
                  <c:v>India</c:v>
                </c:pt>
                <c:pt idx="1">
                  <c:v>Rest of the World</c:v>
                </c:pt>
              </c:strCache>
            </c:strRef>
          </c:cat>
          <c:val>
            <c:numRef>
              <c:f>'3 Statment Model'!$K$8</c:f>
              <c:numCache>
                <c:formatCode>"FY"0</c:formatCode>
                <c:ptCount val="1"/>
                <c:pt idx="0">
                  <c:v>2023</c:v>
                </c:pt>
              </c:numCache>
            </c:numRef>
          </c:val>
          <c:extLst>
            <c:ext xmlns:c16="http://schemas.microsoft.com/office/drawing/2014/chart" uri="{C3380CC4-5D6E-409C-BE32-E72D297353CC}">
              <c16:uniqueId val="{00000015-5F70-4669-9CCE-261442A43D74}"/>
            </c:ext>
          </c:extLst>
        </c:ser>
        <c:ser>
          <c:idx val="20"/>
          <c:order val="20"/>
          <c:dPt>
            <c:idx val="0"/>
            <c:bubble3D val="0"/>
            <c:spPr>
              <a:solidFill>
                <a:schemeClr val="accent1"/>
              </a:solidFill>
              <a:ln w="19050">
                <a:solidFill>
                  <a:schemeClr val="lt1"/>
                </a:solidFill>
              </a:ln>
              <a:effectLst/>
            </c:spPr>
            <c:extLst>
              <c:ext xmlns:c16="http://schemas.microsoft.com/office/drawing/2014/chart" uri="{C3380CC4-5D6E-409C-BE32-E72D297353CC}">
                <c16:uniqueId val="{0000002B-C7D2-4297-8998-6C9B49CAFEC7}"/>
              </c:ext>
            </c:extLst>
          </c:dPt>
          <c:cat>
            <c:strRef>
              <c:f>'Company Information'!$H$31:$H$32</c:f>
              <c:strCache>
                <c:ptCount val="2"/>
                <c:pt idx="0">
                  <c:v>India</c:v>
                </c:pt>
                <c:pt idx="1">
                  <c:v>Rest of the World</c:v>
                </c:pt>
              </c:strCache>
            </c:strRef>
          </c:cat>
          <c:val>
            <c:numRef>
              <c:f>'3 Statment Model'!$L$8</c:f>
              <c:numCache>
                <c:formatCode>"FY"0</c:formatCode>
                <c:ptCount val="1"/>
                <c:pt idx="0">
                  <c:v>2024</c:v>
                </c:pt>
              </c:numCache>
            </c:numRef>
          </c:val>
          <c:extLst>
            <c:ext xmlns:c16="http://schemas.microsoft.com/office/drawing/2014/chart" uri="{C3380CC4-5D6E-409C-BE32-E72D297353CC}">
              <c16:uniqueId val="{00000016-5F70-4669-9CCE-261442A43D74}"/>
            </c:ext>
          </c:extLst>
        </c:ser>
        <c:ser>
          <c:idx val="21"/>
          <c:order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2D-C7D2-4297-8998-6C9B49CAFEC7}"/>
              </c:ext>
            </c:extLst>
          </c:dPt>
          <c:cat>
            <c:strRef>
              <c:f>'Company Information'!$H$31:$H$32</c:f>
              <c:strCache>
                <c:ptCount val="2"/>
                <c:pt idx="0">
                  <c:v>India</c:v>
                </c:pt>
                <c:pt idx="1">
                  <c:v>Rest of the World</c:v>
                </c:pt>
              </c:strCache>
            </c:strRef>
          </c:cat>
          <c:val>
            <c:numRef>
              <c:f>'3 Statment Model'!$M$8</c:f>
              <c:numCache>
                <c:formatCode>"FY"0</c:formatCode>
                <c:ptCount val="1"/>
                <c:pt idx="0">
                  <c:v>2025</c:v>
                </c:pt>
              </c:numCache>
            </c:numRef>
          </c:val>
          <c:extLst>
            <c:ext xmlns:c16="http://schemas.microsoft.com/office/drawing/2014/chart" uri="{C3380CC4-5D6E-409C-BE32-E72D297353CC}">
              <c16:uniqueId val="{00000017-5F70-4669-9CCE-261442A43D74}"/>
            </c:ext>
          </c:extLst>
        </c:ser>
        <c:ser>
          <c:idx val="22"/>
          <c:order val="22"/>
          <c:dPt>
            <c:idx val="0"/>
            <c:bubble3D val="0"/>
            <c:spPr>
              <a:solidFill>
                <a:schemeClr val="accent1"/>
              </a:solidFill>
              <a:ln w="19050">
                <a:solidFill>
                  <a:schemeClr val="lt1"/>
                </a:solidFill>
              </a:ln>
              <a:effectLst/>
            </c:spPr>
            <c:extLst>
              <c:ext xmlns:c16="http://schemas.microsoft.com/office/drawing/2014/chart" uri="{C3380CC4-5D6E-409C-BE32-E72D297353CC}">
                <c16:uniqueId val="{0000002F-C7D2-4297-8998-6C9B49CAFEC7}"/>
              </c:ext>
            </c:extLst>
          </c:dPt>
          <c:cat>
            <c:strRef>
              <c:f>'Company Information'!$H$31:$H$32</c:f>
              <c:strCache>
                <c:ptCount val="2"/>
                <c:pt idx="0">
                  <c:v>India</c:v>
                </c:pt>
                <c:pt idx="1">
                  <c:v>Rest of the World</c:v>
                </c:pt>
              </c:strCache>
            </c:strRef>
          </c:cat>
          <c:val>
            <c:numRef>
              <c:f>'3 Statment Model'!$N$8</c:f>
              <c:numCache>
                <c:formatCode>"FY"0</c:formatCode>
                <c:ptCount val="1"/>
                <c:pt idx="0">
                  <c:v>2026</c:v>
                </c:pt>
              </c:numCache>
            </c:numRef>
          </c:val>
          <c:extLst>
            <c:ext xmlns:c16="http://schemas.microsoft.com/office/drawing/2014/chart" uri="{C3380CC4-5D6E-409C-BE32-E72D297353CC}">
              <c16:uniqueId val="{00000018-5F70-4669-9CCE-261442A43D74}"/>
            </c:ext>
          </c:extLst>
        </c:ser>
        <c:ser>
          <c:idx val="23"/>
          <c:order val="23"/>
          <c:dPt>
            <c:idx val="0"/>
            <c:bubble3D val="0"/>
            <c:spPr>
              <a:solidFill>
                <a:schemeClr val="accent1"/>
              </a:solidFill>
              <a:ln w="19050">
                <a:solidFill>
                  <a:schemeClr val="lt1"/>
                </a:solidFill>
              </a:ln>
              <a:effectLst/>
            </c:spPr>
            <c:extLst>
              <c:ext xmlns:c16="http://schemas.microsoft.com/office/drawing/2014/chart" uri="{C3380CC4-5D6E-409C-BE32-E72D297353CC}">
                <c16:uniqueId val="{00000031-C7D2-4297-8998-6C9B49CAFEC7}"/>
              </c:ext>
            </c:extLst>
          </c:dPt>
          <c:cat>
            <c:strRef>
              <c:f>'Company Information'!$H$31:$H$32</c:f>
              <c:strCache>
                <c:ptCount val="2"/>
                <c:pt idx="0">
                  <c:v>India</c:v>
                </c:pt>
                <c:pt idx="1">
                  <c:v>Rest of the World</c:v>
                </c:pt>
              </c:strCache>
            </c:strRef>
          </c:cat>
          <c:val>
            <c:numRef>
              <c:f>'3 Statment Model'!$O$8</c:f>
              <c:numCache>
                <c:formatCode>"FY"0</c:formatCode>
                <c:ptCount val="1"/>
                <c:pt idx="0">
                  <c:v>2027</c:v>
                </c:pt>
              </c:numCache>
            </c:numRef>
          </c:val>
          <c:extLst>
            <c:ext xmlns:c16="http://schemas.microsoft.com/office/drawing/2014/chart" uri="{C3380CC4-5D6E-409C-BE32-E72D297353CC}">
              <c16:uniqueId val="{00000019-5F70-4669-9CCE-261442A43D74}"/>
            </c:ext>
          </c:extLst>
        </c:ser>
        <c:ser>
          <c:idx val="24"/>
          <c:order val="24"/>
          <c:dPt>
            <c:idx val="0"/>
            <c:bubble3D val="0"/>
            <c:spPr>
              <a:solidFill>
                <a:schemeClr val="accent1"/>
              </a:solidFill>
              <a:ln w="19050">
                <a:solidFill>
                  <a:schemeClr val="lt1"/>
                </a:solidFill>
              </a:ln>
              <a:effectLst/>
            </c:spPr>
            <c:extLst>
              <c:ext xmlns:c16="http://schemas.microsoft.com/office/drawing/2014/chart" uri="{C3380CC4-5D6E-409C-BE32-E72D297353CC}">
                <c16:uniqueId val="{00000033-C7D2-4297-8998-6C9B49CAFEC7}"/>
              </c:ext>
            </c:extLst>
          </c:dPt>
          <c:cat>
            <c:strRef>
              <c:f>'Company Information'!$H$31:$H$32</c:f>
              <c:strCache>
                <c:ptCount val="2"/>
                <c:pt idx="0">
                  <c:v>India</c:v>
                </c:pt>
                <c:pt idx="1">
                  <c:v>Rest of the World</c:v>
                </c:pt>
              </c:strCache>
            </c:strRef>
          </c:cat>
          <c:val>
            <c:numRef>
              <c:f>'3 Statment Model'!$P$8</c:f>
              <c:numCache>
                <c:formatCode>"FY"0</c:formatCode>
                <c:ptCount val="1"/>
                <c:pt idx="0">
                  <c:v>2028</c:v>
                </c:pt>
              </c:numCache>
            </c:numRef>
          </c:val>
          <c:extLst>
            <c:ext xmlns:c16="http://schemas.microsoft.com/office/drawing/2014/chart" uri="{C3380CC4-5D6E-409C-BE32-E72D297353CC}">
              <c16:uniqueId val="{0000001A-5F70-4669-9CCE-261442A43D74}"/>
            </c:ext>
          </c:extLst>
        </c:ser>
        <c:ser>
          <c:idx val="25"/>
          <c:order val="25"/>
          <c:dPt>
            <c:idx val="0"/>
            <c:bubble3D val="0"/>
            <c:spPr>
              <a:solidFill>
                <a:schemeClr val="accent1"/>
              </a:solidFill>
              <a:ln w="19050">
                <a:solidFill>
                  <a:schemeClr val="lt1"/>
                </a:solidFill>
              </a:ln>
              <a:effectLst/>
            </c:spPr>
            <c:extLst>
              <c:ext xmlns:c16="http://schemas.microsoft.com/office/drawing/2014/chart" uri="{C3380CC4-5D6E-409C-BE32-E72D297353CC}">
                <c16:uniqueId val="{00000035-C7D2-4297-8998-6C9B49CAFEC7}"/>
              </c:ext>
            </c:extLst>
          </c:dPt>
          <c:cat>
            <c:strRef>
              <c:f>'Company Information'!$H$31:$H$32</c:f>
              <c:strCache>
                <c:ptCount val="2"/>
                <c:pt idx="0">
                  <c:v>India</c:v>
                </c:pt>
                <c:pt idx="1">
                  <c:v>Rest of the World</c:v>
                </c:pt>
              </c:strCache>
            </c:strRef>
          </c:cat>
          <c:val>
            <c:numRef>
              <c:f>'3 Statment Model'!$E$8</c:f>
              <c:numCache>
                <c:formatCode>"FY"0</c:formatCode>
                <c:ptCount val="1"/>
                <c:pt idx="0">
                  <c:v>2017</c:v>
                </c:pt>
              </c:numCache>
            </c:numRef>
          </c:val>
          <c:extLst>
            <c:ext xmlns:c16="http://schemas.microsoft.com/office/drawing/2014/chart" uri="{C3380CC4-5D6E-409C-BE32-E72D297353CC}">
              <c16:uniqueId val="{0000001B-5F70-4669-9CCE-261442A43D74}"/>
            </c:ext>
          </c:extLst>
        </c:ser>
        <c:ser>
          <c:idx val="26"/>
          <c:order val="26"/>
          <c:dPt>
            <c:idx val="0"/>
            <c:bubble3D val="0"/>
            <c:spPr>
              <a:solidFill>
                <a:schemeClr val="accent1"/>
              </a:solidFill>
              <a:ln w="19050">
                <a:solidFill>
                  <a:schemeClr val="lt1"/>
                </a:solidFill>
              </a:ln>
              <a:effectLst/>
            </c:spPr>
            <c:extLst>
              <c:ext xmlns:c16="http://schemas.microsoft.com/office/drawing/2014/chart" uri="{C3380CC4-5D6E-409C-BE32-E72D297353CC}">
                <c16:uniqueId val="{00000037-C7D2-4297-8998-6C9B49CAFEC7}"/>
              </c:ext>
            </c:extLst>
          </c:dPt>
          <c:cat>
            <c:strRef>
              <c:f>'Company Information'!$H$31:$H$32</c:f>
              <c:strCache>
                <c:ptCount val="2"/>
                <c:pt idx="0">
                  <c:v>India</c:v>
                </c:pt>
                <c:pt idx="1">
                  <c:v>Rest of the World</c:v>
                </c:pt>
              </c:strCache>
            </c:strRef>
          </c:cat>
          <c:val>
            <c:numRef>
              <c:f>'3 Statment Model'!$F$8</c:f>
              <c:numCache>
                <c:formatCode>"FY"0</c:formatCode>
                <c:ptCount val="1"/>
                <c:pt idx="0">
                  <c:v>2018</c:v>
                </c:pt>
              </c:numCache>
            </c:numRef>
          </c:val>
          <c:extLst>
            <c:ext xmlns:c16="http://schemas.microsoft.com/office/drawing/2014/chart" uri="{C3380CC4-5D6E-409C-BE32-E72D297353CC}">
              <c16:uniqueId val="{0000001C-5F70-4669-9CCE-261442A43D74}"/>
            </c:ext>
          </c:extLst>
        </c:ser>
        <c:ser>
          <c:idx val="27"/>
          <c:order val="27"/>
          <c:dPt>
            <c:idx val="0"/>
            <c:bubble3D val="0"/>
            <c:spPr>
              <a:solidFill>
                <a:schemeClr val="accent1"/>
              </a:solidFill>
              <a:ln w="19050">
                <a:solidFill>
                  <a:schemeClr val="lt1"/>
                </a:solidFill>
              </a:ln>
              <a:effectLst/>
            </c:spPr>
            <c:extLst>
              <c:ext xmlns:c16="http://schemas.microsoft.com/office/drawing/2014/chart" uri="{C3380CC4-5D6E-409C-BE32-E72D297353CC}">
                <c16:uniqueId val="{00000039-C7D2-4297-8998-6C9B49CAFEC7}"/>
              </c:ext>
            </c:extLst>
          </c:dPt>
          <c:cat>
            <c:strRef>
              <c:f>'Company Information'!$H$31:$H$32</c:f>
              <c:strCache>
                <c:ptCount val="2"/>
                <c:pt idx="0">
                  <c:v>India</c:v>
                </c:pt>
                <c:pt idx="1">
                  <c:v>Rest of the World</c:v>
                </c:pt>
              </c:strCache>
            </c:strRef>
          </c:cat>
          <c:val>
            <c:numRef>
              <c:f>'3 Statment Model'!$G$8</c:f>
              <c:numCache>
                <c:formatCode>"FY"0</c:formatCode>
                <c:ptCount val="1"/>
                <c:pt idx="0">
                  <c:v>2019</c:v>
                </c:pt>
              </c:numCache>
            </c:numRef>
          </c:val>
          <c:extLst>
            <c:ext xmlns:c16="http://schemas.microsoft.com/office/drawing/2014/chart" uri="{C3380CC4-5D6E-409C-BE32-E72D297353CC}">
              <c16:uniqueId val="{0000001D-5F70-4669-9CCE-261442A43D74}"/>
            </c:ext>
          </c:extLst>
        </c:ser>
        <c:ser>
          <c:idx val="28"/>
          <c:order val="28"/>
          <c:dPt>
            <c:idx val="0"/>
            <c:bubble3D val="0"/>
            <c:spPr>
              <a:solidFill>
                <a:schemeClr val="accent1"/>
              </a:solidFill>
              <a:ln w="19050">
                <a:solidFill>
                  <a:schemeClr val="lt1"/>
                </a:solidFill>
              </a:ln>
              <a:effectLst/>
            </c:spPr>
            <c:extLst>
              <c:ext xmlns:c16="http://schemas.microsoft.com/office/drawing/2014/chart" uri="{C3380CC4-5D6E-409C-BE32-E72D297353CC}">
                <c16:uniqueId val="{0000003B-C7D2-4297-8998-6C9B49CAFEC7}"/>
              </c:ext>
            </c:extLst>
          </c:dPt>
          <c:cat>
            <c:strRef>
              <c:f>'Company Information'!$H$31:$H$32</c:f>
              <c:strCache>
                <c:ptCount val="2"/>
                <c:pt idx="0">
                  <c:v>India</c:v>
                </c:pt>
                <c:pt idx="1">
                  <c:v>Rest of the World</c:v>
                </c:pt>
              </c:strCache>
            </c:strRef>
          </c:cat>
          <c:val>
            <c:numRef>
              <c:f>'3 Statment Model'!$H$8</c:f>
              <c:numCache>
                <c:formatCode>"FY"0</c:formatCode>
                <c:ptCount val="1"/>
                <c:pt idx="0">
                  <c:v>2020</c:v>
                </c:pt>
              </c:numCache>
            </c:numRef>
          </c:val>
          <c:extLst>
            <c:ext xmlns:c16="http://schemas.microsoft.com/office/drawing/2014/chart" uri="{C3380CC4-5D6E-409C-BE32-E72D297353CC}">
              <c16:uniqueId val="{0000001E-5F70-4669-9CCE-261442A43D74}"/>
            </c:ext>
          </c:extLst>
        </c:ser>
        <c:ser>
          <c:idx val="29"/>
          <c:order val="29"/>
          <c:dPt>
            <c:idx val="0"/>
            <c:bubble3D val="0"/>
            <c:spPr>
              <a:solidFill>
                <a:schemeClr val="accent1"/>
              </a:solidFill>
              <a:ln w="19050">
                <a:solidFill>
                  <a:schemeClr val="lt1"/>
                </a:solidFill>
              </a:ln>
              <a:effectLst/>
            </c:spPr>
            <c:extLst>
              <c:ext xmlns:c16="http://schemas.microsoft.com/office/drawing/2014/chart" uri="{C3380CC4-5D6E-409C-BE32-E72D297353CC}">
                <c16:uniqueId val="{0000003D-C7D2-4297-8998-6C9B49CAFEC7}"/>
              </c:ext>
            </c:extLst>
          </c:dPt>
          <c:cat>
            <c:strRef>
              <c:f>'Company Information'!$H$31:$H$32</c:f>
              <c:strCache>
                <c:ptCount val="2"/>
                <c:pt idx="0">
                  <c:v>India</c:v>
                </c:pt>
                <c:pt idx="1">
                  <c:v>Rest of the World</c:v>
                </c:pt>
              </c:strCache>
            </c:strRef>
          </c:cat>
          <c:val>
            <c:numRef>
              <c:f>'3 Statment Model'!$I$8</c:f>
              <c:numCache>
                <c:formatCode>"FY"0</c:formatCode>
                <c:ptCount val="1"/>
                <c:pt idx="0">
                  <c:v>2021</c:v>
                </c:pt>
              </c:numCache>
            </c:numRef>
          </c:val>
          <c:extLst>
            <c:ext xmlns:c16="http://schemas.microsoft.com/office/drawing/2014/chart" uri="{C3380CC4-5D6E-409C-BE32-E72D297353CC}">
              <c16:uniqueId val="{0000001F-5F70-4669-9CCE-261442A43D74}"/>
            </c:ext>
          </c:extLst>
        </c:ser>
        <c:ser>
          <c:idx val="30"/>
          <c:order val="30"/>
          <c:dPt>
            <c:idx val="0"/>
            <c:bubble3D val="0"/>
            <c:spPr>
              <a:solidFill>
                <a:schemeClr val="accent1"/>
              </a:solidFill>
              <a:ln w="19050">
                <a:solidFill>
                  <a:schemeClr val="lt1"/>
                </a:solidFill>
              </a:ln>
              <a:effectLst/>
            </c:spPr>
            <c:extLst>
              <c:ext xmlns:c16="http://schemas.microsoft.com/office/drawing/2014/chart" uri="{C3380CC4-5D6E-409C-BE32-E72D297353CC}">
                <c16:uniqueId val="{0000003F-C7D2-4297-8998-6C9B49CAFEC7}"/>
              </c:ext>
            </c:extLst>
          </c:dPt>
          <c:cat>
            <c:strRef>
              <c:f>'Company Information'!$H$31:$H$32</c:f>
              <c:strCache>
                <c:ptCount val="2"/>
                <c:pt idx="0">
                  <c:v>India</c:v>
                </c:pt>
                <c:pt idx="1">
                  <c:v>Rest of the World</c:v>
                </c:pt>
              </c:strCache>
            </c:strRef>
          </c:cat>
          <c:val>
            <c:numRef>
              <c:f>'3 Statment Model'!$J$8</c:f>
              <c:numCache>
                <c:formatCode>"FY"0</c:formatCode>
                <c:ptCount val="1"/>
                <c:pt idx="0">
                  <c:v>2022</c:v>
                </c:pt>
              </c:numCache>
            </c:numRef>
          </c:val>
          <c:extLst>
            <c:ext xmlns:c16="http://schemas.microsoft.com/office/drawing/2014/chart" uri="{C3380CC4-5D6E-409C-BE32-E72D297353CC}">
              <c16:uniqueId val="{00000020-5F70-4669-9CCE-261442A43D74}"/>
            </c:ext>
          </c:extLst>
        </c:ser>
        <c:ser>
          <c:idx val="31"/>
          <c:order val="31"/>
          <c:dPt>
            <c:idx val="0"/>
            <c:bubble3D val="0"/>
            <c:spPr>
              <a:solidFill>
                <a:schemeClr val="accent1"/>
              </a:solidFill>
              <a:ln w="19050">
                <a:solidFill>
                  <a:schemeClr val="lt1"/>
                </a:solidFill>
              </a:ln>
              <a:effectLst/>
            </c:spPr>
            <c:extLst>
              <c:ext xmlns:c16="http://schemas.microsoft.com/office/drawing/2014/chart" uri="{C3380CC4-5D6E-409C-BE32-E72D297353CC}">
                <c16:uniqueId val="{00000041-C7D2-4297-8998-6C9B49CAFEC7}"/>
              </c:ext>
            </c:extLst>
          </c:dPt>
          <c:cat>
            <c:strRef>
              <c:f>'Company Information'!$H$31:$H$32</c:f>
              <c:strCache>
                <c:ptCount val="2"/>
                <c:pt idx="0">
                  <c:v>India</c:v>
                </c:pt>
                <c:pt idx="1">
                  <c:v>Rest of the World</c:v>
                </c:pt>
              </c:strCache>
            </c:strRef>
          </c:cat>
          <c:val>
            <c:numRef>
              <c:f>'3 Statment Model'!$K$8</c:f>
              <c:numCache>
                <c:formatCode>"FY"0</c:formatCode>
                <c:ptCount val="1"/>
                <c:pt idx="0">
                  <c:v>2023</c:v>
                </c:pt>
              </c:numCache>
            </c:numRef>
          </c:val>
          <c:extLst>
            <c:ext xmlns:c16="http://schemas.microsoft.com/office/drawing/2014/chart" uri="{C3380CC4-5D6E-409C-BE32-E72D297353CC}">
              <c16:uniqueId val="{00000021-5F70-4669-9CCE-261442A43D74}"/>
            </c:ext>
          </c:extLst>
        </c:ser>
        <c:ser>
          <c:idx val="32"/>
          <c:order val="32"/>
          <c:dPt>
            <c:idx val="0"/>
            <c:bubble3D val="0"/>
            <c:spPr>
              <a:solidFill>
                <a:schemeClr val="accent1"/>
              </a:solidFill>
              <a:ln w="19050">
                <a:solidFill>
                  <a:schemeClr val="lt1"/>
                </a:solidFill>
              </a:ln>
              <a:effectLst/>
            </c:spPr>
            <c:extLst>
              <c:ext xmlns:c16="http://schemas.microsoft.com/office/drawing/2014/chart" uri="{C3380CC4-5D6E-409C-BE32-E72D297353CC}">
                <c16:uniqueId val="{00000043-C7D2-4297-8998-6C9B49CAFEC7}"/>
              </c:ext>
            </c:extLst>
          </c:dPt>
          <c:cat>
            <c:strRef>
              <c:f>'Company Information'!$H$31:$H$32</c:f>
              <c:strCache>
                <c:ptCount val="2"/>
                <c:pt idx="0">
                  <c:v>India</c:v>
                </c:pt>
                <c:pt idx="1">
                  <c:v>Rest of the World</c:v>
                </c:pt>
              </c:strCache>
            </c:strRef>
          </c:cat>
          <c:val>
            <c:numRef>
              <c:f>'3 Statment Model'!$L$8</c:f>
              <c:numCache>
                <c:formatCode>"FY"0</c:formatCode>
                <c:ptCount val="1"/>
                <c:pt idx="0">
                  <c:v>2024</c:v>
                </c:pt>
              </c:numCache>
            </c:numRef>
          </c:val>
          <c:extLst>
            <c:ext xmlns:c16="http://schemas.microsoft.com/office/drawing/2014/chart" uri="{C3380CC4-5D6E-409C-BE32-E72D297353CC}">
              <c16:uniqueId val="{00000022-5F70-4669-9CCE-261442A43D74}"/>
            </c:ext>
          </c:extLst>
        </c:ser>
        <c:ser>
          <c:idx val="33"/>
          <c:order val="33"/>
          <c:dPt>
            <c:idx val="0"/>
            <c:bubble3D val="0"/>
            <c:spPr>
              <a:solidFill>
                <a:schemeClr val="accent1"/>
              </a:solidFill>
              <a:ln w="19050">
                <a:solidFill>
                  <a:schemeClr val="lt1"/>
                </a:solidFill>
              </a:ln>
              <a:effectLst/>
            </c:spPr>
            <c:extLst>
              <c:ext xmlns:c16="http://schemas.microsoft.com/office/drawing/2014/chart" uri="{C3380CC4-5D6E-409C-BE32-E72D297353CC}">
                <c16:uniqueId val="{00000045-C7D2-4297-8998-6C9B49CAFEC7}"/>
              </c:ext>
            </c:extLst>
          </c:dPt>
          <c:cat>
            <c:strRef>
              <c:f>'Company Information'!$H$31:$H$32</c:f>
              <c:strCache>
                <c:ptCount val="2"/>
                <c:pt idx="0">
                  <c:v>India</c:v>
                </c:pt>
                <c:pt idx="1">
                  <c:v>Rest of the World</c:v>
                </c:pt>
              </c:strCache>
            </c:strRef>
          </c:cat>
          <c:val>
            <c:numRef>
              <c:f>'3 Statment Model'!$M$8</c:f>
              <c:numCache>
                <c:formatCode>"FY"0</c:formatCode>
                <c:ptCount val="1"/>
                <c:pt idx="0">
                  <c:v>2025</c:v>
                </c:pt>
              </c:numCache>
            </c:numRef>
          </c:val>
          <c:extLst>
            <c:ext xmlns:c16="http://schemas.microsoft.com/office/drawing/2014/chart" uri="{C3380CC4-5D6E-409C-BE32-E72D297353CC}">
              <c16:uniqueId val="{00000023-5F70-4669-9CCE-261442A43D74}"/>
            </c:ext>
          </c:extLst>
        </c:ser>
        <c:ser>
          <c:idx val="34"/>
          <c:order val="34"/>
          <c:dPt>
            <c:idx val="0"/>
            <c:bubble3D val="0"/>
            <c:spPr>
              <a:solidFill>
                <a:schemeClr val="accent1"/>
              </a:solidFill>
              <a:ln w="19050">
                <a:solidFill>
                  <a:schemeClr val="lt1"/>
                </a:solidFill>
              </a:ln>
              <a:effectLst/>
            </c:spPr>
            <c:extLst>
              <c:ext xmlns:c16="http://schemas.microsoft.com/office/drawing/2014/chart" uri="{C3380CC4-5D6E-409C-BE32-E72D297353CC}">
                <c16:uniqueId val="{00000047-C7D2-4297-8998-6C9B49CAFEC7}"/>
              </c:ext>
            </c:extLst>
          </c:dPt>
          <c:cat>
            <c:strRef>
              <c:f>'Company Information'!$H$31:$H$32</c:f>
              <c:strCache>
                <c:ptCount val="2"/>
                <c:pt idx="0">
                  <c:v>India</c:v>
                </c:pt>
                <c:pt idx="1">
                  <c:v>Rest of the World</c:v>
                </c:pt>
              </c:strCache>
            </c:strRef>
          </c:cat>
          <c:val>
            <c:numRef>
              <c:f>'3 Statment Model'!$N$8</c:f>
              <c:numCache>
                <c:formatCode>"FY"0</c:formatCode>
                <c:ptCount val="1"/>
                <c:pt idx="0">
                  <c:v>2026</c:v>
                </c:pt>
              </c:numCache>
            </c:numRef>
          </c:val>
          <c:extLst>
            <c:ext xmlns:c16="http://schemas.microsoft.com/office/drawing/2014/chart" uri="{C3380CC4-5D6E-409C-BE32-E72D297353CC}">
              <c16:uniqueId val="{00000024-5F70-4669-9CCE-261442A43D74}"/>
            </c:ext>
          </c:extLst>
        </c:ser>
        <c:ser>
          <c:idx val="35"/>
          <c:order val="35"/>
          <c:dPt>
            <c:idx val="0"/>
            <c:bubble3D val="0"/>
            <c:spPr>
              <a:solidFill>
                <a:schemeClr val="accent1"/>
              </a:solidFill>
              <a:ln w="19050">
                <a:solidFill>
                  <a:schemeClr val="lt1"/>
                </a:solidFill>
              </a:ln>
              <a:effectLst/>
            </c:spPr>
            <c:extLst>
              <c:ext xmlns:c16="http://schemas.microsoft.com/office/drawing/2014/chart" uri="{C3380CC4-5D6E-409C-BE32-E72D297353CC}">
                <c16:uniqueId val="{00000049-C7D2-4297-8998-6C9B49CAFEC7}"/>
              </c:ext>
            </c:extLst>
          </c:dPt>
          <c:cat>
            <c:strRef>
              <c:f>'Company Information'!$H$31:$H$32</c:f>
              <c:strCache>
                <c:ptCount val="2"/>
                <c:pt idx="0">
                  <c:v>India</c:v>
                </c:pt>
                <c:pt idx="1">
                  <c:v>Rest of the World</c:v>
                </c:pt>
              </c:strCache>
            </c:strRef>
          </c:cat>
          <c:val>
            <c:numRef>
              <c:f>'3 Statment Model'!$O$8</c:f>
              <c:numCache>
                <c:formatCode>"FY"0</c:formatCode>
                <c:ptCount val="1"/>
                <c:pt idx="0">
                  <c:v>2027</c:v>
                </c:pt>
              </c:numCache>
            </c:numRef>
          </c:val>
          <c:extLst>
            <c:ext xmlns:c16="http://schemas.microsoft.com/office/drawing/2014/chart" uri="{C3380CC4-5D6E-409C-BE32-E72D297353CC}">
              <c16:uniqueId val="{00000025-5F70-4669-9CCE-261442A43D74}"/>
            </c:ext>
          </c:extLst>
        </c:ser>
        <c:ser>
          <c:idx val="36"/>
          <c:order val="36"/>
          <c:dPt>
            <c:idx val="0"/>
            <c:bubble3D val="0"/>
            <c:spPr>
              <a:solidFill>
                <a:schemeClr val="accent1"/>
              </a:solidFill>
              <a:ln w="19050">
                <a:solidFill>
                  <a:schemeClr val="lt1"/>
                </a:solidFill>
              </a:ln>
              <a:effectLst/>
            </c:spPr>
            <c:extLst>
              <c:ext xmlns:c16="http://schemas.microsoft.com/office/drawing/2014/chart" uri="{C3380CC4-5D6E-409C-BE32-E72D297353CC}">
                <c16:uniqueId val="{0000004B-C7D2-4297-8998-6C9B49CAFEC7}"/>
              </c:ext>
            </c:extLst>
          </c:dPt>
          <c:cat>
            <c:strRef>
              <c:f>'Company Information'!$H$31:$H$32</c:f>
              <c:strCache>
                <c:ptCount val="2"/>
                <c:pt idx="0">
                  <c:v>India</c:v>
                </c:pt>
                <c:pt idx="1">
                  <c:v>Rest of the World</c:v>
                </c:pt>
              </c:strCache>
            </c:strRef>
          </c:cat>
          <c:val>
            <c:numRef>
              <c:f>'3 Statment Model'!$P$8</c:f>
              <c:numCache>
                <c:formatCode>"FY"0</c:formatCode>
                <c:ptCount val="1"/>
                <c:pt idx="0">
                  <c:v>2028</c:v>
                </c:pt>
              </c:numCache>
            </c:numRef>
          </c:val>
          <c:extLst>
            <c:ext xmlns:c16="http://schemas.microsoft.com/office/drawing/2014/chart" uri="{C3380CC4-5D6E-409C-BE32-E72D297353CC}">
              <c16:uniqueId val="{00000026-5F70-4669-9CCE-261442A43D7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Revenue</a:t>
            </a:r>
            <a:r>
              <a:rPr lang="en-IN" b="1" baseline="0">
                <a:solidFill>
                  <a:srgbClr val="FF0000"/>
                </a:solidFill>
              </a:rPr>
              <a:t> Growth</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'Company Information'!$B$1106</c:f>
              <c:strCache>
                <c:ptCount val="1"/>
                <c:pt idx="0">
                  <c:v>Revenue</c:v>
                </c:pt>
              </c:strCache>
            </c:strRef>
          </c:tx>
          <c:spPr>
            <a:solidFill>
              <a:srgbClr val="FF0000"/>
            </a:solidFill>
            <a:ln>
              <a:solidFill>
                <a:srgbClr val="FF0000"/>
              </a:solidFill>
            </a:ln>
            <a:effectLst/>
          </c:spPr>
          <c:invertIfNegative val="0"/>
          <c:dPt>
            <c:idx val="8"/>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2-8FCB-4385-8276-471143F0F082}"/>
              </c:ext>
            </c:extLst>
          </c:dPt>
          <c:dPt>
            <c:idx val="9"/>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3-8FCB-4385-8276-471143F0F082}"/>
              </c:ext>
            </c:extLst>
          </c:dPt>
          <c:dPt>
            <c:idx val="10"/>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4-8FCB-4385-8276-471143F0F082}"/>
              </c:ext>
            </c:extLst>
          </c:dPt>
          <c:dPt>
            <c:idx val="11"/>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5-8FCB-4385-8276-471143F0F082}"/>
              </c:ext>
            </c:extLst>
          </c:dPt>
          <c:cat>
            <c:numRef>
              <c:f>'Company Information'!$C$1105:$N$1105</c:f>
              <c:numCache>
                <c:formatCode>0"A"</c:formatCode>
                <c:ptCount val="12"/>
                <c:pt idx="0">
                  <c:v>2017</c:v>
                </c:pt>
                <c:pt idx="1">
                  <c:v>2018</c:v>
                </c:pt>
                <c:pt idx="2">
                  <c:v>2019</c:v>
                </c:pt>
                <c:pt idx="3">
                  <c:v>2020</c:v>
                </c:pt>
                <c:pt idx="4">
                  <c:v>2021</c:v>
                </c:pt>
                <c:pt idx="5">
                  <c:v>2022</c:v>
                </c:pt>
                <c:pt idx="6">
                  <c:v>2023</c:v>
                </c:pt>
                <c:pt idx="7">
                  <c:v>2024</c:v>
                </c:pt>
                <c:pt idx="8" formatCode="0&quot;F&quot;">
                  <c:v>2025</c:v>
                </c:pt>
                <c:pt idx="9" formatCode="0&quot;F&quot;">
                  <c:v>2026</c:v>
                </c:pt>
                <c:pt idx="10" formatCode="0&quot;F&quot;">
                  <c:v>2027</c:v>
                </c:pt>
                <c:pt idx="11" formatCode="0&quot;F&quot;">
                  <c:v>2028</c:v>
                </c:pt>
              </c:numCache>
            </c:numRef>
          </c:cat>
          <c:val>
            <c:numRef>
              <c:f>'Company Information'!$C$1106:$N$1106</c:f>
              <c:numCache>
                <c:formatCode>0</c:formatCode>
                <c:ptCount val="12"/>
                <c:pt idx="0">
                  <c:v>8487</c:v>
                </c:pt>
                <c:pt idx="1">
                  <c:v>9834</c:v>
                </c:pt>
                <c:pt idx="2">
                  <c:v>12554.9</c:v>
                </c:pt>
                <c:pt idx="3">
                  <c:v>12867.9</c:v>
                </c:pt>
                <c:pt idx="4">
                  <c:v>13559.7</c:v>
                </c:pt>
                <c:pt idx="5">
                  <c:v>15009.099999999999</c:v>
                </c:pt>
                <c:pt idx="6">
                  <c:v>17852.7</c:v>
                </c:pt>
                <c:pt idx="7">
                  <c:v>20520.400000000001</c:v>
                </c:pt>
                <c:pt idx="8">
                  <c:v>23588.199800000002</c:v>
                </c:pt>
                <c:pt idx="9">
                  <c:v>26938.608729092502</c:v>
                </c:pt>
                <c:pt idx="10">
                  <c:v>30563.871998810122</c:v>
                </c:pt>
                <c:pt idx="11">
                  <c:v>34448.922178258872</c:v>
                </c:pt>
              </c:numCache>
            </c:numRef>
          </c:val>
          <c:extLst>
            <c:ext xmlns:c16="http://schemas.microsoft.com/office/drawing/2014/chart" uri="{C3380CC4-5D6E-409C-BE32-E72D297353CC}">
              <c16:uniqueId val="{00000000-8FCB-4385-8276-471143F0F082}"/>
            </c:ext>
          </c:extLst>
        </c:ser>
        <c:dLbls>
          <c:showLegendKey val="0"/>
          <c:showVal val="0"/>
          <c:showCatName val="0"/>
          <c:showSerName val="0"/>
          <c:showPercent val="0"/>
          <c:showBubbleSize val="0"/>
        </c:dLbls>
        <c:gapWidth val="219"/>
        <c:overlap val="-27"/>
        <c:axId val="638567968"/>
        <c:axId val="638576608"/>
      </c:barChart>
      <c:lineChart>
        <c:grouping val="standard"/>
        <c:varyColors val="0"/>
        <c:ser>
          <c:idx val="1"/>
          <c:order val="1"/>
          <c:tx>
            <c:strRef>
              <c:f>'Company Information'!$B$1107</c:f>
              <c:strCache>
                <c:ptCount val="1"/>
                <c:pt idx="0">
                  <c:v>YOY Growth %</c:v>
                </c:pt>
              </c:strCache>
            </c:strRef>
          </c:tx>
          <c:spPr>
            <a:ln w="28575" cap="rnd">
              <a:solidFill>
                <a:schemeClr val="bg1">
                  <a:lumMod val="65000"/>
                </a:schemeClr>
              </a:solidFill>
              <a:round/>
            </a:ln>
            <a:effectLst/>
          </c:spPr>
          <c:marker>
            <c:symbol val="none"/>
          </c:marker>
          <c:cat>
            <c:numRef>
              <c:f>'Company Information'!$C$1105:$N$1105</c:f>
              <c:numCache>
                <c:formatCode>0"A"</c:formatCode>
                <c:ptCount val="12"/>
                <c:pt idx="0">
                  <c:v>2017</c:v>
                </c:pt>
                <c:pt idx="1">
                  <c:v>2018</c:v>
                </c:pt>
                <c:pt idx="2">
                  <c:v>2019</c:v>
                </c:pt>
                <c:pt idx="3">
                  <c:v>2020</c:v>
                </c:pt>
                <c:pt idx="4">
                  <c:v>2021</c:v>
                </c:pt>
                <c:pt idx="5">
                  <c:v>2022</c:v>
                </c:pt>
                <c:pt idx="6">
                  <c:v>2023</c:v>
                </c:pt>
                <c:pt idx="7">
                  <c:v>2024</c:v>
                </c:pt>
                <c:pt idx="8" formatCode="0&quot;F&quot;">
                  <c:v>2025</c:v>
                </c:pt>
                <c:pt idx="9" formatCode="0&quot;F&quot;">
                  <c:v>2026</c:v>
                </c:pt>
                <c:pt idx="10" formatCode="0&quot;F&quot;">
                  <c:v>2027</c:v>
                </c:pt>
                <c:pt idx="11" formatCode="0&quot;F&quot;">
                  <c:v>2028</c:v>
                </c:pt>
              </c:numCache>
            </c:numRef>
          </c:cat>
          <c:val>
            <c:numRef>
              <c:f>'Company Information'!$C$1107:$N$1107</c:f>
              <c:numCache>
                <c:formatCode>0.0%</c:formatCode>
                <c:ptCount val="12"/>
                <c:pt idx="1">
                  <c:v>0.1587133262636975</c:v>
                </c:pt>
                <c:pt idx="2">
                  <c:v>0.27668293675005073</c:v>
                </c:pt>
                <c:pt idx="3">
                  <c:v>2.4930505221069099E-2</c:v>
                </c:pt>
                <c:pt idx="4">
                  <c:v>5.3761686055999958E-2</c:v>
                </c:pt>
                <c:pt idx="5">
                  <c:v>0.10689027043371158</c:v>
                </c:pt>
                <c:pt idx="6">
                  <c:v>0.18945839524022112</c:v>
                </c:pt>
                <c:pt idx="7">
                  <c:v>0.14942837778039175</c:v>
                </c:pt>
                <c:pt idx="8">
                  <c:v>0.14949999999999997</c:v>
                </c:pt>
                <c:pt idx="9">
                  <c:v>0.14203750000000004</c:v>
                </c:pt>
                <c:pt idx="10">
                  <c:v>0.13457499999999989</c:v>
                </c:pt>
                <c:pt idx="11">
                  <c:v>0.12711249999999996</c:v>
                </c:pt>
              </c:numCache>
            </c:numRef>
          </c:val>
          <c:smooth val="0"/>
          <c:extLst>
            <c:ext xmlns:c16="http://schemas.microsoft.com/office/drawing/2014/chart" uri="{C3380CC4-5D6E-409C-BE32-E72D297353CC}">
              <c16:uniqueId val="{00000001-8FCB-4385-8276-471143F0F082}"/>
            </c:ext>
          </c:extLst>
        </c:ser>
        <c:dLbls>
          <c:showLegendKey val="0"/>
          <c:showVal val="0"/>
          <c:showCatName val="0"/>
          <c:showSerName val="0"/>
          <c:showPercent val="0"/>
          <c:showBubbleSize val="0"/>
        </c:dLbls>
        <c:marker val="1"/>
        <c:smooth val="0"/>
        <c:axId val="638593888"/>
        <c:axId val="638577568"/>
      </c:lineChart>
      <c:catAx>
        <c:axId val="6385679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76608"/>
        <c:crosses val="autoZero"/>
        <c:auto val="1"/>
        <c:lblAlgn val="ctr"/>
        <c:lblOffset val="100"/>
        <c:noMultiLvlLbl val="0"/>
      </c:catAx>
      <c:valAx>
        <c:axId val="638576608"/>
        <c:scaling>
          <c:orientation val="minMax"/>
          <c:max val="35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67968"/>
        <c:crosses val="autoZero"/>
        <c:crossBetween val="between"/>
      </c:valAx>
      <c:valAx>
        <c:axId val="638577568"/>
        <c:scaling>
          <c:orientation val="minMax"/>
          <c:max val="0.30000000000000004"/>
          <c:min val="2.0000000000000004E-2"/>
        </c:scaling>
        <c:delete val="0"/>
        <c:axPos val="r"/>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93888"/>
        <c:crosses val="max"/>
        <c:crossBetween val="between"/>
      </c:valAx>
      <c:catAx>
        <c:axId val="638593888"/>
        <c:scaling>
          <c:orientation val="minMax"/>
        </c:scaling>
        <c:delete val="1"/>
        <c:axPos val="b"/>
        <c:numFmt formatCode="0&quot;A&quot;" sourceLinked="1"/>
        <c:majorTickMark val="none"/>
        <c:minorTickMark val="none"/>
        <c:tickLblPos val="nextTo"/>
        <c:crossAx val="6385775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SG&amp;A</a:t>
            </a:r>
            <a:r>
              <a:rPr lang="en-IN" b="1" baseline="0">
                <a:solidFill>
                  <a:srgbClr val="FF0000"/>
                </a:solidFill>
              </a:rPr>
              <a:t> % of Revenue</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'Company Information'!$R$254</c:f>
              <c:strCache>
                <c:ptCount val="1"/>
                <c:pt idx="0">
                  <c:v>Total SG&amp;A Expenses</c:v>
                </c:pt>
              </c:strCache>
            </c:strRef>
          </c:tx>
          <c:spPr>
            <a:solidFill>
              <a:srgbClr val="FF0000"/>
            </a:solidFill>
            <a:ln>
              <a:solidFill>
                <a:srgbClr val="FF0000"/>
              </a:solidFill>
            </a:ln>
            <a:effectLst/>
          </c:spPr>
          <c:invertIfNegative val="0"/>
          <c:cat>
            <c:numRef>
              <c:f>'Company Information'!$S$253:$Z$253</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Information'!$S$254:$Z$254</c:f>
              <c:numCache>
                <c:formatCode>General</c:formatCode>
                <c:ptCount val="8"/>
                <c:pt idx="0">
                  <c:v>5429.4</c:v>
                </c:pt>
                <c:pt idx="1">
                  <c:v>6658.6</c:v>
                </c:pt>
                <c:pt idx="2">
                  <c:v>8783.5999999999985</c:v>
                </c:pt>
                <c:pt idx="3">
                  <c:v>8148.4</c:v>
                </c:pt>
                <c:pt idx="4">
                  <c:v>8425.8000000000011</c:v>
                </c:pt>
                <c:pt idx="5">
                  <c:v>10294.5</c:v>
                </c:pt>
                <c:pt idx="6">
                  <c:v>13529.5</c:v>
                </c:pt>
                <c:pt idx="7">
                  <c:v>14498.699999999999</c:v>
                </c:pt>
              </c:numCache>
            </c:numRef>
          </c:val>
          <c:extLst>
            <c:ext xmlns:c16="http://schemas.microsoft.com/office/drawing/2014/chart" uri="{C3380CC4-5D6E-409C-BE32-E72D297353CC}">
              <c16:uniqueId val="{00000000-046A-4314-9333-19A7053BF56F}"/>
            </c:ext>
          </c:extLst>
        </c:ser>
        <c:dLbls>
          <c:showLegendKey val="0"/>
          <c:showVal val="0"/>
          <c:showCatName val="0"/>
          <c:showSerName val="0"/>
          <c:showPercent val="0"/>
          <c:showBubbleSize val="0"/>
        </c:dLbls>
        <c:gapWidth val="219"/>
        <c:overlap val="-27"/>
        <c:axId val="1582587296"/>
        <c:axId val="1582589696"/>
      </c:barChart>
      <c:lineChart>
        <c:grouping val="standard"/>
        <c:varyColors val="0"/>
        <c:ser>
          <c:idx val="1"/>
          <c:order val="1"/>
          <c:tx>
            <c:strRef>
              <c:f>'Company Information'!$R$255</c:f>
              <c:strCache>
                <c:ptCount val="1"/>
                <c:pt idx="0">
                  <c:v>Total SG&amp;A Expenses % of Sales</c:v>
                </c:pt>
              </c:strCache>
            </c:strRef>
          </c:tx>
          <c:spPr>
            <a:ln w="28575" cap="rnd">
              <a:solidFill>
                <a:schemeClr val="bg1">
                  <a:lumMod val="75000"/>
                </a:schemeClr>
              </a:solidFill>
              <a:round/>
            </a:ln>
            <a:effectLst/>
          </c:spPr>
          <c:marker>
            <c:symbol val="none"/>
          </c:marker>
          <c:cat>
            <c:numRef>
              <c:f>'Company Information'!$S$253:$Z$253</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Information'!$S$255:$Z$255</c:f>
              <c:numCache>
                <c:formatCode>0%</c:formatCode>
                <c:ptCount val="8"/>
                <c:pt idx="0">
                  <c:v>0.63973135383527746</c:v>
                </c:pt>
                <c:pt idx="1">
                  <c:v>0.67709985763677039</c:v>
                </c:pt>
                <c:pt idx="2">
                  <c:v>0.69961528964786646</c:v>
                </c:pt>
                <c:pt idx="3">
                  <c:v>0.63323463813054193</c:v>
                </c:pt>
                <c:pt idx="4">
                  <c:v>0.62138542888116999</c:v>
                </c:pt>
                <c:pt idx="5">
                  <c:v>0.68588389710242459</c:v>
                </c:pt>
                <c:pt idx="6">
                  <c:v>0.75784055072902134</c:v>
                </c:pt>
                <c:pt idx="7">
                  <c:v>0.70656432748538012</c:v>
                </c:pt>
              </c:numCache>
            </c:numRef>
          </c:val>
          <c:smooth val="0"/>
          <c:extLst>
            <c:ext xmlns:c16="http://schemas.microsoft.com/office/drawing/2014/chart" uri="{C3380CC4-5D6E-409C-BE32-E72D297353CC}">
              <c16:uniqueId val="{00000001-046A-4314-9333-19A7053BF56F}"/>
            </c:ext>
          </c:extLst>
        </c:ser>
        <c:dLbls>
          <c:showLegendKey val="0"/>
          <c:showVal val="0"/>
          <c:showCatName val="0"/>
          <c:showSerName val="0"/>
          <c:showPercent val="0"/>
          <c:showBubbleSize val="0"/>
        </c:dLbls>
        <c:marker val="1"/>
        <c:smooth val="0"/>
        <c:axId val="1582581056"/>
        <c:axId val="1582588256"/>
      </c:lineChart>
      <c:catAx>
        <c:axId val="1582587296"/>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589696"/>
        <c:crosses val="autoZero"/>
        <c:auto val="1"/>
        <c:lblAlgn val="ctr"/>
        <c:lblOffset val="100"/>
        <c:noMultiLvlLbl val="0"/>
      </c:catAx>
      <c:valAx>
        <c:axId val="1582589696"/>
        <c:scaling>
          <c:orientation val="minMax"/>
          <c:min val="1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587296"/>
        <c:crosses val="autoZero"/>
        <c:crossBetween val="between"/>
      </c:valAx>
      <c:valAx>
        <c:axId val="1582588256"/>
        <c:scaling>
          <c:orientation val="minMax"/>
          <c:min val="0.25"/>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581056"/>
        <c:crosses val="max"/>
        <c:crossBetween val="between"/>
      </c:valAx>
      <c:catAx>
        <c:axId val="1582581056"/>
        <c:scaling>
          <c:orientation val="minMax"/>
        </c:scaling>
        <c:delete val="1"/>
        <c:axPos val="b"/>
        <c:numFmt formatCode="0&quot;A&quot;" sourceLinked="1"/>
        <c:majorTickMark val="none"/>
        <c:minorTickMark val="none"/>
        <c:tickLblPos val="nextTo"/>
        <c:crossAx val="1582588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Receivable</a:t>
            </a:r>
            <a:r>
              <a:rPr lang="en-IN" b="1" baseline="0">
                <a:solidFill>
                  <a:srgbClr val="FF0000"/>
                </a:solidFill>
              </a:rPr>
              <a:t> Days</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'Company Information'!$S$355</c:f>
              <c:strCache>
                <c:ptCount val="1"/>
                <c:pt idx="0">
                  <c:v>Receivable</c:v>
                </c:pt>
              </c:strCache>
            </c:strRef>
          </c:tx>
          <c:spPr>
            <a:solidFill>
              <a:srgbClr val="FF0000"/>
            </a:solidFill>
            <a:ln>
              <a:solidFill>
                <a:srgbClr val="FF0000"/>
              </a:solidFill>
            </a:ln>
            <a:effectLst/>
          </c:spPr>
          <c:invertIfNegative val="0"/>
          <c:cat>
            <c:numRef>
              <c:f>'Company Information'!$T$354:$AA$354</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Information'!$T$355:$AA$355</c:f>
              <c:numCache>
                <c:formatCode>0</c:formatCode>
                <c:ptCount val="8"/>
                <c:pt idx="0">
                  <c:v>335.12</c:v>
                </c:pt>
                <c:pt idx="1">
                  <c:v>459.25</c:v>
                </c:pt>
                <c:pt idx="2">
                  <c:v>1023.71</c:v>
                </c:pt>
                <c:pt idx="3">
                  <c:v>1080.45</c:v>
                </c:pt>
                <c:pt idx="4">
                  <c:v>679.43</c:v>
                </c:pt>
                <c:pt idx="5">
                  <c:v>788.29</c:v>
                </c:pt>
                <c:pt idx="6">
                  <c:v>1211.57</c:v>
                </c:pt>
                <c:pt idx="7">
                  <c:v>1535</c:v>
                </c:pt>
              </c:numCache>
            </c:numRef>
          </c:val>
          <c:extLst>
            <c:ext xmlns:c16="http://schemas.microsoft.com/office/drawing/2014/chart" uri="{C3380CC4-5D6E-409C-BE32-E72D297353CC}">
              <c16:uniqueId val="{00000000-6839-4B78-A5F4-120F391EE58D}"/>
            </c:ext>
          </c:extLst>
        </c:ser>
        <c:dLbls>
          <c:showLegendKey val="0"/>
          <c:showVal val="0"/>
          <c:showCatName val="0"/>
          <c:showSerName val="0"/>
          <c:showPercent val="0"/>
          <c:showBubbleSize val="0"/>
        </c:dLbls>
        <c:gapWidth val="150"/>
        <c:axId val="565667968"/>
        <c:axId val="565667488"/>
      </c:barChart>
      <c:lineChart>
        <c:grouping val="standard"/>
        <c:varyColors val="0"/>
        <c:ser>
          <c:idx val="1"/>
          <c:order val="1"/>
          <c:tx>
            <c:strRef>
              <c:f>'Company Information'!$S$356</c:f>
              <c:strCache>
                <c:ptCount val="1"/>
                <c:pt idx="0">
                  <c:v>Receivable Days</c:v>
                </c:pt>
              </c:strCache>
            </c:strRef>
          </c:tx>
          <c:spPr>
            <a:ln w="28575" cap="rnd">
              <a:solidFill>
                <a:schemeClr val="bg1">
                  <a:lumMod val="65000"/>
                </a:schemeClr>
              </a:solidFill>
              <a:round/>
            </a:ln>
            <a:effectLst/>
          </c:spPr>
          <c:marker>
            <c:symbol val="circle"/>
            <c:size val="5"/>
            <c:spPr>
              <a:solidFill>
                <a:schemeClr val="bg1">
                  <a:lumMod val="65000"/>
                </a:schemeClr>
              </a:solidFill>
              <a:ln w="9525">
                <a:solidFill>
                  <a:schemeClr val="bg1">
                    <a:lumMod val="6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'Company Information'!$T$354:$AA$354</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Information'!$T$356:$AA$356</c:f>
              <c:numCache>
                <c:formatCode>0</c:formatCode>
                <c:ptCount val="8"/>
                <c:pt idx="0">
                  <c:v>14.272717096736184</c:v>
                </c:pt>
                <c:pt idx="1">
                  <c:v>14.741969188529591</c:v>
                </c:pt>
                <c:pt idx="2">
                  <c:v>21.556539677735387</c:v>
                </c:pt>
                <c:pt idx="3">
                  <c:v>29.842414069117726</c:v>
                </c:pt>
                <c:pt idx="4">
                  <c:v>23.686224621488677</c:v>
                </c:pt>
                <c:pt idx="5">
                  <c:v>17.846433163880576</c:v>
                </c:pt>
                <c:pt idx="6">
                  <c:v>20.443655581508676</c:v>
                </c:pt>
                <c:pt idx="7">
                  <c:v>24.426864242412424</c:v>
                </c:pt>
              </c:numCache>
            </c:numRef>
          </c:val>
          <c:smooth val="0"/>
          <c:extLst>
            <c:ext xmlns:c16="http://schemas.microsoft.com/office/drawing/2014/chart" uri="{C3380CC4-5D6E-409C-BE32-E72D297353CC}">
              <c16:uniqueId val="{00000001-6839-4B78-A5F4-120F391EE58D}"/>
            </c:ext>
          </c:extLst>
        </c:ser>
        <c:dLbls>
          <c:showLegendKey val="0"/>
          <c:showVal val="0"/>
          <c:showCatName val="0"/>
          <c:showSerName val="0"/>
          <c:showPercent val="0"/>
          <c:showBubbleSize val="0"/>
        </c:dLbls>
        <c:marker val="1"/>
        <c:smooth val="0"/>
        <c:axId val="432709232"/>
        <c:axId val="768038416"/>
      </c:lineChart>
      <c:catAx>
        <c:axId val="5656679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5667488"/>
        <c:crosses val="autoZero"/>
        <c:auto val="1"/>
        <c:lblAlgn val="ctr"/>
        <c:lblOffset val="100"/>
        <c:noMultiLvlLbl val="0"/>
      </c:catAx>
      <c:valAx>
        <c:axId val="565667488"/>
        <c:scaling>
          <c:orientation val="minMax"/>
          <c:min val="2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5667968"/>
        <c:crosses val="autoZero"/>
        <c:crossBetween val="between"/>
      </c:valAx>
      <c:valAx>
        <c:axId val="768038416"/>
        <c:scaling>
          <c:orientation val="minMax"/>
          <c:min val="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2709232"/>
        <c:crosses val="max"/>
        <c:crossBetween val="between"/>
      </c:valAx>
      <c:catAx>
        <c:axId val="432709232"/>
        <c:scaling>
          <c:orientation val="minMax"/>
        </c:scaling>
        <c:delete val="1"/>
        <c:axPos val="b"/>
        <c:numFmt formatCode="0&quot;A&quot;" sourceLinked="1"/>
        <c:majorTickMark val="out"/>
        <c:minorTickMark val="none"/>
        <c:tickLblPos val="nextTo"/>
        <c:crossAx val="768038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Shree</a:t>
            </a:r>
            <a:r>
              <a:rPr lang="en-IN" b="1" baseline="0">
                <a:solidFill>
                  <a:srgbClr val="FF0000"/>
                </a:solidFill>
              </a:rPr>
              <a:t> cement vs Industry Receivable days</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'Company Information'!$S$356</c:f>
              <c:strCache>
                <c:ptCount val="1"/>
                <c:pt idx="0">
                  <c:v>Receivable Days</c:v>
                </c:pt>
              </c:strCache>
            </c:strRef>
          </c:tx>
          <c:spPr>
            <a:solidFill>
              <a:srgbClr val="FF0000"/>
            </a:solidFill>
            <a:ln>
              <a:solidFill>
                <a:srgbClr val="FF0000"/>
              </a:solidFill>
            </a:ln>
            <a:effectLst/>
          </c:spPr>
          <c:invertIfNegative val="0"/>
          <c:dLbls>
            <c:spPr>
              <a:noFill/>
              <a:ln>
                <a:noFill/>
              </a:ln>
              <a:effectLst/>
            </c:spPr>
            <c:txPr>
              <a:bodyPr rot="-5400000" spcFirstLastPara="1" vertOverflow="ellipsis" wrap="square" lIns="38100" tIns="19050" rIns="38100" bIns="19050" anchor="ctr" anchorCtr="0">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'Company Information'!$T$354:$AA$354</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Information'!$T$356:$AA$356</c:f>
              <c:numCache>
                <c:formatCode>0</c:formatCode>
                <c:ptCount val="8"/>
                <c:pt idx="0">
                  <c:v>14.272717096736184</c:v>
                </c:pt>
                <c:pt idx="1">
                  <c:v>14.741969188529591</c:v>
                </c:pt>
                <c:pt idx="2">
                  <c:v>21.556539677735387</c:v>
                </c:pt>
                <c:pt idx="3">
                  <c:v>29.842414069117726</c:v>
                </c:pt>
                <c:pt idx="4">
                  <c:v>23.686224621488677</c:v>
                </c:pt>
                <c:pt idx="5">
                  <c:v>17.846433163880576</c:v>
                </c:pt>
                <c:pt idx="6">
                  <c:v>20.443655581508676</c:v>
                </c:pt>
                <c:pt idx="7">
                  <c:v>24.426864242412424</c:v>
                </c:pt>
              </c:numCache>
            </c:numRef>
          </c:val>
          <c:extLst>
            <c:ext xmlns:c16="http://schemas.microsoft.com/office/drawing/2014/chart" uri="{C3380CC4-5D6E-409C-BE32-E72D297353CC}">
              <c16:uniqueId val="{00000000-DD81-4E99-9965-8CF65FDD007D}"/>
            </c:ext>
          </c:extLst>
        </c:ser>
        <c:ser>
          <c:idx val="1"/>
          <c:order val="1"/>
          <c:tx>
            <c:strRef>
              <c:f>'Company Information'!$S$357</c:f>
              <c:strCache>
                <c:ptCount val="1"/>
                <c:pt idx="0">
                  <c:v>Peers receivable days</c:v>
                </c:pt>
              </c:strCache>
            </c:strRef>
          </c:tx>
          <c:spPr>
            <a:solidFill>
              <a:schemeClr val="accent1">
                <a:lumMod val="50000"/>
              </a:schemeClr>
            </a:solidFill>
            <a:ln>
              <a:solidFill>
                <a:schemeClr val="accent1">
                  <a:lumMod val="50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'Company Information'!$T$354:$AA$354</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Information'!$T$357:$AA$357</c:f>
              <c:numCache>
                <c:formatCode>0</c:formatCode>
                <c:ptCount val="8"/>
                <c:pt idx="0">
                  <c:v>18</c:v>
                </c:pt>
                <c:pt idx="1">
                  <c:v>19.5</c:v>
                </c:pt>
                <c:pt idx="2">
                  <c:v>16.5</c:v>
                </c:pt>
                <c:pt idx="3">
                  <c:v>14.5</c:v>
                </c:pt>
                <c:pt idx="4">
                  <c:v>15</c:v>
                </c:pt>
                <c:pt idx="5">
                  <c:v>17</c:v>
                </c:pt>
                <c:pt idx="6">
                  <c:v>21.5</c:v>
                </c:pt>
                <c:pt idx="7">
                  <c:v>20</c:v>
                </c:pt>
              </c:numCache>
            </c:numRef>
          </c:val>
          <c:extLst>
            <c:ext xmlns:c16="http://schemas.microsoft.com/office/drawing/2014/chart" uri="{C3380CC4-5D6E-409C-BE32-E72D297353CC}">
              <c16:uniqueId val="{00000001-DD81-4E99-9965-8CF65FDD007D}"/>
            </c:ext>
          </c:extLst>
        </c:ser>
        <c:dLbls>
          <c:showLegendKey val="0"/>
          <c:showVal val="0"/>
          <c:showCatName val="0"/>
          <c:showSerName val="0"/>
          <c:showPercent val="0"/>
          <c:showBubbleSize val="0"/>
        </c:dLbls>
        <c:gapWidth val="219"/>
        <c:overlap val="-27"/>
        <c:axId val="432710192"/>
        <c:axId val="432710672"/>
      </c:barChart>
      <c:catAx>
        <c:axId val="432710192"/>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2710672"/>
        <c:crosses val="autoZero"/>
        <c:auto val="1"/>
        <c:lblAlgn val="ctr"/>
        <c:lblOffset val="100"/>
        <c:noMultiLvlLbl val="0"/>
      </c:catAx>
      <c:valAx>
        <c:axId val="432710672"/>
        <c:scaling>
          <c:orientation val="minMax"/>
          <c:min val="5"/>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271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Payable</a:t>
            </a:r>
            <a:r>
              <a:rPr lang="en-IN" b="1" baseline="0">
                <a:solidFill>
                  <a:srgbClr val="FF0000"/>
                </a:solidFill>
              </a:rPr>
              <a:t> Days</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'Company Information'!$O$701</c:f>
              <c:strCache>
                <c:ptCount val="1"/>
                <c:pt idx="0">
                  <c:v>Payables </c:v>
                </c:pt>
              </c:strCache>
            </c:strRef>
          </c:tx>
          <c:spPr>
            <a:solidFill>
              <a:srgbClr val="FF0000"/>
            </a:solidFill>
            <a:ln>
              <a:solidFill>
                <a:srgbClr val="FF0000"/>
              </a:solidFill>
            </a:ln>
            <a:effectLst/>
          </c:spPr>
          <c:invertIfNegative val="0"/>
          <c:cat>
            <c:numRef>
              <c:f>'Company Information'!$P$700:$W$700</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Information'!$P$701:$W$701</c:f>
              <c:numCache>
                <c:formatCode>0</c:formatCode>
                <c:ptCount val="8"/>
                <c:pt idx="0">
                  <c:v>351.69</c:v>
                </c:pt>
                <c:pt idx="1">
                  <c:v>727.28</c:v>
                </c:pt>
                <c:pt idx="2">
                  <c:v>538.19000000000005</c:v>
                </c:pt>
                <c:pt idx="3">
                  <c:v>657.65</c:v>
                </c:pt>
                <c:pt idx="4">
                  <c:v>882.97</c:v>
                </c:pt>
                <c:pt idx="5">
                  <c:v>890.37</c:v>
                </c:pt>
                <c:pt idx="6">
                  <c:v>1196</c:v>
                </c:pt>
                <c:pt idx="7">
                  <c:v>1196</c:v>
                </c:pt>
              </c:numCache>
            </c:numRef>
          </c:val>
          <c:extLst>
            <c:ext xmlns:c16="http://schemas.microsoft.com/office/drawing/2014/chart" uri="{C3380CC4-5D6E-409C-BE32-E72D297353CC}">
              <c16:uniqueId val="{00000000-2251-4342-8B02-4773004B4651}"/>
            </c:ext>
          </c:extLst>
        </c:ser>
        <c:dLbls>
          <c:showLegendKey val="0"/>
          <c:showVal val="0"/>
          <c:showCatName val="0"/>
          <c:showSerName val="0"/>
          <c:showPercent val="0"/>
          <c:showBubbleSize val="0"/>
        </c:dLbls>
        <c:gapWidth val="150"/>
        <c:axId val="516884608"/>
        <c:axId val="516884128"/>
      </c:barChart>
      <c:lineChart>
        <c:grouping val="standard"/>
        <c:varyColors val="0"/>
        <c:ser>
          <c:idx val="1"/>
          <c:order val="1"/>
          <c:tx>
            <c:strRef>
              <c:f>'Company Information'!$O$702</c:f>
              <c:strCache>
                <c:ptCount val="1"/>
                <c:pt idx="0">
                  <c:v>Payable Days</c:v>
                </c:pt>
              </c:strCache>
            </c:strRef>
          </c:tx>
          <c:spPr>
            <a:ln w="28575" cap="rnd">
              <a:solidFill>
                <a:schemeClr val="bg1">
                  <a:lumMod val="65000"/>
                </a:schemeClr>
              </a:solidFill>
              <a:round/>
            </a:ln>
            <a:effectLst/>
          </c:spPr>
          <c:marker>
            <c:symbol val="circle"/>
            <c:size val="5"/>
            <c:spPr>
              <a:solidFill>
                <a:schemeClr val="bg1">
                  <a:lumMod val="65000"/>
                </a:schemeClr>
              </a:solidFill>
              <a:ln w="9525">
                <a:solidFill>
                  <a:schemeClr val="bg1">
                    <a:lumMod val="6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'Company Information'!$P$700:$W$700</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Information'!$P$702:$W$702</c:f>
              <c:numCache>
                <c:formatCode>0</c:formatCode>
                <c:ptCount val="8"/>
                <c:pt idx="0">
                  <c:v>203.11210443037976</c:v>
                </c:pt>
                <c:pt idx="1">
                  <c:v>384.72057971014493</c:v>
                </c:pt>
                <c:pt idx="2">
                  <c:v>279.54938095915753</c:v>
                </c:pt>
                <c:pt idx="3">
                  <c:v>245.66804830621223</c:v>
                </c:pt>
                <c:pt idx="4">
                  <c:v>333.97310880829019</c:v>
                </c:pt>
                <c:pt idx="5">
                  <c:v>308.33496204933584</c:v>
                </c:pt>
                <c:pt idx="6">
                  <c:v>432.00395843641758</c:v>
                </c:pt>
                <c:pt idx="7">
                  <c:v>284.39087947882734</c:v>
                </c:pt>
              </c:numCache>
            </c:numRef>
          </c:val>
          <c:smooth val="0"/>
          <c:extLst>
            <c:ext xmlns:c16="http://schemas.microsoft.com/office/drawing/2014/chart" uri="{C3380CC4-5D6E-409C-BE32-E72D297353CC}">
              <c16:uniqueId val="{00000001-2251-4342-8B02-4773004B4651}"/>
            </c:ext>
          </c:extLst>
        </c:ser>
        <c:dLbls>
          <c:showLegendKey val="0"/>
          <c:showVal val="0"/>
          <c:showCatName val="0"/>
          <c:showSerName val="0"/>
          <c:showPercent val="0"/>
          <c:showBubbleSize val="0"/>
        </c:dLbls>
        <c:marker val="1"/>
        <c:smooth val="0"/>
        <c:axId val="459842608"/>
        <c:axId val="459844528"/>
      </c:lineChart>
      <c:catAx>
        <c:axId val="51688460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884128"/>
        <c:crosses val="autoZero"/>
        <c:auto val="1"/>
        <c:lblAlgn val="ctr"/>
        <c:lblOffset val="100"/>
        <c:noMultiLvlLbl val="0"/>
      </c:catAx>
      <c:valAx>
        <c:axId val="516884128"/>
        <c:scaling>
          <c:orientation val="minMax"/>
          <c:min val="2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884608"/>
        <c:crosses val="autoZero"/>
        <c:crossBetween val="between"/>
      </c:valAx>
      <c:valAx>
        <c:axId val="459844528"/>
        <c:scaling>
          <c:orientation val="minMax"/>
          <c:min val="1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59842608"/>
        <c:crosses val="max"/>
        <c:crossBetween val="between"/>
      </c:valAx>
      <c:catAx>
        <c:axId val="459842608"/>
        <c:scaling>
          <c:orientation val="minMax"/>
        </c:scaling>
        <c:delete val="1"/>
        <c:axPos val="b"/>
        <c:numFmt formatCode="0&quot;A&quot;" sourceLinked="1"/>
        <c:majorTickMark val="out"/>
        <c:minorTickMark val="none"/>
        <c:tickLblPos val="nextTo"/>
        <c:crossAx val="459844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Borrowings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'Company Information'!$E$772</c:f>
              <c:strCache>
                <c:ptCount val="1"/>
                <c:pt idx="0">
                  <c:v>LTB % TB</c:v>
                </c:pt>
              </c:strCache>
            </c:strRef>
          </c:tx>
          <c:spPr>
            <a:solidFill>
              <a:schemeClr val="accent1">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'Company Information'!$F$768:$M$768</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Information'!$F$772:$M$772</c:f>
              <c:numCache>
                <c:formatCode>0%</c:formatCode>
                <c:ptCount val="8"/>
                <c:pt idx="0">
                  <c:v>0.40126797587753205</c:v>
                </c:pt>
                <c:pt idx="1">
                  <c:v>0.65055981143193875</c:v>
                </c:pt>
                <c:pt idx="2">
                  <c:v>0.82995005928214705</c:v>
                </c:pt>
                <c:pt idx="3">
                  <c:v>0.69780313351498635</c:v>
                </c:pt>
                <c:pt idx="4">
                  <c:v>0.72344123397784055</c:v>
                </c:pt>
                <c:pt idx="5">
                  <c:v>0.80247295208655334</c:v>
                </c:pt>
                <c:pt idx="6">
                  <c:v>0.37401828247714686</c:v>
                </c:pt>
                <c:pt idx="7">
                  <c:v>0.59973086627418004</c:v>
                </c:pt>
              </c:numCache>
            </c:numRef>
          </c:val>
          <c:extLst>
            <c:ext xmlns:c16="http://schemas.microsoft.com/office/drawing/2014/chart" uri="{C3380CC4-5D6E-409C-BE32-E72D297353CC}">
              <c16:uniqueId val="{00000000-1154-4B10-98C6-10A318B573BA}"/>
            </c:ext>
          </c:extLst>
        </c:ser>
        <c:ser>
          <c:idx val="1"/>
          <c:order val="1"/>
          <c:tx>
            <c:strRef>
              <c:f>'Company Information'!$E$773</c:f>
              <c:strCache>
                <c:ptCount val="1"/>
                <c:pt idx="0">
                  <c:v>STB % TB</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'Company Information'!$F$768:$M$768</c:f>
              <c:numCache>
                <c:formatCode>0"A"</c:formatCode>
                <c:ptCount val="8"/>
                <c:pt idx="0">
                  <c:v>2017</c:v>
                </c:pt>
                <c:pt idx="1">
                  <c:v>2018</c:v>
                </c:pt>
                <c:pt idx="2">
                  <c:v>2019</c:v>
                </c:pt>
                <c:pt idx="3">
                  <c:v>2020</c:v>
                </c:pt>
                <c:pt idx="4">
                  <c:v>2021</c:v>
                </c:pt>
                <c:pt idx="5">
                  <c:v>2022</c:v>
                </c:pt>
                <c:pt idx="6">
                  <c:v>2023</c:v>
                </c:pt>
                <c:pt idx="7">
                  <c:v>2024</c:v>
                </c:pt>
              </c:numCache>
            </c:numRef>
          </c:cat>
          <c:val>
            <c:numRef>
              <c:f>'Company Information'!$F$773:$M$773</c:f>
              <c:numCache>
                <c:formatCode>0%</c:formatCode>
                <c:ptCount val="8"/>
                <c:pt idx="0">
                  <c:v>0.59873202412246784</c:v>
                </c:pt>
                <c:pt idx="1">
                  <c:v>0.34944018856806131</c:v>
                </c:pt>
                <c:pt idx="2">
                  <c:v>0.1700499407178529</c:v>
                </c:pt>
                <c:pt idx="3">
                  <c:v>0.30219686648501359</c:v>
                </c:pt>
                <c:pt idx="4">
                  <c:v>0.27655876602215945</c:v>
                </c:pt>
                <c:pt idx="5">
                  <c:v>0.19752704791344669</c:v>
                </c:pt>
                <c:pt idx="6">
                  <c:v>0.62598171752285303</c:v>
                </c:pt>
                <c:pt idx="7">
                  <c:v>0.40026913372581996</c:v>
                </c:pt>
              </c:numCache>
            </c:numRef>
          </c:val>
          <c:extLst>
            <c:ext xmlns:c16="http://schemas.microsoft.com/office/drawing/2014/chart" uri="{C3380CC4-5D6E-409C-BE32-E72D297353CC}">
              <c16:uniqueId val="{00000001-1154-4B10-98C6-10A318B573BA}"/>
            </c:ext>
          </c:extLst>
        </c:ser>
        <c:dLbls>
          <c:showLegendKey val="0"/>
          <c:showVal val="0"/>
          <c:showCatName val="0"/>
          <c:showSerName val="0"/>
          <c:showPercent val="0"/>
          <c:showBubbleSize val="0"/>
        </c:dLbls>
        <c:gapWidth val="150"/>
        <c:overlap val="100"/>
        <c:axId val="799003888"/>
        <c:axId val="799002448"/>
      </c:barChart>
      <c:catAx>
        <c:axId val="79900388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9002448"/>
        <c:crosses val="autoZero"/>
        <c:auto val="1"/>
        <c:lblAlgn val="ctr"/>
        <c:lblOffset val="100"/>
        <c:noMultiLvlLbl val="0"/>
      </c:catAx>
      <c:valAx>
        <c:axId val="799002448"/>
        <c:scaling>
          <c:orientation val="minMax"/>
          <c:min val="0.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900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Global</a:t>
            </a:r>
            <a:r>
              <a:rPr lang="en-IN" b="1" baseline="0">
                <a:solidFill>
                  <a:srgbClr val="FF0000"/>
                </a:solidFill>
              </a:rPr>
              <a:t> GDP Projection (%)</a:t>
            </a:r>
            <a:endParaRPr lang="en-IN" b="1">
              <a:solidFill>
                <a:srgbClr val="FF0000"/>
              </a:solidFill>
            </a:endParaRPr>
          </a:p>
        </c:rich>
      </c:tx>
      <c:layout>
        <c:manualLayout>
          <c:xMode val="edge"/>
          <c:yMode val="edge"/>
          <c:x val="0.28677077865266848"/>
          <c:y val="1.8433179723502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'Past Data'!$C$33</c:f>
              <c:strCache>
                <c:ptCount val="1"/>
                <c:pt idx="0">
                  <c:v>2023A</c:v>
                </c:pt>
              </c:strCache>
            </c:strRef>
          </c:tx>
          <c:spPr>
            <a:solidFill>
              <a:schemeClr val="accent5">
                <a:lumMod val="50000"/>
              </a:schemeClr>
            </a:solidFill>
            <a:ln>
              <a:noFill/>
            </a:ln>
            <a:effectLst/>
          </c:spPr>
          <c:invertIfNegative val="0"/>
          <c:cat>
            <c:strRef>
              <c:f>'Past Data'!$B$34:$B$40</c:f>
              <c:strCache>
                <c:ptCount val="7"/>
                <c:pt idx="1">
                  <c:v>World  Output</c:v>
                </c:pt>
                <c:pt idx="2">
                  <c:v>Advanced Economies</c:v>
                </c:pt>
                <c:pt idx="3">
                  <c:v>Emerging Economies</c:v>
                </c:pt>
                <c:pt idx="4">
                  <c:v>US</c:v>
                </c:pt>
                <c:pt idx="5">
                  <c:v>China</c:v>
                </c:pt>
                <c:pt idx="6">
                  <c:v>India</c:v>
                </c:pt>
              </c:strCache>
            </c:strRef>
          </c:cat>
          <c:val>
            <c:numRef>
              <c:f>'Past Data'!$C$34:$C$40</c:f>
              <c:numCache>
                <c:formatCode>0.0%</c:formatCode>
                <c:ptCount val="7"/>
                <c:pt idx="1">
                  <c:v>3.3000000000000002E-2</c:v>
                </c:pt>
                <c:pt idx="2">
                  <c:v>1.7000000000000001E-2</c:v>
                </c:pt>
                <c:pt idx="3">
                  <c:v>4.3999999999999997E-2</c:v>
                </c:pt>
                <c:pt idx="4">
                  <c:v>2.8999999999999998E-2</c:v>
                </c:pt>
                <c:pt idx="5">
                  <c:v>5.2000000000000005E-2</c:v>
                </c:pt>
                <c:pt idx="6">
                  <c:v>8.199999999999999E-2</c:v>
                </c:pt>
              </c:numCache>
            </c:numRef>
          </c:val>
          <c:extLst>
            <c:ext xmlns:c16="http://schemas.microsoft.com/office/drawing/2014/chart" uri="{C3380CC4-5D6E-409C-BE32-E72D297353CC}">
              <c16:uniqueId val="{00000000-BC53-4C5B-9B31-9393336B2AE1}"/>
            </c:ext>
          </c:extLst>
        </c:ser>
        <c:ser>
          <c:idx val="1"/>
          <c:order val="1"/>
          <c:tx>
            <c:strRef>
              <c:f>'Past Data'!$D$33</c:f>
              <c:strCache>
                <c:ptCount val="1"/>
                <c:pt idx="0">
                  <c:v>2024P</c:v>
                </c:pt>
              </c:strCache>
            </c:strRef>
          </c:tx>
          <c:spPr>
            <a:solidFill>
              <a:schemeClr val="accent2"/>
            </a:solidFill>
            <a:ln>
              <a:noFill/>
            </a:ln>
            <a:effectLst/>
          </c:spPr>
          <c:invertIfNegative val="0"/>
          <c:cat>
            <c:strRef>
              <c:f>'Past Data'!$B$34:$B$40</c:f>
              <c:strCache>
                <c:ptCount val="7"/>
                <c:pt idx="1">
                  <c:v>World  Output</c:v>
                </c:pt>
                <c:pt idx="2">
                  <c:v>Advanced Economies</c:v>
                </c:pt>
                <c:pt idx="3">
                  <c:v>Emerging Economies</c:v>
                </c:pt>
                <c:pt idx="4">
                  <c:v>US</c:v>
                </c:pt>
                <c:pt idx="5">
                  <c:v>China</c:v>
                </c:pt>
                <c:pt idx="6">
                  <c:v>India</c:v>
                </c:pt>
              </c:strCache>
            </c:strRef>
          </c:cat>
          <c:val>
            <c:numRef>
              <c:f>'Past Data'!$D$34:$D$40</c:f>
              <c:numCache>
                <c:formatCode>0.0%</c:formatCode>
                <c:ptCount val="7"/>
                <c:pt idx="1">
                  <c:v>3.2000000000000001E-2</c:v>
                </c:pt>
                <c:pt idx="2">
                  <c:v>1.7999999999999999E-2</c:v>
                </c:pt>
                <c:pt idx="3">
                  <c:v>4.2000000000000003E-2</c:v>
                </c:pt>
                <c:pt idx="4">
                  <c:v>2.7999999999999997E-2</c:v>
                </c:pt>
                <c:pt idx="5">
                  <c:v>4.8000000000000001E-2</c:v>
                </c:pt>
                <c:pt idx="6">
                  <c:v>7.0000000000000007E-2</c:v>
                </c:pt>
              </c:numCache>
            </c:numRef>
          </c:val>
          <c:extLst>
            <c:ext xmlns:c16="http://schemas.microsoft.com/office/drawing/2014/chart" uri="{C3380CC4-5D6E-409C-BE32-E72D297353CC}">
              <c16:uniqueId val="{00000001-BC53-4C5B-9B31-9393336B2AE1}"/>
            </c:ext>
          </c:extLst>
        </c:ser>
        <c:ser>
          <c:idx val="2"/>
          <c:order val="2"/>
          <c:tx>
            <c:strRef>
              <c:f>'Past Data'!$E$33</c:f>
              <c:strCache>
                <c:ptCount val="1"/>
                <c:pt idx="0">
                  <c:v>2024P</c:v>
                </c:pt>
              </c:strCache>
            </c:strRef>
          </c:tx>
          <c:spPr>
            <a:solidFill>
              <a:schemeClr val="accent4">
                <a:lumMod val="75000"/>
              </a:schemeClr>
            </a:solidFill>
            <a:ln>
              <a:noFill/>
            </a:ln>
            <a:effectLst/>
          </c:spPr>
          <c:invertIfNegative val="0"/>
          <c:cat>
            <c:strRef>
              <c:f>'Past Data'!$B$34:$B$40</c:f>
              <c:strCache>
                <c:ptCount val="7"/>
                <c:pt idx="1">
                  <c:v>World  Output</c:v>
                </c:pt>
                <c:pt idx="2">
                  <c:v>Advanced Economies</c:v>
                </c:pt>
                <c:pt idx="3">
                  <c:v>Emerging Economies</c:v>
                </c:pt>
                <c:pt idx="4">
                  <c:v>US</c:v>
                </c:pt>
                <c:pt idx="5">
                  <c:v>China</c:v>
                </c:pt>
                <c:pt idx="6">
                  <c:v>India</c:v>
                </c:pt>
              </c:strCache>
            </c:strRef>
          </c:cat>
          <c:val>
            <c:numRef>
              <c:f>'Past Data'!$E$34:$E$40</c:f>
              <c:numCache>
                <c:formatCode>0.0%</c:formatCode>
                <c:ptCount val="7"/>
                <c:pt idx="1">
                  <c:v>3.2000000000000001E-2</c:v>
                </c:pt>
                <c:pt idx="2">
                  <c:v>2.8000000000000001E-2</c:v>
                </c:pt>
                <c:pt idx="3">
                  <c:v>4.2000000000000003E-2</c:v>
                </c:pt>
                <c:pt idx="4">
                  <c:v>2.2000000000000002E-2</c:v>
                </c:pt>
                <c:pt idx="5">
                  <c:v>4.4999999999999998E-2</c:v>
                </c:pt>
                <c:pt idx="6">
                  <c:v>6.5000000000000002E-2</c:v>
                </c:pt>
              </c:numCache>
            </c:numRef>
          </c:val>
          <c:extLst>
            <c:ext xmlns:c16="http://schemas.microsoft.com/office/drawing/2014/chart" uri="{C3380CC4-5D6E-409C-BE32-E72D297353CC}">
              <c16:uniqueId val="{00000002-BC53-4C5B-9B31-9393336B2AE1}"/>
            </c:ext>
          </c:extLst>
        </c:ser>
        <c:dLbls>
          <c:showLegendKey val="0"/>
          <c:showVal val="0"/>
          <c:showCatName val="0"/>
          <c:showSerName val="0"/>
          <c:showPercent val="0"/>
          <c:showBubbleSize val="0"/>
        </c:dLbls>
        <c:gapWidth val="182"/>
        <c:axId val="401793167"/>
        <c:axId val="372930783"/>
      </c:barChart>
      <c:catAx>
        <c:axId val="4017931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372930783"/>
        <c:crosses val="autoZero"/>
        <c:auto val="1"/>
        <c:lblAlgn val="ctr"/>
        <c:lblOffset val="100"/>
        <c:noMultiLvlLbl val="0"/>
      </c:catAx>
      <c:valAx>
        <c:axId val="372930783"/>
        <c:scaling>
          <c:orientation val="minMax"/>
        </c:scaling>
        <c:delete val="0"/>
        <c:axPos val="t"/>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alpha val="93000"/>
                  </a:schemeClr>
                </a:solidFill>
                <a:latin typeface="+mn-lt"/>
                <a:ea typeface="+mn-ea"/>
                <a:cs typeface="+mn-cs"/>
              </a:defRPr>
            </a:pPr>
            <a:endParaRPr lang="en-US"/>
          </a:p>
        </c:txPr>
        <c:crossAx val="401793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a:t>
            </a:r>
            <a:r>
              <a:rPr lang="en-IN" baseline="0"/>
              <a:t> GDP Vs Global GDP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'Past Data'!$E$61</c:f>
              <c:strCache>
                <c:ptCount val="1"/>
                <c:pt idx="0">
                  <c:v>India</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'Past Data'!$D$62:$D$69</c:f>
              <c:strCache>
                <c:ptCount val="8"/>
                <c:pt idx="0">
                  <c:v>2018A</c:v>
                </c:pt>
                <c:pt idx="1">
                  <c:v>2019A</c:v>
                </c:pt>
                <c:pt idx="2">
                  <c:v>2020A</c:v>
                </c:pt>
                <c:pt idx="3">
                  <c:v>2021A</c:v>
                </c:pt>
                <c:pt idx="4">
                  <c:v>2022A</c:v>
                </c:pt>
                <c:pt idx="5">
                  <c:v>2023A</c:v>
                </c:pt>
                <c:pt idx="6">
                  <c:v>2024P</c:v>
                </c:pt>
                <c:pt idx="7">
                  <c:v>2025P</c:v>
                </c:pt>
              </c:strCache>
            </c:strRef>
          </c:cat>
          <c:val>
            <c:numRef>
              <c:f>'Past Data'!$E$62:$E$69</c:f>
              <c:numCache>
                <c:formatCode>0.00%</c:formatCode>
                <c:ptCount val="8"/>
                <c:pt idx="0">
                  <c:v>6.8000000000000005E-2</c:v>
                </c:pt>
                <c:pt idx="1">
                  <c:v>6.5000000000000002E-2</c:v>
                </c:pt>
                <c:pt idx="2">
                  <c:v>3.9E-2</c:v>
                </c:pt>
                <c:pt idx="3">
                  <c:v>-5.8000000000000003E-2</c:v>
                </c:pt>
                <c:pt idx="4">
                  <c:v>9.7000000000000003E-2</c:v>
                </c:pt>
                <c:pt idx="5">
                  <c:v>7.1999999999999995E-2</c:v>
                </c:pt>
                <c:pt idx="6">
                  <c:v>6.8000000000000005E-2</c:v>
                </c:pt>
                <c:pt idx="7">
                  <c:v>6.5000000000000002E-2</c:v>
                </c:pt>
              </c:numCache>
            </c:numRef>
          </c:val>
          <c:extLst>
            <c:ext xmlns:c16="http://schemas.microsoft.com/office/drawing/2014/chart" uri="{C3380CC4-5D6E-409C-BE32-E72D297353CC}">
              <c16:uniqueId val="{00000000-8471-4CF3-95C0-7BBC8F3BB440}"/>
            </c:ext>
          </c:extLst>
        </c:ser>
        <c:dLbls>
          <c:showLegendKey val="0"/>
          <c:showVal val="1"/>
          <c:showCatName val="0"/>
          <c:showSerName val="0"/>
          <c:showPercent val="0"/>
          <c:showBubbleSize val="0"/>
        </c:dLbls>
        <c:gapWidth val="219"/>
        <c:axId val="395882016"/>
        <c:axId val="395882976"/>
      </c:barChart>
      <c:lineChart>
        <c:grouping val="standard"/>
        <c:varyColors val="0"/>
        <c:ser>
          <c:idx val="1"/>
          <c:order val="1"/>
          <c:tx>
            <c:strRef>
              <c:f>'Past Data'!$F$61</c:f>
              <c:strCache>
                <c:ptCount val="1"/>
                <c:pt idx="0">
                  <c:v>Global</c:v>
                </c:pt>
              </c:strCache>
            </c:strRef>
          </c:tx>
          <c:spPr>
            <a:ln w="28575" cap="rnd">
              <a:solidFill>
                <a:schemeClr val="bg1">
                  <a:lumMod val="65000"/>
                </a:schemeClr>
              </a:solidFill>
              <a:round/>
            </a:ln>
            <a:effectLst/>
          </c:spPr>
          <c:marker>
            <c:symbol val="circle"/>
            <c:size val="5"/>
            <c:spPr>
              <a:solidFill>
                <a:schemeClr val="tx1"/>
              </a:solidFill>
              <a:ln w="9525">
                <a:solidFill>
                  <a:schemeClr val="accent2"/>
                </a:solidFill>
              </a:ln>
              <a:effectLst/>
            </c:spPr>
          </c:marker>
          <c:dLbls>
            <c:delete val="1"/>
          </c:dLbls>
          <c:cat>
            <c:strRef>
              <c:f>'Past Data'!$D$62:$D$69</c:f>
              <c:strCache>
                <c:ptCount val="8"/>
                <c:pt idx="0">
                  <c:v>2018A</c:v>
                </c:pt>
                <c:pt idx="1">
                  <c:v>2019A</c:v>
                </c:pt>
                <c:pt idx="2">
                  <c:v>2020A</c:v>
                </c:pt>
                <c:pt idx="3">
                  <c:v>2021A</c:v>
                </c:pt>
                <c:pt idx="4">
                  <c:v>2022A</c:v>
                </c:pt>
                <c:pt idx="5">
                  <c:v>2023A</c:v>
                </c:pt>
                <c:pt idx="6">
                  <c:v>2024P</c:v>
                </c:pt>
                <c:pt idx="7">
                  <c:v>2025P</c:v>
                </c:pt>
              </c:strCache>
            </c:strRef>
          </c:cat>
          <c:val>
            <c:numRef>
              <c:f>'Past Data'!$F$62:$F$69</c:f>
              <c:numCache>
                <c:formatCode>0.00%</c:formatCode>
                <c:ptCount val="8"/>
                <c:pt idx="0">
                  <c:v>3.3000000000000002E-2</c:v>
                </c:pt>
                <c:pt idx="1">
                  <c:v>2.5999999999999999E-2</c:v>
                </c:pt>
                <c:pt idx="2">
                  <c:v>-3.1E-2</c:v>
                </c:pt>
                <c:pt idx="3">
                  <c:v>6.0999999999999999E-2</c:v>
                </c:pt>
                <c:pt idx="4">
                  <c:v>3.0800000000000001E-2</c:v>
                </c:pt>
                <c:pt idx="5">
                  <c:v>3.2000000000000001E-2</c:v>
                </c:pt>
                <c:pt idx="6">
                  <c:v>3.2000000000000001E-2</c:v>
                </c:pt>
                <c:pt idx="7">
                  <c:v>3.2000000000000001E-2</c:v>
                </c:pt>
              </c:numCache>
            </c:numRef>
          </c:val>
          <c:smooth val="0"/>
          <c:extLst>
            <c:ext xmlns:c16="http://schemas.microsoft.com/office/drawing/2014/chart" uri="{C3380CC4-5D6E-409C-BE32-E72D297353CC}">
              <c16:uniqueId val="{00000001-8471-4CF3-95C0-7BBC8F3BB440}"/>
            </c:ext>
          </c:extLst>
        </c:ser>
        <c:dLbls>
          <c:showLegendKey val="0"/>
          <c:showVal val="1"/>
          <c:showCatName val="0"/>
          <c:showSerName val="0"/>
          <c:showPercent val="0"/>
          <c:showBubbleSize val="0"/>
        </c:dLbls>
        <c:marker val="1"/>
        <c:smooth val="0"/>
        <c:axId val="395882016"/>
        <c:axId val="395882976"/>
      </c:lineChart>
      <c:catAx>
        <c:axId val="39588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1" i="0" u="none" strike="noStrike" kern="1200" baseline="0">
                <a:solidFill>
                  <a:schemeClr val="tx1">
                    <a:lumMod val="65000"/>
                    <a:lumOff val="35000"/>
                  </a:schemeClr>
                </a:solidFill>
                <a:latin typeface="+mn-lt"/>
                <a:ea typeface="+mn-ea"/>
                <a:cs typeface="+mn-cs"/>
              </a:defRPr>
            </a:pPr>
            <a:endParaRPr lang="en-US"/>
          </a:p>
        </c:txPr>
        <c:crossAx val="395882976"/>
        <c:crosses val="autoZero"/>
        <c:auto val="1"/>
        <c:lblAlgn val="ctr"/>
        <c:lblOffset val="100"/>
        <c:noMultiLvlLbl val="0"/>
      </c:catAx>
      <c:valAx>
        <c:axId val="3958829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9588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a:t>
            </a:r>
            <a:r>
              <a:rPr lang="en-IN" baseline="0"/>
              <a:t> GDP Quaterly Growth Rate Actual Vs Projected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'Past Data'!$N$89</c:f>
              <c:strCache>
                <c:ptCount val="1"/>
                <c:pt idx="0">
                  <c:v>Actual</c:v>
                </c:pt>
              </c:strCache>
            </c:strRef>
          </c:tx>
          <c:spPr>
            <a:solidFill>
              <a:schemeClr val="bg1">
                <a:lumMod val="65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'Past Data'!$M$90:$M$101</c:f>
              <c:strCache>
                <c:ptCount val="12"/>
                <c:pt idx="0">
                  <c:v>FY 2021 (Q3)</c:v>
                </c:pt>
                <c:pt idx="1">
                  <c:v>FY 2021 (Q3)</c:v>
                </c:pt>
                <c:pt idx="2">
                  <c:v>FY 2021 (Q4)</c:v>
                </c:pt>
                <c:pt idx="3">
                  <c:v>FY 2022 (Q1)</c:v>
                </c:pt>
                <c:pt idx="4">
                  <c:v>FY 2022 (Q2)</c:v>
                </c:pt>
                <c:pt idx="5">
                  <c:v>FY 2022 (Q3)</c:v>
                </c:pt>
                <c:pt idx="6">
                  <c:v>FY 2022 (Q4)</c:v>
                </c:pt>
                <c:pt idx="7">
                  <c:v>FY 2023 (Q1)</c:v>
                </c:pt>
                <c:pt idx="8">
                  <c:v>FY 2023 (Q2)</c:v>
                </c:pt>
                <c:pt idx="9">
                  <c:v>FY 2023 (Q3)</c:v>
                </c:pt>
                <c:pt idx="10">
                  <c:v>FY 2023 (Q4)</c:v>
                </c:pt>
                <c:pt idx="11">
                  <c:v>FY 2024 (Q1)</c:v>
                </c:pt>
              </c:strCache>
            </c:strRef>
          </c:cat>
          <c:val>
            <c:numRef>
              <c:f>'Past Data'!$N$90:$N$101</c:f>
              <c:numCache>
                <c:formatCode>0.00%</c:formatCode>
                <c:ptCount val="12"/>
                <c:pt idx="0">
                  <c:v>5.3999999999999999E-2</c:v>
                </c:pt>
                <c:pt idx="1">
                  <c:v>5.3999999999999999E-2</c:v>
                </c:pt>
                <c:pt idx="2">
                  <c:v>4.1000000000000002E-2</c:v>
                </c:pt>
                <c:pt idx="3">
                  <c:v>0.13500000000000001</c:v>
                </c:pt>
                <c:pt idx="4">
                  <c:v>6.3E-2</c:v>
                </c:pt>
                <c:pt idx="5">
                  <c:v>4.3999999999999997E-2</c:v>
                </c:pt>
                <c:pt idx="6">
                  <c:v>6.0999999999999999E-2</c:v>
                </c:pt>
                <c:pt idx="7">
                  <c:v>7.8E-2</c:v>
                </c:pt>
                <c:pt idx="8">
                  <c:v>7.5999999999999998E-2</c:v>
                </c:pt>
                <c:pt idx="9">
                  <c:v>8.4000000000000005E-2</c:v>
                </c:pt>
                <c:pt idx="10">
                  <c:v>7.8E-2</c:v>
                </c:pt>
                <c:pt idx="11">
                  <c:v>6.7000000000000004E-2</c:v>
                </c:pt>
              </c:numCache>
            </c:numRef>
          </c:val>
          <c:extLst>
            <c:ext xmlns:c16="http://schemas.microsoft.com/office/drawing/2014/chart" uri="{C3380CC4-5D6E-409C-BE32-E72D297353CC}">
              <c16:uniqueId val="{00000000-D769-4FCF-BAA2-D10EE48AE404}"/>
            </c:ext>
          </c:extLst>
        </c:ser>
        <c:ser>
          <c:idx val="1"/>
          <c:order val="1"/>
          <c:tx>
            <c:strRef>
              <c:f>'Past Data'!$O$89</c:f>
              <c:strCache>
                <c:ptCount val="1"/>
                <c:pt idx="0">
                  <c:v>projected</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'Past Data'!$M$90:$M$101</c:f>
              <c:strCache>
                <c:ptCount val="12"/>
                <c:pt idx="0">
                  <c:v>FY 2021 (Q3)</c:v>
                </c:pt>
                <c:pt idx="1">
                  <c:v>FY 2021 (Q3)</c:v>
                </c:pt>
                <c:pt idx="2">
                  <c:v>FY 2021 (Q4)</c:v>
                </c:pt>
                <c:pt idx="3">
                  <c:v>FY 2022 (Q1)</c:v>
                </c:pt>
                <c:pt idx="4">
                  <c:v>FY 2022 (Q2)</c:v>
                </c:pt>
                <c:pt idx="5">
                  <c:v>FY 2022 (Q3)</c:v>
                </c:pt>
                <c:pt idx="6">
                  <c:v>FY 2022 (Q4)</c:v>
                </c:pt>
                <c:pt idx="7">
                  <c:v>FY 2023 (Q1)</c:v>
                </c:pt>
                <c:pt idx="8">
                  <c:v>FY 2023 (Q2)</c:v>
                </c:pt>
                <c:pt idx="9">
                  <c:v>FY 2023 (Q3)</c:v>
                </c:pt>
                <c:pt idx="10">
                  <c:v>FY 2023 (Q4)</c:v>
                </c:pt>
                <c:pt idx="11">
                  <c:v>FY 2024 (Q1)</c:v>
                </c:pt>
              </c:strCache>
            </c:strRef>
          </c:cat>
          <c:val>
            <c:numRef>
              <c:f>'Past Data'!$O$90:$O$101</c:f>
              <c:numCache>
                <c:formatCode>0.00%</c:formatCode>
                <c:ptCount val="12"/>
                <c:pt idx="0">
                  <c:v>0.06</c:v>
                </c:pt>
                <c:pt idx="1">
                  <c:v>0.06</c:v>
                </c:pt>
                <c:pt idx="2">
                  <c:v>0.04</c:v>
                </c:pt>
                <c:pt idx="3">
                  <c:v>0.152</c:v>
                </c:pt>
                <c:pt idx="4">
                  <c:v>6.2E-2</c:v>
                </c:pt>
                <c:pt idx="5">
                  <c:v>4.5999999999999999E-2</c:v>
                </c:pt>
                <c:pt idx="6">
                  <c:v>4.5999999999999999E-2</c:v>
                </c:pt>
                <c:pt idx="7">
                  <c:v>7.6999999999999999E-2</c:v>
                </c:pt>
                <c:pt idx="8">
                  <c:v>6.8000000000000005E-2</c:v>
                </c:pt>
                <c:pt idx="9">
                  <c:v>6.6000000000000003E-2</c:v>
                </c:pt>
                <c:pt idx="10">
                  <c:v>6.7000000000000004E-2</c:v>
                </c:pt>
                <c:pt idx="11">
                  <c:v>6.9000000000000006E-2</c:v>
                </c:pt>
              </c:numCache>
            </c:numRef>
          </c:val>
          <c:extLst>
            <c:ext xmlns:c16="http://schemas.microsoft.com/office/drawing/2014/chart" uri="{C3380CC4-5D6E-409C-BE32-E72D297353CC}">
              <c16:uniqueId val="{00000001-D769-4FCF-BAA2-D10EE48AE404}"/>
            </c:ext>
          </c:extLst>
        </c:ser>
        <c:dLbls>
          <c:dLblPos val="outEnd"/>
          <c:showLegendKey val="0"/>
          <c:showVal val="1"/>
          <c:showCatName val="0"/>
          <c:showSerName val="0"/>
          <c:showPercent val="0"/>
          <c:showBubbleSize val="0"/>
        </c:dLbls>
        <c:gapWidth val="219"/>
        <c:overlap val="-27"/>
        <c:axId val="556857360"/>
        <c:axId val="556855920"/>
      </c:barChart>
      <c:catAx>
        <c:axId val="55685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6855920"/>
        <c:crosses val="autoZero"/>
        <c:auto val="1"/>
        <c:lblAlgn val="ctr"/>
        <c:lblOffset val="100"/>
        <c:noMultiLvlLbl val="0"/>
      </c:catAx>
      <c:valAx>
        <c:axId val="5568559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685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Gross</a:t>
            </a:r>
            <a:r>
              <a:rPr lang="en-IN" b="1" baseline="0">
                <a:solidFill>
                  <a:srgbClr val="FF0000"/>
                </a:solidFill>
              </a:rPr>
              <a:t> Margins</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solidFill>
                <a:srgbClr val="FF0000"/>
              </a:solidFill>
            </a:ln>
            <a:effectLst/>
          </c:spPr>
          <c:invertIfNegative val="0"/>
          <c:dPt>
            <c:idx val="8"/>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2-C009-4AF6-8792-C023E98BEBDF}"/>
              </c:ext>
            </c:extLst>
          </c:dPt>
          <c:dPt>
            <c:idx val="9"/>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3-C009-4AF6-8792-C023E98BEBDF}"/>
              </c:ext>
            </c:extLst>
          </c:dPt>
          <c:dPt>
            <c:idx val="10"/>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4-C009-4AF6-8792-C023E98BEBDF}"/>
              </c:ext>
            </c:extLst>
          </c:dPt>
          <c:dPt>
            <c:idx val="11"/>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5-C009-4AF6-8792-C023E98BEBDF}"/>
              </c:ext>
            </c:extLst>
          </c:dPt>
          <c:cat>
            <c:numRef>
              <c:f>'Past Data'!$AA$2:$AL$2</c:f>
              <c:numCache>
                <c:formatCode>0"A"</c:formatCode>
                <c:ptCount val="12"/>
                <c:pt idx="0">
                  <c:v>2017</c:v>
                </c:pt>
                <c:pt idx="1">
                  <c:v>2018</c:v>
                </c:pt>
                <c:pt idx="2">
                  <c:v>2019</c:v>
                </c:pt>
                <c:pt idx="3">
                  <c:v>2020</c:v>
                </c:pt>
                <c:pt idx="4">
                  <c:v>2021</c:v>
                </c:pt>
                <c:pt idx="5">
                  <c:v>2022</c:v>
                </c:pt>
                <c:pt idx="6">
                  <c:v>2023</c:v>
                </c:pt>
                <c:pt idx="7">
                  <c:v>2024</c:v>
                </c:pt>
                <c:pt idx="8" formatCode="0&quot;F&quot;">
                  <c:v>2025</c:v>
                </c:pt>
                <c:pt idx="9" formatCode="0&quot;F&quot;">
                  <c:v>2026</c:v>
                </c:pt>
                <c:pt idx="10" formatCode="0&quot;F&quot;">
                  <c:v>2027</c:v>
                </c:pt>
                <c:pt idx="11" formatCode="0&quot;F&quot;">
                  <c:v>2028</c:v>
                </c:pt>
              </c:numCache>
            </c:numRef>
          </c:cat>
          <c:val>
            <c:numRef>
              <c:f>'Past Data'!$AA$3:$AL$3</c:f>
              <c:numCache>
                <c:formatCode>0.00%</c:formatCode>
                <c:ptCount val="12"/>
                <c:pt idx="0">
                  <c:v>0.91869918699186992</c:v>
                </c:pt>
                <c:pt idx="1">
                  <c:v>0.92854382753711606</c:v>
                </c:pt>
                <c:pt idx="2">
                  <c:v>0.92217381261499487</c:v>
                </c:pt>
                <c:pt idx="3">
                  <c:v>0.92500718843012453</c:v>
                </c:pt>
                <c:pt idx="4">
                  <c:v>0.92226966673303978</c:v>
                </c:pt>
                <c:pt idx="5">
                  <c:v>0.93267417766554961</c:v>
                </c:pt>
                <c:pt idx="6">
                  <c:v>0.92328331288824672</c:v>
                </c:pt>
                <c:pt idx="7">
                  <c:v>0.92519638993391939</c:v>
                </c:pt>
                <c:pt idx="8">
                  <c:v>0.91900000000000004</c:v>
                </c:pt>
                <c:pt idx="9">
                  <c:v>0.91965000000000008</c:v>
                </c:pt>
                <c:pt idx="10">
                  <c:v>0.92030000000000012</c:v>
                </c:pt>
                <c:pt idx="11">
                  <c:v>0.92095000000000016</c:v>
                </c:pt>
              </c:numCache>
            </c:numRef>
          </c:val>
          <c:extLst>
            <c:ext xmlns:c16="http://schemas.microsoft.com/office/drawing/2014/chart" uri="{C3380CC4-5D6E-409C-BE32-E72D297353CC}">
              <c16:uniqueId val="{00000000-C009-4AF6-8792-C023E98BEBDF}"/>
            </c:ext>
          </c:extLst>
        </c:ser>
        <c:dLbls>
          <c:showLegendKey val="0"/>
          <c:showVal val="0"/>
          <c:showCatName val="0"/>
          <c:showSerName val="0"/>
          <c:showPercent val="0"/>
          <c:showBubbleSize val="0"/>
        </c:dLbls>
        <c:gapWidth val="219"/>
        <c:overlap val="-27"/>
        <c:axId val="1142608639"/>
        <c:axId val="1142610079"/>
      </c:barChart>
      <c:catAx>
        <c:axId val="1142608639"/>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08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42610079"/>
        <c:crosses val="autoZero"/>
        <c:auto val="1"/>
        <c:lblAlgn val="ctr"/>
        <c:lblOffset val="100"/>
        <c:noMultiLvlLbl val="0"/>
      </c:catAx>
      <c:valAx>
        <c:axId val="11426100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426086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Inventory</a:t>
            </a:r>
            <a:r>
              <a:rPr lang="en-IN" b="1" baseline="0">
                <a:solidFill>
                  <a:srgbClr val="FF0000"/>
                </a:solidFill>
              </a:rPr>
              <a:t>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'Past Data'!$K$78</c:f>
              <c:strCache>
                <c:ptCount val="1"/>
                <c:pt idx="0">
                  <c:v>Inventory Days(COGS)</c:v>
                </c:pt>
              </c:strCache>
            </c:strRef>
          </c:tx>
          <c:spPr>
            <a:solidFill>
              <a:srgbClr val="FF0000"/>
            </a:solidFill>
            <a:ln>
              <a:noFill/>
            </a:ln>
            <a:effectLst/>
          </c:spPr>
          <c:invertIfNegative val="0"/>
          <c:cat>
            <c:strRef>
              <c:f>'Past Data'!$L$77:$S$77</c:f>
              <c:strCache>
                <c:ptCount val="8"/>
                <c:pt idx="0">
                  <c:v>2017A</c:v>
                </c:pt>
                <c:pt idx="1">
                  <c:v>2018A</c:v>
                </c:pt>
                <c:pt idx="2">
                  <c:v>2019A</c:v>
                </c:pt>
                <c:pt idx="3">
                  <c:v>2020A</c:v>
                </c:pt>
                <c:pt idx="4">
                  <c:v>2021A</c:v>
                </c:pt>
                <c:pt idx="5">
                  <c:v>2022A</c:v>
                </c:pt>
                <c:pt idx="6">
                  <c:v>2023A</c:v>
                </c:pt>
                <c:pt idx="7">
                  <c:v>2024A</c:v>
                </c:pt>
              </c:strCache>
            </c:strRef>
          </c:cat>
          <c:val>
            <c:numRef>
              <c:f>'Past Data'!$L$78:$S$78</c:f>
              <c:numCache>
                <c:formatCode>#,##0.00</c:formatCode>
                <c:ptCount val="8"/>
                <c:pt idx="0">
                  <c:v>1314.5</c:v>
                </c:pt>
                <c:pt idx="1">
                  <c:v>1569.02</c:v>
                </c:pt>
                <c:pt idx="2">
                  <c:v>1870.31</c:v>
                </c:pt>
                <c:pt idx="3">
                  <c:v>1713.49</c:v>
                </c:pt>
                <c:pt idx="4">
                  <c:v>1715.72</c:v>
                </c:pt>
                <c:pt idx="5">
                  <c:v>2497.02</c:v>
                </c:pt>
                <c:pt idx="6">
                  <c:v>2759.68</c:v>
                </c:pt>
                <c:pt idx="7">
                  <c:v>3555.07</c:v>
                </c:pt>
              </c:numCache>
            </c:numRef>
          </c:val>
          <c:extLst>
            <c:ext xmlns:c16="http://schemas.microsoft.com/office/drawing/2014/chart" uri="{C3380CC4-5D6E-409C-BE32-E72D297353CC}">
              <c16:uniqueId val="{00000000-6450-4583-9F3B-BBE9A9D900BE}"/>
            </c:ext>
          </c:extLst>
        </c:ser>
        <c:dLbls>
          <c:showLegendKey val="0"/>
          <c:showVal val="0"/>
          <c:showCatName val="0"/>
          <c:showSerName val="0"/>
          <c:showPercent val="0"/>
          <c:showBubbleSize val="0"/>
        </c:dLbls>
        <c:gapWidth val="150"/>
        <c:axId val="565671808"/>
        <c:axId val="565673248"/>
      </c:barChart>
      <c:lineChart>
        <c:grouping val="standard"/>
        <c:varyColors val="0"/>
        <c:ser>
          <c:idx val="1"/>
          <c:order val="1"/>
          <c:tx>
            <c:strRef>
              <c:f>'Past Data'!$K$79</c:f>
              <c:strCache>
                <c:ptCount val="1"/>
                <c:pt idx="0">
                  <c:v>Inventory Days</c:v>
                </c:pt>
              </c:strCache>
            </c:strRef>
          </c:tx>
          <c:spPr>
            <a:ln w="28575" cap="rnd">
              <a:solidFill>
                <a:schemeClr val="bg1">
                  <a:lumMod val="65000"/>
                </a:schemeClr>
              </a:solidFill>
              <a:round/>
            </a:ln>
            <a:effectLst/>
          </c:spPr>
          <c:marker>
            <c:symbol val="circle"/>
            <c:size val="5"/>
            <c:spPr>
              <a:solidFill>
                <a:schemeClr val="bg1">
                  <a:lumMod val="65000"/>
                </a:schemeClr>
              </a:solidFill>
              <a:ln w="9525">
                <a:solidFill>
                  <a:schemeClr val="bg1">
                    <a:lumMod val="6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'Past Data'!$L$77:$S$77</c:f>
              <c:strCache>
                <c:ptCount val="8"/>
                <c:pt idx="0">
                  <c:v>2017A</c:v>
                </c:pt>
                <c:pt idx="1">
                  <c:v>2018A</c:v>
                </c:pt>
                <c:pt idx="2">
                  <c:v>2019A</c:v>
                </c:pt>
                <c:pt idx="3">
                  <c:v>2020A</c:v>
                </c:pt>
                <c:pt idx="4">
                  <c:v>2021A</c:v>
                </c:pt>
                <c:pt idx="5">
                  <c:v>2022A</c:v>
                </c:pt>
                <c:pt idx="6">
                  <c:v>2023A</c:v>
                </c:pt>
                <c:pt idx="7">
                  <c:v>2024A</c:v>
                </c:pt>
              </c:strCache>
            </c:strRef>
          </c:cat>
          <c:val>
            <c:numRef>
              <c:f>'Past Data'!$L$79:$S$79</c:f>
              <c:numCache>
                <c:formatCode>0</c:formatCode>
                <c:ptCount val="8"/>
                <c:pt idx="0">
                  <c:v>562.87968863142657</c:v>
                </c:pt>
                <c:pt idx="1">
                  <c:v>749.8466799658022</c:v>
                </c:pt>
                <c:pt idx="2">
                  <c:v>642.12554987212275</c:v>
                </c:pt>
                <c:pt idx="3">
                  <c:v>678</c:v>
                </c:pt>
                <c:pt idx="4">
                  <c:v>593.54213296661612</c:v>
                </c:pt>
                <c:pt idx="5">
                  <c:v>761.2882958708783</c:v>
                </c:pt>
                <c:pt idx="6">
                  <c:v>700.61180895347991</c:v>
                </c:pt>
                <c:pt idx="7">
                  <c:v>750.77646579804559</c:v>
                </c:pt>
              </c:numCache>
            </c:numRef>
          </c:val>
          <c:smooth val="0"/>
          <c:extLst>
            <c:ext xmlns:c16="http://schemas.microsoft.com/office/drawing/2014/chart" uri="{C3380CC4-5D6E-409C-BE32-E72D297353CC}">
              <c16:uniqueId val="{00000001-6450-4583-9F3B-BBE9A9D900BE}"/>
            </c:ext>
          </c:extLst>
        </c:ser>
        <c:dLbls>
          <c:showLegendKey val="0"/>
          <c:showVal val="0"/>
          <c:showCatName val="0"/>
          <c:showSerName val="0"/>
          <c:showPercent val="0"/>
          <c:showBubbleSize val="0"/>
        </c:dLbls>
        <c:marker val="1"/>
        <c:smooth val="0"/>
        <c:axId val="489665264"/>
        <c:axId val="489664784"/>
      </c:lineChart>
      <c:catAx>
        <c:axId val="56567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5673248"/>
        <c:crosses val="autoZero"/>
        <c:auto val="1"/>
        <c:lblAlgn val="ctr"/>
        <c:lblOffset val="100"/>
        <c:noMultiLvlLbl val="0"/>
      </c:catAx>
      <c:valAx>
        <c:axId val="565673248"/>
        <c:scaling>
          <c:orientation val="minMax"/>
          <c:min val="5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5671808"/>
        <c:crosses val="autoZero"/>
        <c:crossBetween val="between"/>
      </c:valAx>
      <c:valAx>
        <c:axId val="489664784"/>
        <c:scaling>
          <c:orientation val="minMax"/>
          <c:min val="50"/>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9665264"/>
        <c:crosses val="max"/>
        <c:crossBetween val="between"/>
      </c:valAx>
      <c:catAx>
        <c:axId val="489665264"/>
        <c:scaling>
          <c:orientation val="minMax"/>
        </c:scaling>
        <c:delete val="1"/>
        <c:axPos val="b"/>
        <c:numFmt formatCode="General" sourceLinked="1"/>
        <c:majorTickMark val="none"/>
        <c:minorTickMark val="none"/>
        <c:tickLblPos val="nextTo"/>
        <c:crossAx val="4896647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Industry</a:t>
            </a:r>
            <a:r>
              <a:rPr lang="en-IN" b="1" baseline="0">
                <a:solidFill>
                  <a:srgbClr val="FF0000"/>
                </a:solidFill>
              </a:rPr>
              <a:t> vs Shree Cement Inventory Days</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'Past Data'!$H$113</c:f>
              <c:strCache>
                <c:ptCount val="1"/>
                <c:pt idx="0">
                  <c:v>Industry inventory Days</c:v>
                </c:pt>
              </c:strCache>
            </c:strRef>
          </c:tx>
          <c:spPr>
            <a:solidFill>
              <a:schemeClr val="accent1">
                <a:lumMod val="50000"/>
              </a:schemeClr>
            </a:solidFill>
            <a:ln>
              <a:solidFill>
                <a:schemeClr val="accent1">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'Past Data'!$I$107:$P$107</c:f>
              <c:strCache>
                <c:ptCount val="8"/>
                <c:pt idx="0">
                  <c:v>2017A</c:v>
                </c:pt>
                <c:pt idx="1">
                  <c:v>2018A</c:v>
                </c:pt>
                <c:pt idx="2">
                  <c:v>2019A</c:v>
                </c:pt>
                <c:pt idx="3">
                  <c:v>2020A</c:v>
                </c:pt>
                <c:pt idx="4">
                  <c:v>2021A</c:v>
                </c:pt>
                <c:pt idx="5">
                  <c:v>2022A</c:v>
                </c:pt>
                <c:pt idx="6">
                  <c:v>2023A</c:v>
                </c:pt>
                <c:pt idx="7">
                  <c:v>2024A</c:v>
                </c:pt>
              </c:strCache>
            </c:strRef>
          </c:cat>
          <c:val>
            <c:numRef>
              <c:f>'Past Data'!$I$113:$P$113</c:f>
              <c:numCache>
                <c:formatCode>0</c:formatCode>
                <c:ptCount val="8"/>
                <c:pt idx="0">
                  <c:v>222.6</c:v>
                </c:pt>
                <c:pt idx="1">
                  <c:v>227.8</c:v>
                </c:pt>
                <c:pt idx="2">
                  <c:v>207.6</c:v>
                </c:pt>
                <c:pt idx="3">
                  <c:v>219.6</c:v>
                </c:pt>
                <c:pt idx="4">
                  <c:v>239.2</c:v>
                </c:pt>
                <c:pt idx="5">
                  <c:v>270</c:v>
                </c:pt>
                <c:pt idx="6">
                  <c:v>239.2</c:v>
                </c:pt>
                <c:pt idx="7">
                  <c:v>207.75</c:v>
                </c:pt>
              </c:numCache>
            </c:numRef>
          </c:val>
          <c:extLst>
            <c:ext xmlns:c16="http://schemas.microsoft.com/office/drawing/2014/chart" uri="{C3380CC4-5D6E-409C-BE32-E72D297353CC}">
              <c16:uniqueId val="{00000000-FB76-490D-A68A-4C0CF7A411B8}"/>
            </c:ext>
          </c:extLst>
        </c:ser>
        <c:ser>
          <c:idx val="1"/>
          <c:order val="1"/>
          <c:tx>
            <c:strRef>
              <c:f>'Past Data'!$H$114</c:f>
              <c:strCache>
                <c:ptCount val="1"/>
                <c:pt idx="0">
                  <c:v>shree cement inventory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'Past Data'!$I$107:$P$107</c:f>
              <c:strCache>
                <c:ptCount val="8"/>
                <c:pt idx="0">
                  <c:v>2017A</c:v>
                </c:pt>
                <c:pt idx="1">
                  <c:v>2018A</c:v>
                </c:pt>
                <c:pt idx="2">
                  <c:v>2019A</c:v>
                </c:pt>
                <c:pt idx="3">
                  <c:v>2020A</c:v>
                </c:pt>
                <c:pt idx="4">
                  <c:v>2021A</c:v>
                </c:pt>
                <c:pt idx="5">
                  <c:v>2022A</c:v>
                </c:pt>
                <c:pt idx="6">
                  <c:v>2023A</c:v>
                </c:pt>
                <c:pt idx="7">
                  <c:v>2024A</c:v>
                </c:pt>
              </c:strCache>
            </c:strRef>
          </c:cat>
          <c:val>
            <c:numRef>
              <c:f>'Past Data'!$I$114:$P$114</c:f>
              <c:numCache>
                <c:formatCode>0</c:formatCode>
                <c:ptCount val="8"/>
                <c:pt idx="0">
                  <c:v>562.87968863142657</c:v>
                </c:pt>
                <c:pt idx="1">
                  <c:v>749.8466799658022</c:v>
                </c:pt>
                <c:pt idx="2">
                  <c:v>642.12554987212275</c:v>
                </c:pt>
                <c:pt idx="3">
                  <c:v>678</c:v>
                </c:pt>
                <c:pt idx="4">
                  <c:v>593.54213296661612</c:v>
                </c:pt>
                <c:pt idx="5">
                  <c:v>761.2882958708783</c:v>
                </c:pt>
                <c:pt idx="6">
                  <c:v>700.61180895347991</c:v>
                </c:pt>
                <c:pt idx="7">
                  <c:v>750.77646579804559</c:v>
                </c:pt>
              </c:numCache>
            </c:numRef>
          </c:val>
          <c:extLst>
            <c:ext xmlns:c16="http://schemas.microsoft.com/office/drawing/2014/chart" uri="{C3380CC4-5D6E-409C-BE32-E72D297353CC}">
              <c16:uniqueId val="{00000001-FB76-490D-A68A-4C0CF7A411B8}"/>
            </c:ext>
          </c:extLst>
        </c:ser>
        <c:dLbls>
          <c:dLblPos val="outEnd"/>
          <c:showLegendKey val="0"/>
          <c:showVal val="1"/>
          <c:showCatName val="0"/>
          <c:showSerName val="0"/>
          <c:showPercent val="0"/>
          <c:showBubbleSize val="0"/>
        </c:dLbls>
        <c:gapWidth val="219"/>
        <c:overlap val="-27"/>
        <c:axId val="90330272"/>
        <c:axId val="90331232"/>
      </c:barChart>
      <c:catAx>
        <c:axId val="9033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331232"/>
        <c:crosses val="autoZero"/>
        <c:auto val="1"/>
        <c:lblAlgn val="ctr"/>
        <c:lblOffset val="100"/>
        <c:noMultiLvlLbl val="0"/>
      </c:catAx>
      <c:valAx>
        <c:axId val="90331232"/>
        <c:scaling>
          <c:orientation val="minMax"/>
          <c:min val="1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33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J$4" fmlaRange="$V$9:$V$11" noThreeD="1" sel="3" val="0"/>
</file>

<file path=xl/ctrlProps/ctrlProp2.xml><?xml version="1.0" encoding="utf-8"?>
<formControlPr xmlns="http://schemas.microsoft.com/office/spreadsheetml/2009/9/main" objectType="Drop" dropStyle="combo" dx="26" fmlaLink="'Control Sheet'!$J$4" fmlaRange="'Control Sheet'!$V$9:$V$11" noThreeD="1" sel="3" val="0"/>
</file>

<file path=xl/ctrlProps/ctrlProp3.xml><?xml version="1.0" encoding="utf-8"?>
<formControlPr xmlns="http://schemas.microsoft.com/office/spreadsheetml/2009/9/main" objectType="Drop" dropStyle="combo" dx="26" fmlaLink="'Control Sheet'!$J$4" fmlaRange="'Control Sheet'!$V$9:$V$11" noThreeD="1" sel="3" val="0"/>
</file>

<file path=xl/ctrlProps/ctrlProp4.xml><?xml version="1.0" encoding="utf-8"?>
<formControlPr xmlns="http://schemas.microsoft.com/office/spreadsheetml/2009/9/main" objectType="Drop" dropStyle="combo" dx="26" fmlaLink="'Control Sheet'!$J$4" fmlaRange="'Control Sheet'!$V$9:$V$11" noThreeD="1" sel="3" val="0"/>
</file>

<file path=xl/ctrlProps/ctrlProp5.xml><?xml version="1.0" encoding="utf-8"?>
<formControlPr xmlns="http://schemas.microsoft.com/office/spreadsheetml/2009/9/main" objectType="Drop" dropStyle="combo" dx="26" fmlaLink="'Control Sheet'!$J$4" fmlaRange="'Control Sheet'!$V$9:$V$11" noThreeD="1" sel="3" val="0"/>
</file>

<file path=xl/ctrlProps/ctrlProp6.xml><?xml version="1.0" encoding="utf-8"?>
<formControlPr xmlns="http://schemas.microsoft.com/office/spreadsheetml/2009/9/main" objectType="Drop" dropStyle="combo" dx="26" fmlaLink="'Control Sheet'!$J$4" fmlaRange="'Control Sheet'!$V$9:$V$11" noThreeD="1" sel="3" val="0"/>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chart" Target="../charts/chart1.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jpeg"/><Relationship Id="rId5" Type="http://schemas.openxmlformats.org/officeDocument/2006/relationships/image" Target="../media/image6.png"/><Relationship Id="rId4" Type="http://schemas.openxmlformats.org/officeDocument/2006/relationships/image" Target="../media/image5.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chart" Target="../charts/chart10.xml"/><Relationship Id="rId26" Type="http://schemas.openxmlformats.org/officeDocument/2006/relationships/chart" Target="../charts/chart17.xml"/><Relationship Id="rId3" Type="http://schemas.openxmlformats.org/officeDocument/2006/relationships/chart" Target="../charts/chart6.xml"/><Relationship Id="rId21" Type="http://schemas.openxmlformats.org/officeDocument/2006/relationships/chart" Target="../charts/chart13.xml"/><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chart" Target="../charts/chart9.xml"/><Relationship Id="rId25" Type="http://schemas.openxmlformats.org/officeDocument/2006/relationships/chart" Target="../charts/chart16.xml"/><Relationship Id="rId2" Type="http://schemas.openxmlformats.org/officeDocument/2006/relationships/chart" Target="../charts/chart5.xml"/><Relationship Id="rId16" Type="http://schemas.openxmlformats.org/officeDocument/2006/relationships/image" Target="../media/image19.png"/><Relationship Id="rId20" Type="http://schemas.openxmlformats.org/officeDocument/2006/relationships/chart" Target="../charts/chart12.xml"/><Relationship Id="rId1" Type="http://schemas.openxmlformats.org/officeDocument/2006/relationships/image" Target="../media/image8.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chart" Target="../charts/chart15.xml"/><Relationship Id="rId5" Type="http://schemas.openxmlformats.org/officeDocument/2006/relationships/image" Target="../media/image10.png"/><Relationship Id="rId15" Type="http://schemas.openxmlformats.org/officeDocument/2006/relationships/chart" Target="../charts/chart8.xml"/><Relationship Id="rId23" Type="http://schemas.openxmlformats.org/officeDocument/2006/relationships/chart" Target="../charts/chart14.xml"/><Relationship Id="rId10" Type="http://schemas.openxmlformats.org/officeDocument/2006/relationships/image" Target="../media/image15.png"/><Relationship Id="rId19" Type="http://schemas.openxmlformats.org/officeDocument/2006/relationships/chart" Target="../charts/chart11.xml"/><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chart" Target="../charts/chart7.xml"/><Relationship Id="rId22"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3</xdr:row>
      <xdr:rowOff>13946</xdr:rowOff>
    </xdr:from>
    <xdr:to>
      <xdr:col>4</xdr:col>
      <xdr:colOff>774879</xdr:colOff>
      <xdr:row>25</xdr:row>
      <xdr:rowOff>15240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32460" y="1408406"/>
          <a:ext cx="9934119" cy="4024654"/>
        </a:xfrm>
        <a:prstGeom prst="rect">
          <a:avLst/>
        </a:prstGeom>
        <a:ln>
          <a:solidFill>
            <a:srgbClr val="002060"/>
          </a:solidFill>
        </a:ln>
      </xdr:spPr>
    </xdr:pic>
    <xdr:clientData/>
  </xdr:twoCellAnchor>
  <xdr:twoCellAnchor editAs="oneCell">
    <xdr:from>
      <xdr:col>3</xdr:col>
      <xdr:colOff>91441</xdr:colOff>
      <xdr:row>27</xdr:row>
      <xdr:rowOff>220981</xdr:rowOff>
    </xdr:from>
    <xdr:to>
      <xdr:col>4</xdr:col>
      <xdr:colOff>1432561</xdr:colOff>
      <xdr:row>37</xdr:row>
      <xdr:rowOff>137071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246621" y="6004561"/>
          <a:ext cx="3977640" cy="1950630"/>
        </a:xfrm>
        <a:prstGeom prst="rect">
          <a:avLst/>
        </a:prstGeom>
        <a:ln>
          <a:solidFill>
            <a:srgbClr val="002060"/>
          </a:solidFill>
        </a:ln>
      </xdr:spPr>
    </xdr:pic>
    <xdr:clientData/>
  </xdr:twoCellAnchor>
  <xdr:twoCellAnchor editAs="oneCell">
    <xdr:from>
      <xdr:col>0</xdr:col>
      <xdr:colOff>510540</xdr:colOff>
      <xdr:row>41</xdr:row>
      <xdr:rowOff>167640</xdr:rowOff>
    </xdr:from>
    <xdr:to>
      <xdr:col>3</xdr:col>
      <xdr:colOff>297782</xdr:colOff>
      <xdr:row>66</xdr:row>
      <xdr:rowOff>107071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510540" y="9304020"/>
          <a:ext cx="6942422" cy="4511431"/>
        </a:xfrm>
        <a:prstGeom prst="rect">
          <a:avLst/>
        </a:prstGeom>
        <a:ln>
          <a:solidFill>
            <a:srgbClr val="002060"/>
          </a:solidFill>
        </a:ln>
      </xdr:spPr>
    </xdr:pic>
    <xdr:clientData/>
  </xdr:twoCellAnchor>
  <xdr:twoCellAnchor editAs="oneCell">
    <xdr:from>
      <xdr:col>3</xdr:col>
      <xdr:colOff>38100</xdr:colOff>
      <xdr:row>88</xdr:row>
      <xdr:rowOff>137160</xdr:rowOff>
    </xdr:from>
    <xdr:to>
      <xdr:col>4</xdr:col>
      <xdr:colOff>1630680</xdr:colOff>
      <xdr:row>94</xdr:row>
      <xdr:rowOff>91440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93280" y="19926300"/>
          <a:ext cx="4229100" cy="2042160"/>
        </a:xfrm>
        <a:prstGeom prst="rect">
          <a:avLst/>
        </a:prstGeom>
        <a:noFill/>
        <a:ln>
          <a:solidFill>
            <a:srgbClr val="00206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274320</xdr:colOff>
      <xdr:row>104</xdr:row>
      <xdr:rowOff>53340</xdr:rowOff>
    </xdr:from>
    <xdr:to>
      <xdr:col>3</xdr:col>
      <xdr:colOff>2626332</xdr:colOff>
      <xdr:row>131</xdr:row>
      <xdr:rowOff>50219</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83920" y="23713440"/>
          <a:ext cx="8897592" cy="4934639"/>
        </a:xfrm>
        <a:prstGeom prst="rect">
          <a:avLst/>
        </a:prstGeom>
        <a:ln>
          <a:solidFill>
            <a:srgbClr val="002060"/>
          </a:solidFill>
        </a:ln>
      </xdr:spPr>
    </xdr:pic>
    <xdr:clientData/>
  </xdr:twoCellAnchor>
  <xdr:twoCellAnchor>
    <xdr:from>
      <xdr:col>4</xdr:col>
      <xdr:colOff>2042160</xdr:colOff>
      <xdr:row>2</xdr:row>
      <xdr:rowOff>373380</xdr:rowOff>
    </xdr:from>
    <xdr:to>
      <xdr:col>11</xdr:col>
      <xdr:colOff>160020</xdr:colOff>
      <xdr:row>15</xdr:row>
      <xdr:rowOff>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11833860" y="739140"/>
          <a:ext cx="8389620" cy="284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India is the second</a:t>
          </a:r>
          <a:r>
            <a:rPr lang="en-IN" sz="1100" baseline="0"/>
            <a:t> largest producer of cement in the world with more than 8% of global installed capacity</a:t>
          </a:r>
          <a:r>
            <a:rPr lang="en-IN"/>
            <a:t>.</a:t>
          </a:r>
          <a:r>
            <a:rPr lang="en-IN" baseline="0"/>
            <a:t> </a:t>
          </a:r>
          <a:r>
            <a:rPr lang="en-IN"/>
            <a:t>During the year 2023-24, cement demand is estimated to have grown at a robust 10-12% to 442-447 Mn tonnes. This is after registering a healthy ~12% growth in the year 2022-23.</a:t>
          </a:r>
          <a:r>
            <a:rPr lang="en-IN" sz="1100">
              <a:solidFill>
                <a:schemeClr val="dk1"/>
              </a:solidFill>
              <a:effectLst/>
              <a:latin typeface="+mn-lt"/>
              <a:ea typeface="+mn-ea"/>
              <a:cs typeface="+mn-cs"/>
            </a:rPr>
            <a:t> Looking forward, the Cement market  is expected to reach 599.7 Million Tons by 2032, exhibiting a growth rate (CAGR) of 4.7% during 2024-2032</a:t>
          </a:r>
          <a:r>
            <a:rPr lang="en-IN" sz="1100" b="0" i="1">
              <a:solidFill>
                <a:schemeClr val="dk1"/>
              </a:solidFill>
              <a:effectLst/>
              <a:latin typeface="+mn-lt"/>
              <a:ea typeface="+mn-ea"/>
              <a:cs typeface="+mn-cs"/>
            </a:rPr>
            <a:t>.</a:t>
          </a:r>
        </a:p>
        <a:p>
          <a:r>
            <a:rPr lang="en-IN"/>
            <a:t> India has a lot of potential for development in the infrastructure and construction sector and the cement sector is expected to largely benefit from it. Furthermore, on the back of rising rural housing demand, the consumption of cement in India has been growing consistently as it is one of the cheapest products to buy in terms of Rs./kg. Strong expansion of the industrial sector, which has fully recovered from the COVID-19 pandemic shock, is one of the main demand drivers for the cement industry. As a result, there is a strong potential for an increase in the long-term demand for the cement industry. Some of the recent initiatives, such as the development of 98 smart cities, are expected to significantly boost the sector.</a:t>
          </a:r>
        </a:p>
        <a:p>
          <a:endParaRPr lang="en-IN"/>
        </a:p>
        <a:p>
          <a:r>
            <a:rPr lang="en-IN"/>
            <a:t> The cement sector faces challenges such as rising fuel and power costs, as well as regulatory changes, which may hinder its growth.</a:t>
          </a:r>
        </a:p>
      </xdr:txBody>
    </xdr:sp>
    <xdr:clientData/>
  </xdr:twoCellAnchor>
  <xdr:twoCellAnchor editAs="oneCell">
    <xdr:from>
      <xdr:col>3</xdr:col>
      <xdr:colOff>2270760</xdr:colOff>
      <xdr:row>55</xdr:row>
      <xdr:rowOff>22860</xdr:rowOff>
    </xdr:from>
    <xdr:to>
      <xdr:col>6</xdr:col>
      <xdr:colOff>563880</xdr:colOff>
      <xdr:row>78</xdr:row>
      <xdr:rowOff>99060</xdr:rowOff>
    </xdr:to>
    <xdr:pic>
      <xdr:nvPicPr>
        <xdr:cNvPr id="8" name="Picture 7" descr="Cement Sector in India">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25940" y="11132820"/>
          <a:ext cx="4229100" cy="4587240"/>
        </a:xfrm>
        <a:prstGeom prst="rect">
          <a:avLst/>
        </a:prstGeom>
        <a:noFill/>
        <a:ln>
          <a:solidFill>
            <a:srgbClr val="002060"/>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1379220</xdr:colOff>
      <xdr:row>96</xdr:row>
      <xdr:rowOff>80010</xdr:rowOff>
    </xdr:from>
    <xdr:to>
      <xdr:col>8</xdr:col>
      <xdr:colOff>1432560</xdr:colOff>
      <xdr:row>108</xdr:row>
      <xdr:rowOff>87630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40</xdr:row>
      <xdr:rowOff>80010</xdr:rowOff>
    </xdr:from>
    <xdr:to>
      <xdr:col>11</xdr:col>
      <xdr:colOff>647700</xdr:colOff>
      <xdr:row>55</xdr:row>
      <xdr:rowOff>80010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5341620</xdr:colOff>
      <xdr:row>5</xdr:row>
      <xdr:rowOff>102870</xdr:rowOff>
    </xdr:from>
    <xdr:to>
      <xdr:col>23</xdr:col>
      <xdr:colOff>114300</xdr:colOff>
      <xdr:row>20</xdr:row>
      <xdr:rowOff>102870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91440</xdr:colOff>
      <xdr:row>27</xdr:row>
      <xdr:rowOff>171450</xdr:rowOff>
    </xdr:from>
    <xdr:to>
      <xdr:col>23</xdr:col>
      <xdr:colOff>396240</xdr:colOff>
      <xdr:row>42</xdr:row>
      <xdr:rowOff>171450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83186</xdr:rowOff>
    </xdr:from>
    <xdr:to>
      <xdr:col>4</xdr:col>
      <xdr:colOff>496190</xdr:colOff>
      <xdr:row>26</xdr:row>
      <xdr:rowOff>137567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14300" y="2163446"/>
          <a:ext cx="5708270" cy="2614701"/>
        </a:xfrm>
        <a:prstGeom prst="rect">
          <a:avLst/>
        </a:prstGeom>
      </xdr:spPr>
    </xdr:pic>
    <xdr:clientData/>
  </xdr:twoCellAnchor>
  <xdr:twoCellAnchor>
    <xdr:from>
      <xdr:col>12</xdr:col>
      <xdr:colOff>716280</xdr:colOff>
      <xdr:row>279</xdr:row>
      <xdr:rowOff>148590</xdr:rowOff>
    </xdr:from>
    <xdr:to>
      <xdr:col>18</xdr:col>
      <xdr:colOff>304800</xdr:colOff>
      <xdr:row>298</xdr:row>
      <xdr:rowOff>140970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xdr:colOff>
      <xdr:row>331</xdr:row>
      <xdr:rowOff>163830</xdr:rowOff>
    </xdr:from>
    <xdr:to>
      <xdr:col>21</xdr:col>
      <xdr:colOff>0</xdr:colOff>
      <xdr:row>346</xdr:row>
      <xdr:rowOff>163830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396</xdr:row>
      <xdr:rowOff>81358</xdr:rowOff>
    </xdr:from>
    <xdr:to>
      <xdr:col>6</xdr:col>
      <xdr:colOff>300607</xdr:colOff>
      <xdr:row>412</xdr:row>
      <xdr:rowOff>80624</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129540" y="86888398"/>
          <a:ext cx="7250047" cy="2925346"/>
        </a:xfrm>
        <a:prstGeom prst="rect">
          <a:avLst/>
        </a:prstGeom>
      </xdr:spPr>
    </xdr:pic>
    <xdr:clientData/>
  </xdr:twoCellAnchor>
  <xdr:twoCellAnchor editAs="oneCell">
    <xdr:from>
      <xdr:col>0</xdr:col>
      <xdr:colOff>0</xdr:colOff>
      <xdr:row>378</xdr:row>
      <xdr:rowOff>67260</xdr:rowOff>
    </xdr:from>
    <xdr:to>
      <xdr:col>6</xdr:col>
      <xdr:colOff>853440</xdr:colOff>
      <xdr:row>389</xdr:row>
      <xdr:rowOff>388</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stretch>
          <a:fillRect/>
        </a:stretch>
      </xdr:blipFill>
      <xdr:spPr>
        <a:xfrm>
          <a:off x="0" y="87240060"/>
          <a:ext cx="7932420" cy="1944808"/>
        </a:xfrm>
        <a:prstGeom prst="rect">
          <a:avLst/>
        </a:prstGeom>
      </xdr:spPr>
    </xdr:pic>
    <xdr:clientData/>
  </xdr:twoCellAnchor>
  <xdr:twoCellAnchor editAs="oneCell">
    <xdr:from>
      <xdr:col>0</xdr:col>
      <xdr:colOff>0</xdr:colOff>
      <xdr:row>387</xdr:row>
      <xdr:rowOff>161937</xdr:rowOff>
    </xdr:from>
    <xdr:to>
      <xdr:col>6</xdr:col>
      <xdr:colOff>426720</xdr:colOff>
      <xdr:row>393</xdr:row>
      <xdr:rowOff>164045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0" y="88249137"/>
          <a:ext cx="7505700" cy="1099388"/>
        </a:xfrm>
        <a:prstGeom prst="rect">
          <a:avLst/>
        </a:prstGeom>
      </xdr:spPr>
    </xdr:pic>
    <xdr:clientData/>
  </xdr:twoCellAnchor>
  <xdr:twoCellAnchor editAs="oneCell">
    <xdr:from>
      <xdr:col>0</xdr:col>
      <xdr:colOff>114300</xdr:colOff>
      <xdr:row>499</xdr:row>
      <xdr:rowOff>131388</xdr:rowOff>
    </xdr:from>
    <xdr:to>
      <xdr:col>4</xdr:col>
      <xdr:colOff>210520</xdr:colOff>
      <xdr:row>507</xdr:row>
      <xdr:rowOff>131707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7"/>
        <a:stretch>
          <a:fillRect/>
        </a:stretch>
      </xdr:blipFill>
      <xdr:spPr>
        <a:xfrm>
          <a:off x="114300" y="109280268"/>
          <a:ext cx="5422600" cy="1463359"/>
        </a:xfrm>
        <a:prstGeom prst="rect">
          <a:avLst/>
        </a:prstGeom>
      </xdr:spPr>
    </xdr:pic>
    <xdr:clientData/>
  </xdr:twoCellAnchor>
  <xdr:twoCellAnchor editAs="oneCell">
    <xdr:from>
      <xdr:col>0</xdr:col>
      <xdr:colOff>0</xdr:colOff>
      <xdr:row>508</xdr:row>
      <xdr:rowOff>167640</xdr:rowOff>
    </xdr:from>
    <xdr:to>
      <xdr:col>5</xdr:col>
      <xdr:colOff>361324</xdr:colOff>
      <xdr:row>517</xdr:row>
      <xdr:rowOff>137160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8"/>
        <a:stretch>
          <a:fillRect/>
        </a:stretch>
      </xdr:blipFill>
      <xdr:spPr>
        <a:xfrm>
          <a:off x="0" y="110962440"/>
          <a:ext cx="6564004" cy="1615440"/>
        </a:xfrm>
        <a:prstGeom prst="rect">
          <a:avLst/>
        </a:prstGeom>
      </xdr:spPr>
    </xdr:pic>
    <xdr:clientData/>
  </xdr:twoCellAnchor>
  <xdr:twoCellAnchor editAs="oneCell">
    <xdr:from>
      <xdr:col>0</xdr:col>
      <xdr:colOff>38101</xdr:colOff>
      <xdr:row>517</xdr:row>
      <xdr:rowOff>53340</xdr:rowOff>
    </xdr:from>
    <xdr:to>
      <xdr:col>6</xdr:col>
      <xdr:colOff>181775</xdr:colOff>
      <xdr:row>536</xdr:row>
      <xdr:rowOff>23493</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9"/>
        <a:stretch>
          <a:fillRect/>
        </a:stretch>
      </xdr:blipFill>
      <xdr:spPr>
        <a:xfrm>
          <a:off x="38101" y="112494060"/>
          <a:ext cx="7222654" cy="3444873"/>
        </a:xfrm>
        <a:prstGeom prst="rect">
          <a:avLst/>
        </a:prstGeom>
      </xdr:spPr>
    </xdr:pic>
    <xdr:clientData/>
  </xdr:twoCellAnchor>
  <xdr:twoCellAnchor editAs="oneCell">
    <xdr:from>
      <xdr:col>0</xdr:col>
      <xdr:colOff>0</xdr:colOff>
      <xdr:row>536</xdr:row>
      <xdr:rowOff>121920</xdr:rowOff>
    </xdr:from>
    <xdr:to>
      <xdr:col>2</xdr:col>
      <xdr:colOff>39731</xdr:colOff>
      <xdr:row>538</xdr:row>
      <xdr:rowOff>118182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0"/>
        <a:stretch>
          <a:fillRect/>
        </a:stretch>
      </xdr:blipFill>
      <xdr:spPr>
        <a:xfrm>
          <a:off x="0" y="116037360"/>
          <a:ext cx="3613511" cy="362022"/>
        </a:xfrm>
        <a:prstGeom prst="rect">
          <a:avLst/>
        </a:prstGeom>
      </xdr:spPr>
    </xdr:pic>
    <xdr:clientData/>
  </xdr:twoCellAnchor>
  <xdr:twoCellAnchor editAs="oneCell">
    <xdr:from>
      <xdr:col>0</xdr:col>
      <xdr:colOff>0</xdr:colOff>
      <xdr:row>539</xdr:row>
      <xdr:rowOff>99017</xdr:rowOff>
    </xdr:from>
    <xdr:to>
      <xdr:col>4</xdr:col>
      <xdr:colOff>373380</xdr:colOff>
      <xdr:row>542</xdr:row>
      <xdr:rowOff>7619</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0" y="116563097"/>
          <a:ext cx="5699760" cy="457242"/>
        </a:xfrm>
        <a:prstGeom prst="rect">
          <a:avLst/>
        </a:prstGeom>
      </xdr:spPr>
    </xdr:pic>
    <xdr:clientData/>
  </xdr:twoCellAnchor>
  <xdr:twoCellAnchor editAs="oneCell">
    <xdr:from>
      <xdr:col>1</xdr:col>
      <xdr:colOff>15240</xdr:colOff>
      <xdr:row>541</xdr:row>
      <xdr:rowOff>121920</xdr:rowOff>
    </xdr:from>
    <xdr:to>
      <xdr:col>6</xdr:col>
      <xdr:colOff>244140</xdr:colOff>
      <xdr:row>551</xdr:row>
      <xdr:rowOff>141302</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144780" y="116951760"/>
          <a:ext cx="7178340" cy="1848182"/>
        </a:xfrm>
        <a:prstGeom prst="rect">
          <a:avLst/>
        </a:prstGeom>
      </xdr:spPr>
    </xdr:pic>
    <xdr:clientData/>
  </xdr:twoCellAnchor>
  <xdr:twoCellAnchor editAs="oneCell">
    <xdr:from>
      <xdr:col>0</xdr:col>
      <xdr:colOff>106680</xdr:colOff>
      <xdr:row>552</xdr:row>
      <xdr:rowOff>7620</xdr:rowOff>
    </xdr:from>
    <xdr:to>
      <xdr:col>7</xdr:col>
      <xdr:colOff>102318</xdr:colOff>
      <xdr:row>572</xdr:row>
      <xdr:rowOff>176026</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106680" y="118849140"/>
          <a:ext cx="7950918" cy="3826006"/>
        </a:xfrm>
        <a:prstGeom prst="rect">
          <a:avLst/>
        </a:prstGeom>
      </xdr:spPr>
    </xdr:pic>
    <xdr:clientData/>
  </xdr:twoCellAnchor>
  <xdr:twoCellAnchor>
    <xdr:from>
      <xdr:col>1</xdr:col>
      <xdr:colOff>15240</xdr:colOff>
      <xdr:row>634</xdr:row>
      <xdr:rowOff>114300</xdr:rowOff>
    </xdr:from>
    <xdr:to>
      <xdr:col>6</xdr:col>
      <xdr:colOff>312420</xdr:colOff>
      <xdr:row>639</xdr:row>
      <xdr:rowOff>106680</xdr:rowOff>
    </xdr:to>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44780" y="133959600"/>
          <a:ext cx="7246620" cy="90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Historically,</a:t>
          </a:r>
          <a:r>
            <a:rPr lang="en-IN" sz="1100" baseline="0"/>
            <a:t> Company's CWIP has shoot up to ~37.4% of the net Fixed Asset following the years high growth the capex eventually settled down to the median of ~16.5% of net fixed Asset. Basis of overall management commentry, the company is forseeing a capex growth in the coming  years. we assume CWIP to remain 37.4% of net fixed asset before settling down to 16.5% of net fixed asset. </a:t>
          </a:r>
        </a:p>
      </xdr:txBody>
    </xdr:sp>
    <xdr:clientData/>
  </xdr:twoCellAnchor>
  <xdr:twoCellAnchor>
    <xdr:from>
      <xdr:col>13</xdr:col>
      <xdr:colOff>144780</xdr:colOff>
      <xdr:row>667</xdr:row>
      <xdr:rowOff>163830</xdr:rowOff>
    </xdr:from>
    <xdr:to>
      <xdr:col>18</xdr:col>
      <xdr:colOff>609600</xdr:colOff>
      <xdr:row>684</xdr:row>
      <xdr:rowOff>163830</xdr:rowOff>
    </xdr:to>
    <xdr:graphicFrame macro="">
      <xdr:nvGraphicFramePr>
        <xdr:cNvPr id="16" name="Chart 15">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685800</xdr:colOff>
      <xdr:row>717</xdr:row>
      <xdr:rowOff>179070</xdr:rowOff>
    </xdr:from>
    <xdr:to>
      <xdr:col>26</xdr:col>
      <xdr:colOff>114300</xdr:colOff>
      <xdr:row>735</xdr:row>
      <xdr:rowOff>179070</xdr:rowOff>
    </xdr:to>
    <xdr:graphicFrame macro="">
      <xdr:nvGraphicFramePr>
        <xdr:cNvPr id="17" name="Chart 16">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739140</xdr:colOff>
      <xdr:row>751</xdr:row>
      <xdr:rowOff>167640</xdr:rowOff>
    </xdr:from>
    <xdr:to>
      <xdr:col>13</xdr:col>
      <xdr:colOff>396240</xdr:colOff>
      <xdr:row>760</xdr:row>
      <xdr:rowOff>76200</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6065520" y="155966160"/>
          <a:ext cx="7543800" cy="1554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 Recent Years,</a:t>
          </a:r>
          <a:r>
            <a:rPr lang="en-IN" sz="1100" baseline="0"/>
            <a:t> the company has substantially reduced it's long term debts from ~65% of total debts in 2015</a:t>
          </a:r>
        </a:p>
        <a:p>
          <a:r>
            <a:rPr lang="en-IN" sz="1100"/>
            <a:t> to ~37%in 2023 with debt to equity</a:t>
          </a:r>
          <a:r>
            <a:rPr lang="en-IN" sz="1100" baseline="0"/>
            <a:t> ratio at 0.12x, debt to Capital employesd at 0.11x, Debt to Asset at 0.09x and debt to EBITDA at 0.53x. The Management  aims  at reducing the amount of debt as they focus of capex through internal accural, however three is no clear guidance as to how much they are going to reduce the debt.</a:t>
          </a:r>
        </a:p>
        <a:p>
          <a:endParaRPr lang="en-IN" sz="1100" baseline="0"/>
        </a:p>
        <a:p>
          <a:r>
            <a:rPr lang="en-IN" sz="1100" baseline="0"/>
            <a:t>We assume, the long term Debt to grow  to 8%  and eventually grow at 4% for future. Also, the short term debt to grow at 5</a:t>
          </a:r>
        </a:p>
        <a:p>
          <a:r>
            <a:rPr lang="en-IN" sz="1100" baseline="0"/>
            <a:t>%  of revenue.</a:t>
          </a:r>
        </a:p>
        <a:p>
          <a:endParaRPr lang="en-IN" sz="1100"/>
        </a:p>
      </xdr:txBody>
    </xdr:sp>
    <xdr:clientData/>
  </xdr:twoCellAnchor>
  <xdr:twoCellAnchor editAs="oneCell">
    <xdr:from>
      <xdr:col>0</xdr:col>
      <xdr:colOff>0</xdr:colOff>
      <xdr:row>752</xdr:row>
      <xdr:rowOff>38100</xdr:rowOff>
    </xdr:from>
    <xdr:to>
      <xdr:col>3</xdr:col>
      <xdr:colOff>692995</xdr:colOff>
      <xdr:row>779</xdr:row>
      <xdr:rowOff>114300</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6"/>
        <a:stretch>
          <a:fillRect/>
        </a:stretch>
      </xdr:blipFill>
      <xdr:spPr>
        <a:xfrm>
          <a:off x="0" y="156019500"/>
          <a:ext cx="5143075" cy="5013960"/>
        </a:xfrm>
        <a:prstGeom prst="rect">
          <a:avLst/>
        </a:prstGeom>
      </xdr:spPr>
    </xdr:pic>
    <xdr:clientData/>
  </xdr:twoCellAnchor>
  <xdr:twoCellAnchor>
    <xdr:from>
      <xdr:col>7</xdr:col>
      <xdr:colOff>45720</xdr:colOff>
      <xdr:row>12</xdr:row>
      <xdr:rowOff>99060</xdr:rowOff>
    </xdr:from>
    <xdr:to>
      <xdr:col>13</xdr:col>
      <xdr:colOff>220980</xdr:colOff>
      <xdr:row>24</xdr:row>
      <xdr:rowOff>137160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8001000" y="2179320"/>
          <a:ext cx="5433060" cy="223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 Company has posted a</a:t>
          </a:r>
          <a:r>
            <a:rPr lang="en-IN" sz="1100" baseline="0"/>
            <a:t> revenue of 20,521 Crores in FY 2024. The revenue has been grown at a CAGR of 14.81% qnd 10.33% during the last 3 and 5 years respectively.</a:t>
          </a:r>
        </a:p>
        <a:p>
          <a:r>
            <a:rPr lang="en-IN" sz="1100" baseline="0"/>
            <a:t>During the year the cemeny demand remained robust, as there was significant a growth </a:t>
          </a:r>
        </a:p>
        <a:p>
          <a:r>
            <a:rPr lang="en-IN" sz="1100" baseline="0"/>
            <a:t>infrastructure spending. The Management is not very specific about the revenue growth however, Company's focus on expansion, sale of premium product and consistent delivery of quality product is expected to accelarate the revenue growth of the company </a:t>
          </a:r>
        </a:p>
        <a:p>
          <a:r>
            <a:rPr lang="en-IN" sz="1100" baseline="0"/>
            <a:t> </a:t>
          </a:r>
        </a:p>
        <a:p>
          <a:r>
            <a:rPr lang="en-IN" sz="1100" baseline="0"/>
            <a:t>The Analyst's consensus gorwth for 2025 is 22320 which is 7.9% growth over the FY 2024 Revenue of INR 20520.</a:t>
          </a:r>
        </a:p>
        <a:p>
          <a:r>
            <a:rPr lang="en-IN" sz="1100" baseline="0"/>
            <a:t> </a:t>
          </a:r>
        </a:p>
        <a:p>
          <a:r>
            <a:rPr lang="en-IN" sz="1100" baseline="0"/>
            <a:t>we assume that the company will grow at a rate of 13.5% considering challenges and opportunites that the cement sector have.</a:t>
          </a:r>
        </a:p>
        <a:p>
          <a:endParaRPr lang="en-IN" sz="1100" baseline="0"/>
        </a:p>
        <a:p>
          <a:endParaRPr lang="en-IN" sz="1100" baseline="0"/>
        </a:p>
        <a:p>
          <a:endParaRPr lang="en-IN" sz="1100" baseline="0"/>
        </a:p>
        <a:p>
          <a:r>
            <a:rPr lang="en-IN" sz="1100" baseline="0"/>
            <a:t>  </a:t>
          </a:r>
          <a:endParaRPr lang="en-IN" sz="1100"/>
        </a:p>
      </xdr:txBody>
    </xdr:sp>
    <xdr:clientData/>
  </xdr:twoCellAnchor>
  <xdr:twoCellAnchor>
    <xdr:from>
      <xdr:col>16</xdr:col>
      <xdr:colOff>129540</xdr:colOff>
      <xdr:row>228</xdr:row>
      <xdr:rowOff>175260</xdr:rowOff>
    </xdr:from>
    <xdr:to>
      <xdr:col>24</xdr:col>
      <xdr:colOff>518160</xdr:colOff>
      <xdr:row>241</xdr:row>
      <xdr:rowOff>30480</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15765780" y="60114180"/>
          <a:ext cx="5996940" cy="223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During the FY</a:t>
          </a:r>
          <a:r>
            <a:rPr lang="en-IN" sz="1100" baseline="0"/>
            <a:t>2023, the company's EBITDA margin was around 21.9% which is approximately 500 BPS higher then FY2022 (16.5%). The reason for this increase as highlated by management  was due to rising volumes, Lower fuel cost, operating efficiency and major thurst on digital initiatives. </a:t>
          </a:r>
        </a:p>
        <a:p>
          <a:endParaRPr lang="en-IN" sz="1100" baseline="0"/>
        </a:p>
        <a:p>
          <a:r>
            <a:rPr lang="en-IN" sz="1100" baseline="0"/>
            <a:t>The past trends shows that the SG&amp;A is about 67.58% of sales. The major expenses contributing to SG&amp;A includes power &amp; fuel cost (22.42% of revenue), operating &amp; Direct expenses (10.86% of sales), Selling &amp; distribution expenses (24.63% of revenue) and Employee Benefit expenses (6.22% of revenue) </a:t>
          </a:r>
        </a:p>
        <a:p>
          <a:endParaRPr lang="en-IN" sz="1100" baseline="0"/>
        </a:p>
        <a:p>
          <a:r>
            <a:rPr lang="en-IN" sz="1100" baseline="0"/>
            <a:t>We assume SG&amp;A expenses to remain at 67.58% level as percentage of revenue which aligns with management guidence.</a:t>
          </a:r>
          <a:endParaRPr lang="en-IN" sz="1100"/>
        </a:p>
      </xdr:txBody>
    </xdr:sp>
    <xdr:clientData/>
  </xdr:twoCellAnchor>
  <xdr:twoCellAnchor>
    <xdr:from>
      <xdr:col>22</xdr:col>
      <xdr:colOff>167640</xdr:colOff>
      <xdr:row>166</xdr:row>
      <xdr:rowOff>91440</xdr:rowOff>
    </xdr:from>
    <xdr:to>
      <xdr:col>30</xdr:col>
      <xdr:colOff>335280</xdr:colOff>
      <xdr:row>199</xdr:row>
      <xdr:rowOff>114300</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20193000" y="49011840"/>
          <a:ext cx="5044440" cy="5875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Low Cost reason</a:t>
          </a:r>
        </a:p>
        <a:p>
          <a:endParaRPr lang="en-IN" sz="1100"/>
        </a:p>
        <a:p>
          <a:r>
            <a:rPr lang="en-IN"/>
            <a:t>. Our drive to greening our energy supply sources has helped us rationalise our costs as well has helped us to score an industry-leading mark of 56% green share in overall electricity consumption. </a:t>
          </a:r>
        </a:p>
        <a:p>
          <a:endParaRPr lang="en-IN" sz="1100"/>
        </a:p>
        <a:p>
          <a:r>
            <a:rPr lang="en-IN"/>
            <a:t>urned this into an opportunity. Today, the majority of our grinding units use agrowaste. This has not only proven to be more economical but also represents a small step from our side towards addressing the issue of stubble-burning. </a:t>
          </a:r>
        </a:p>
        <a:p>
          <a:endParaRPr lang="en-IN" sz="1100"/>
        </a:p>
        <a:p>
          <a:r>
            <a:rPr lang="en-IN"/>
            <a:t>We continue to optimise costs by focusing on process improvement, automation, digitialisation and operational excellence</a:t>
          </a:r>
        </a:p>
        <a:p>
          <a:endParaRPr lang="en-IN" sz="1100"/>
        </a:p>
        <a:p>
          <a:r>
            <a:rPr lang="en-IN"/>
            <a:t>The proportion of low cost green electricity in the total electricity consumption has increased over the years resulting in optimisation of cost of electricity</a:t>
          </a:r>
        </a:p>
        <a:p>
          <a:endParaRPr lang="en-IN" sz="1100"/>
        </a:p>
        <a:p>
          <a:r>
            <a:rPr lang="en-IN"/>
            <a:t>By strategically locating railway sidings, we aim to streamline our logistics operations, reduce transportation costs, and improve overall supply chain efficiency. We further aim to rationalise freight costs and establish alternative transportation capabilities .</a:t>
          </a:r>
        </a:p>
        <a:p>
          <a:endParaRPr lang="en-IN" sz="1100"/>
        </a:p>
        <a:p>
          <a:r>
            <a:rPr lang="en-IN"/>
            <a:t>Cement industry has benefited during FY24 with easing input costs. International coal / imported prices, which had witnessed a sharp rise during FY23 dropped during the year. As a result, the power &amp; fuel cost, which forms a sizable cost of the cement industry also witnessed declining trend. Coupled with this, the positive operating leverage helped industry improve operating margins during the year.</a:t>
          </a:r>
          <a:endParaRPr lang="en-IN" sz="1100"/>
        </a:p>
      </xdr:txBody>
    </xdr:sp>
    <xdr:clientData/>
  </xdr:twoCellAnchor>
  <xdr:twoCellAnchor>
    <xdr:from>
      <xdr:col>5</xdr:col>
      <xdr:colOff>579120</xdr:colOff>
      <xdr:row>838</xdr:row>
      <xdr:rowOff>476250</xdr:rowOff>
    </xdr:from>
    <xdr:to>
      <xdr:col>10</xdr:col>
      <xdr:colOff>769620</xdr:colOff>
      <xdr:row>849</xdr:row>
      <xdr:rowOff>19050</xdr:rowOff>
    </xdr:to>
    <xdr:graphicFrame macro="">
      <xdr:nvGraphicFramePr>
        <xdr:cNvPr id="23" name="Chart 22">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754380</xdr:colOff>
      <xdr:row>855</xdr:row>
      <xdr:rowOff>140970</xdr:rowOff>
    </xdr:from>
    <xdr:to>
      <xdr:col>10</xdr:col>
      <xdr:colOff>68580</xdr:colOff>
      <xdr:row>870</xdr:row>
      <xdr:rowOff>140970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830580</xdr:colOff>
      <xdr:row>24</xdr:row>
      <xdr:rowOff>163830</xdr:rowOff>
    </xdr:from>
    <xdr:to>
      <xdr:col>17</xdr:col>
      <xdr:colOff>419100</xdr:colOff>
      <xdr:row>39</xdr:row>
      <xdr:rowOff>163830</xdr:rowOff>
    </xdr:to>
    <xdr:graphicFrame macro="">
      <xdr:nvGraphicFramePr>
        <xdr:cNvPr id="25" name="Chart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3810</xdr:colOff>
      <xdr:row>1110</xdr:row>
      <xdr:rowOff>179070</xdr:rowOff>
    </xdr:from>
    <xdr:to>
      <xdr:col>11</xdr:col>
      <xdr:colOff>194310</xdr:colOff>
      <xdr:row>1125</xdr:row>
      <xdr:rowOff>179070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845820</xdr:colOff>
      <xdr:row>58</xdr:row>
      <xdr:rowOff>175260</xdr:rowOff>
    </xdr:from>
    <xdr:to>
      <xdr:col>14</xdr:col>
      <xdr:colOff>541020</xdr:colOff>
      <xdr:row>66</xdr:row>
      <xdr:rowOff>137160</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6172200" y="10553700"/>
          <a:ext cx="8389620" cy="142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mn-lt"/>
              <a:ea typeface="+mn-ea"/>
              <a:cs typeface="+mn-cs"/>
            </a:rPr>
            <a:t>During FY24, there was a slight increase of 19 basis points in the gross margins. The gross margins have remained very consistent over the last five years, with a median of 92.50% and an average of 92.42% for this period. Much of this can be attributed</a:t>
          </a:r>
          <a:r>
            <a:rPr lang="en-IN" sz="1100" b="0" i="0" baseline="0">
              <a:solidFill>
                <a:schemeClr val="dk1"/>
              </a:solidFill>
              <a:effectLst/>
              <a:latin typeface="+mn-lt"/>
              <a:ea typeface="+mn-ea"/>
              <a:cs typeface="+mn-cs"/>
            </a:rPr>
            <a:t> to close control over procurment of various raw material, which constitute the majority of cost of goods sold and ~7.5% of revenue. </a:t>
          </a:r>
        </a:p>
        <a:p>
          <a:endParaRPr lang="en-IN"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baseline="0">
              <a:solidFill>
                <a:schemeClr val="dk1"/>
              </a:solidFill>
              <a:effectLst/>
              <a:latin typeface="+mn-lt"/>
              <a:ea typeface="+mn-ea"/>
              <a:cs typeface="+mn-cs"/>
            </a:rPr>
            <a:t>The consensus estimate for the gross margins for  is  </a:t>
          </a:r>
          <a:r>
            <a:rPr lang="en-IN" sz="1100" b="0" i="0">
              <a:solidFill>
                <a:schemeClr val="dk1"/>
              </a:solidFill>
              <a:effectLst/>
              <a:latin typeface="+mn-lt"/>
              <a:ea typeface="+mn-ea"/>
              <a:cs typeface="+mn-cs"/>
            </a:rPr>
            <a:t>91.75% for Fy2025 and</a:t>
          </a:r>
          <a:r>
            <a:rPr lang="en-IN" sz="1100" b="0">
              <a:solidFill>
                <a:schemeClr val="dk1"/>
              </a:solidFill>
              <a:effectLst/>
              <a:latin typeface="+mn-lt"/>
              <a:ea typeface="+mn-ea"/>
              <a:cs typeface="+mn-cs"/>
            </a:rPr>
            <a:t> </a:t>
          </a:r>
          <a:r>
            <a:rPr lang="en-IN" sz="1100" b="0" i="0">
              <a:solidFill>
                <a:schemeClr val="dk1"/>
              </a:solidFill>
              <a:effectLst/>
              <a:latin typeface="+mn-lt"/>
              <a:ea typeface="+mn-ea"/>
              <a:cs typeface="+mn-cs"/>
            </a:rPr>
            <a:t>91.54% for Fy2026.</a:t>
          </a:r>
          <a:r>
            <a:rPr lang="en-IN" sz="1100" b="0">
              <a:solidFill>
                <a:schemeClr val="dk1"/>
              </a:solidFill>
              <a:effectLst/>
              <a:latin typeface="+mn-lt"/>
              <a:ea typeface="+mn-ea"/>
              <a:cs typeface="+mn-cs"/>
            </a:rPr>
            <a:t> </a:t>
          </a:r>
          <a:r>
            <a:rPr lang="en-IN" sz="1100" b="0" i="0" baseline="0">
              <a:solidFill>
                <a:schemeClr val="dk1"/>
              </a:solidFill>
              <a:effectLst/>
              <a:latin typeface="+mn-lt"/>
              <a:ea typeface="+mn-ea"/>
              <a:cs typeface="+mn-cs"/>
            </a:rPr>
            <a:t>The gross margins as per our research for construction supplies sectors for India is ~50.57%, while for emerging market the gross marginis ~21.05% and for global markets the gross margins is  ~23.76%.</a:t>
          </a:r>
          <a:endParaRPr lang="en-IN">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baseline="0">
            <a:solidFill>
              <a:schemeClr val="dk1"/>
            </a:solidFill>
            <a:effectLst/>
            <a:latin typeface="+mn-lt"/>
            <a:ea typeface="+mn-ea"/>
            <a:cs typeface="+mn-cs"/>
          </a:endParaRPr>
        </a:p>
        <a:p>
          <a:r>
            <a:rPr lang="en-IN" b="0"/>
            <a:t> </a:t>
          </a:r>
          <a:endParaRPr lang="en-IN" sz="1100" b="0"/>
        </a:p>
      </xdr:txBody>
    </xdr:sp>
    <xdr:clientData/>
  </xdr:twoCellAnchor>
  <xdr:twoCellAnchor>
    <xdr:from>
      <xdr:col>26</xdr:col>
      <xdr:colOff>266700</xdr:colOff>
      <xdr:row>250</xdr:row>
      <xdr:rowOff>41910</xdr:rowOff>
    </xdr:from>
    <xdr:to>
      <xdr:col>33</xdr:col>
      <xdr:colOff>571500</xdr:colOff>
      <xdr:row>265</xdr:row>
      <xdr:rowOff>133350</xdr:rowOff>
    </xdr:to>
    <xdr:graphicFrame macro="">
      <xdr:nvGraphicFramePr>
        <xdr:cNvPr id="29" name="Chart 28">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18</xdr:col>
      <xdr:colOff>114300</xdr:colOff>
      <xdr:row>262</xdr:row>
      <xdr:rowOff>7620</xdr:rowOff>
    </xdr:from>
    <xdr:to>
      <xdr:col>30</xdr:col>
      <xdr:colOff>39249</xdr:colOff>
      <xdr:row>277</xdr:row>
      <xdr:rowOff>63244</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2"/>
        <a:stretch>
          <a:fillRect/>
        </a:stretch>
      </xdr:blipFill>
      <xdr:spPr>
        <a:xfrm>
          <a:off x="18539460" y="66042540"/>
          <a:ext cx="8230749" cy="2715004"/>
        </a:xfrm>
        <a:prstGeom prst="rect">
          <a:avLst/>
        </a:prstGeom>
      </xdr:spPr>
    </xdr:pic>
    <xdr:clientData/>
  </xdr:twoCellAnchor>
  <xdr:twoCellAnchor>
    <xdr:from>
      <xdr:col>19</xdr:col>
      <xdr:colOff>38100</xdr:colOff>
      <xdr:row>281</xdr:row>
      <xdr:rowOff>91440</xdr:rowOff>
    </xdr:from>
    <xdr:to>
      <xdr:col>27</xdr:col>
      <xdr:colOff>510540</xdr:colOff>
      <xdr:row>293</xdr:row>
      <xdr:rowOff>7620</xdr:rowOff>
    </xdr:to>
    <xdr:sp macro="" textlink="">
      <xdr:nvSpPr>
        <xdr:cNvPr id="30" name="TextBox 29">
          <a:extLst>
            <a:ext uri="{FF2B5EF4-FFF2-40B4-BE49-F238E27FC236}">
              <a16:creationId xmlns:a16="http://schemas.microsoft.com/office/drawing/2014/main" id="{00000000-0008-0000-0200-00001E000000}"/>
            </a:ext>
          </a:extLst>
        </xdr:cNvPr>
        <xdr:cNvSpPr txBox="1"/>
      </xdr:nvSpPr>
      <xdr:spPr>
        <a:xfrm>
          <a:off x="19339560" y="69524880"/>
          <a:ext cx="5615940" cy="2110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 inventory</a:t>
          </a:r>
          <a:r>
            <a:rPr lang="en-IN" sz="1100" baseline="0"/>
            <a:t> as on 31 march is  around 14 lakh tons and the average fuel cost is around ₹1.8 per ton. The company has stocked up inventory, which is sufficient for atleast four months.</a:t>
          </a:r>
        </a:p>
        <a:p>
          <a:r>
            <a:rPr lang="en-IN" sz="1100" baseline="0"/>
            <a:t>During this period the cost went up from 1.78 to 1.82.</a:t>
          </a:r>
        </a:p>
        <a:p>
          <a:r>
            <a:rPr lang="en-IN" sz="1100" baseline="0"/>
            <a:t>Historically the company is maintaining inventory level  of ~25% of revenue with an average inventory turnover ratio of ~0.57x and anaverage inventory days of ~649 days. The industry average inventory days is ~243 days which is lower thn 10Years historical inventory days of the company.</a:t>
          </a:r>
          <a:endParaRPr lang="en-IN" sz="1100" b="0" i="0" u="none" strike="noStrike" baseline="0">
            <a:solidFill>
              <a:schemeClr val="dk1"/>
            </a:solidFill>
            <a:effectLst/>
            <a:latin typeface="+mn-lt"/>
            <a:ea typeface="+mn-ea"/>
            <a:cs typeface="+mn-cs"/>
          </a:endParaRPr>
        </a:p>
        <a:p>
          <a:r>
            <a:rPr lang="en-IN" sz="1100" b="0" i="0" u="none" strike="noStrike" baseline="0">
              <a:solidFill>
                <a:schemeClr val="dk1"/>
              </a:solidFill>
              <a:effectLst/>
              <a:latin typeface="+mn-lt"/>
              <a:ea typeface="+mn-ea"/>
              <a:cs typeface="+mn-cs"/>
            </a:rPr>
            <a:t>The street estimate suggest the inventory level to go down from the current inventory level in FY25 and Fy26</a:t>
          </a:r>
        </a:p>
        <a:p>
          <a:r>
            <a:rPr lang="en-IN" sz="1100" b="0" i="0" u="none" strike="noStrike" baseline="0">
              <a:solidFill>
                <a:schemeClr val="dk1"/>
              </a:solidFill>
              <a:effectLst/>
              <a:latin typeface="+mn-lt"/>
              <a:ea typeface="+mn-ea"/>
              <a:cs typeface="+mn-cs"/>
            </a:rPr>
            <a:t>we assume that the inventory days to go down Significantly due to introduction of new rail lines. This will save the Freight costs &amp; will also provide faster connectivity for transportation</a:t>
          </a:r>
          <a:r>
            <a:rPr lang="en-IN"/>
            <a:t>. </a:t>
          </a:r>
          <a:endParaRPr lang="en-IN" sz="1100" b="0" i="0" u="none" strike="noStrike" baseline="0">
            <a:solidFill>
              <a:schemeClr val="dk1"/>
            </a:solidFill>
            <a:effectLst/>
            <a:latin typeface="+mn-lt"/>
            <a:ea typeface="+mn-ea"/>
            <a:cs typeface="+mn-cs"/>
          </a:endParaRPr>
        </a:p>
      </xdr:txBody>
    </xdr:sp>
    <xdr:clientData/>
  </xdr:twoCellAnchor>
  <xdr:twoCellAnchor>
    <xdr:from>
      <xdr:col>15</xdr:col>
      <xdr:colOff>723900</xdr:colOff>
      <xdr:row>688</xdr:row>
      <xdr:rowOff>83820</xdr:rowOff>
    </xdr:from>
    <xdr:to>
      <xdr:col>22</xdr:col>
      <xdr:colOff>480060</xdr:colOff>
      <xdr:row>696</xdr:row>
      <xdr:rowOff>53340</xdr:rowOff>
    </xdr:to>
    <xdr:sp macro="" textlink="">
      <xdr:nvSpPr>
        <xdr:cNvPr id="31" name="TextBox 30">
          <a:extLst>
            <a:ext uri="{FF2B5EF4-FFF2-40B4-BE49-F238E27FC236}">
              <a16:creationId xmlns:a16="http://schemas.microsoft.com/office/drawing/2014/main" id="{00000000-0008-0000-0200-00001F000000}"/>
            </a:ext>
          </a:extLst>
        </xdr:cNvPr>
        <xdr:cNvSpPr txBox="1"/>
      </xdr:nvSpPr>
      <xdr:spPr>
        <a:xfrm>
          <a:off x="15552420" y="145092420"/>
          <a:ext cx="6057900" cy="1432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a:t>
          </a:r>
          <a:r>
            <a:rPr lang="en-IN" sz="1100" baseline="0"/>
            <a:t> Comapny has maintained a trade payable days of ~280 days however in the past few years there is a significant increase in the payables days, The average payable days from Fy2021 to Fy2023 was ~358 dys. In the FY2024 the payable days again came down to average payable days to ~280 days.</a:t>
          </a:r>
        </a:p>
        <a:p>
          <a:r>
            <a:rPr lang="en-IN" sz="1100" baseline="0"/>
            <a:t>The peer companies maintain </a:t>
          </a:r>
          <a:r>
            <a:rPr lang="en-IN" sz="1100" baseline="0">
              <a:solidFill>
                <a:schemeClr val="dk1"/>
              </a:solidFill>
              <a:effectLst/>
              <a:latin typeface="+mn-lt"/>
              <a:ea typeface="+mn-ea"/>
              <a:cs typeface="+mn-cs"/>
            </a:rPr>
            <a:t> median </a:t>
          </a:r>
          <a:r>
            <a:rPr lang="en-IN" sz="1100" baseline="0"/>
            <a:t> payable days of ~198 days which is lower than 5 year historical payable days of the company. Street estimate suggest payable level to remain flat from existing payable level. </a:t>
          </a:r>
        </a:p>
        <a:p>
          <a:r>
            <a:rPr lang="en-IN" sz="1100"/>
            <a:t>We assume days</a:t>
          </a:r>
          <a:r>
            <a:rPr lang="en-IN" sz="1100" baseline="0"/>
            <a:t> to remain flat at ~280 days</a:t>
          </a:r>
          <a:endParaRPr lang="en-IN" sz="1100"/>
        </a:p>
      </xdr:txBody>
    </xdr:sp>
    <xdr:clientData/>
  </xdr:twoCellAnchor>
  <xdr:twoCellAnchor>
    <xdr:from>
      <xdr:col>7</xdr:col>
      <xdr:colOff>251460</xdr:colOff>
      <xdr:row>380</xdr:row>
      <xdr:rowOff>152400</xdr:rowOff>
    </xdr:from>
    <xdr:to>
      <xdr:col>15</xdr:col>
      <xdr:colOff>365760</xdr:colOff>
      <xdr:row>392</xdr:row>
      <xdr:rowOff>160020</xdr:rowOff>
    </xdr:to>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8206740" y="87690960"/>
          <a:ext cx="6987540" cy="2202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Company extends credit to customers in normal course of business. The Company considers factors such as credit track record in the market and past dealings for extension of credit to customers. The Company monitors the payment track record of the customers. Outstanding customer receivables are regularly monitored. The Company evaluates the concentration of risk with respect to trade receivables as low, as its customers are located in several jurisdiction and industries and operate in largely independent markets. The Company has also taken advances and security deposits from its customers which mitigate the credit risk to an extent. </a:t>
          </a:r>
        </a:p>
        <a:p>
          <a:endParaRPr lang="en-IN"/>
        </a:p>
        <a:p>
          <a:r>
            <a:rPr lang="en-IN"/>
            <a:t>Historically</a:t>
          </a:r>
          <a:r>
            <a:rPr lang="en-IN" baseline="0"/>
            <a:t> the company has mintained receivable levle at ~6.5% of the revenue with median receivable days of ~22 days and receivavle turnover ratio of ~17%. the peer companies has maintained receivable of  ~25 days lower than 5 years historical receivables of the company. The street estimate suggest receivable days to remain flat at ~17 days.</a:t>
          </a:r>
        </a:p>
        <a:p>
          <a:r>
            <a:rPr lang="en-IN"/>
            <a:t>We assume receivable</a:t>
          </a:r>
          <a:r>
            <a:rPr lang="en-IN" baseline="0"/>
            <a:t> to remain flat at 22 days.</a:t>
          </a:r>
          <a:endParaRPr lang="en-IN"/>
        </a:p>
        <a:p>
          <a:endParaRPr lang="en-IN"/>
        </a:p>
        <a:p>
          <a:endParaRPr lang="en-IN"/>
        </a:p>
        <a:p>
          <a:endParaRPr lang="en-IN" sz="1100"/>
        </a:p>
      </xdr:txBody>
    </xdr:sp>
    <xdr:clientData/>
  </xdr:twoCellAnchor>
  <xdr:twoCellAnchor>
    <xdr:from>
      <xdr:col>17</xdr:col>
      <xdr:colOff>1219200</xdr:colOff>
      <xdr:row>358</xdr:row>
      <xdr:rowOff>102870</xdr:rowOff>
    </xdr:from>
    <xdr:to>
      <xdr:col>23</xdr:col>
      <xdr:colOff>495300</xdr:colOff>
      <xdr:row>373</xdr:row>
      <xdr:rowOff>102870</xdr:rowOff>
    </xdr:to>
    <xdr:graphicFrame macro="">
      <xdr:nvGraphicFramePr>
        <xdr:cNvPr id="34" name="Chart 33">
          <a:extLst>
            <a:ext uri="{FF2B5EF4-FFF2-40B4-BE49-F238E27FC236}">
              <a16:creationId xmlns:a16="http://schemas.microsoft.com/office/drawing/2014/main" id="{00000000-0008-0000-02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28</xdr:col>
      <xdr:colOff>15240</xdr:colOff>
      <xdr:row>351</xdr:row>
      <xdr:rowOff>34290</xdr:rowOff>
    </xdr:from>
    <xdr:to>
      <xdr:col>35</xdr:col>
      <xdr:colOff>320040</xdr:colOff>
      <xdr:row>366</xdr:row>
      <xdr:rowOff>34290</xdr:rowOff>
    </xdr:to>
    <xdr:graphicFrame macro="">
      <xdr:nvGraphicFramePr>
        <xdr:cNvPr id="35" name="Chart 34">
          <a:extLst>
            <a:ext uri="{FF2B5EF4-FFF2-40B4-BE49-F238E27FC236}">
              <a16:creationId xmlns:a16="http://schemas.microsoft.com/office/drawing/2014/main" id="{00000000-0008-0000-02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13</xdr:col>
      <xdr:colOff>586740</xdr:colOff>
      <xdr:row>711</xdr:row>
      <xdr:rowOff>41910</xdr:rowOff>
    </xdr:from>
    <xdr:to>
      <xdr:col>17</xdr:col>
      <xdr:colOff>1927860</xdr:colOff>
      <xdr:row>726</xdr:row>
      <xdr:rowOff>41910</xdr:rowOff>
    </xdr:to>
    <xdr:graphicFrame macro="">
      <xdr:nvGraphicFramePr>
        <xdr:cNvPr id="36" name="Chart 35">
          <a:extLst>
            <a:ext uri="{FF2B5EF4-FFF2-40B4-BE49-F238E27FC236}">
              <a16:creationId xmlns:a16="http://schemas.microsoft.com/office/drawing/2014/main" id="{00000000-0008-0000-02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xdr:col>
      <xdr:colOff>586740</xdr:colOff>
      <xdr:row>779</xdr:row>
      <xdr:rowOff>87630</xdr:rowOff>
    </xdr:from>
    <xdr:to>
      <xdr:col>15</xdr:col>
      <xdr:colOff>38100</xdr:colOff>
      <xdr:row>794</xdr:row>
      <xdr:rowOff>87630</xdr:rowOff>
    </xdr:to>
    <xdr:graphicFrame macro="">
      <xdr:nvGraphicFramePr>
        <xdr:cNvPr id="39" name="Chart 38">
          <a:extLst>
            <a:ext uri="{FF2B5EF4-FFF2-40B4-BE49-F238E27FC236}">
              <a16:creationId xmlns:a16="http://schemas.microsoft.com/office/drawing/2014/main" id="{00000000-0008-0000-02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480060</xdr:colOff>
      <xdr:row>10</xdr:row>
      <xdr:rowOff>121920</xdr:rowOff>
    </xdr:from>
    <xdr:to>
      <xdr:col>3</xdr:col>
      <xdr:colOff>45720</xdr:colOff>
      <xdr:row>31</xdr:row>
      <xdr:rowOff>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0060" y="1950720"/>
          <a:ext cx="10492740" cy="3718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The past four years have put the resilience of the global economy to the test. A once-in-a-century pandemic, eruption of geopolitical conflicts, and extreme weather events have disrupted supply chains, caused energy and food crises, and prompted governments to take unprecedented actions to protect lives and livelihoods. The global economy has demonstrated resilience overall, but this masks uneven performance across regions and lingering fragilities.</a:t>
          </a:r>
          <a:r>
            <a:rPr lang="en-IN"/>
            <a:t> </a:t>
          </a:r>
          <a:r>
            <a:rPr lang="en-IN" sz="1100" b="0" i="0" u="none" strike="noStrike">
              <a:solidFill>
                <a:schemeClr val="dk1"/>
              </a:solidFill>
              <a:effectLst/>
              <a:latin typeface="+mn-lt"/>
              <a:ea typeface="+mn-ea"/>
              <a:cs typeface="+mn-cs"/>
            </a:rPr>
            <a:t>The sharpest contrasts are between advanced and developing economies. Whereas the former have caught up with activity and inflation projected before the pandemic, the latter are showing more permanent scars</a:t>
          </a:r>
          <a:r>
            <a:rPr lang="en-IN"/>
            <a:t> </a:t>
          </a:r>
          <a:r>
            <a:rPr lang="en-IN" sz="1100" b="0" i="0" u="none" strike="noStrike">
              <a:solidFill>
                <a:schemeClr val="dk1"/>
              </a:solidFill>
              <a:effectLst/>
              <a:latin typeface="+mn-lt"/>
              <a:ea typeface="+mn-ea"/>
              <a:cs typeface="+mn-cs"/>
            </a:rPr>
            <a:t>with large output shortfalls and persistent inflation. </a:t>
          </a:r>
        </a:p>
        <a:p>
          <a:endParaRPr lang="en-IN" sz="1100" b="0" i="0" u="none" strike="noStrike">
            <a:solidFill>
              <a:schemeClr val="dk1"/>
            </a:solidFill>
            <a:effectLst/>
            <a:latin typeface="+mn-lt"/>
            <a:ea typeface="+mn-ea"/>
            <a:cs typeface="+mn-cs"/>
          </a:endParaRPr>
        </a:p>
        <a:p>
          <a:r>
            <a:rPr lang="en-IN"/>
            <a:t> </a:t>
          </a:r>
          <a:r>
            <a:rPr lang="en-IN" sz="1100" b="0" i="0" u="none" strike="noStrike">
              <a:solidFill>
                <a:schemeClr val="dk1"/>
              </a:solidFill>
              <a:effectLst/>
              <a:latin typeface="+mn-lt"/>
              <a:ea typeface="+mn-ea"/>
              <a:cs typeface="+mn-cs"/>
            </a:rPr>
            <a:t>Global growth, is projected to remain at 3.1% in 2024 and 3.2% in 2025. Nevertheless, the projection for global growth in 2024 and 2025 is below the historical (2000–2019) annual average of 3.8%, reflecting restrictive monetary policies and withdrawal of fiscal support, as well as low underlying productivity growth.</a:t>
          </a:r>
        </a:p>
        <a:p>
          <a:endParaRPr lang="en-IN" sz="1100" b="0" i="0" u="none" strike="noStrike">
            <a:solidFill>
              <a:schemeClr val="dk1"/>
            </a:solidFill>
            <a:effectLst/>
            <a:latin typeface="+mn-lt"/>
            <a:ea typeface="+mn-ea"/>
            <a:cs typeface="+mn-cs"/>
          </a:endParaRPr>
        </a:p>
        <a:p>
          <a:r>
            <a:rPr lang="en-IN"/>
            <a:t> </a:t>
          </a:r>
          <a:r>
            <a:rPr lang="en-IN" sz="1100" b="0" i="0" u="none" strike="noStrike">
              <a:solidFill>
                <a:schemeClr val="dk1"/>
              </a:solidFill>
              <a:effectLst/>
              <a:latin typeface="+mn-lt"/>
              <a:ea typeface="+mn-ea"/>
              <a:cs typeface="+mn-cs"/>
            </a:rPr>
            <a:t>World trade growth is projected at 3.3% in 2024 and 3.6% in 2025, below its historical average growth rate of 4.9%. Rising trade distortions and geoeconomic fragmentation are expected to continue to weigh on the level of global trade</a:t>
          </a:r>
          <a:r>
            <a:rPr lang="en-IN"/>
            <a:t> </a:t>
          </a:r>
          <a:r>
            <a:rPr lang="en-IN" sz="1100" b="0" i="0" u="none" strike="noStrike">
              <a:solidFill>
                <a:schemeClr val="dk1"/>
              </a:solidFill>
              <a:effectLst/>
              <a:latin typeface="+mn-lt"/>
              <a:ea typeface="+mn-ea"/>
              <a:cs typeface="+mn-cs"/>
            </a:rPr>
            <a:t>Annual average oil prices are projected to fall by about 2.3% in 2024, whereas non-fuel commodity prices are expected to fall by 0.9%.</a:t>
          </a:r>
        </a:p>
        <a:p>
          <a:endParaRPr lang="en-IN" sz="1100" b="0" i="0" u="none" strike="noStrike">
            <a:solidFill>
              <a:schemeClr val="dk1"/>
            </a:solidFill>
            <a:effectLst/>
            <a:latin typeface="+mn-lt"/>
            <a:ea typeface="+mn-ea"/>
            <a:cs typeface="+mn-cs"/>
          </a:endParaRPr>
        </a:p>
        <a:p>
          <a:r>
            <a:rPr lang="en-IN"/>
            <a:t> </a:t>
          </a:r>
          <a:r>
            <a:rPr lang="en-IN" sz="1100" b="0" i="0" u="none" strike="noStrike">
              <a:solidFill>
                <a:schemeClr val="dk1"/>
              </a:solidFill>
              <a:effectLst/>
              <a:latin typeface="+mn-lt"/>
              <a:ea typeface="+mn-ea"/>
              <a:cs typeface="+mn-cs"/>
            </a:rPr>
            <a:t>Advanced economies growth is projected to decline slightly from 1.6% in 2023 to 1.5% in 2024, before rising to 1.8% in 2025.</a:t>
          </a:r>
          <a:r>
            <a:rPr lang="en-IN"/>
            <a:t> </a:t>
          </a:r>
          <a:r>
            <a:rPr lang="en-IN" sz="1100" b="0" i="0" u="none" strike="noStrike">
              <a:solidFill>
                <a:schemeClr val="dk1"/>
              </a:solidFill>
              <a:effectLst/>
              <a:latin typeface="+mn-lt"/>
              <a:ea typeface="+mn-ea"/>
              <a:cs typeface="+mn-cs"/>
            </a:rPr>
            <a:t>In emerging and developing Asia, growth is expected to decline from 5.4% in 2023, 5.2% in 2024 to 4.8% in 2025.</a:t>
          </a:r>
          <a:r>
            <a:rPr lang="en-IN"/>
            <a:t> </a:t>
          </a:r>
          <a:endParaRPr lang="en-IN" sz="1100"/>
        </a:p>
      </xdr:txBody>
    </xdr:sp>
    <xdr:clientData/>
  </xdr:twoCellAnchor>
  <xdr:twoCellAnchor>
    <xdr:from>
      <xdr:col>7</xdr:col>
      <xdr:colOff>335280</xdr:colOff>
      <xdr:row>30</xdr:row>
      <xdr:rowOff>102870</xdr:rowOff>
    </xdr:from>
    <xdr:to>
      <xdr:col>15</xdr:col>
      <xdr:colOff>30480</xdr:colOff>
      <xdr:row>53</xdr:row>
      <xdr:rowOff>30480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106680</xdr:colOff>
      <xdr:row>55</xdr:row>
      <xdr:rowOff>110490</xdr:rowOff>
    </xdr:from>
    <xdr:to>
      <xdr:col>14</xdr:col>
      <xdr:colOff>411480</xdr:colOff>
      <xdr:row>70</xdr:row>
      <xdr:rowOff>110490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15240</xdr:colOff>
      <xdr:row>81</xdr:row>
      <xdr:rowOff>112058</xdr:rowOff>
    </xdr:from>
    <xdr:to>
      <xdr:col>27</xdr:col>
      <xdr:colOff>56029</xdr:colOff>
      <xdr:row>101</xdr:row>
      <xdr:rowOff>171450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362262</xdr:colOff>
      <xdr:row>4</xdr:row>
      <xdr:rowOff>127416</xdr:rowOff>
    </xdr:from>
    <xdr:to>
      <xdr:col>36</xdr:col>
      <xdr:colOff>74951</xdr:colOff>
      <xdr:row>19</xdr:row>
      <xdr:rowOff>153649</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637082</xdr:colOff>
      <xdr:row>79</xdr:row>
      <xdr:rowOff>96186</xdr:rowOff>
    </xdr:from>
    <xdr:to>
      <xdr:col>9</xdr:col>
      <xdr:colOff>562131</xdr:colOff>
      <xdr:row>94</xdr:row>
      <xdr:rowOff>22484</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93688</xdr:colOff>
      <xdr:row>117</xdr:row>
      <xdr:rowOff>77449</xdr:rowOff>
    </xdr:from>
    <xdr:to>
      <xdr:col>15</xdr:col>
      <xdr:colOff>487179</xdr:colOff>
      <xdr:row>132</xdr:row>
      <xdr:rowOff>103682</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266700</xdr:colOff>
      <xdr:row>6</xdr:row>
      <xdr:rowOff>0</xdr:rowOff>
    </xdr:from>
    <xdr:to>
      <xdr:col>19</xdr:col>
      <xdr:colOff>65395</xdr:colOff>
      <xdr:row>17</xdr:row>
      <xdr:rowOff>146485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5781020" y="1051560"/>
          <a:ext cx="2846695" cy="2562025"/>
        </a:xfrm>
        <a:prstGeom prst="rect">
          <a:avLst/>
        </a:prstGeom>
      </xdr:spPr>
    </xdr:pic>
    <xdr:clientData/>
  </xdr:twoCellAnchor>
  <xdr:twoCellAnchor editAs="oneCell">
    <xdr:from>
      <xdr:col>18</xdr:col>
      <xdr:colOff>426721</xdr:colOff>
      <xdr:row>20</xdr:row>
      <xdr:rowOff>83820</xdr:rowOff>
    </xdr:from>
    <xdr:to>
      <xdr:col>27</xdr:col>
      <xdr:colOff>94579</xdr:colOff>
      <xdr:row>37</xdr:row>
      <xdr:rowOff>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8379441" y="4099560"/>
          <a:ext cx="5154258" cy="32080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3</xdr:row>
          <xdr:rowOff>0</xdr:rowOff>
        </xdr:from>
        <xdr:to>
          <xdr:col>11</xdr:col>
          <xdr:colOff>104775</xdr:colOff>
          <xdr:row>4</xdr:row>
          <xdr:rowOff>9525</xdr:rowOff>
        </xdr:to>
        <xdr:sp macro="" textlink="">
          <xdr:nvSpPr>
            <xdr:cNvPr id="1030" name="Drop Down 6" hidden="1">
              <a:extLst>
                <a:ext uri="{63B3BB69-23CF-44E3-9099-C40C66FF867C}">
                  <a14:compatExt spid="_x0000_s1030"/>
                </a:ext>
                <a:ext uri="{FF2B5EF4-FFF2-40B4-BE49-F238E27FC236}">
                  <a16:creationId xmlns:a16="http://schemas.microsoft.com/office/drawing/2014/main" id="{00000000-0008-0000-0800-000006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57150</xdr:colOff>
          <xdr:row>3</xdr:row>
          <xdr:rowOff>38100</xdr:rowOff>
        </xdr:from>
        <xdr:to>
          <xdr:col>10</xdr:col>
          <xdr:colOff>552450</xdr:colOff>
          <xdr:row>4</xdr:row>
          <xdr:rowOff>47625</xdr:rowOff>
        </xdr:to>
        <xdr:sp macro="" textlink="">
          <xdr:nvSpPr>
            <xdr:cNvPr id="2054" name="Drop Down 6" hidden="1">
              <a:extLst>
                <a:ext uri="{63B3BB69-23CF-44E3-9099-C40C66FF867C}">
                  <a14:compatExt spid="_x0000_s2054"/>
                </a:ext>
                <a:ext uri="{FF2B5EF4-FFF2-40B4-BE49-F238E27FC236}">
                  <a16:creationId xmlns:a16="http://schemas.microsoft.com/office/drawing/2014/main" id="{00000000-0008-0000-0A00-00000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342900</xdr:colOff>
          <xdr:row>3</xdr:row>
          <xdr:rowOff>57150</xdr:rowOff>
        </xdr:from>
        <xdr:to>
          <xdr:col>13</xdr:col>
          <xdr:colOff>771525</xdr:colOff>
          <xdr:row>4</xdr:row>
          <xdr:rowOff>76200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B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19050</xdr:colOff>
          <xdr:row>3</xdr:row>
          <xdr:rowOff>0</xdr:rowOff>
        </xdr:from>
        <xdr:to>
          <xdr:col>15</xdr:col>
          <xdr:colOff>304800</xdr:colOff>
          <xdr:row>4</xdr:row>
          <xdr:rowOff>9525</xdr:rowOff>
        </xdr:to>
        <xdr:sp macro="" textlink="">
          <xdr:nvSpPr>
            <xdr:cNvPr id="5121" name="Drop Down 1" hidden="1">
              <a:extLst>
                <a:ext uri="{63B3BB69-23CF-44E3-9099-C40C66FF867C}">
                  <a14:compatExt spid="_x0000_s5121"/>
                </a:ext>
                <a:ext uri="{FF2B5EF4-FFF2-40B4-BE49-F238E27FC236}">
                  <a16:creationId xmlns:a16="http://schemas.microsoft.com/office/drawing/2014/main" id="{00000000-0008-0000-0C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19050</xdr:colOff>
          <xdr:row>3</xdr:row>
          <xdr:rowOff>0</xdr:rowOff>
        </xdr:from>
        <xdr:to>
          <xdr:col>11</xdr:col>
          <xdr:colOff>209550</xdr:colOff>
          <xdr:row>4</xdr:row>
          <xdr:rowOff>9525</xdr:rowOff>
        </xdr:to>
        <xdr:sp macro="" textlink="">
          <xdr:nvSpPr>
            <xdr:cNvPr id="4097" name="Drop Down 1"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19050</xdr:colOff>
          <xdr:row>3</xdr:row>
          <xdr:rowOff>0</xdr:rowOff>
        </xdr:from>
        <xdr:to>
          <xdr:col>14</xdr:col>
          <xdr:colOff>66675</xdr:colOff>
          <xdr:row>4</xdr:row>
          <xdr:rowOff>19050</xdr:rowOff>
        </xdr:to>
        <xdr:sp macro="" textlink="">
          <xdr:nvSpPr>
            <xdr:cNvPr id="6145" name="Drop Down 1" hidden="1">
              <a:extLst>
                <a:ext uri="{63B3BB69-23CF-44E3-9099-C40C66FF867C}">
                  <a14:compatExt spid="_x0000_s6145"/>
                </a:ext>
                <a:ext uri="{FF2B5EF4-FFF2-40B4-BE49-F238E27FC236}">
                  <a16:creationId xmlns:a16="http://schemas.microsoft.com/office/drawing/2014/main" id="{00000000-0008-0000-0F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mordorintelligence.com/" TargetMode="External"/><Relationship Id="rId2" Type="http://schemas.openxmlformats.org/officeDocument/2006/relationships/hyperlink" Target="https://www.blueweaveconsulting.com/report" TargetMode="External"/><Relationship Id="rId1" Type="http://schemas.openxmlformats.org/officeDocument/2006/relationships/hyperlink" Target="https://www.ibef.org/industry/cement-india"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shreecement.com/our-business"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trlProp" Target="../ctrlProps/ctrlProp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4.xml"/></Relationships>
</file>

<file path=xl/worksheets/_rels/sheet14.xml.rels><?xml version="1.0" encoding="UTF-8" standalone="yes"?>
<Relationships xmlns="http://schemas.openxmlformats.org/package/2006/relationships"><Relationship Id="rId3" Type="http://schemas.openxmlformats.org/officeDocument/2006/relationships/ctrlProp" Target="../ctrlProps/ctrlProp5.xml"/><Relationship Id="rId2" Type="http://schemas.openxmlformats.org/officeDocument/2006/relationships/vmlDrawing" Target="../drawings/vmlDrawing6.v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trlProp" Target="../ctrlProps/ctrlProp6.xm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screener.in/company/STARCEMENT/consolidated/" TargetMode="External"/><Relationship Id="rId18" Type="http://schemas.openxmlformats.org/officeDocument/2006/relationships/hyperlink" Target="https://www.screener.in/company/SAGCEM/consolidated/" TargetMode="External"/><Relationship Id="rId26" Type="http://schemas.openxmlformats.org/officeDocument/2006/relationships/hyperlink" Target="https://www.screener.in/company/DECCANCE/" TargetMode="External"/><Relationship Id="rId39" Type="http://schemas.openxmlformats.org/officeDocument/2006/relationships/hyperlink" Target="https://www.screener.in/company/compare/00000011/?sort=current+price&amp;order=desc" TargetMode="External"/><Relationship Id="rId21" Type="http://schemas.openxmlformats.org/officeDocument/2006/relationships/hyperlink" Target="https://www.screener.in/company/UDAICEMENT/" TargetMode="External"/><Relationship Id="rId34" Type="http://schemas.openxmlformats.org/officeDocument/2006/relationships/hyperlink" Target="https://www.screener.in/company/518017/" TargetMode="External"/><Relationship Id="rId42" Type="http://schemas.openxmlformats.org/officeDocument/2006/relationships/hyperlink" Target="https://www.screener.in/company/compare/00000011/?sort=enterprise+value&amp;order=desc" TargetMode="External"/><Relationship Id="rId47" Type="http://schemas.openxmlformats.org/officeDocument/2006/relationships/hyperlink" Target="https://www.screener.in/company/compare/00000011/?sort=market+capitalization&amp;order=desc" TargetMode="External"/><Relationship Id="rId7" Type="http://schemas.openxmlformats.org/officeDocument/2006/relationships/hyperlink" Target="https://www.screener.in/company/RAMCOCEM/consolidated/" TargetMode="External"/><Relationship Id="rId2" Type="http://schemas.openxmlformats.org/officeDocument/2006/relationships/hyperlink" Target="https://www.screener.in/company/AMBUJACEM/consolidated/" TargetMode="External"/><Relationship Id="rId16" Type="http://schemas.openxmlformats.org/officeDocument/2006/relationships/hyperlink" Target="https://www.screener.in/company/HEIDELBERG/" TargetMode="External"/><Relationship Id="rId29" Type="http://schemas.openxmlformats.org/officeDocument/2006/relationships/hyperlink" Target="https://www.screener.in/company/530977/" TargetMode="External"/><Relationship Id="rId1" Type="http://schemas.openxmlformats.org/officeDocument/2006/relationships/hyperlink" Target="https://www.screener.in/company/ULTRACEMCO/consolidated/" TargetMode="External"/><Relationship Id="rId6" Type="http://schemas.openxmlformats.org/officeDocument/2006/relationships/hyperlink" Target="https://www.screener.in/company/JKCEMENT/consolidated/" TargetMode="External"/><Relationship Id="rId11" Type="http://schemas.openxmlformats.org/officeDocument/2006/relationships/hyperlink" Target="https://www.screener.in/company/PRSMJOHNSN/consolidated/" TargetMode="External"/><Relationship Id="rId24" Type="http://schemas.openxmlformats.org/officeDocument/2006/relationships/hyperlink" Target="https://www.screener.in/company/SAURASHCEM/consolidated/" TargetMode="External"/><Relationship Id="rId32" Type="http://schemas.openxmlformats.org/officeDocument/2006/relationships/hyperlink" Target="https://www.screener.in/company/500322/" TargetMode="External"/><Relationship Id="rId37" Type="http://schemas.openxmlformats.org/officeDocument/2006/relationships/hyperlink" Target="https://www.screener.in/company/compare/00000011/?order=asc" TargetMode="External"/><Relationship Id="rId40" Type="http://schemas.openxmlformats.org/officeDocument/2006/relationships/hyperlink" Target="https://www.screener.in/company/compare/00000011/?sort=depreciation+last+year&amp;order=desc" TargetMode="External"/><Relationship Id="rId45" Type="http://schemas.openxmlformats.org/officeDocument/2006/relationships/hyperlink" Target="https://www.screener.in/company/compare/00000011/?sort=working+capital&amp;order=desc" TargetMode="External"/><Relationship Id="rId5" Type="http://schemas.openxmlformats.org/officeDocument/2006/relationships/hyperlink" Target="https://www.screener.in/company/DALBHARAT/consolidated/" TargetMode="External"/><Relationship Id="rId15" Type="http://schemas.openxmlformats.org/officeDocument/2006/relationships/hyperlink" Target="https://www.screener.in/company/ORIENTCEM/" TargetMode="External"/><Relationship Id="rId23" Type="http://schemas.openxmlformats.org/officeDocument/2006/relationships/hyperlink" Target="https://www.screener.in/company/532323/" TargetMode="External"/><Relationship Id="rId28" Type="http://schemas.openxmlformats.org/officeDocument/2006/relationships/hyperlink" Target="https://www.screener.in/company/APCL/consolidated/" TargetMode="External"/><Relationship Id="rId36" Type="http://schemas.openxmlformats.org/officeDocument/2006/relationships/hyperlink" Target="https://www.screener.in/company/502133/" TargetMode="External"/><Relationship Id="rId10" Type="http://schemas.openxmlformats.org/officeDocument/2006/relationships/hyperlink" Target="https://www.screener.in/company/BIRLACORPN/consolidated/" TargetMode="External"/><Relationship Id="rId19" Type="http://schemas.openxmlformats.org/officeDocument/2006/relationships/hyperlink" Target="https://www.screener.in/company/MANGLMCEM/" TargetMode="External"/><Relationship Id="rId31" Type="http://schemas.openxmlformats.org/officeDocument/2006/relationships/hyperlink" Target="https://www.screener.in/company/BVCL/consolidated/" TargetMode="External"/><Relationship Id="rId44" Type="http://schemas.openxmlformats.org/officeDocument/2006/relationships/hyperlink" Target="https://www.screener.in/company/compare/00000011/?sort=net+block+preceding+year&amp;order=desc" TargetMode="External"/><Relationship Id="rId4" Type="http://schemas.openxmlformats.org/officeDocument/2006/relationships/hyperlink" Target="https://www.screener.in/company/ACC/consolidated/" TargetMode="External"/><Relationship Id="rId9" Type="http://schemas.openxmlformats.org/officeDocument/2006/relationships/hyperlink" Target="https://www.screener.in/company/INDIACEM/consolidated/" TargetMode="External"/><Relationship Id="rId14" Type="http://schemas.openxmlformats.org/officeDocument/2006/relationships/hyperlink" Target="https://www.screener.in/company/KESORAMIND/consolidated/" TargetMode="External"/><Relationship Id="rId22" Type="http://schemas.openxmlformats.org/officeDocument/2006/relationships/hyperlink" Target="https://www.screener.in/company/SHREDIGCEM/" TargetMode="External"/><Relationship Id="rId27" Type="http://schemas.openxmlformats.org/officeDocument/2006/relationships/hyperlink" Target="https://www.screener.in/company/ACL/" TargetMode="External"/><Relationship Id="rId30" Type="http://schemas.openxmlformats.org/officeDocument/2006/relationships/hyperlink" Target="https://www.screener.in/company/KAKATCEM/" TargetMode="External"/><Relationship Id="rId35" Type="http://schemas.openxmlformats.org/officeDocument/2006/relationships/hyperlink" Target="https://www.screener.in/company/BURNPUR/" TargetMode="External"/><Relationship Id="rId43" Type="http://schemas.openxmlformats.org/officeDocument/2006/relationships/hyperlink" Target="https://www.screener.in/company/compare/00000011/?sort=net+block&amp;order=desc" TargetMode="External"/><Relationship Id="rId8" Type="http://schemas.openxmlformats.org/officeDocument/2006/relationships/hyperlink" Target="https://www.screener.in/company/NUVOCO/consolidated/" TargetMode="External"/><Relationship Id="rId3" Type="http://schemas.openxmlformats.org/officeDocument/2006/relationships/hyperlink" Target="https://www.screener.in/company/SHREECEM/consolidated/" TargetMode="External"/><Relationship Id="rId12" Type="http://schemas.openxmlformats.org/officeDocument/2006/relationships/hyperlink" Target="https://www.screener.in/company/JKLAKSHMI/consolidated/" TargetMode="External"/><Relationship Id="rId17" Type="http://schemas.openxmlformats.org/officeDocument/2006/relationships/hyperlink" Target="https://www.screener.in/company/KCP/consolidated/" TargetMode="External"/><Relationship Id="rId25" Type="http://schemas.openxmlformats.org/officeDocument/2006/relationships/hyperlink" Target="https://www.screener.in/company/NCLIND/" TargetMode="External"/><Relationship Id="rId33" Type="http://schemas.openxmlformats.org/officeDocument/2006/relationships/hyperlink" Target="https://www.screener.in/company/518011/" TargetMode="External"/><Relationship Id="rId38" Type="http://schemas.openxmlformats.org/officeDocument/2006/relationships/hyperlink" Target="https://www.screener.in/company/compare/00000011/?sort=name&amp;order=desc" TargetMode="External"/><Relationship Id="rId46" Type="http://schemas.openxmlformats.org/officeDocument/2006/relationships/hyperlink" Target="https://www.screener.in/company/compare/00000011/?sort=working+capital+preceding+year&amp;order=desc" TargetMode="External"/><Relationship Id="rId20" Type="http://schemas.openxmlformats.org/officeDocument/2006/relationships/hyperlink" Target="https://www.screener.in/company/SANGHIIND/" TargetMode="External"/><Relationship Id="rId41" Type="http://schemas.openxmlformats.org/officeDocument/2006/relationships/hyperlink" Target="https://www.screener.in/company/compare/00000011/?sort=evebitda&amp;order=desc"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B9AE0-3EA9-4F38-B2CD-83AB5C20DD11}">
  <dimension ref="G9:O11"/>
  <sheetViews>
    <sheetView workbookViewId="0">
      <selection activeCell="G11" sqref="G11"/>
    </sheetView>
  </sheetViews>
  <sheetFormatPr defaultRowHeight="15"/>
  <cols>
    <col min="7" max="7" width="85.140625" bestFit="1" customWidth="1"/>
  </cols>
  <sheetData>
    <row r="9" spans="7:15" ht="23.25">
      <c r="G9" s="551" t="s">
        <v>1301</v>
      </c>
      <c r="H9" s="551"/>
      <c r="I9" s="551"/>
      <c r="J9" s="551"/>
      <c r="K9" s="551"/>
      <c r="L9" s="551"/>
      <c r="M9" s="550"/>
      <c r="N9" s="550"/>
      <c r="O9" s="550"/>
    </row>
    <row r="11" spans="7:15" ht="409.5">
      <c r="G11" s="549" t="s">
        <v>1302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6A6F4-DB85-411A-B894-49159CE2C846}">
  <sheetPr codeName="Sheet2"/>
  <dimension ref="B2:X122"/>
  <sheetViews>
    <sheetView showGridLines="0" tabSelected="1" topLeftCell="A25" zoomScale="70" zoomScaleNormal="70" workbookViewId="0">
      <selection activeCell="D81" sqref="D81"/>
    </sheetView>
  </sheetViews>
  <sheetFormatPr defaultColWidth="8.85546875" defaultRowHeight="15"/>
  <cols>
    <col min="1" max="1" width="8.85546875" style="3"/>
    <col min="2" max="2" width="86.5703125" style="3" customWidth="1"/>
    <col min="3" max="3" width="8.85546875" style="3"/>
    <col min="4" max="4" width="38.42578125" style="3" customWidth="1"/>
    <col min="5" max="5" width="38" style="3" customWidth="1"/>
    <col min="6" max="6" width="10.140625" style="3" customWidth="1"/>
    <col min="7" max="8" width="8.85546875" style="3"/>
    <col min="9" max="9" width="32.7109375" style="3" customWidth="1"/>
    <col min="10" max="16384" width="8.85546875" style="3"/>
  </cols>
  <sheetData>
    <row r="2" spans="2:24">
      <c r="B2" s="125" t="s">
        <v>175</v>
      </c>
    </row>
    <row r="3" spans="2:24" ht="84.75">
      <c r="B3" s="126" t="s">
        <v>176</v>
      </c>
      <c r="D3" s="127" t="s">
        <v>177</v>
      </c>
    </row>
    <row r="15" spans="2:24">
      <c r="M15" s="145"/>
      <c r="N15"/>
      <c r="O15"/>
      <c r="P15"/>
      <c r="Q15"/>
      <c r="R15"/>
      <c r="S15"/>
      <c r="T15"/>
      <c r="U15"/>
      <c r="V15"/>
      <c r="W15"/>
      <c r="X15"/>
    </row>
    <row r="16" spans="2:24">
      <c r="M16"/>
      <c r="N16"/>
      <c r="O16"/>
      <c r="P16"/>
      <c r="Q16"/>
      <c r="R16"/>
      <c r="S16"/>
      <c r="T16"/>
      <c r="U16"/>
      <c r="V16"/>
      <c r="W16"/>
      <c r="X16"/>
    </row>
    <row r="17" spans="2:24">
      <c r="M17"/>
      <c r="N17"/>
      <c r="O17" s="146"/>
      <c r="P17" s="146"/>
      <c r="Q17" s="146"/>
      <c r="R17" s="146"/>
      <c r="S17" s="146"/>
      <c r="T17" s="146"/>
      <c r="U17" s="146"/>
      <c r="V17" s="146"/>
      <c r="W17" s="146"/>
      <c r="X17" s="146"/>
    </row>
    <row r="18" spans="2:24">
      <c r="M18"/>
      <c r="N18"/>
      <c r="O18" s="146"/>
      <c r="P18" s="147"/>
      <c r="Q18" s="147"/>
      <c r="R18" s="147"/>
      <c r="S18" s="147"/>
      <c r="T18" s="147"/>
      <c r="U18" s="147"/>
      <c r="V18" s="147"/>
      <c r="W18" s="147"/>
      <c r="X18" s="148"/>
    </row>
    <row r="19" spans="2:24">
      <c r="M19"/>
      <c r="N19"/>
      <c r="O19"/>
      <c r="P19"/>
      <c r="Q19"/>
      <c r="R19" s="149"/>
      <c r="S19" s="149"/>
      <c r="T19" s="149"/>
      <c r="U19" s="149"/>
      <c r="V19" s="149"/>
      <c r="W19" s="149"/>
      <c r="X19" s="148"/>
    </row>
    <row r="20" spans="2:24">
      <c r="M20"/>
      <c r="N20"/>
      <c r="O20" s="146"/>
      <c r="P20" s="147"/>
      <c r="Q20" s="147"/>
      <c r="R20" s="147"/>
      <c r="S20" s="147"/>
      <c r="T20" s="147"/>
      <c r="U20" s="147"/>
      <c r="V20" s="147"/>
      <c r="W20" s="147"/>
      <c r="X20" s="148"/>
    </row>
    <row r="21" spans="2:24">
      <c r="M21"/>
      <c r="N21"/>
      <c r="O21"/>
      <c r="P21"/>
      <c r="Q21"/>
      <c r="R21"/>
      <c r="S21"/>
      <c r="T21"/>
      <c r="U21"/>
      <c r="V21"/>
      <c r="W21"/>
      <c r="X21"/>
    </row>
    <row r="22" spans="2:24">
      <c r="M22" s="145"/>
      <c r="N22"/>
      <c r="O22"/>
      <c r="P22" s="149"/>
      <c r="Q22" s="149"/>
      <c r="R22" s="149"/>
      <c r="S22" s="149"/>
      <c r="T22" s="149"/>
      <c r="U22" s="149"/>
      <c r="V22" s="149"/>
      <c r="W22" s="149"/>
      <c r="X22" s="2"/>
    </row>
    <row r="23" spans="2:24">
      <c r="M23"/>
      <c r="N23"/>
      <c r="O23"/>
      <c r="P23"/>
      <c r="Q23"/>
      <c r="R23"/>
      <c r="S23"/>
      <c r="T23"/>
      <c r="U23"/>
      <c r="V23"/>
      <c r="W23"/>
      <c r="X23"/>
    </row>
    <row r="28" spans="2:24" ht="39">
      <c r="B28" s="128" t="s">
        <v>178</v>
      </c>
      <c r="D28" s="129"/>
      <c r="I28" s="129" t="s">
        <v>179</v>
      </c>
    </row>
    <row r="32" spans="2:24">
      <c r="B32" s="14"/>
    </row>
    <row r="33" spans="2:2" ht="4.9000000000000004" customHeight="1"/>
    <row r="34" spans="2:2">
      <c r="B34" s="130"/>
    </row>
    <row r="35" spans="2:2">
      <c r="B35" s="130"/>
    </row>
    <row r="36" spans="2:2">
      <c r="B36" s="130"/>
    </row>
    <row r="37" spans="2:2">
      <c r="B37" s="130"/>
    </row>
    <row r="38" spans="2:2">
      <c r="B38" s="14" t="s">
        <v>180</v>
      </c>
    </row>
    <row r="40" spans="2:2">
      <c r="B40" s="131" t="s">
        <v>181</v>
      </c>
    </row>
    <row r="41" spans="2:2">
      <c r="B41" s="130"/>
    </row>
    <row r="42" spans="2:2">
      <c r="B42" s="130"/>
    </row>
    <row r="43" spans="2:2">
      <c r="B43" s="130"/>
    </row>
    <row r="44" spans="2:2">
      <c r="B44" s="130"/>
    </row>
    <row r="45" spans="2:2">
      <c r="B45" s="130"/>
    </row>
    <row r="46" spans="2:2">
      <c r="B46" s="130"/>
    </row>
    <row r="47" spans="2:2">
      <c r="B47" s="130"/>
    </row>
    <row r="48" spans="2:2">
      <c r="B48" s="130"/>
    </row>
    <row r="49" spans="2:5">
      <c r="B49" s="130"/>
      <c r="E49" s="132" t="s">
        <v>182</v>
      </c>
    </row>
    <row r="50" spans="2:5">
      <c r="B50" s="130"/>
    </row>
    <row r="51" spans="2:5">
      <c r="B51" s="130"/>
    </row>
    <row r="52" spans="2:5">
      <c r="B52" s="130"/>
    </row>
    <row r="53" spans="2:5">
      <c r="B53" s="130"/>
    </row>
    <row r="54" spans="2:5">
      <c r="B54" s="130"/>
    </row>
    <row r="55" spans="2:5">
      <c r="B55" s="130"/>
    </row>
    <row r="56" spans="2:5">
      <c r="B56" s="130"/>
    </row>
    <row r="57" spans="2:5">
      <c r="B57" s="130"/>
    </row>
    <row r="58" spans="2:5">
      <c r="B58" s="130"/>
    </row>
    <row r="59" spans="2:5">
      <c r="B59" s="130"/>
    </row>
    <row r="60" spans="2:5">
      <c r="B60" s="130"/>
    </row>
    <row r="61" spans="2:5">
      <c r="B61" s="130"/>
    </row>
    <row r="62" spans="2:5">
      <c r="B62" s="130"/>
    </row>
    <row r="63" spans="2:5">
      <c r="B63" s="130"/>
    </row>
    <row r="64" spans="2:5">
      <c r="B64" s="130"/>
    </row>
    <row r="65" spans="2:5">
      <c r="B65" s="130"/>
    </row>
    <row r="66" spans="2:5">
      <c r="B66" s="130"/>
    </row>
    <row r="67" spans="2:5">
      <c r="B67" s="130"/>
    </row>
    <row r="68" spans="2:5">
      <c r="B68" s="130"/>
      <c r="E68"/>
    </row>
    <row r="69" spans="2:5">
      <c r="B69" s="130"/>
    </row>
    <row r="70" spans="2:5">
      <c r="B70" s="130"/>
    </row>
    <row r="71" spans="2:5">
      <c r="B71" s="131" t="s">
        <v>183</v>
      </c>
    </row>
    <row r="72" spans="2:5">
      <c r="B72" s="130"/>
      <c r="D72" s="3" t="s">
        <v>177</v>
      </c>
    </row>
    <row r="73" spans="2:5">
      <c r="B73" s="130"/>
      <c r="D73" s="133"/>
    </row>
    <row r="74" spans="2:5" ht="25.5">
      <c r="B74" s="134" t="s">
        <v>184</v>
      </c>
      <c r="D74" s="133"/>
    </row>
    <row r="75" spans="2:5">
      <c r="B75" s="135"/>
    </row>
    <row r="76" spans="2:5" ht="38.25">
      <c r="B76" s="134" t="s">
        <v>185</v>
      </c>
    </row>
    <row r="77" spans="2:5">
      <c r="B77" s="136"/>
    </row>
    <row r="78" spans="2:5">
      <c r="B78" s="137" t="s">
        <v>186</v>
      </c>
    </row>
    <row r="79" spans="2:5" ht="25.5">
      <c r="B79" s="138" t="s">
        <v>187</v>
      </c>
    </row>
    <row r="80" spans="2:5" ht="38.25">
      <c r="B80" s="138" t="s">
        <v>188</v>
      </c>
    </row>
    <row r="81" spans="2:6" ht="25.5">
      <c r="B81" s="137" t="s">
        <v>189</v>
      </c>
    </row>
    <row r="82" spans="2:6" ht="51">
      <c r="B82" s="137" t="s">
        <v>190</v>
      </c>
    </row>
    <row r="83" spans="2:6" ht="51">
      <c r="B83" s="137" t="s">
        <v>191</v>
      </c>
    </row>
    <row r="84" spans="2:6" ht="38.25">
      <c r="B84" s="137" t="s">
        <v>185</v>
      </c>
    </row>
    <row r="85" spans="2:6">
      <c r="B85" s="130"/>
    </row>
    <row r="86" spans="2:6">
      <c r="B86" s="130"/>
    </row>
    <row r="87" spans="2:6">
      <c r="B87" s="130"/>
    </row>
    <row r="88" spans="2:6">
      <c r="B88" s="130"/>
    </row>
    <row r="89" spans="2:6" ht="90">
      <c r="B89" s="128" t="s">
        <v>192</v>
      </c>
      <c r="F89" s="139" t="s">
        <v>193</v>
      </c>
    </row>
    <row r="90" spans="2:6">
      <c r="B90" s="130" t="s">
        <v>194</v>
      </c>
    </row>
    <row r="91" spans="2:6">
      <c r="B91" s="130"/>
    </row>
    <row r="92" spans="2:6" ht="63.75">
      <c r="B92" s="134" t="s">
        <v>195</v>
      </c>
    </row>
    <row r="93" spans="2:6">
      <c r="B93" s="135"/>
    </row>
    <row r="94" spans="2:6" ht="25.5">
      <c r="B94" s="134" t="s">
        <v>196</v>
      </c>
    </row>
    <row r="95" spans="2:6">
      <c r="B95" s="130"/>
    </row>
    <row r="96" spans="2:6">
      <c r="B96" s="130"/>
    </row>
    <row r="97" spans="2:13">
      <c r="B97" s="130"/>
    </row>
    <row r="98" spans="2:13">
      <c r="B98" s="130"/>
    </row>
    <row r="99" spans="2:13">
      <c r="B99" s="130"/>
    </row>
    <row r="100" spans="2:13">
      <c r="B100" s="131" t="s">
        <v>197</v>
      </c>
    </row>
    <row r="101" spans="2:13" ht="6" customHeight="1"/>
    <row r="102" spans="2:13" ht="51.75">
      <c r="B102" s="140" t="s">
        <v>198</v>
      </c>
    </row>
    <row r="104" spans="2:13" ht="25.5">
      <c r="B104" s="137" t="s">
        <v>199</v>
      </c>
    </row>
    <row r="108" spans="2:13">
      <c r="B108" s="145"/>
      <c r="C108"/>
      <c r="D108"/>
      <c r="E108"/>
      <c r="F108"/>
      <c r="G108"/>
      <c r="H108"/>
      <c r="I108"/>
      <c r="J108"/>
      <c r="K108"/>
      <c r="L108"/>
      <c r="M108"/>
    </row>
    <row r="109" spans="2:13">
      <c r="B109"/>
      <c r="C109"/>
      <c r="D109"/>
      <c r="E109"/>
      <c r="F109"/>
      <c r="G109"/>
      <c r="H109"/>
      <c r="I109"/>
      <c r="J109"/>
      <c r="K109"/>
      <c r="L109"/>
      <c r="M109"/>
    </row>
    <row r="110" spans="2:13">
      <c r="B110"/>
      <c r="C110"/>
      <c r="D110" s="146"/>
      <c r="F110" s="146"/>
      <c r="G110" s="146"/>
      <c r="H110" s="146"/>
      <c r="I110" s="146"/>
      <c r="J110" s="146"/>
      <c r="K110" s="146"/>
      <c r="L110" s="146"/>
      <c r="M110" s="146"/>
    </row>
    <row r="111" spans="2:13">
      <c r="B111"/>
      <c r="C111"/>
      <c r="D111" s="146"/>
      <c r="E111" s="147"/>
      <c r="F111" s="147"/>
      <c r="G111" s="147"/>
      <c r="H111" s="147"/>
      <c r="I111" s="147"/>
      <c r="J111" s="147"/>
      <c r="K111" s="147"/>
      <c r="L111" s="147"/>
      <c r="M111" s="148"/>
    </row>
    <row r="112" spans="2:13">
      <c r="B112"/>
      <c r="C112"/>
      <c r="D112"/>
      <c r="E112"/>
      <c r="F112"/>
      <c r="G112" s="149"/>
      <c r="H112" s="149"/>
      <c r="I112" s="149"/>
      <c r="J112" s="149"/>
      <c r="K112" s="149"/>
      <c r="L112" s="149"/>
      <c r="M112" s="148"/>
    </row>
    <row r="113" spans="2:13">
      <c r="B113"/>
      <c r="C113"/>
      <c r="D113" s="146"/>
      <c r="E113" s="147"/>
      <c r="F113" s="147"/>
      <c r="G113" s="147"/>
      <c r="H113" s="147"/>
      <c r="I113" s="147"/>
      <c r="J113" s="147"/>
      <c r="K113" s="147"/>
      <c r="L113" s="147"/>
      <c r="M113" s="148"/>
    </row>
    <row r="114" spans="2:13">
      <c r="B114"/>
      <c r="C114"/>
      <c r="D114"/>
      <c r="E114"/>
      <c r="F114"/>
      <c r="G114"/>
      <c r="H114"/>
      <c r="I114"/>
      <c r="J114"/>
      <c r="K114"/>
      <c r="L114"/>
      <c r="M114"/>
    </row>
    <row r="115" spans="2:13">
      <c r="B115" s="145"/>
      <c r="C115"/>
      <c r="D115"/>
      <c r="F115" s="149"/>
      <c r="G115" s="149"/>
      <c r="H115" s="149"/>
      <c r="I115" s="146" t="s">
        <v>1298</v>
      </c>
      <c r="J115" s="149"/>
      <c r="K115" s="149"/>
      <c r="L115" s="149"/>
      <c r="M115" s="2"/>
    </row>
    <row r="116" spans="2:13">
      <c r="B116"/>
      <c r="C116"/>
      <c r="D116"/>
      <c r="F116"/>
      <c r="G116"/>
      <c r="H116"/>
      <c r="I116"/>
      <c r="J116"/>
      <c r="K116"/>
      <c r="L116"/>
      <c r="M116"/>
    </row>
    <row r="117" spans="2:13">
      <c r="E117" s="547" t="s">
        <v>539</v>
      </c>
      <c r="F117" s="121">
        <v>0.30199999999999999</v>
      </c>
    </row>
    <row r="118" spans="2:13">
      <c r="E118" s="547" t="s">
        <v>541</v>
      </c>
      <c r="F118" s="121">
        <v>9.6000000000000002E-2</v>
      </c>
    </row>
    <row r="119" spans="2:13">
      <c r="E119" s="547" t="s">
        <v>752</v>
      </c>
      <c r="F119" s="121">
        <v>8.5000000000000006E-2</v>
      </c>
    </row>
    <row r="120" spans="2:13">
      <c r="E120" s="547" t="s">
        <v>1299</v>
      </c>
      <c r="F120" s="121">
        <v>8.3000000000000004E-2</v>
      </c>
    </row>
    <row r="121" spans="2:13">
      <c r="E121" s="547" t="s">
        <v>1300</v>
      </c>
      <c r="F121" s="121">
        <v>6.7000000000000004E-2</v>
      </c>
    </row>
    <row r="122" spans="2:13">
      <c r="E122" s="547" t="s">
        <v>288</v>
      </c>
      <c r="F122" s="121">
        <v>0.36599999999999999</v>
      </c>
    </row>
  </sheetData>
  <hyperlinks>
    <hyperlink ref="D3" r:id="rId1" xr:uid="{E3300AF0-54E5-444E-A7F5-37DAAE8A35BB}"/>
    <hyperlink ref="I28" r:id="rId2" xr:uid="{702AF64E-1982-4540-BFE7-8F8F044A6469}"/>
    <hyperlink ref="E49" r:id="rId3" xr:uid="{EB314A17-E1C4-4F20-8C66-139BD2C4693B}"/>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6BAB-1A6B-42E4-9EEF-2817CEEB9AE6}">
  <sheetPr codeName="Sheet3"/>
  <dimension ref="B2:AC66"/>
  <sheetViews>
    <sheetView showGridLines="0" zoomScale="60" zoomScaleNormal="60" workbookViewId="0">
      <selection activeCell="V2" sqref="V2"/>
    </sheetView>
  </sheetViews>
  <sheetFormatPr defaultRowHeight="15"/>
  <cols>
    <col min="2" max="2" width="11.85546875" customWidth="1"/>
    <col min="3" max="3" width="24.28515625" customWidth="1"/>
    <col min="5" max="13" width="9.5703125" bestFit="1" customWidth="1"/>
    <col min="16" max="16" width="80.7109375" customWidth="1"/>
  </cols>
  <sheetData>
    <row r="2" spans="2:16">
      <c r="B2" s="145"/>
      <c r="C2" s="145" t="s">
        <v>208</v>
      </c>
    </row>
    <row r="4" spans="2:16">
      <c r="C4" t="s">
        <v>29</v>
      </c>
      <c r="E4" s="517">
        <v>2022</v>
      </c>
      <c r="F4" s="517">
        <f>E4+1</f>
        <v>2023</v>
      </c>
      <c r="G4" s="517">
        <f>F4+1</f>
        <v>2024</v>
      </c>
      <c r="H4" s="516">
        <f t="shared" ref="H4:M4" si="0">G4+1</f>
        <v>2025</v>
      </c>
      <c r="I4" s="516">
        <f t="shared" si="0"/>
        <v>2026</v>
      </c>
      <c r="J4" s="516">
        <f t="shared" si="0"/>
        <v>2027</v>
      </c>
      <c r="K4" s="516">
        <f t="shared" si="0"/>
        <v>2028</v>
      </c>
      <c r="L4" s="516">
        <f t="shared" si="0"/>
        <v>2029</v>
      </c>
      <c r="M4" s="516">
        <f t="shared" si="0"/>
        <v>2030</v>
      </c>
      <c r="N4" s="146" t="s">
        <v>209</v>
      </c>
    </row>
    <row r="5" spans="2:16" ht="45">
      <c r="C5" t="s">
        <v>210</v>
      </c>
      <c r="E5">
        <v>26.85</v>
      </c>
      <c r="F5" s="149">
        <f t="shared" ref="F5:K5" si="1">E5+($L$5-$E$5)/7</f>
        <v>30.048571428571432</v>
      </c>
      <c r="G5" s="149">
        <f t="shared" si="1"/>
        <v>33.247142857142862</v>
      </c>
      <c r="H5" s="149">
        <f t="shared" si="1"/>
        <v>36.445714285714288</v>
      </c>
      <c r="I5" s="149">
        <f t="shared" si="1"/>
        <v>39.644285714285715</v>
      </c>
      <c r="J5" s="149">
        <f t="shared" si="1"/>
        <v>42.842857142857142</v>
      </c>
      <c r="K5" s="149">
        <f t="shared" si="1"/>
        <v>46.041428571428568</v>
      </c>
      <c r="L5" s="149">
        <v>49.24</v>
      </c>
      <c r="M5" s="149"/>
      <c r="N5" s="2">
        <f>_xlfn.RRI(7,E5,L5)</f>
        <v>9.0497870994711738E-2</v>
      </c>
      <c r="P5" s="150" t="s">
        <v>214</v>
      </c>
    </row>
    <row r="6" spans="2:16">
      <c r="F6" s="154">
        <f>F5/E5-1</f>
        <v>0.11912742750731575</v>
      </c>
      <c r="G6" s="154">
        <f t="shared" ref="G6:L6" si="2">G5/F5-1</f>
        <v>0.10644670533422085</v>
      </c>
      <c r="H6" s="154">
        <f t="shared" si="2"/>
        <v>9.6205903837064399E-2</v>
      </c>
      <c r="I6" s="154">
        <f t="shared" si="2"/>
        <v>8.7762621511445538E-2</v>
      </c>
      <c r="J6" s="154">
        <f t="shared" si="2"/>
        <v>8.0681777233252872E-2</v>
      </c>
      <c r="K6" s="154">
        <f t="shared" si="2"/>
        <v>7.4658219406468884E-2</v>
      </c>
      <c r="L6" s="154">
        <f t="shared" si="2"/>
        <v>6.9471593906109463E-2</v>
      </c>
      <c r="M6" s="149"/>
      <c r="N6" s="2"/>
      <c r="P6" s="150"/>
    </row>
    <row r="7" spans="2:16">
      <c r="F7" s="149"/>
      <c r="G7" s="149"/>
      <c r="H7" s="149"/>
      <c r="I7" s="149"/>
      <c r="J7" s="149"/>
      <c r="K7" s="149"/>
      <c r="L7" s="149"/>
      <c r="M7" s="149"/>
      <c r="N7" s="2"/>
      <c r="P7" s="150"/>
    </row>
    <row r="8" spans="2:16">
      <c r="C8" t="s">
        <v>211</v>
      </c>
      <c r="G8">
        <v>26.02</v>
      </c>
      <c r="H8" s="149">
        <f>G8+($M$8-$G$8)/6</f>
        <v>28.643333333333331</v>
      </c>
      <c r="I8" s="149">
        <f>H8+($M$8-$G$8)/6</f>
        <v>31.266666666666666</v>
      </c>
      <c r="J8" s="149">
        <f>I8+($M$8-$G$8)/6</f>
        <v>33.89</v>
      </c>
      <c r="K8" s="149">
        <f>J8+($M$8-$G$8)/6</f>
        <v>36.513333333333335</v>
      </c>
      <c r="L8" s="149">
        <f>K8+($M$8-$G$8)/6</f>
        <v>39.13666666666667</v>
      </c>
      <c r="M8" s="149">
        <v>41.76</v>
      </c>
      <c r="N8" s="2">
        <f>_xlfn.RRI(6,G8,M8)</f>
        <v>8.2037219266083206E-2</v>
      </c>
      <c r="P8" s="150" t="s">
        <v>215</v>
      </c>
    </row>
    <row r="9" spans="2:16">
      <c r="H9" s="154">
        <f t="shared" ref="H9:M9" si="3">H8/G8-1</f>
        <v>0.10081988214194193</v>
      </c>
      <c r="I9" s="154">
        <f t="shared" si="3"/>
        <v>9.1586174793436559E-2</v>
      </c>
      <c r="J9" s="154">
        <f t="shared" si="3"/>
        <v>8.3901918976545975E-2</v>
      </c>
      <c r="K9" s="154">
        <f t="shared" si="3"/>
        <v>7.7407298121373147E-2</v>
      </c>
      <c r="L9" s="154">
        <f t="shared" si="3"/>
        <v>7.1845901040715754E-2</v>
      </c>
      <c r="M9" s="154">
        <f t="shared" si="3"/>
        <v>6.7030065582147857E-2</v>
      </c>
      <c r="N9" s="2"/>
      <c r="P9" s="150"/>
    </row>
    <row r="10" spans="2:16">
      <c r="H10" s="149"/>
      <c r="I10" s="149"/>
      <c r="J10" s="149"/>
      <c r="K10" s="149"/>
      <c r="L10" s="149"/>
      <c r="M10" s="149"/>
      <c r="N10" s="2"/>
      <c r="P10" s="150"/>
    </row>
    <row r="11" spans="2:16">
      <c r="C11" t="s">
        <v>212</v>
      </c>
      <c r="E11">
        <v>26.02</v>
      </c>
      <c r="F11" s="149">
        <f>E11+($M$11-$E$11)/8</f>
        <v>29.23875</v>
      </c>
      <c r="G11" s="149">
        <f t="shared" ref="G11:L11" si="4">F11+($M$11-$E$11)/8</f>
        <v>32.457500000000003</v>
      </c>
      <c r="H11" s="149">
        <f t="shared" si="4"/>
        <v>35.676250000000003</v>
      </c>
      <c r="I11" s="149">
        <f t="shared" si="4"/>
        <v>38.895000000000003</v>
      </c>
      <c r="J11" s="149">
        <f t="shared" si="4"/>
        <v>42.113750000000003</v>
      </c>
      <c r="K11" s="149">
        <f t="shared" si="4"/>
        <v>45.332500000000003</v>
      </c>
      <c r="L11" s="149">
        <f t="shared" si="4"/>
        <v>48.551250000000003</v>
      </c>
      <c r="M11" s="149">
        <v>51.77</v>
      </c>
      <c r="N11" s="2">
        <v>8.9800000000000005E-2</v>
      </c>
      <c r="P11" s="150" t="s">
        <v>216</v>
      </c>
    </row>
    <row r="12" spans="2:16">
      <c r="F12" s="154">
        <f>F11/E11-1</f>
        <v>0.12370292083013057</v>
      </c>
      <c r="G12" s="154">
        <f t="shared" ref="G12:M12" si="5">G11/F11-1</f>
        <v>0.11008507545637225</v>
      </c>
      <c r="H12" s="154">
        <f t="shared" si="5"/>
        <v>9.9168142956173488E-2</v>
      </c>
      <c r="I12" s="154">
        <f t="shared" si="5"/>
        <v>9.0221085456010597E-2</v>
      </c>
      <c r="J12" s="154">
        <f t="shared" si="5"/>
        <v>8.2754852808844426E-2</v>
      </c>
      <c r="K12" s="154">
        <f t="shared" si="5"/>
        <v>7.6429907096850824E-2</v>
      </c>
      <c r="L12" s="154">
        <f t="shared" si="5"/>
        <v>7.1003143440136807E-2</v>
      </c>
      <c r="M12" s="154">
        <f t="shared" si="5"/>
        <v>6.6295924409773166E-2</v>
      </c>
      <c r="N12" s="2"/>
      <c r="P12" s="150"/>
    </row>
    <row r="14" spans="2:16">
      <c r="B14" s="145"/>
      <c r="C14" s="145" t="s">
        <v>213</v>
      </c>
      <c r="E14" s="153"/>
      <c r="F14" s="153"/>
      <c r="G14" s="153"/>
      <c r="H14" s="153"/>
      <c r="I14" s="153"/>
      <c r="J14" s="153"/>
      <c r="K14" s="153"/>
      <c r="L14" s="153"/>
      <c r="M14" s="153"/>
      <c r="N14" s="2">
        <f>MEDIAN(N5:N11)</f>
        <v>8.9800000000000005E-2</v>
      </c>
    </row>
    <row r="15" spans="2:16">
      <c r="N15" s="44"/>
    </row>
    <row r="19" spans="2:29">
      <c r="B19" s="145" t="s">
        <v>217</v>
      </c>
      <c r="AB19">
        <v>-1</v>
      </c>
    </row>
    <row r="21" spans="2:29">
      <c r="D21">
        <v>2022</v>
      </c>
      <c r="E21" s="146">
        <f>D21+1</f>
        <v>2023</v>
      </c>
      <c r="F21" s="146">
        <f t="shared" ref="F21:L21" si="6">E21+1</f>
        <v>2024</v>
      </c>
      <c r="G21" s="146">
        <f t="shared" si="6"/>
        <v>2025</v>
      </c>
      <c r="H21" s="146">
        <f t="shared" si="6"/>
        <v>2026</v>
      </c>
      <c r="I21" s="146">
        <f t="shared" si="6"/>
        <v>2027</v>
      </c>
      <c r="J21" s="146">
        <f t="shared" si="6"/>
        <v>2028</v>
      </c>
      <c r="K21" s="146">
        <f t="shared" si="6"/>
        <v>2029</v>
      </c>
      <c r="L21" s="146">
        <f t="shared" si="6"/>
        <v>2030</v>
      </c>
      <c r="M21" s="146">
        <f>L21+1</f>
        <v>2031</v>
      </c>
      <c r="N21" s="146">
        <f>M21+1</f>
        <v>2032</v>
      </c>
      <c r="O21" s="146" t="s">
        <v>209</v>
      </c>
    </row>
    <row r="22" spans="2:29">
      <c r="B22" t="s">
        <v>218</v>
      </c>
      <c r="E22" s="147">
        <v>396.7</v>
      </c>
      <c r="F22" s="152">
        <v>425</v>
      </c>
      <c r="G22" s="152">
        <v>460</v>
      </c>
      <c r="H22" s="152">
        <f t="shared" ref="H22:M22" si="7">G22+($N$22-$E$22)/9</f>
        <v>482.55555555555554</v>
      </c>
      <c r="I22" s="152">
        <f t="shared" si="7"/>
        <v>505.11111111111109</v>
      </c>
      <c r="J22" s="152">
        <f t="shared" si="7"/>
        <v>527.66666666666663</v>
      </c>
      <c r="K22" s="152">
        <f t="shared" si="7"/>
        <v>550.22222222222217</v>
      </c>
      <c r="L22" s="152">
        <f t="shared" si="7"/>
        <v>572.77777777777771</v>
      </c>
      <c r="M22" s="152">
        <f t="shared" si="7"/>
        <v>595.33333333333326</v>
      </c>
      <c r="N22" s="147">
        <v>599.70000000000005</v>
      </c>
      <c r="O22" s="151">
        <f>_xlfn.RRI(9,E22,N22)</f>
        <v>4.6987065634842784E-2</v>
      </c>
      <c r="P22" t="s">
        <v>219</v>
      </c>
    </row>
    <row r="23" spans="2:29">
      <c r="B23" t="s">
        <v>220</v>
      </c>
      <c r="F23" s="146">
        <v>413.95</v>
      </c>
      <c r="G23" s="146">
        <f>F23+($L$23-$F$23)/6</f>
        <v>445.40499999999997</v>
      </c>
      <c r="H23" s="146">
        <f>G23+($L$23-$F$23)/6</f>
        <v>476.85999999999996</v>
      </c>
      <c r="I23" s="146">
        <f>H23+($L$23-$F$23)/6</f>
        <v>508.31499999999994</v>
      </c>
      <c r="J23" s="146">
        <f>I23+($L$23-$F$23)/6</f>
        <v>539.77</v>
      </c>
      <c r="K23" s="146">
        <f>J23+($L$23-$F$23)/6</f>
        <v>571.22500000000002</v>
      </c>
      <c r="L23" s="146">
        <v>602.67999999999995</v>
      </c>
      <c r="M23" s="147"/>
      <c r="N23" s="147"/>
      <c r="O23" s="151">
        <f>_xlfn.RRI(6,F23,L23)</f>
        <v>6.4608220839077912E-2</v>
      </c>
      <c r="P23" s="150" t="s">
        <v>221</v>
      </c>
    </row>
    <row r="25" spans="2:29">
      <c r="S25" s="515">
        <v>2017</v>
      </c>
      <c r="T25" s="515">
        <f>S25+1</f>
        <v>2018</v>
      </c>
      <c r="U25" s="515">
        <f t="shared" ref="U25:AC25" si="8">T25+1</f>
        <v>2019</v>
      </c>
      <c r="V25" s="515">
        <f t="shared" si="8"/>
        <v>2020</v>
      </c>
      <c r="W25" s="515">
        <f t="shared" si="8"/>
        <v>2021</v>
      </c>
      <c r="X25" s="515">
        <f t="shared" si="8"/>
        <v>2022</v>
      </c>
      <c r="Y25" s="515">
        <f t="shared" si="8"/>
        <v>2023</v>
      </c>
      <c r="Z25" s="515">
        <f t="shared" si="8"/>
        <v>2024</v>
      </c>
      <c r="AA25" s="518">
        <f t="shared" si="8"/>
        <v>2025</v>
      </c>
      <c r="AB25" s="518">
        <f t="shared" si="8"/>
        <v>2026</v>
      </c>
      <c r="AC25" s="518">
        <f t="shared" si="8"/>
        <v>2027</v>
      </c>
    </row>
    <row r="26" spans="2:29">
      <c r="B26" t="s">
        <v>213</v>
      </c>
      <c r="E26" s="147">
        <f>MEDIAN(E22:E23)</f>
        <v>396.7</v>
      </c>
      <c r="F26" s="147">
        <f>MEDIAN(F22:F23)</f>
        <v>419.47500000000002</v>
      </c>
      <c r="G26" s="147">
        <f t="shared" ref="G26:N26" si="9">MEDIAN(G22:G23)</f>
        <v>452.70249999999999</v>
      </c>
      <c r="H26" s="147">
        <f t="shared" si="9"/>
        <v>479.70777777777778</v>
      </c>
      <c r="I26" s="147">
        <f t="shared" si="9"/>
        <v>506.71305555555551</v>
      </c>
      <c r="J26" s="147">
        <f t="shared" si="9"/>
        <v>533.71833333333325</v>
      </c>
      <c r="K26" s="147">
        <f t="shared" si="9"/>
        <v>560.72361111111104</v>
      </c>
      <c r="L26" s="147">
        <f t="shared" si="9"/>
        <v>587.72888888888883</v>
      </c>
      <c r="M26" s="147">
        <f t="shared" si="9"/>
        <v>595.33333333333326</v>
      </c>
      <c r="N26" s="147">
        <f t="shared" si="9"/>
        <v>599.70000000000005</v>
      </c>
      <c r="O26" s="151">
        <f>_xlfn.RRI(9,E26,N26)</f>
        <v>4.6987065634842784E-2</v>
      </c>
      <c r="S26">
        <v>1294.5999999999999</v>
      </c>
      <c r="T26">
        <v>2526.2000000000003</v>
      </c>
      <c r="U26">
        <v>1922.4</v>
      </c>
      <c r="V26">
        <v>1540.3999999999999</v>
      </c>
      <c r="W26">
        <v>1129.0999999999999</v>
      </c>
      <c r="X26">
        <v>2209.3999999999996</v>
      </c>
      <c r="Y26">
        <v>3279.4</v>
      </c>
      <c r="Z26">
        <v>3169.5</v>
      </c>
      <c r="AA26">
        <v>4166</v>
      </c>
      <c r="AB26">
        <v>4166</v>
      </c>
      <c r="AC26">
        <v>4166</v>
      </c>
    </row>
    <row r="28" spans="2:29">
      <c r="F28">
        <v>419.25555555555553</v>
      </c>
      <c r="G28">
        <v>441.81111111111107</v>
      </c>
      <c r="H28">
        <v>464.36666666666662</v>
      </c>
      <c r="I28">
        <v>486.92222222222216</v>
      </c>
      <c r="J28">
        <v>509.4777777777777</v>
      </c>
      <c r="K28">
        <v>532.0333333333333</v>
      </c>
      <c r="L28">
        <v>554.58888888888885</v>
      </c>
      <c r="M28">
        <v>577.14444444444439</v>
      </c>
      <c r="N28">
        <v>599.70000000000005</v>
      </c>
    </row>
    <row r="34" spans="2:16">
      <c r="B34" s="515">
        <v>2019</v>
      </c>
      <c r="C34" s="515">
        <v>2020</v>
      </c>
      <c r="D34" s="515">
        <v>2021</v>
      </c>
      <c r="E34" s="515">
        <v>2022</v>
      </c>
      <c r="F34" s="515">
        <f t="shared" ref="F34:M34" si="10">E34+1</f>
        <v>2023</v>
      </c>
      <c r="G34" s="516">
        <f t="shared" si="10"/>
        <v>2024</v>
      </c>
      <c r="H34" s="516">
        <f t="shared" si="10"/>
        <v>2025</v>
      </c>
      <c r="I34" s="516">
        <f t="shared" si="10"/>
        <v>2026</v>
      </c>
      <c r="J34" s="516">
        <f t="shared" si="10"/>
        <v>2027</v>
      </c>
      <c r="K34" s="516">
        <f t="shared" si="10"/>
        <v>2028</v>
      </c>
      <c r="L34" s="516">
        <f t="shared" si="10"/>
        <v>2029</v>
      </c>
      <c r="M34" s="516">
        <f t="shared" si="10"/>
        <v>2030</v>
      </c>
      <c r="N34" s="516">
        <v>2031</v>
      </c>
      <c r="O34" s="516">
        <v>2032</v>
      </c>
    </row>
    <row r="35" spans="2:16">
      <c r="B35">
        <v>328</v>
      </c>
      <c r="C35">
        <v>327</v>
      </c>
      <c r="D35">
        <v>285</v>
      </c>
      <c r="E35">
        <v>351</v>
      </c>
      <c r="F35">
        <v>396.7</v>
      </c>
      <c r="G35">
        <v>425</v>
      </c>
      <c r="H35">
        <v>460</v>
      </c>
      <c r="I35" s="153">
        <v>482.55555555555554</v>
      </c>
      <c r="J35" s="153">
        <v>505.11111111111109</v>
      </c>
      <c r="K35" s="153">
        <v>527.66666666666663</v>
      </c>
      <c r="L35" s="153">
        <v>550.22222222222217</v>
      </c>
      <c r="M35" s="153">
        <v>572.77777777777771</v>
      </c>
      <c r="N35" s="153">
        <v>595.33333333333326</v>
      </c>
      <c r="O35" s="153">
        <v>599.70000000000005</v>
      </c>
    </row>
    <row r="45" spans="2:16" ht="33.75">
      <c r="P45" s="519" t="s">
        <v>1266</v>
      </c>
    </row>
    <row r="46" spans="2:16" ht="33.75">
      <c r="P46" s="519" t="s">
        <v>1267</v>
      </c>
    </row>
    <row r="61" spans="16:16" ht="129" customHeight="1">
      <c r="P61" s="552" t="s">
        <v>1268</v>
      </c>
    </row>
    <row r="62" spans="16:16">
      <c r="P62" s="552"/>
    </row>
    <row r="63" spans="16:16">
      <c r="P63" s="552"/>
    </row>
    <row r="64" spans="16:16">
      <c r="P64" s="552"/>
    </row>
    <row r="65" spans="16:16">
      <c r="P65" s="552"/>
    </row>
    <row r="66" spans="16:16">
      <c r="P66" s="552"/>
    </row>
  </sheetData>
  <mergeCells count="1">
    <mergeCell ref="P61:P6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D70BF-81E7-479B-91AC-45067CC738A6}">
  <sheetPr codeName="Sheet4"/>
  <dimension ref="A2:AH1107"/>
  <sheetViews>
    <sheetView showGridLines="0" topLeftCell="A308" workbookViewId="0">
      <selection activeCell="K444" sqref="K444"/>
    </sheetView>
  </sheetViews>
  <sheetFormatPr defaultRowHeight="15"/>
  <cols>
    <col min="1" max="1" width="1.85546875" customWidth="1"/>
    <col min="2" max="2" width="50.28515625" customWidth="1"/>
    <col min="3" max="13" width="12.7109375" customWidth="1"/>
    <col min="14" max="17" width="11.7109375" customWidth="1"/>
    <col min="18" max="18" width="28.85546875" customWidth="1"/>
    <col min="19" max="19" width="12.7109375" customWidth="1"/>
    <col min="20" max="23" width="10.5703125" bestFit="1" customWidth="1"/>
    <col min="26" max="26" width="12.7109375" customWidth="1"/>
  </cols>
  <sheetData>
    <row r="2" spans="1:19">
      <c r="A2" s="1" t="s">
        <v>21</v>
      </c>
      <c r="B2" s="1" t="s">
        <v>200</v>
      </c>
    </row>
    <row r="4" spans="1:19">
      <c r="B4" s="1" t="s">
        <v>201</v>
      </c>
    </row>
    <row r="6" spans="1:19">
      <c r="B6" s="141" t="s">
        <v>202</v>
      </c>
      <c r="C6" s="141">
        <v>2014</v>
      </c>
      <c r="D6" s="141">
        <f>C6+1</f>
        <v>2015</v>
      </c>
      <c r="E6" s="141">
        <f t="shared" ref="E6:N6" si="0">D6+1</f>
        <v>2016</v>
      </c>
      <c r="F6" s="141"/>
      <c r="G6" s="141">
        <f>E6+1</f>
        <v>2017</v>
      </c>
      <c r="H6" s="141">
        <f t="shared" si="0"/>
        <v>2018</v>
      </c>
      <c r="I6" s="141">
        <f t="shared" si="0"/>
        <v>2019</v>
      </c>
      <c r="J6" s="141">
        <f t="shared" si="0"/>
        <v>2020</v>
      </c>
      <c r="K6" s="141">
        <f t="shared" si="0"/>
        <v>2021</v>
      </c>
      <c r="L6" s="141">
        <f t="shared" si="0"/>
        <v>2022</v>
      </c>
      <c r="M6" s="141">
        <f t="shared" si="0"/>
        <v>2023</v>
      </c>
      <c r="N6" s="141">
        <f t="shared" si="0"/>
        <v>2024</v>
      </c>
      <c r="P6" s="142" t="s">
        <v>204</v>
      </c>
      <c r="Q6" s="142" t="s">
        <v>207</v>
      </c>
      <c r="R6" s="142" t="s">
        <v>205</v>
      </c>
      <c r="S6" s="142" t="s">
        <v>206</v>
      </c>
    </row>
    <row r="7" spans="1:19" ht="5.45" customHeight="1"/>
    <row r="8" spans="1:19">
      <c r="B8" s="1" t="s">
        <v>203</v>
      </c>
      <c r="C8" s="143">
        <f>'Income Statement'!C8</f>
        <v>5998</v>
      </c>
      <c r="D8" s="143">
        <f>'Income Statement'!D8</f>
        <v>6625</v>
      </c>
      <c r="E8" s="143">
        <f>'Income Statement'!E8</f>
        <v>5690</v>
      </c>
      <c r="F8" s="143"/>
      <c r="G8" s="143">
        <f>'Income Statement'!F8</f>
        <v>8487</v>
      </c>
      <c r="H8" s="143">
        <f>'Income Statement'!G8</f>
        <v>9834</v>
      </c>
      <c r="I8" s="143">
        <f>'Income Statement'!H8</f>
        <v>12554.9</v>
      </c>
      <c r="J8" s="143">
        <f>'Income Statement'!I8</f>
        <v>12867.9</v>
      </c>
      <c r="K8" s="143">
        <f>'Income Statement'!J8</f>
        <v>13559.7</v>
      </c>
      <c r="L8" s="143">
        <f>'Income Statement'!K8</f>
        <v>15009.099999999999</v>
      </c>
      <c r="M8" s="143">
        <f>'Income Statement'!L8</f>
        <v>17852.7</v>
      </c>
      <c r="N8" s="143">
        <v>20521</v>
      </c>
      <c r="P8" s="144">
        <f>_xlfn.RRI(3,K8,N8)</f>
        <v>0.14810818496114453</v>
      </c>
      <c r="Q8" s="144">
        <f>_xlfn.RRI(5,I8,N8)</f>
        <v>0.10325791664092088</v>
      </c>
      <c r="R8" s="144">
        <f>_xlfn.RRI(7,G8,N8)</f>
        <v>0.13443014845826284</v>
      </c>
      <c r="S8" s="144">
        <f>_xlfn.RRI(9,D8,N8)</f>
        <v>0.13385353854588211</v>
      </c>
    </row>
    <row r="9" spans="1:19">
      <c r="B9" s="1" t="s">
        <v>5</v>
      </c>
      <c r="C9" s="1"/>
      <c r="D9" s="144">
        <f>D8/C8-1</f>
        <v>0.10453484494831611</v>
      </c>
      <c r="E9" s="144">
        <f t="shared" ref="E9:N9" si="1">E8/D8-1</f>
        <v>-0.14113207547169815</v>
      </c>
      <c r="F9" s="144"/>
      <c r="G9" s="144">
        <f>G8/E8-1</f>
        <v>0.49156414762741663</v>
      </c>
      <c r="H9" s="144">
        <f t="shared" si="1"/>
        <v>0.1587133262636975</v>
      </c>
      <c r="I9" s="144">
        <f t="shared" si="1"/>
        <v>0.27668293675005073</v>
      </c>
      <c r="J9" s="144">
        <f t="shared" si="1"/>
        <v>2.4930505221069099E-2</v>
      </c>
      <c r="K9" s="144">
        <f t="shared" si="1"/>
        <v>5.3761686055999958E-2</v>
      </c>
      <c r="L9" s="144">
        <f t="shared" si="1"/>
        <v>0.10689027043371158</v>
      </c>
      <c r="M9" s="144">
        <f t="shared" si="1"/>
        <v>0.18945839524022112</v>
      </c>
      <c r="N9" s="144">
        <f t="shared" si="1"/>
        <v>0.14946198614215223</v>
      </c>
    </row>
    <row r="11" spans="1:19">
      <c r="L11" s="143"/>
      <c r="M11" s="143"/>
    </row>
    <row r="28" spans="2:34">
      <c r="W28" s="70">
        <v>2017</v>
      </c>
      <c r="X28" s="7">
        <f>W28+1</f>
        <v>2018</v>
      </c>
      <c r="Y28" s="7">
        <f>X28+1</f>
        <v>2019</v>
      </c>
      <c r="Z28" s="7">
        <f>Y28+1</f>
        <v>2020</v>
      </c>
      <c r="AA28" s="70">
        <v>2021</v>
      </c>
      <c r="AB28" s="7">
        <f>AA28+1</f>
        <v>2022</v>
      </c>
      <c r="AC28" s="7">
        <f t="shared" ref="AC28:AH28" si="2">AB28+1</f>
        <v>2023</v>
      </c>
      <c r="AD28" s="7">
        <f t="shared" si="2"/>
        <v>2024</v>
      </c>
      <c r="AE28" s="7">
        <f>AD28+1</f>
        <v>2025</v>
      </c>
      <c r="AF28" s="7">
        <f>AE28+1</f>
        <v>2026</v>
      </c>
      <c r="AG28" s="7">
        <f t="shared" si="2"/>
        <v>2027</v>
      </c>
      <c r="AH28" s="7">
        <f t="shared" si="2"/>
        <v>2028</v>
      </c>
    </row>
    <row r="31" spans="2:34">
      <c r="B31" s="1" t="s">
        <v>227</v>
      </c>
      <c r="C31" s="156">
        <v>2024</v>
      </c>
      <c r="D31" s="157">
        <v>2025</v>
      </c>
      <c r="E31" s="157">
        <v>2026</v>
      </c>
      <c r="F31" s="157"/>
      <c r="H31" t="s">
        <v>869</v>
      </c>
      <c r="I31" s="2">
        <v>6.6000000000000003E-2</v>
      </c>
    </row>
    <row r="32" spans="2:34">
      <c r="H32" t="s">
        <v>1269</v>
      </c>
      <c r="I32" s="2">
        <v>0.93400000000000005</v>
      </c>
    </row>
    <row r="33" spans="2:6">
      <c r="B33" t="s">
        <v>222</v>
      </c>
      <c r="C33" s="155">
        <v>20520.98</v>
      </c>
      <c r="D33" s="155">
        <v>22320</v>
      </c>
      <c r="E33" s="155">
        <v>25627.5</v>
      </c>
      <c r="F33" s="155"/>
    </row>
    <row r="34" spans="2:6">
      <c r="B34" t="s">
        <v>225</v>
      </c>
      <c r="D34" s="154">
        <f>D33/C33-1</f>
        <v>8.7667353118613178E-2</v>
      </c>
      <c r="E34" s="154">
        <f>E33/D33-1</f>
        <v>0.14818548387096775</v>
      </c>
      <c r="F34" s="154"/>
    </row>
    <row r="36" spans="2:6">
      <c r="B36" t="s">
        <v>223</v>
      </c>
      <c r="C36" s="155">
        <v>20520.98</v>
      </c>
      <c r="D36" s="155">
        <v>21536.1</v>
      </c>
      <c r="E36" s="155">
        <v>24578.2</v>
      </c>
      <c r="F36" s="155"/>
    </row>
    <row r="37" spans="2:6">
      <c r="B37" t="s">
        <v>225</v>
      </c>
      <c r="D37" s="154">
        <f>D36/C36-1</f>
        <v>4.9467423095778118E-2</v>
      </c>
      <c r="E37" s="154">
        <f>E36/D36-1</f>
        <v>0.14125584483727338</v>
      </c>
      <c r="F37" s="154"/>
    </row>
    <row r="39" spans="2:6">
      <c r="B39" t="s">
        <v>224</v>
      </c>
      <c r="C39" s="155">
        <v>20520.98</v>
      </c>
      <c r="D39" s="155">
        <v>22553</v>
      </c>
      <c r="E39" s="155">
        <v>25549</v>
      </c>
      <c r="F39" s="155"/>
    </row>
    <row r="40" spans="2:6">
      <c r="B40" t="s">
        <v>225</v>
      </c>
      <c r="D40" s="154">
        <f>D39/C39-1</f>
        <v>9.9021586688355034E-2</v>
      </c>
      <c r="E40" s="154">
        <f>E39/D39-1</f>
        <v>0.13284263734314727</v>
      </c>
      <c r="F40" s="154"/>
    </row>
    <row r="45" spans="2:6">
      <c r="B45" s="1" t="s">
        <v>226</v>
      </c>
      <c r="C45" s="155">
        <v>20520.98</v>
      </c>
      <c r="D45" s="155">
        <f>AVERAGE(D33,D36,D39)</f>
        <v>22136.366666666669</v>
      </c>
      <c r="E45" s="155">
        <f>AVERAGE(E33,E36,E39)</f>
        <v>25251.566666666666</v>
      </c>
      <c r="F45" s="155"/>
    </row>
    <row r="46" spans="2:6">
      <c r="D46" s="154">
        <f>D45/C45-1</f>
        <v>7.8718787634248999E-2</v>
      </c>
      <c r="E46" s="154">
        <f>E45/D45-1</f>
        <v>0.14072770147464708</v>
      </c>
      <c r="F46" s="154"/>
    </row>
    <row r="50" spans="2:17">
      <c r="B50" s="1" t="s">
        <v>131</v>
      </c>
    </row>
    <row r="52" spans="2:17">
      <c r="B52" s="1" t="s">
        <v>431</v>
      </c>
    </row>
    <row r="54" spans="2:17">
      <c r="B54" s="141" t="s">
        <v>202</v>
      </c>
      <c r="C54" s="141">
        <v>2014</v>
      </c>
      <c r="D54" s="141">
        <f>C54+1</f>
        <v>2015</v>
      </c>
      <c r="E54" s="141">
        <f>D54+1</f>
        <v>2016</v>
      </c>
      <c r="F54" s="141"/>
      <c r="G54" s="141">
        <f>E54+1</f>
        <v>2017</v>
      </c>
      <c r="H54" s="141">
        <f t="shared" ref="H54:N54" si="3">G54+1</f>
        <v>2018</v>
      </c>
      <c r="I54" s="141">
        <f t="shared" si="3"/>
        <v>2019</v>
      </c>
      <c r="J54" s="141">
        <f t="shared" si="3"/>
        <v>2020</v>
      </c>
      <c r="K54" s="141">
        <f t="shared" si="3"/>
        <v>2021</v>
      </c>
      <c r="L54" s="141">
        <f t="shared" si="3"/>
        <v>2022</v>
      </c>
      <c r="M54" s="141">
        <f t="shared" si="3"/>
        <v>2023</v>
      </c>
      <c r="N54" s="141">
        <f t="shared" si="3"/>
        <v>2024</v>
      </c>
      <c r="P54" s="192" t="s">
        <v>213</v>
      </c>
      <c r="Q54" s="192" t="s">
        <v>432</v>
      </c>
    </row>
    <row r="55" spans="2:17" ht="5.45" customHeight="1">
      <c r="P55" s="146"/>
      <c r="Q55" s="146"/>
    </row>
    <row r="56" spans="2:17">
      <c r="B56" s="1" t="s">
        <v>131</v>
      </c>
      <c r="C56" s="191">
        <f>'Income Statement'!C21</f>
        <v>0.90715238412804278</v>
      </c>
      <c r="D56" s="191">
        <f>'Income Statement'!D21</f>
        <v>0.89818867924528301</v>
      </c>
      <c r="E56" s="191">
        <f>'Income Statement'!E21</f>
        <v>0.88892794376098416</v>
      </c>
      <c r="F56" s="191"/>
      <c r="G56" s="191">
        <f>'Income Statement'!F21</f>
        <v>0.91869918699186992</v>
      </c>
      <c r="H56" s="191">
        <f>'Income Statement'!G21</f>
        <v>0.92854382753711606</v>
      </c>
      <c r="I56" s="191">
        <f>'Income Statement'!H21</f>
        <v>0.92217381261499487</v>
      </c>
      <c r="J56" s="191">
        <f>'Income Statement'!I21</f>
        <v>0.92500718843012453</v>
      </c>
      <c r="K56" s="191">
        <f>'Income Statement'!J21</f>
        <v>0.92226966673303978</v>
      </c>
      <c r="L56" s="191">
        <f>'Income Statement'!K21</f>
        <v>0.93267417766554961</v>
      </c>
      <c r="M56" s="191">
        <f>'Income Statement'!L21</f>
        <v>0.92328331288824672</v>
      </c>
      <c r="N56" s="191">
        <f>'Income Statement'!M21</f>
        <v>0.92519638993391939</v>
      </c>
      <c r="P56" s="193">
        <f>MEDIAN(C56:M56)</f>
        <v>0.92222173967401733</v>
      </c>
      <c r="Q56" s="193">
        <f>AVERAGE(C56:M56)</f>
        <v>0.91669201799952515</v>
      </c>
    </row>
    <row r="57" spans="2:17">
      <c r="B57" s="1"/>
      <c r="C57" s="1"/>
      <c r="D57" s="144"/>
      <c r="E57" s="144"/>
      <c r="F57" s="144"/>
      <c r="G57" s="144"/>
      <c r="H57" s="144"/>
      <c r="I57" s="144"/>
      <c r="J57" s="144"/>
      <c r="K57" s="144"/>
      <c r="L57" s="144"/>
      <c r="M57" s="144"/>
      <c r="P57" s="2">
        <f>MEDIAN(J56:N56)</f>
        <v>0.92500718843012453</v>
      </c>
      <c r="Q57" s="2">
        <f>MEDIAN(K56:O56)</f>
        <v>0.924239851411083</v>
      </c>
    </row>
    <row r="58" spans="2:17">
      <c r="N58" s="2"/>
    </row>
    <row r="59" spans="2:17">
      <c r="B59" s="1" t="s">
        <v>433</v>
      </c>
    </row>
    <row r="61" spans="2:17">
      <c r="B61" s="194" t="s">
        <v>434</v>
      </c>
      <c r="C61" s="194"/>
    </row>
    <row r="62" spans="2:17">
      <c r="B62" s="197" t="s">
        <v>437</v>
      </c>
      <c r="C62" s="191">
        <v>0.50570000000000004</v>
      </c>
    </row>
    <row r="63" spans="2:17">
      <c r="B63" s="195"/>
    </row>
    <row r="64" spans="2:17">
      <c r="B64" s="196"/>
    </row>
    <row r="65" spans="2:3">
      <c r="B65" s="194" t="s">
        <v>435</v>
      </c>
      <c r="C65" s="141"/>
    </row>
    <row r="66" spans="2:3">
      <c r="B66" s="197" t="s">
        <v>437</v>
      </c>
      <c r="C66" s="191">
        <v>0.21049999999999999</v>
      </c>
    </row>
    <row r="67" spans="2:3">
      <c r="B67" s="195"/>
    </row>
    <row r="68" spans="2:3">
      <c r="B68" s="196"/>
    </row>
    <row r="69" spans="2:3">
      <c r="B69" s="196"/>
    </row>
    <row r="70" spans="2:3">
      <c r="B70" s="194" t="s">
        <v>436</v>
      </c>
      <c r="C70" s="141"/>
    </row>
    <row r="71" spans="2:3">
      <c r="B71" s="197" t="s">
        <v>437</v>
      </c>
      <c r="C71" s="1">
        <v>23.76</v>
      </c>
    </row>
    <row r="72" spans="2:3">
      <c r="B72" s="1"/>
    </row>
    <row r="79" spans="2:3" ht="30">
      <c r="B79" s="198" t="s">
        <v>438</v>
      </c>
    </row>
    <row r="81" spans="2:2" ht="105">
      <c r="B81" s="150" t="s">
        <v>439</v>
      </c>
    </row>
    <row r="82" spans="2:2" ht="105">
      <c r="B82" s="150" t="s">
        <v>440</v>
      </c>
    </row>
    <row r="84" spans="2:2" ht="75">
      <c r="B84" s="150" t="s">
        <v>441</v>
      </c>
    </row>
    <row r="86" spans="2:2">
      <c r="B86" s="1" t="s">
        <v>442</v>
      </c>
    </row>
    <row r="88" spans="2:2">
      <c r="B88" s="199" t="s">
        <v>443</v>
      </c>
    </row>
    <row r="89" spans="2:2" ht="165">
      <c r="B89" s="150" t="s">
        <v>444</v>
      </c>
    </row>
    <row r="91" spans="2:2">
      <c r="B91" s="199" t="s">
        <v>445</v>
      </c>
    </row>
    <row r="93" spans="2:2" ht="165">
      <c r="B93" s="150" t="s">
        <v>446</v>
      </c>
    </row>
    <row r="96" spans="2:2" ht="135">
      <c r="B96" s="150" t="s">
        <v>447</v>
      </c>
    </row>
    <row r="98" spans="2:4" ht="105">
      <c r="B98" s="150" t="s">
        <v>448</v>
      </c>
    </row>
    <row r="99" spans="2:4">
      <c r="B99" s="150"/>
    </row>
    <row r="100" spans="2:4" ht="165">
      <c r="B100" s="150" t="s">
        <v>459</v>
      </c>
    </row>
    <row r="102" spans="2:4" ht="150">
      <c r="B102" s="150" t="s">
        <v>449</v>
      </c>
    </row>
    <row r="104" spans="2:4" ht="165">
      <c r="B104" s="150" t="s">
        <v>450</v>
      </c>
    </row>
    <row r="106" spans="2:4">
      <c r="B106" s="1" t="s">
        <v>451</v>
      </c>
      <c r="C106" s="200" t="s">
        <v>457</v>
      </c>
      <c r="D106" s="200" t="s">
        <v>458</v>
      </c>
    </row>
    <row r="107" spans="2:4">
      <c r="C107" s="200"/>
      <c r="D107" s="200"/>
    </row>
    <row r="108" spans="2:4">
      <c r="B108" t="s">
        <v>452</v>
      </c>
      <c r="C108" s="200">
        <v>207.98</v>
      </c>
      <c r="D108" s="200">
        <v>216.77</v>
      </c>
    </row>
    <row r="109" spans="2:4">
      <c r="B109" t="s">
        <v>453</v>
      </c>
      <c r="C109" s="200">
        <v>527.85</v>
      </c>
      <c r="D109" s="200">
        <v>524.94000000000005</v>
      </c>
    </row>
    <row r="110" spans="2:4">
      <c r="B110" t="s">
        <v>454</v>
      </c>
      <c r="C110" s="200">
        <v>150.94</v>
      </c>
      <c r="D110" s="200">
        <v>148.32</v>
      </c>
    </row>
    <row r="111" spans="2:4">
      <c r="B111" t="s">
        <v>455</v>
      </c>
      <c r="C111" s="200">
        <v>73.16</v>
      </c>
      <c r="D111" s="200">
        <v>51.25</v>
      </c>
    </row>
    <row r="112" spans="2:4">
      <c r="B112" t="s">
        <v>456</v>
      </c>
      <c r="C112" s="200">
        <v>687.52</v>
      </c>
      <c r="D112" s="200">
        <v>476.44</v>
      </c>
    </row>
    <row r="115" spans="2:4">
      <c r="B115" s="1" t="s">
        <v>461</v>
      </c>
    </row>
    <row r="116" spans="2:4" ht="6" customHeight="1"/>
    <row r="117" spans="2:4" ht="75">
      <c r="B117" s="150" t="s">
        <v>460</v>
      </c>
      <c r="D117" t="s">
        <v>464</v>
      </c>
    </row>
    <row r="118" spans="2:4" ht="120">
      <c r="B118" s="150" t="s">
        <v>462</v>
      </c>
    </row>
    <row r="119" spans="2:4" ht="165">
      <c r="B119" s="150" t="s">
        <v>463</v>
      </c>
    </row>
    <row r="121" spans="2:4">
      <c r="B121" s="198" t="s">
        <v>466</v>
      </c>
    </row>
    <row r="122" spans="2:4" ht="7.15" customHeight="1"/>
    <row r="123" spans="2:4" ht="120">
      <c r="B123" s="150" t="s">
        <v>465</v>
      </c>
    </row>
    <row r="125" spans="2:4">
      <c r="B125" s="1" t="s">
        <v>468</v>
      </c>
    </row>
    <row r="126" spans="2:4" ht="4.9000000000000004" customHeight="1"/>
    <row r="127" spans="2:4" ht="135">
      <c r="B127" s="150" t="s">
        <v>467</v>
      </c>
    </row>
    <row r="129" spans="1:8">
      <c r="A129" s="260" t="s">
        <v>21</v>
      </c>
      <c r="B129" s="1" t="s">
        <v>469</v>
      </c>
    </row>
    <row r="132" spans="1:8">
      <c r="B132" s="1" t="s">
        <v>473</v>
      </c>
      <c r="C132">
        <v>2022</v>
      </c>
      <c r="D132">
        <f>C132+1</f>
        <v>2023</v>
      </c>
      <c r="E132">
        <f>D132+1</f>
        <v>2024</v>
      </c>
      <c r="F132">
        <f>E132+1</f>
        <v>2025</v>
      </c>
      <c r="G132">
        <f>F132+1</f>
        <v>2026</v>
      </c>
    </row>
    <row r="134" spans="1:8">
      <c r="B134" t="s">
        <v>470</v>
      </c>
      <c r="C134">
        <v>150096</v>
      </c>
      <c r="D134">
        <v>178523</v>
      </c>
      <c r="E134">
        <v>205210</v>
      </c>
      <c r="F134">
        <v>223200</v>
      </c>
      <c r="G134">
        <v>256275</v>
      </c>
    </row>
    <row r="135" spans="1:8">
      <c r="B135" t="s">
        <v>471</v>
      </c>
      <c r="C135">
        <v>10382</v>
      </c>
      <c r="D135">
        <v>14324</v>
      </c>
      <c r="E135">
        <v>15698</v>
      </c>
      <c r="F135">
        <v>18342</v>
      </c>
      <c r="G135">
        <v>21681</v>
      </c>
    </row>
    <row r="136" spans="1:8">
      <c r="B136" t="s">
        <v>472</v>
      </c>
      <c r="C136">
        <f>C134-C135</f>
        <v>139714</v>
      </c>
      <c r="D136">
        <f>D134-D135</f>
        <v>164199</v>
      </c>
      <c r="E136">
        <f>E134-E135</f>
        <v>189512</v>
      </c>
      <c r="F136">
        <f>F134-F135</f>
        <v>204858</v>
      </c>
      <c r="G136">
        <f>G134-G135</f>
        <v>234594</v>
      </c>
    </row>
    <row r="137" spans="1:8">
      <c r="B137" t="s">
        <v>131</v>
      </c>
      <c r="C137" s="154">
        <f>C136/C134</f>
        <v>0.93083093486835089</v>
      </c>
      <c r="D137" s="154">
        <f>D136/D134</f>
        <v>0.91976383995339539</v>
      </c>
      <c r="E137" s="154">
        <f>E136/E134</f>
        <v>0.92350275327713072</v>
      </c>
      <c r="F137" s="154">
        <f>F136/F134</f>
        <v>0.91782258064516131</v>
      </c>
      <c r="G137" s="154">
        <f>G136/G134</f>
        <v>0.91539947322212467</v>
      </c>
      <c r="H137" s="2">
        <f>MEDIAN(C137:G137)</f>
        <v>0.91976383995339539</v>
      </c>
    </row>
    <row r="139" spans="1:8">
      <c r="B139" s="1" t="s">
        <v>223</v>
      </c>
    </row>
    <row r="141" spans="1:8">
      <c r="B141" t="s">
        <v>470</v>
      </c>
      <c r="C141">
        <v>143059</v>
      </c>
      <c r="D141">
        <v>168375</v>
      </c>
      <c r="E141">
        <v>195855</v>
      </c>
      <c r="F141">
        <v>215361</v>
      </c>
      <c r="G141">
        <v>245782</v>
      </c>
    </row>
    <row r="142" spans="1:8">
      <c r="B142" t="s">
        <v>471</v>
      </c>
      <c r="C142">
        <v>10983</v>
      </c>
      <c r="D142">
        <v>14496</v>
      </c>
      <c r="E142">
        <v>17230</v>
      </c>
      <c r="F142">
        <v>22354</v>
      </c>
      <c r="G142">
        <v>23587</v>
      </c>
    </row>
    <row r="143" spans="1:8">
      <c r="B143" t="s">
        <v>472</v>
      </c>
      <c r="C143">
        <f>C141-C142</f>
        <v>132076</v>
      </c>
      <c r="D143">
        <f>D141-D142</f>
        <v>153879</v>
      </c>
      <c r="E143">
        <f>E141-E142</f>
        <v>178625</v>
      </c>
      <c r="F143">
        <f>F141-F142</f>
        <v>193007</v>
      </c>
      <c r="G143">
        <f>G141-G142</f>
        <v>222195</v>
      </c>
    </row>
    <row r="144" spans="1:8">
      <c r="B144" t="s">
        <v>131</v>
      </c>
      <c r="C144" s="154">
        <f>C143/C141</f>
        <v>0.92322747957136564</v>
      </c>
      <c r="D144" s="154">
        <f>D143/D141</f>
        <v>0.91390645879732735</v>
      </c>
      <c r="E144" s="154">
        <f>E143/E141</f>
        <v>0.91202675448673765</v>
      </c>
      <c r="F144" s="154">
        <f>F143/F141</f>
        <v>0.89620219074019902</v>
      </c>
      <c r="G144" s="154">
        <f>G143/G141</f>
        <v>0.90403284211211565</v>
      </c>
      <c r="H144" s="154">
        <f>MEDIAN(C144:G144)</f>
        <v>0.91202675448673765</v>
      </c>
    </row>
    <row r="146" spans="2:8">
      <c r="B146" s="1" t="s">
        <v>224</v>
      </c>
    </row>
    <row r="148" spans="2:8">
      <c r="B148" t="s">
        <v>470</v>
      </c>
      <c r="C148">
        <v>150100</v>
      </c>
      <c r="D148">
        <v>178520</v>
      </c>
      <c r="E148">
        <v>205210</v>
      </c>
      <c r="F148">
        <v>225533</v>
      </c>
      <c r="G148">
        <v>255596</v>
      </c>
    </row>
    <row r="149" spans="2:8">
      <c r="B149" t="s">
        <v>471</v>
      </c>
      <c r="C149">
        <v>10403</v>
      </c>
      <c r="D149">
        <v>14429</v>
      </c>
      <c r="E149">
        <v>15701</v>
      </c>
      <c r="F149">
        <v>18596</v>
      </c>
      <c r="G149">
        <v>18976</v>
      </c>
    </row>
    <row r="150" spans="2:8">
      <c r="B150" t="s">
        <v>472</v>
      </c>
      <c r="C150">
        <f>C148-C149</f>
        <v>139697</v>
      </c>
      <c r="D150">
        <f>D148-D149</f>
        <v>164091</v>
      </c>
      <c r="E150">
        <f>E148-E149</f>
        <v>189509</v>
      </c>
      <c r="F150">
        <f>F148-F149</f>
        <v>206937</v>
      </c>
      <c r="G150">
        <f>G148-G149</f>
        <v>236620</v>
      </c>
    </row>
    <row r="151" spans="2:8">
      <c r="B151" t="s">
        <v>131</v>
      </c>
      <c r="C151" s="154">
        <f>C150/C148</f>
        <v>0.93069287141905399</v>
      </c>
      <c r="D151" s="154">
        <f>D150/D148</f>
        <v>0.919174322204795</v>
      </c>
      <c r="E151" s="154">
        <f>E150/E148</f>
        <v>0.92348813410652497</v>
      </c>
      <c r="F151" s="154">
        <f>F150/F148</f>
        <v>0.91754643444640027</v>
      </c>
      <c r="G151" s="154">
        <f>G150/G148</f>
        <v>0.92575783658586208</v>
      </c>
      <c r="H151" s="154">
        <f>MEDIAN(C151:G151)</f>
        <v>0.92348813410652497</v>
      </c>
    </row>
    <row r="154" spans="2:8">
      <c r="B154" s="1" t="s">
        <v>213</v>
      </c>
      <c r="C154" s="191">
        <f t="shared" ref="C154:H154" si="4">MEDIAN(C151,C144,C137)</f>
        <v>0.93069287141905399</v>
      </c>
      <c r="D154" s="191">
        <f t="shared" si="4"/>
        <v>0.919174322204795</v>
      </c>
      <c r="E154" s="191">
        <f t="shared" si="4"/>
        <v>0.92348813410652497</v>
      </c>
      <c r="F154" s="191">
        <f t="shared" si="4"/>
        <v>0.91754643444640027</v>
      </c>
      <c r="G154" s="191">
        <f t="shared" si="4"/>
        <v>0.91539947322212467</v>
      </c>
      <c r="H154" s="2">
        <f t="shared" si="4"/>
        <v>0.91976383995339539</v>
      </c>
    </row>
    <row r="156" spans="2:8">
      <c r="H156" s="2"/>
    </row>
    <row r="159" spans="2:8">
      <c r="B159" s="1" t="s">
        <v>481</v>
      </c>
    </row>
    <row r="161" spans="1:18">
      <c r="A161" s="260" t="s">
        <v>21</v>
      </c>
      <c r="B161" s="1" t="s">
        <v>482</v>
      </c>
    </row>
    <row r="163" spans="1:18">
      <c r="A163" s="161" t="s">
        <v>21</v>
      </c>
      <c r="B163" s="162" t="s">
        <v>202</v>
      </c>
      <c r="C163" s="163" t="s">
        <v>229</v>
      </c>
      <c r="D163" s="163" t="s">
        <v>230</v>
      </c>
      <c r="E163" s="163" t="s">
        <v>231</v>
      </c>
      <c r="F163" s="163" t="s">
        <v>232</v>
      </c>
      <c r="G163" s="163" t="s">
        <v>233</v>
      </c>
      <c r="H163" s="163" t="s">
        <v>234</v>
      </c>
      <c r="I163" s="163" t="s">
        <v>235</v>
      </c>
      <c r="J163" s="163" t="s">
        <v>236</v>
      </c>
      <c r="K163" s="163" t="s">
        <v>237</v>
      </c>
      <c r="L163" s="163" t="s">
        <v>238</v>
      </c>
      <c r="N163" s="142" t="s">
        <v>204</v>
      </c>
      <c r="O163" s="142" t="s">
        <v>207</v>
      </c>
      <c r="P163" s="142" t="s">
        <v>205</v>
      </c>
      <c r="Q163" s="142" t="s">
        <v>206</v>
      </c>
    </row>
    <row r="164" spans="1:18" ht="7.15" customHeight="1"/>
    <row r="165" spans="1:18">
      <c r="B165" s="165" t="s">
        <v>244</v>
      </c>
      <c r="C165" s="166">
        <f>'Income Statement'!C8</f>
        <v>5998</v>
      </c>
      <c r="D165" s="166">
        <f>'Income Statement'!D8</f>
        <v>6625</v>
      </c>
      <c r="E165" s="166">
        <f>'Income Statement'!E8</f>
        <v>5690</v>
      </c>
      <c r="F165" s="166">
        <f>'Income Statement'!F8</f>
        <v>8487</v>
      </c>
      <c r="G165" s="166">
        <f>'Income Statement'!G8</f>
        <v>9834</v>
      </c>
      <c r="H165" s="166">
        <f>'Income Statement'!H8</f>
        <v>12554.9</v>
      </c>
      <c r="I165" s="166">
        <f>'Income Statement'!I8</f>
        <v>12867.9</v>
      </c>
      <c r="J165" s="166">
        <f>'Income Statement'!J8</f>
        <v>13559.7</v>
      </c>
      <c r="K165" s="166">
        <f>'Income Statement'!K8</f>
        <v>15009.099999999999</v>
      </c>
      <c r="L165" s="166">
        <f>'Income Statement'!L8</f>
        <v>17852.7</v>
      </c>
      <c r="N165" s="144">
        <f>_xlfn.RRI(3,I165,L165)</f>
        <v>0.11531808217271355</v>
      </c>
      <c r="O165" s="144">
        <f>_xlfn.RRI(5,G165,L165)</f>
        <v>0.12666483790051508</v>
      </c>
      <c r="P165" s="144">
        <f>_xlfn.RRI(7,E165,L165)</f>
        <v>0.17744780103342594</v>
      </c>
      <c r="Q165" s="144">
        <f>_xlfn.RRI(9,C165,L165)</f>
        <v>0.12884171406416756</v>
      </c>
    </row>
    <row r="166" spans="1:18">
      <c r="B166" t="s">
        <v>483</v>
      </c>
      <c r="D166" s="154">
        <f>D165/C165-1</f>
        <v>0.10453484494831611</v>
      </c>
      <c r="E166" s="154">
        <f t="shared" ref="E166:L166" si="5">E165/D165-1</f>
        <v>-0.14113207547169815</v>
      </c>
      <c r="F166" s="154">
        <f t="shared" si="5"/>
        <v>0.49156414762741663</v>
      </c>
      <c r="G166" s="154">
        <f t="shared" si="5"/>
        <v>0.1587133262636975</v>
      </c>
      <c r="H166" s="154">
        <f t="shared" si="5"/>
        <v>0.27668293675005073</v>
      </c>
      <c r="I166" s="154">
        <f t="shared" si="5"/>
        <v>2.4930505221069099E-2</v>
      </c>
      <c r="J166" s="154">
        <f t="shared" si="5"/>
        <v>5.3761686055999958E-2</v>
      </c>
      <c r="K166" s="154">
        <f t="shared" si="5"/>
        <v>0.10689027043371158</v>
      </c>
      <c r="L166" s="154">
        <f t="shared" si="5"/>
        <v>0.18945839524022112</v>
      </c>
    </row>
    <row r="168" spans="1:18">
      <c r="B168" t="s">
        <v>481</v>
      </c>
      <c r="C168">
        <f>'Income Statement'!C57</f>
        <v>4053.3</v>
      </c>
      <c r="D168">
        <f>'Income Statement'!D57</f>
        <v>4605.8999999999996</v>
      </c>
      <c r="E168">
        <f>'Income Statement'!E57</f>
        <v>3652.1</v>
      </c>
      <c r="F168">
        <f>'Income Statement'!F57</f>
        <v>5429.6</v>
      </c>
      <c r="G168">
        <f>'Income Statement'!G57</f>
        <v>6658.9</v>
      </c>
      <c r="H168">
        <f>'Income Statement'!H57</f>
        <v>8782.2999999999993</v>
      </c>
      <c r="I168">
        <f>'Income Statement'!I57</f>
        <v>8147.4</v>
      </c>
      <c r="J168">
        <f>'Income Statement'!J57</f>
        <v>8426</v>
      </c>
      <c r="K168">
        <f>'Income Statement'!K57</f>
        <v>10294.200000000001</v>
      </c>
      <c r="L168">
        <f>'Income Statement'!L57</f>
        <v>13559.7</v>
      </c>
      <c r="N168" s="144">
        <f>_xlfn.RRI(3,I168,L168)</f>
        <v>0.18506911779704116</v>
      </c>
      <c r="O168" s="144">
        <f>_xlfn.RRI(5,G168,L168)</f>
        <v>0.15284127653820012</v>
      </c>
      <c r="P168" s="144">
        <f>_xlfn.RRI(7,E168,L168)</f>
        <v>0.20610960033750758</v>
      </c>
      <c r="Q168" s="144">
        <f>_xlfn.RRI(9,C168,L168)</f>
        <v>0.14359239648652311</v>
      </c>
    </row>
    <row r="169" spans="1:18">
      <c r="B169" t="s">
        <v>483</v>
      </c>
      <c r="D169" s="154">
        <f>D168/C168-1</f>
        <v>0.13633335800458868</v>
      </c>
      <c r="E169" s="154">
        <f t="shared" ref="E169:L169" si="6">E168/D168-1</f>
        <v>-0.20708222063006143</v>
      </c>
      <c r="F169" s="154">
        <f t="shared" si="6"/>
        <v>0.48670627857944759</v>
      </c>
      <c r="G169" s="154">
        <f t="shared" si="6"/>
        <v>0.22640710181228796</v>
      </c>
      <c r="H169" s="154">
        <f t="shared" si="6"/>
        <v>0.31888149694393975</v>
      </c>
      <c r="I169" s="154">
        <f t="shared" si="6"/>
        <v>-7.229313505573709E-2</v>
      </c>
      <c r="J169" s="154">
        <f t="shared" si="6"/>
        <v>3.4194957900679945E-2</v>
      </c>
      <c r="K169" s="154">
        <f t="shared" si="6"/>
        <v>0.22171849038689784</v>
      </c>
      <c r="L169" s="154">
        <f t="shared" si="6"/>
        <v>0.3172174622603019</v>
      </c>
    </row>
    <row r="172" spans="1:18">
      <c r="B172" s="1" t="s">
        <v>484</v>
      </c>
    </row>
    <row r="175" spans="1:18">
      <c r="B175" s="162" t="s">
        <v>503</v>
      </c>
      <c r="C175" s="163" t="s">
        <v>230</v>
      </c>
      <c r="D175" s="163" t="s">
        <v>231</v>
      </c>
      <c r="E175" s="163" t="s">
        <v>232</v>
      </c>
      <c r="F175" s="163" t="s">
        <v>233</v>
      </c>
      <c r="G175" s="163" t="s">
        <v>234</v>
      </c>
      <c r="H175" s="163" t="s">
        <v>235</v>
      </c>
      <c r="I175" s="163" t="s">
        <v>236</v>
      </c>
      <c r="J175" s="163" t="s">
        <v>237</v>
      </c>
      <c r="K175" s="163" t="s">
        <v>238</v>
      </c>
      <c r="L175" s="163" t="s">
        <v>504</v>
      </c>
      <c r="M175" s="162" t="s">
        <v>239</v>
      </c>
      <c r="N175" s="211" t="s">
        <v>505</v>
      </c>
      <c r="O175" s="211" t="s">
        <v>506</v>
      </c>
    </row>
    <row r="176" spans="1:18" ht="13.9" customHeight="1">
      <c r="R176">
        <v>1</v>
      </c>
    </row>
    <row r="177" spans="2:15" ht="16.149999999999999" customHeight="1">
      <c r="B177" s="1" t="s">
        <v>40</v>
      </c>
      <c r="C177" s="218">
        <f>'Income Statement'!D8</f>
        <v>6625</v>
      </c>
      <c r="D177" s="218">
        <f>'Income Statement'!E8</f>
        <v>5690</v>
      </c>
      <c r="E177" s="218">
        <f>'Income Statement'!F8</f>
        <v>8487</v>
      </c>
      <c r="F177" s="218">
        <f>'Income Statement'!G8</f>
        <v>9834</v>
      </c>
      <c r="G177" s="218">
        <f>'Income Statement'!H8</f>
        <v>12554.9</v>
      </c>
      <c r="H177" s="218">
        <f>'Income Statement'!I8</f>
        <v>12867.9</v>
      </c>
      <c r="I177" s="218">
        <f>'Income Statement'!J8</f>
        <v>13559.7</v>
      </c>
      <c r="J177" s="218">
        <f>'Income Statement'!K8</f>
        <v>15009.099999999999</v>
      </c>
      <c r="K177" s="218">
        <f>'Income Statement'!L8</f>
        <v>17852.7</v>
      </c>
      <c r="L177" s="218">
        <f>N8</f>
        <v>20521</v>
      </c>
    </row>
    <row r="178" spans="2:15" ht="7.15" customHeight="1"/>
    <row r="179" spans="2:15">
      <c r="B179" s="211" t="s">
        <v>485</v>
      </c>
      <c r="C179" s="214">
        <v>455</v>
      </c>
      <c r="D179" s="214">
        <v>369.9</v>
      </c>
      <c r="E179" s="214">
        <v>537.20000000000005</v>
      </c>
      <c r="F179" s="214">
        <v>588</v>
      </c>
      <c r="G179" s="214">
        <v>767.2</v>
      </c>
      <c r="H179" s="214">
        <v>854</v>
      </c>
      <c r="I179" s="214">
        <v>869.2</v>
      </c>
      <c r="J179" s="214">
        <v>913.5</v>
      </c>
      <c r="K179" s="214">
        <v>977.8</v>
      </c>
      <c r="L179" s="214">
        <v>1064.4000000000001</v>
      </c>
      <c r="M179" s="211">
        <v>0</v>
      </c>
      <c r="N179" s="212">
        <v>6.9000000000000006E-2</v>
      </c>
      <c r="O179" s="212">
        <v>6.8000000000000005E-2</v>
      </c>
    </row>
    <row r="180" spans="2:15">
      <c r="B180" t="s">
        <v>486</v>
      </c>
      <c r="C180" s="214">
        <v>1579.8</v>
      </c>
      <c r="D180" s="214">
        <v>1123</v>
      </c>
      <c r="E180" s="214">
        <v>1444.3</v>
      </c>
      <c r="F180" s="214">
        <v>1979.7</v>
      </c>
      <c r="G180" s="214">
        <v>3092.6</v>
      </c>
      <c r="H180" s="214">
        <v>2702.7</v>
      </c>
      <c r="I180" s="214">
        <v>2397.9</v>
      </c>
      <c r="J180" s="214">
        <v>3620.2</v>
      </c>
      <c r="K180" s="214">
        <v>6080.7</v>
      </c>
      <c r="L180" s="214">
        <v>6345.2</v>
      </c>
      <c r="M180">
        <v>0</v>
      </c>
      <c r="N180" s="213">
        <v>0.379</v>
      </c>
      <c r="O180" s="213">
        <v>0.155</v>
      </c>
    </row>
    <row r="181" spans="2:15">
      <c r="B181" t="s">
        <v>487</v>
      </c>
      <c r="C181" s="200">
        <v>20.3</v>
      </c>
      <c r="D181" s="200">
        <v>28.5</v>
      </c>
      <c r="E181" s="200">
        <v>46.1</v>
      </c>
      <c r="F181" s="200">
        <v>39</v>
      </c>
      <c r="G181" s="200">
        <v>34.5</v>
      </c>
      <c r="H181" s="200">
        <v>26.4</v>
      </c>
      <c r="I181" s="200">
        <v>58.9</v>
      </c>
      <c r="J181" s="200">
        <v>27.6</v>
      </c>
      <c r="K181" s="200">
        <v>32.1</v>
      </c>
      <c r="L181" s="200">
        <v>22.4</v>
      </c>
      <c r="M181">
        <v>0</v>
      </c>
      <c r="N181" s="213">
        <v>-0.27300000000000002</v>
      </c>
      <c r="O181" s="213">
        <v>-8.3000000000000004E-2</v>
      </c>
    </row>
    <row r="182" spans="2:15">
      <c r="B182" t="s">
        <v>488</v>
      </c>
      <c r="C182" s="200">
        <v>2.2999999999999998</v>
      </c>
      <c r="D182" s="200">
        <v>2.1</v>
      </c>
      <c r="E182" s="200">
        <v>3.5</v>
      </c>
      <c r="F182" s="200">
        <v>4.2</v>
      </c>
      <c r="G182" s="200">
        <v>8.1</v>
      </c>
      <c r="H182" s="200">
        <v>9.3000000000000007</v>
      </c>
      <c r="I182" s="200">
        <v>14.6</v>
      </c>
      <c r="J182" s="200">
        <v>16.399999999999999</v>
      </c>
      <c r="K182" s="200">
        <v>19.3</v>
      </c>
      <c r="L182" s="200">
        <v>23.4</v>
      </c>
      <c r="M182">
        <v>0</v>
      </c>
      <c r="N182" s="213">
        <v>0.16800000000000001</v>
      </c>
      <c r="O182" s="213">
        <v>0.23800000000000002</v>
      </c>
    </row>
    <row r="183" spans="2:15">
      <c r="B183" t="s">
        <v>489</v>
      </c>
      <c r="C183" s="200">
        <v>0</v>
      </c>
      <c r="D183" s="200">
        <v>0</v>
      </c>
      <c r="E183" s="200">
        <v>0</v>
      </c>
      <c r="F183" s="200">
        <v>0</v>
      </c>
      <c r="G183" s="200">
        <v>0</v>
      </c>
      <c r="H183" s="200">
        <v>0</v>
      </c>
      <c r="I183" s="200">
        <v>0</v>
      </c>
      <c r="J183" s="200">
        <v>0</v>
      </c>
      <c r="K183" s="200">
        <v>0</v>
      </c>
      <c r="L183" s="200">
        <v>0</v>
      </c>
      <c r="M183">
        <v>0</v>
      </c>
      <c r="N183" s="213">
        <v>0</v>
      </c>
      <c r="O183" s="213">
        <v>0</v>
      </c>
    </row>
    <row r="184" spans="2:15">
      <c r="B184" t="s">
        <v>490</v>
      </c>
      <c r="C184" s="200">
        <v>0</v>
      </c>
      <c r="D184" s="200">
        <v>0</v>
      </c>
      <c r="E184" s="200">
        <v>0</v>
      </c>
      <c r="F184" s="200">
        <v>0</v>
      </c>
      <c r="G184" s="200">
        <v>0</v>
      </c>
      <c r="H184" s="200">
        <v>0</v>
      </c>
      <c r="I184" s="200">
        <v>0</v>
      </c>
      <c r="J184" s="200">
        <v>0</v>
      </c>
      <c r="K184" s="200">
        <v>76.900000000000006</v>
      </c>
      <c r="L184" s="200">
        <v>72.900000000000006</v>
      </c>
      <c r="M184">
        <v>0</v>
      </c>
      <c r="N184" s="213">
        <v>0</v>
      </c>
      <c r="O184" s="213">
        <v>0</v>
      </c>
    </row>
    <row r="185" spans="2:15">
      <c r="B185" t="s">
        <v>491</v>
      </c>
      <c r="C185" s="200">
        <v>27.1</v>
      </c>
      <c r="D185" s="200">
        <v>23.9</v>
      </c>
      <c r="E185" s="200">
        <v>34</v>
      </c>
      <c r="F185" s="200">
        <v>34.299999999999997</v>
      </c>
      <c r="G185" s="200">
        <v>41.5</v>
      </c>
      <c r="H185" s="200">
        <v>39.799999999999997</v>
      </c>
      <c r="I185" s="200">
        <v>32.4</v>
      </c>
      <c r="J185" s="200">
        <v>34.5</v>
      </c>
      <c r="K185" s="200">
        <v>44</v>
      </c>
      <c r="L185" s="200">
        <v>61</v>
      </c>
      <c r="M185">
        <v>0</v>
      </c>
      <c r="N185" s="213">
        <v>0.23199999999999998</v>
      </c>
      <c r="O185" s="213">
        <v>0.08</v>
      </c>
    </row>
    <row r="186" spans="2:15">
      <c r="B186" t="s">
        <v>492</v>
      </c>
      <c r="C186" s="200">
        <v>2.4</v>
      </c>
      <c r="D186" s="200">
        <v>2.6</v>
      </c>
      <c r="E186" s="200">
        <v>4.0999999999999996</v>
      </c>
      <c r="F186" s="200">
        <v>4.3</v>
      </c>
      <c r="G186" s="200">
        <v>5.6</v>
      </c>
      <c r="H186" s="200">
        <v>5.7</v>
      </c>
      <c r="I186" s="200">
        <v>5.7</v>
      </c>
      <c r="J186" s="200">
        <v>4.0999999999999996</v>
      </c>
      <c r="K186" s="200">
        <v>4.9000000000000004</v>
      </c>
      <c r="L186" s="200">
        <v>4.5</v>
      </c>
      <c r="M186">
        <v>0</v>
      </c>
      <c r="N186" s="213">
        <v>-7.8E-2</v>
      </c>
      <c r="O186" s="213">
        <v>-4.2999999999999997E-2</v>
      </c>
    </row>
    <row r="187" spans="2:15">
      <c r="B187" t="s">
        <v>493</v>
      </c>
      <c r="C187" s="214">
        <v>1632.5</v>
      </c>
      <c r="D187" s="214">
        <v>1271.4000000000001</v>
      </c>
      <c r="E187" s="214">
        <v>2096.6999999999998</v>
      </c>
      <c r="F187" s="214">
        <v>2729.5</v>
      </c>
      <c r="G187" s="214">
        <v>3166.5</v>
      </c>
      <c r="H187" s="214">
        <v>2941.5</v>
      </c>
      <c r="I187" s="214">
        <v>3425.6</v>
      </c>
      <c r="J187" s="214">
        <v>3694.7</v>
      </c>
      <c r="K187" s="214">
        <v>4190.6000000000004</v>
      </c>
      <c r="L187" s="214">
        <v>4607.3999999999996</v>
      </c>
      <c r="M187">
        <v>0</v>
      </c>
      <c r="N187" s="213">
        <v>0.10300000000000001</v>
      </c>
      <c r="O187" s="213">
        <v>7.8E-2</v>
      </c>
    </row>
    <row r="188" spans="2:15">
      <c r="B188" t="s">
        <v>494</v>
      </c>
      <c r="C188" s="200">
        <v>0</v>
      </c>
      <c r="D188" s="200">
        <v>0</v>
      </c>
      <c r="E188" s="200">
        <v>0</v>
      </c>
      <c r="F188" s="200">
        <v>0</v>
      </c>
      <c r="G188" s="200">
        <v>0</v>
      </c>
      <c r="H188" s="200">
        <v>0</v>
      </c>
      <c r="I188" s="200">
        <v>0</v>
      </c>
      <c r="J188" s="200">
        <v>0</v>
      </c>
      <c r="K188" s="200">
        <v>0</v>
      </c>
      <c r="L188" s="200">
        <v>0</v>
      </c>
      <c r="M188">
        <v>0</v>
      </c>
      <c r="N188" s="213">
        <v>0</v>
      </c>
      <c r="O188" s="213">
        <v>0</v>
      </c>
    </row>
    <row r="189" spans="2:15">
      <c r="B189" t="s">
        <v>495</v>
      </c>
      <c r="C189" s="200">
        <v>0.2</v>
      </c>
      <c r="D189" s="200">
        <v>0</v>
      </c>
      <c r="E189" s="200">
        <v>0</v>
      </c>
      <c r="F189" s="200">
        <v>0</v>
      </c>
      <c r="G189" s="200">
        <v>0</v>
      </c>
      <c r="H189" s="200">
        <v>0</v>
      </c>
      <c r="I189" s="200">
        <v>0</v>
      </c>
      <c r="J189" s="200">
        <v>0.1</v>
      </c>
      <c r="K189" s="200">
        <v>0.6</v>
      </c>
      <c r="L189" s="200">
        <v>1.5</v>
      </c>
      <c r="M189">
        <v>0</v>
      </c>
      <c r="N189" s="213">
        <v>0</v>
      </c>
      <c r="O189" s="213">
        <v>0</v>
      </c>
    </row>
    <row r="190" spans="2:15">
      <c r="B190" t="s">
        <v>496</v>
      </c>
      <c r="C190" s="200">
        <v>0</v>
      </c>
      <c r="D190" s="200">
        <v>0</v>
      </c>
      <c r="E190" s="200">
        <v>0</v>
      </c>
      <c r="F190" s="200">
        <v>0.4</v>
      </c>
      <c r="G190" s="200">
        <v>0.6</v>
      </c>
      <c r="H190" s="200">
        <v>4.3</v>
      </c>
      <c r="I190" s="200">
        <v>20.6</v>
      </c>
      <c r="J190" s="200">
        <v>6</v>
      </c>
      <c r="K190" s="200">
        <v>0.2</v>
      </c>
      <c r="L190" s="200">
        <v>0</v>
      </c>
      <c r="M190">
        <v>0</v>
      </c>
      <c r="N190" s="213">
        <v>0</v>
      </c>
      <c r="O190" s="213">
        <v>0</v>
      </c>
    </row>
    <row r="191" spans="2:15">
      <c r="B191" t="s">
        <v>497</v>
      </c>
      <c r="C191" s="200">
        <v>0</v>
      </c>
      <c r="D191" s="200">
        <v>0</v>
      </c>
      <c r="E191" s="200">
        <v>0</v>
      </c>
      <c r="F191" s="200">
        <v>0</v>
      </c>
      <c r="G191" s="200">
        <v>0</v>
      </c>
      <c r="H191" s="200">
        <v>0</v>
      </c>
      <c r="I191" s="200">
        <v>0</v>
      </c>
      <c r="J191" s="200">
        <v>0</v>
      </c>
      <c r="K191" s="200">
        <v>0</v>
      </c>
      <c r="L191" s="200">
        <v>0</v>
      </c>
      <c r="M191">
        <v>0</v>
      </c>
      <c r="N191" s="213">
        <v>0</v>
      </c>
      <c r="O191" s="213">
        <v>0</v>
      </c>
    </row>
    <row r="192" spans="2:15">
      <c r="B192" t="s">
        <v>498</v>
      </c>
      <c r="C192" s="200">
        <v>15.9</v>
      </c>
      <c r="D192" s="200">
        <v>2.6</v>
      </c>
      <c r="E192" s="200">
        <v>21.4</v>
      </c>
      <c r="F192" s="200">
        <v>17.8</v>
      </c>
      <c r="G192" s="200">
        <v>148.9</v>
      </c>
      <c r="H192" s="200">
        <v>0.7</v>
      </c>
      <c r="I192" s="200">
        <v>0.3</v>
      </c>
      <c r="J192" s="200">
        <v>0</v>
      </c>
      <c r="K192" s="200">
        <v>0</v>
      </c>
      <c r="L192" s="200">
        <v>0</v>
      </c>
      <c r="M192">
        <v>0</v>
      </c>
      <c r="N192" s="213">
        <v>0</v>
      </c>
      <c r="O192" s="213">
        <v>0</v>
      </c>
    </row>
    <row r="193" spans="2:15">
      <c r="B193" t="s">
        <v>499</v>
      </c>
      <c r="C193" s="200">
        <v>0</v>
      </c>
      <c r="D193" s="200">
        <v>0</v>
      </c>
      <c r="E193" s="200">
        <v>0</v>
      </c>
      <c r="F193" s="200">
        <v>0</v>
      </c>
      <c r="G193" s="200">
        <v>0</v>
      </c>
      <c r="H193" s="200">
        <v>3.4</v>
      </c>
      <c r="I193" s="200">
        <v>0</v>
      </c>
      <c r="J193" s="200">
        <v>0</v>
      </c>
      <c r="K193" s="200">
        <v>4.8</v>
      </c>
      <c r="L193" s="200">
        <v>22.8</v>
      </c>
      <c r="M193">
        <v>0</v>
      </c>
      <c r="N193" s="213">
        <v>0</v>
      </c>
      <c r="O193" s="213">
        <v>0</v>
      </c>
    </row>
    <row r="194" spans="2:15">
      <c r="B194" t="s">
        <v>500</v>
      </c>
      <c r="C194" s="200">
        <v>102.5</v>
      </c>
      <c r="D194" s="200">
        <v>107.9</v>
      </c>
      <c r="E194" s="200">
        <v>206</v>
      </c>
      <c r="F194" s="200">
        <v>169</v>
      </c>
      <c r="G194" s="200">
        <v>237.1</v>
      </c>
      <c r="H194" s="200">
        <v>257.10000000000002</v>
      </c>
      <c r="I194" s="200">
        <v>266.10000000000002</v>
      </c>
      <c r="J194" s="200">
        <v>274.3</v>
      </c>
      <c r="K194" s="200">
        <v>203.6</v>
      </c>
      <c r="L194" s="200">
        <v>223</v>
      </c>
      <c r="M194">
        <v>0</v>
      </c>
      <c r="N194" s="213">
        <v>-6.4000000000000001E-2</v>
      </c>
      <c r="O194" s="213">
        <v>-1.7000000000000001E-2</v>
      </c>
    </row>
    <row r="195" spans="2:15">
      <c r="B195" t="s">
        <v>501</v>
      </c>
      <c r="C195" s="200">
        <v>0</v>
      </c>
      <c r="D195" s="200">
        <v>0</v>
      </c>
      <c r="E195" s="200">
        <v>0</v>
      </c>
      <c r="F195" s="200">
        <v>0</v>
      </c>
      <c r="G195" s="200">
        <v>0</v>
      </c>
      <c r="H195" s="200">
        <v>0</v>
      </c>
      <c r="I195" s="200">
        <v>0</v>
      </c>
      <c r="J195" s="200">
        <v>0</v>
      </c>
      <c r="K195" s="200">
        <v>0</v>
      </c>
      <c r="L195" s="200">
        <v>0</v>
      </c>
      <c r="M195">
        <v>0</v>
      </c>
      <c r="N195" s="213">
        <v>0</v>
      </c>
      <c r="O195" s="213">
        <v>0</v>
      </c>
    </row>
    <row r="196" spans="2:15">
      <c r="B196" t="s">
        <v>502</v>
      </c>
      <c r="C196" s="200">
        <v>767.8</v>
      </c>
      <c r="D196" s="200">
        <v>719.3</v>
      </c>
      <c r="E196" s="214">
        <v>1036.0999999999999</v>
      </c>
      <c r="F196" s="214">
        <v>1092.4000000000001</v>
      </c>
      <c r="G196" s="214">
        <v>1281</v>
      </c>
      <c r="H196" s="214">
        <v>1303.5</v>
      </c>
      <c r="I196" s="214">
        <v>1334.5</v>
      </c>
      <c r="J196" s="214">
        <v>1703.1</v>
      </c>
      <c r="K196" s="214">
        <v>1894</v>
      </c>
      <c r="L196" s="214">
        <v>2050.1999999999998</v>
      </c>
      <c r="M196">
        <v>0</v>
      </c>
      <c r="N196" s="213">
        <v>0.152</v>
      </c>
      <c r="O196" s="213">
        <v>9.9000000000000005E-2</v>
      </c>
    </row>
    <row r="197" spans="2:15" ht="5.45" customHeight="1"/>
    <row r="198" spans="2:15" ht="15.75" thickBot="1">
      <c r="B198" s="215" t="s">
        <v>507</v>
      </c>
      <c r="C198" s="215">
        <f>SUM(C179:C196)</f>
        <v>4605.8</v>
      </c>
      <c r="D198" s="215">
        <f t="shared" ref="D198:L198" si="7">SUM(D179:D196)</f>
        <v>3651.2</v>
      </c>
      <c r="E198" s="215">
        <f t="shared" si="7"/>
        <v>5429.4</v>
      </c>
      <c r="F198" s="215">
        <f t="shared" si="7"/>
        <v>6658.6</v>
      </c>
      <c r="G198" s="215">
        <f t="shared" si="7"/>
        <v>8783.6</v>
      </c>
      <c r="H198" s="215">
        <f t="shared" si="7"/>
        <v>8148.4</v>
      </c>
      <c r="I198" s="215">
        <f t="shared" si="7"/>
        <v>8425.8000000000011</v>
      </c>
      <c r="J198" s="215">
        <f t="shared" si="7"/>
        <v>10294.5</v>
      </c>
      <c r="K198" s="215">
        <f t="shared" si="7"/>
        <v>13529.5</v>
      </c>
      <c r="L198" s="215">
        <f t="shared" si="7"/>
        <v>14498.699999999997</v>
      </c>
    </row>
    <row r="200" spans="2:15">
      <c r="B200" s="1" t="s">
        <v>509</v>
      </c>
      <c r="C200" s="144">
        <f>C198/C177</f>
        <v>0.6952150943396227</v>
      </c>
      <c r="D200" s="144">
        <f t="shared" ref="D200:L200" si="8">D198/D177</f>
        <v>0.64168717047451662</v>
      </c>
      <c r="E200" s="144">
        <f t="shared" si="8"/>
        <v>0.63973135383527746</v>
      </c>
      <c r="F200" s="144">
        <f t="shared" si="8"/>
        <v>0.67709985763677039</v>
      </c>
      <c r="G200" s="144">
        <f t="shared" si="8"/>
        <v>0.69961528964786657</v>
      </c>
      <c r="H200" s="144">
        <f t="shared" si="8"/>
        <v>0.63323463813054193</v>
      </c>
      <c r="I200" s="144">
        <f t="shared" si="8"/>
        <v>0.62138542888116999</v>
      </c>
      <c r="J200" s="144">
        <f t="shared" si="8"/>
        <v>0.68588389710242459</v>
      </c>
      <c r="K200" s="144">
        <f t="shared" si="8"/>
        <v>0.75784055072902134</v>
      </c>
      <c r="L200" s="144">
        <f t="shared" si="8"/>
        <v>0.70652989620388851</v>
      </c>
      <c r="M200" s="1"/>
      <c r="N200" s="144">
        <f>MEDIAN(C200:L200)</f>
        <v>0.68149187736959749</v>
      </c>
      <c r="O200" s="144">
        <f>AVERAGE(C200:L200)</f>
        <v>0.67582231769811008</v>
      </c>
    </row>
    <row r="204" spans="2:15">
      <c r="B204" s="162" t="s">
        <v>202</v>
      </c>
      <c r="C204" s="163" t="s">
        <v>230</v>
      </c>
      <c r="D204" s="163" t="s">
        <v>231</v>
      </c>
      <c r="E204" s="163" t="s">
        <v>232</v>
      </c>
      <c r="F204" s="163" t="s">
        <v>233</v>
      </c>
      <c r="G204" s="163" t="s">
        <v>234</v>
      </c>
      <c r="H204" s="163" t="s">
        <v>235</v>
      </c>
      <c r="I204" s="163" t="s">
        <v>236</v>
      </c>
      <c r="J204" s="163" t="s">
        <v>237</v>
      </c>
      <c r="K204" s="163" t="s">
        <v>238</v>
      </c>
      <c r="L204" s="163" t="s">
        <v>504</v>
      </c>
      <c r="N204" s="163" t="s">
        <v>508</v>
      </c>
      <c r="O204" s="163" t="s">
        <v>432</v>
      </c>
    </row>
    <row r="206" spans="2:15">
      <c r="B206" s="220" t="s">
        <v>485</v>
      </c>
      <c r="C206" s="221">
        <f>C179/C$198</f>
        <v>9.8788484085283762E-2</v>
      </c>
      <c r="D206" s="221">
        <f t="shared" ref="D206:L206" si="9">D179/D$198</f>
        <v>0.10130915863277826</v>
      </c>
      <c r="E206" s="221">
        <f t="shared" si="9"/>
        <v>9.8942792942129903E-2</v>
      </c>
      <c r="F206" s="221">
        <f t="shared" si="9"/>
        <v>8.8306851290060967E-2</v>
      </c>
      <c r="G206" s="221">
        <f t="shared" si="9"/>
        <v>8.7344596748485812E-2</v>
      </c>
      <c r="H206" s="221">
        <f t="shared" si="9"/>
        <v>0.10480585145550048</v>
      </c>
      <c r="I206" s="221">
        <f t="shared" si="9"/>
        <v>0.10315934391986517</v>
      </c>
      <c r="J206" s="221">
        <f t="shared" si="9"/>
        <v>8.8736704065277575E-2</v>
      </c>
      <c r="K206" s="221">
        <f t="shared" si="9"/>
        <v>7.2271702575852761E-2</v>
      </c>
      <c r="L206" s="221">
        <f t="shared" si="9"/>
        <v>7.3413478449792069E-2</v>
      </c>
      <c r="M206" s="222"/>
      <c r="N206" s="223">
        <f>MEDIAN(C206:L206)</f>
        <v>9.3762594075280675E-2</v>
      </c>
      <c r="O206" s="223">
        <f>AVERAGE(C206:L206)</f>
        <v>9.1707896416502677E-2</v>
      </c>
    </row>
    <row r="207" spans="2:15">
      <c r="B207" s="224" t="s">
        <v>486</v>
      </c>
      <c r="C207" s="221">
        <f t="shared" ref="C207:L207" si="10">C180/C$198</f>
        <v>0.34300230144600286</v>
      </c>
      <c r="D207" s="221">
        <f t="shared" si="10"/>
        <v>0.30757011393514461</v>
      </c>
      <c r="E207" s="221">
        <f t="shared" si="10"/>
        <v>0.26601466092017534</v>
      </c>
      <c r="F207" s="221">
        <f t="shared" si="10"/>
        <v>0.29731475084852671</v>
      </c>
      <c r="G207" s="221">
        <f t="shared" si="10"/>
        <v>0.35208798214854953</v>
      </c>
      <c r="H207" s="221">
        <f t="shared" si="10"/>
        <v>0.33168474792597319</v>
      </c>
      <c r="I207" s="221">
        <f t="shared" si="10"/>
        <v>0.28459018728191982</v>
      </c>
      <c r="J207" s="221">
        <f t="shared" si="10"/>
        <v>0.35166350964107046</v>
      </c>
      <c r="K207" s="221">
        <f t="shared" si="10"/>
        <v>0.44944011234709336</v>
      </c>
      <c r="L207" s="221">
        <f t="shared" si="10"/>
        <v>0.4376392366212144</v>
      </c>
      <c r="M207" s="221"/>
      <c r="N207" s="221">
        <f t="shared" ref="N207:N223" si="11">MEDIAN(C207:L207)</f>
        <v>0.33734352468598805</v>
      </c>
      <c r="O207" s="221">
        <f t="shared" ref="O207:O223" si="12">AVERAGE(C207:L207)</f>
        <v>0.34210076031156705</v>
      </c>
    </row>
    <row r="208" spans="2:15">
      <c r="B208" t="s">
        <v>487</v>
      </c>
      <c r="C208" s="216">
        <f t="shared" ref="C208:L208" si="13">C181/C$198</f>
        <v>4.4074862130357379E-3</v>
      </c>
      <c r="D208" s="216">
        <f t="shared" si="13"/>
        <v>7.8056529360210347E-3</v>
      </c>
      <c r="E208" s="216">
        <f t="shared" si="13"/>
        <v>8.4908092975282731E-3</v>
      </c>
      <c r="F208" s="216">
        <f t="shared" si="13"/>
        <v>5.8570870753611864E-3</v>
      </c>
      <c r="G208" s="216">
        <f t="shared" si="13"/>
        <v>3.927774488820074E-3</v>
      </c>
      <c r="H208" s="216">
        <f t="shared" si="13"/>
        <v>3.2398998576407636E-3</v>
      </c>
      <c r="I208" s="216">
        <f t="shared" si="13"/>
        <v>6.9904341427520222E-3</v>
      </c>
      <c r="J208" s="216">
        <f t="shared" si="13"/>
        <v>2.6810432755354804E-3</v>
      </c>
      <c r="K208" s="216">
        <f t="shared" si="13"/>
        <v>2.372593222218116E-3</v>
      </c>
      <c r="L208" s="216">
        <f t="shared" si="13"/>
        <v>1.5449661004090023E-3</v>
      </c>
      <c r="N208" s="2">
        <f t="shared" si="11"/>
        <v>4.167630350927906E-3</v>
      </c>
      <c r="O208" s="2">
        <f t="shared" si="12"/>
        <v>4.7317746609321695E-3</v>
      </c>
    </row>
    <row r="209" spans="2:15">
      <c r="B209" t="s">
        <v>488</v>
      </c>
      <c r="C209" s="216">
        <f t="shared" ref="C209:L209" si="14">C182/C$198</f>
        <v>4.9937035911242346E-4</v>
      </c>
      <c r="D209" s="216">
        <f t="shared" si="14"/>
        <v>5.7515337423312887E-4</v>
      </c>
      <c r="E209" s="216">
        <f t="shared" si="14"/>
        <v>6.4463844992080157E-4</v>
      </c>
      <c r="F209" s="216">
        <f t="shared" si="14"/>
        <v>6.307632235004355E-4</v>
      </c>
      <c r="G209" s="216">
        <f t="shared" si="14"/>
        <v>9.2217314085340856E-4</v>
      </c>
      <c r="H209" s="216">
        <f t="shared" si="14"/>
        <v>1.1413283589416328E-3</v>
      </c>
      <c r="I209" s="216">
        <f t="shared" si="14"/>
        <v>1.7327731491371737E-3</v>
      </c>
      <c r="J209" s="216">
        <f t="shared" si="14"/>
        <v>1.5930836854631113E-3</v>
      </c>
      <c r="K209" s="216">
        <f t="shared" si="14"/>
        <v>1.4265124357884624E-3</v>
      </c>
      <c r="L209" s="216">
        <f t="shared" si="14"/>
        <v>1.6139378013201185E-3</v>
      </c>
      <c r="N209" s="2">
        <f t="shared" si="11"/>
        <v>1.0317507498975207E-3</v>
      </c>
      <c r="O209" s="2">
        <f t="shared" si="12"/>
        <v>1.0779733978270698E-3</v>
      </c>
    </row>
    <row r="210" spans="2:15">
      <c r="B210" t="s">
        <v>489</v>
      </c>
      <c r="C210" s="216">
        <f t="shared" ref="C210:L210" si="15">C183/C$198</f>
        <v>0</v>
      </c>
      <c r="D210" s="216">
        <f t="shared" si="15"/>
        <v>0</v>
      </c>
      <c r="E210" s="216">
        <f t="shared" si="15"/>
        <v>0</v>
      </c>
      <c r="F210" s="216">
        <f t="shared" si="15"/>
        <v>0</v>
      </c>
      <c r="G210" s="216">
        <f t="shared" si="15"/>
        <v>0</v>
      </c>
      <c r="H210" s="216">
        <f t="shared" si="15"/>
        <v>0</v>
      </c>
      <c r="I210" s="216">
        <f t="shared" si="15"/>
        <v>0</v>
      </c>
      <c r="J210" s="216">
        <f t="shared" si="15"/>
        <v>0</v>
      </c>
      <c r="K210" s="216">
        <f t="shared" si="15"/>
        <v>0</v>
      </c>
      <c r="L210" s="216">
        <f t="shared" si="15"/>
        <v>0</v>
      </c>
      <c r="N210" s="2">
        <f t="shared" si="11"/>
        <v>0</v>
      </c>
      <c r="O210" s="2">
        <f t="shared" si="12"/>
        <v>0</v>
      </c>
    </row>
    <row r="211" spans="2:15">
      <c r="B211" t="s">
        <v>490</v>
      </c>
      <c r="C211" s="216">
        <f t="shared" ref="C211:L211" si="16">C184/C$198</f>
        <v>0</v>
      </c>
      <c r="D211" s="216">
        <f t="shared" si="16"/>
        <v>0</v>
      </c>
      <c r="E211" s="216">
        <f t="shared" si="16"/>
        <v>0</v>
      </c>
      <c r="F211" s="216">
        <f t="shared" si="16"/>
        <v>0</v>
      </c>
      <c r="G211" s="216">
        <f t="shared" si="16"/>
        <v>0</v>
      </c>
      <c r="H211" s="216">
        <f t="shared" si="16"/>
        <v>0</v>
      </c>
      <c r="I211" s="216">
        <f t="shared" si="16"/>
        <v>0</v>
      </c>
      <c r="J211" s="216">
        <f t="shared" si="16"/>
        <v>0</v>
      </c>
      <c r="K211" s="216">
        <f t="shared" si="16"/>
        <v>5.6838759747219044E-3</v>
      </c>
      <c r="L211" s="216">
        <f t="shared" si="16"/>
        <v>5.0280369964203703E-3</v>
      </c>
      <c r="N211" s="2">
        <f t="shared" si="11"/>
        <v>0</v>
      </c>
      <c r="O211" s="2">
        <f t="shared" si="12"/>
        <v>1.0711912971142275E-3</v>
      </c>
    </row>
    <row r="212" spans="2:15">
      <c r="B212" t="s">
        <v>491</v>
      </c>
      <c r="C212" s="216">
        <f t="shared" ref="C212:L212" si="17">C185/C$198</f>
        <v>5.8838855356289892E-3</v>
      </c>
      <c r="D212" s="216">
        <f t="shared" si="17"/>
        <v>6.5457931638913235E-3</v>
      </c>
      <c r="E212" s="216">
        <f t="shared" si="17"/>
        <v>6.2622020849449301E-3</v>
      </c>
      <c r="F212" s="216">
        <f t="shared" si="17"/>
        <v>5.1512329919202226E-3</v>
      </c>
      <c r="G212" s="216">
        <f t="shared" si="17"/>
        <v>4.724714240174871E-3</v>
      </c>
      <c r="H212" s="216">
        <f t="shared" si="17"/>
        <v>4.8843944823523631E-3</v>
      </c>
      <c r="I212" s="216">
        <f t="shared" si="17"/>
        <v>3.8453321939756454E-3</v>
      </c>
      <c r="J212" s="216">
        <f t="shared" si="17"/>
        <v>3.3513040944193502E-3</v>
      </c>
      <c r="K212" s="216">
        <f t="shared" si="17"/>
        <v>3.2521527033519348E-3</v>
      </c>
      <c r="L212" s="216">
        <f t="shared" si="17"/>
        <v>4.2072737555780872E-3</v>
      </c>
      <c r="N212" s="2">
        <f t="shared" si="11"/>
        <v>4.8045543612636171E-3</v>
      </c>
      <c r="O212" s="2">
        <f t="shared" si="12"/>
        <v>4.8108285246237729E-3</v>
      </c>
    </row>
    <row r="213" spans="2:15">
      <c r="B213" t="s">
        <v>492</v>
      </c>
      <c r="C213" s="216">
        <f t="shared" ref="C213:L213" si="18">C186/C$198</f>
        <v>5.2108211385644182E-4</v>
      </c>
      <c r="D213" s="216">
        <f t="shared" si="18"/>
        <v>7.1209465381244529E-4</v>
      </c>
      <c r="E213" s="216">
        <f t="shared" si="18"/>
        <v>7.551478984786532E-4</v>
      </c>
      <c r="F213" s="216">
        <f t="shared" si="18"/>
        <v>6.4578139548854112E-4</v>
      </c>
      <c r="G213" s="216">
        <f t="shared" si="18"/>
        <v>6.3755180108383803E-4</v>
      </c>
      <c r="H213" s="216">
        <f t="shared" si="18"/>
        <v>6.9952383289971043E-4</v>
      </c>
      <c r="I213" s="216">
        <f t="shared" si="18"/>
        <v>6.7649362671793765E-4</v>
      </c>
      <c r="J213" s="216">
        <f t="shared" si="18"/>
        <v>3.9827092136577783E-4</v>
      </c>
      <c r="K213" s="216">
        <f t="shared" si="18"/>
        <v>3.6217155105510183E-4</v>
      </c>
      <c r="L213" s="216">
        <f t="shared" si="18"/>
        <v>3.1037265410002285E-4</v>
      </c>
      <c r="N213" s="2">
        <f t="shared" si="11"/>
        <v>6.4166659828618963E-4</v>
      </c>
      <c r="O213" s="2">
        <f t="shared" si="12"/>
        <v>5.7184904488584703E-4</v>
      </c>
    </row>
    <row r="214" spans="2:15">
      <c r="B214" s="224" t="s">
        <v>493</v>
      </c>
      <c r="C214" s="221">
        <f t="shared" ref="C214:L214" si="19">C187/C$198</f>
        <v>0.35444439619610058</v>
      </c>
      <c r="D214" s="221">
        <f t="shared" si="19"/>
        <v>0.34821428571428575</v>
      </c>
      <c r="E214" s="221">
        <f t="shared" si="19"/>
        <v>0.38617526798541274</v>
      </c>
      <c r="F214" s="221">
        <f t="shared" si="19"/>
        <v>0.40992100441534252</v>
      </c>
      <c r="G214" s="221">
        <f t="shared" si="19"/>
        <v>0.36050138895213807</v>
      </c>
      <c r="H214" s="221">
        <f t="shared" si="19"/>
        <v>0.36099111482008739</v>
      </c>
      <c r="I214" s="221">
        <f t="shared" si="19"/>
        <v>0.40656080134823985</v>
      </c>
      <c r="J214" s="221">
        <f t="shared" si="19"/>
        <v>0.35890038370003396</v>
      </c>
      <c r="K214" s="221">
        <f t="shared" si="19"/>
        <v>0.30973797996969588</v>
      </c>
      <c r="L214" s="221">
        <f t="shared" si="19"/>
        <v>0.31778021477787666</v>
      </c>
      <c r="M214" s="221"/>
      <c r="N214" s="221">
        <f t="shared" si="11"/>
        <v>0.35970088632608599</v>
      </c>
      <c r="O214" s="221">
        <f t="shared" si="12"/>
        <v>0.36132268378792137</v>
      </c>
    </row>
    <row r="215" spans="2:15">
      <c r="B215" t="s">
        <v>494</v>
      </c>
      <c r="C215" s="216">
        <f t="shared" ref="C215:L215" si="20">C188/C$198</f>
        <v>0</v>
      </c>
      <c r="D215" s="216">
        <f t="shared" si="20"/>
        <v>0</v>
      </c>
      <c r="E215" s="216">
        <f t="shared" si="20"/>
        <v>0</v>
      </c>
      <c r="F215" s="216">
        <f t="shared" si="20"/>
        <v>0</v>
      </c>
      <c r="G215" s="216">
        <f t="shared" si="20"/>
        <v>0</v>
      </c>
      <c r="H215" s="216">
        <f t="shared" si="20"/>
        <v>0</v>
      </c>
      <c r="I215" s="216">
        <f t="shared" si="20"/>
        <v>0</v>
      </c>
      <c r="J215" s="216">
        <f t="shared" si="20"/>
        <v>0</v>
      </c>
      <c r="K215" s="216">
        <f t="shared" si="20"/>
        <v>0</v>
      </c>
      <c r="L215" s="216">
        <f t="shared" si="20"/>
        <v>0</v>
      </c>
      <c r="N215" s="2">
        <f t="shared" si="11"/>
        <v>0</v>
      </c>
      <c r="O215" s="2">
        <f t="shared" si="12"/>
        <v>0</v>
      </c>
    </row>
    <row r="216" spans="2:15">
      <c r="B216" t="s">
        <v>495</v>
      </c>
      <c r="C216" s="216">
        <f t="shared" ref="C216:L216" si="21">C189/C$198</f>
        <v>4.3423509488036823E-5</v>
      </c>
      <c r="D216" s="216">
        <f t="shared" si="21"/>
        <v>0</v>
      </c>
      <c r="E216" s="216">
        <f t="shared" si="21"/>
        <v>0</v>
      </c>
      <c r="F216" s="216">
        <f t="shared" si="21"/>
        <v>0</v>
      </c>
      <c r="G216" s="216">
        <f t="shared" si="21"/>
        <v>0</v>
      </c>
      <c r="H216" s="216">
        <f t="shared" si="21"/>
        <v>0</v>
      </c>
      <c r="I216" s="216">
        <f t="shared" si="21"/>
        <v>0</v>
      </c>
      <c r="J216" s="216">
        <f t="shared" si="21"/>
        <v>9.7139249113604351E-6</v>
      </c>
      <c r="K216" s="216">
        <f t="shared" si="21"/>
        <v>4.4347536863890015E-5</v>
      </c>
      <c r="L216" s="216">
        <f t="shared" si="21"/>
        <v>1.0345755136667428E-4</v>
      </c>
      <c r="N216" s="2">
        <f t="shared" si="11"/>
        <v>0</v>
      </c>
      <c r="O216" s="2">
        <f t="shared" si="12"/>
        <v>2.0094252262996158E-5</v>
      </c>
    </row>
    <row r="217" spans="2:15">
      <c r="B217" t="s">
        <v>496</v>
      </c>
      <c r="C217" s="216">
        <f t="shared" ref="C217:L217" si="22">C190/C$198</f>
        <v>0</v>
      </c>
      <c r="D217" s="216">
        <f t="shared" si="22"/>
        <v>0</v>
      </c>
      <c r="E217" s="216">
        <f t="shared" si="22"/>
        <v>0</v>
      </c>
      <c r="F217" s="216">
        <f t="shared" si="22"/>
        <v>6.0072687952422429E-5</v>
      </c>
      <c r="G217" s="216">
        <f t="shared" si="22"/>
        <v>6.8309121544696928E-5</v>
      </c>
      <c r="H217" s="216">
        <f t="shared" si="22"/>
        <v>5.2771096166118507E-4</v>
      </c>
      <c r="I217" s="216">
        <f t="shared" si="22"/>
        <v>2.4448717035771084E-3</v>
      </c>
      <c r="J217" s="216">
        <f t="shared" si="22"/>
        <v>5.8283549468162615E-4</v>
      </c>
      <c r="K217" s="216">
        <f t="shared" si="22"/>
        <v>1.478251228796334E-5</v>
      </c>
      <c r="L217" s="216">
        <f t="shared" si="22"/>
        <v>0</v>
      </c>
      <c r="N217" s="2">
        <f t="shared" si="11"/>
        <v>3.7427600120192885E-5</v>
      </c>
      <c r="O217" s="2">
        <f t="shared" si="12"/>
        <v>3.6985824817050024E-4</v>
      </c>
    </row>
    <row r="218" spans="2:15">
      <c r="B218" t="s">
        <v>497</v>
      </c>
      <c r="C218" s="216">
        <f t="shared" ref="C218:L218" si="23">C191/C$198</f>
        <v>0</v>
      </c>
      <c r="D218" s="216">
        <f t="shared" si="23"/>
        <v>0</v>
      </c>
      <c r="E218" s="216">
        <f t="shared" si="23"/>
        <v>0</v>
      </c>
      <c r="F218" s="216">
        <f t="shared" si="23"/>
        <v>0</v>
      </c>
      <c r="G218" s="216">
        <f t="shared" si="23"/>
        <v>0</v>
      </c>
      <c r="H218" s="216">
        <f t="shared" si="23"/>
        <v>0</v>
      </c>
      <c r="I218" s="216">
        <f t="shared" si="23"/>
        <v>0</v>
      </c>
      <c r="J218" s="216">
        <f t="shared" si="23"/>
        <v>0</v>
      </c>
      <c r="K218" s="216">
        <f t="shared" si="23"/>
        <v>0</v>
      </c>
      <c r="L218" s="216">
        <f t="shared" si="23"/>
        <v>0</v>
      </c>
      <c r="N218" s="2">
        <f t="shared" si="11"/>
        <v>0</v>
      </c>
      <c r="O218" s="2">
        <f t="shared" si="12"/>
        <v>0</v>
      </c>
    </row>
    <row r="219" spans="2:15">
      <c r="B219" t="s">
        <v>498</v>
      </c>
      <c r="C219" s="216">
        <f t="shared" ref="C219:L219" si="24">C192/C$198</f>
        <v>3.4521690042989273E-3</v>
      </c>
      <c r="D219" s="216">
        <f t="shared" si="24"/>
        <v>7.1209465381244529E-4</v>
      </c>
      <c r="E219" s="216">
        <f t="shared" si="24"/>
        <v>3.9415036652300436E-3</v>
      </c>
      <c r="F219" s="216">
        <f t="shared" si="24"/>
        <v>2.6732346138827984E-3</v>
      </c>
      <c r="G219" s="216">
        <f t="shared" si="24"/>
        <v>1.6952046996675622E-2</v>
      </c>
      <c r="H219" s="216">
        <f t="shared" si="24"/>
        <v>8.5906435619262681E-5</v>
      </c>
      <c r="I219" s="216">
        <f t="shared" si="24"/>
        <v>3.5604927721996718E-5</v>
      </c>
      <c r="J219" s="216">
        <f t="shared" si="24"/>
        <v>0</v>
      </c>
      <c r="K219" s="216">
        <f t="shared" si="24"/>
        <v>0</v>
      </c>
      <c r="L219" s="216">
        <f t="shared" si="24"/>
        <v>0</v>
      </c>
      <c r="N219" s="2">
        <f t="shared" si="11"/>
        <v>3.9900054471585401E-4</v>
      </c>
      <c r="O219" s="2">
        <f t="shared" si="12"/>
        <v>2.7852560297241097E-3</v>
      </c>
    </row>
    <row r="220" spans="2:15">
      <c r="B220" t="s">
        <v>499</v>
      </c>
      <c r="C220" s="216">
        <f t="shared" ref="C220:L220" si="25">C193/C$198</f>
        <v>0</v>
      </c>
      <c r="D220" s="216">
        <f t="shared" si="25"/>
        <v>0</v>
      </c>
      <c r="E220" s="216">
        <f t="shared" si="25"/>
        <v>0</v>
      </c>
      <c r="F220" s="216">
        <f t="shared" si="25"/>
        <v>0</v>
      </c>
      <c r="G220" s="216">
        <f t="shared" si="25"/>
        <v>0</v>
      </c>
      <c r="H220" s="216">
        <f t="shared" si="25"/>
        <v>4.1725983015070443E-4</v>
      </c>
      <c r="I220" s="216">
        <f t="shared" si="25"/>
        <v>0</v>
      </c>
      <c r="J220" s="216">
        <f t="shared" si="25"/>
        <v>0</v>
      </c>
      <c r="K220" s="216">
        <f t="shared" si="25"/>
        <v>3.5478029491112012E-4</v>
      </c>
      <c r="L220" s="216">
        <f t="shared" si="25"/>
        <v>1.572554780773449E-3</v>
      </c>
      <c r="N220" s="2">
        <f t="shared" si="11"/>
        <v>0</v>
      </c>
      <c r="O220" s="2">
        <f t="shared" si="12"/>
        <v>2.3445949058352732E-4</v>
      </c>
    </row>
    <row r="221" spans="2:15">
      <c r="B221" t="s">
        <v>500</v>
      </c>
      <c r="C221" s="216">
        <f t="shared" ref="C221:L221" si="26">C194/C$198</f>
        <v>2.2254548612618871E-2</v>
      </c>
      <c r="D221" s="216">
        <f t="shared" si="26"/>
        <v>2.9551928133216481E-2</v>
      </c>
      <c r="E221" s="216">
        <f t="shared" si="26"/>
        <v>3.7941577338195753E-2</v>
      </c>
      <c r="F221" s="216">
        <f t="shared" si="26"/>
        <v>2.5380710659898477E-2</v>
      </c>
      <c r="G221" s="216">
        <f t="shared" si="26"/>
        <v>2.6993487863746071E-2</v>
      </c>
      <c r="H221" s="216">
        <f t="shared" si="26"/>
        <v>3.1552206568160622E-2</v>
      </c>
      <c r="I221" s="216">
        <f t="shared" si="26"/>
        <v>3.158157088941109E-2</v>
      </c>
      <c r="J221" s="216">
        <f t="shared" si="26"/>
        <v>2.6645296031861675E-2</v>
      </c>
      <c r="K221" s="216">
        <f t="shared" si="26"/>
        <v>1.5048597509146678E-2</v>
      </c>
      <c r="L221" s="216">
        <f t="shared" si="26"/>
        <v>1.5380689303178909E-2</v>
      </c>
      <c r="N221" s="2">
        <f t="shared" si="11"/>
        <v>2.6819391947803875E-2</v>
      </c>
      <c r="O221" s="2">
        <f t="shared" si="12"/>
        <v>2.6233061290943459E-2</v>
      </c>
    </row>
    <row r="222" spans="2:15">
      <c r="B222" t="s">
        <v>501</v>
      </c>
      <c r="C222" s="216">
        <f t="shared" ref="C222:L222" si="27">C195/C$198</f>
        <v>0</v>
      </c>
      <c r="D222" s="216">
        <f t="shared" si="27"/>
        <v>0</v>
      </c>
      <c r="E222" s="216">
        <f t="shared" si="27"/>
        <v>0</v>
      </c>
      <c r="F222" s="216">
        <f t="shared" si="27"/>
        <v>0</v>
      </c>
      <c r="G222" s="216">
        <f t="shared" si="27"/>
        <v>0</v>
      </c>
      <c r="H222" s="216">
        <f t="shared" si="27"/>
        <v>0</v>
      </c>
      <c r="I222" s="216">
        <f t="shared" si="27"/>
        <v>0</v>
      </c>
      <c r="J222" s="216">
        <f t="shared" si="27"/>
        <v>0</v>
      </c>
      <c r="K222" s="216">
        <f t="shared" si="27"/>
        <v>0</v>
      </c>
      <c r="L222" s="216">
        <f t="shared" si="27"/>
        <v>0</v>
      </c>
      <c r="N222" s="2">
        <f t="shared" si="11"/>
        <v>0</v>
      </c>
      <c r="O222" s="2">
        <f t="shared" si="12"/>
        <v>0</v>
      </c>
    </row>
    <row r="223" spans="2:15">
      <c r="B223" s="224" t="s">
        <v>502</v>
      </c>
      <c r="C223" s="221">
        <f t="shared" ref="C223:L223" si="28">C196/C$198</f>
        <v>0.16670285292457335</v>
      </c>
      <c r="D223" s="221">
        <f t="shared" si="28"/>
        <v>0.19700372480280456</v>
      </c>
      <c r="E223" s="221">
        <f t="shared" si="28"/>
        <v>0.19083139941798358</v>
      </c>
      <c r="F223" s="221">
        <f t="shared" si="28"/>
        <v>0.16405851079806566</v>
      </c>
      <c r="G223" s="221">
        <f t="shared" si="28"/>
        <v>0.14583997449792796</v>
      </c>
      <c r="H223" s="221">
        <f t="shared" si="28"/>
        <v>0.15997005547101273</v>
      </c>
      <c r="I223" s="221">
        <f t="shared" si="28"/>
        <v>0.15838258681668207</v>
      </c>
      <c r="J223" s="221">
        <f t="shared" si="28"/>
        <v>0.16543785516537957</v>
      </c>
      <c r="K223" s="221">
        <f t="shared" si="28"/>
        <v>0.13999039136701283</v>
      </c>
      <c r="L223" s="221">
        <f t="shared" si="28"/>
        <v>0.1414057812079704</v>
      </c>
      <c r="M223" s="221"/>
      <c r="N223" s="221">
        <f t="shared" si="11"/>
        <v>0.16201428313453919</v>
      </c>
      <c r="O223" s="221">
        <f t="shared" si="12"/>
        <v>0.16296231324694127</v>
      </c>
    </row>
    <row r="224" spans="2:15" ht="3" customHeight="1"/>
    <row r="225" spans="2:15" ht="15.75" thickBot="1">
      <c r="B225" s="215" t="s">
        <v>507</v>
      </c>
      <c r="C225" s="217">
        <f t="shared" ref="C225:L225" si="29">C198/C$198</f>
        <v>1</v>
      </c>
      <c r="D225" s="217">
        <f t="shared" si="29"/>
        <v>1</v>
      </c>
      <c r="E225" s="217">
        <f t="shared" si="29"/>
        <v>1</v>
      </c>
      <c r="F225" s="217">
        <f t="shared" si="29"/>
        <v>1</v>
      </c>
      <c r="G225" s="217">
        <f t="shared" si="29"/>
        <v>1</v>
      </c>
      <c r="H225" s="217">
        <f t="shared" si="29"/>
        <v>1</v>
      </c>
      <c r="I225" s="217">
        <f t="shared" si="29"/>
        <v>1</v>
      </c>
      <c r="J225" s="217">
        <f t="shared" si="29"/>
        <v>1</v>
      </c>
      <c r="K225" s="217">
        <f t="shared" si="29"/>
        <v>1</v>
      </c>
      <c r="L225" s="217">
        <f t="shared" si="29"/>
        <v>1</v>
      </c>
    </row>
    <row r="228" spans="2:15">
      <c r="B228" s="162" t="s">
        <v>202</v>
      </c>
      <c r="C228" s="163" t="s">
        <v>230</v>
      </c>
      <c r="D228" s="163" t="s">
        <v>231</v>
      </c>
      <c r="E228" s="163" t="s">
        <v>232</v>
      </c>
      <c r="F228" s="163" t="s">
        <v>233</v>
      </c>
      <c r="G228" s="163" t="s">
        <v>234</v>
      </c>
      <c r="H228" s="163" t="s">
        <v>235</v>
      </c>
      <c r="I228" s="163" t="s">
        <v>236</v>
      </c>
      <c r="J228" s="163" t="s">
        <v>237</v>
      </c>
      <c r="K228" s="163" t="s">
        <v>238</v>
      </c>
      <c r="L228" s="163" t="s">
        <v>504</v>
      </c>
      <c r="N228" s="163" t="s">
        <v>508</v>
      </c>
      <c r="O228" s="163" t="s">
        <v>432</v>
      </c>
    </row>
    <row r="230" spans="2:15">
      <c r="B230" s="1" t="s">
        <v>40</v>
      </c>
      <c r="C230" s="218">
        <f>'Income Statement'!D8</f>
        <v>6625</v>
      </c>
      <c r="D230" s="218">
        <f>'Income Statement'!E8</f>
        <v>5690</v>
      </c>
      <c r="E230" s="218">
        <f>'Income Statement'!F8</f>
        <v>8487</v>
      </c>
      <c r="F230" s="218">
        <f>'Income Statement'!G8</f>
        <v>9834</v>
      </c>
      <c r="G230" s="218">
        <f>'Income Statement'!H8</f>
        <v>12554.9</v>
      </c>
      <c r="H230" s="218">
        <f>'Income Statement'!I8</f>
        <v>12867.9</v>
      </c>
      <c r="I230" s="218">
        <f>'Income Statement'!J8</f>
        <v>13559.7</v>
      </c>
      <c r="J230" s="218">
        <f>'Income Statement'!K8</f>
        <v>15009.099999999999</v>
      </c>
      <c r="K230" s="218">
        <f>'Income Statement'!L8</f>
        <v>17852.7</v>
      </c>
      <c r="L230" s="218">
        <v>20520</v>
      </c>
    </row>
    <row r="232" spans="2:15">
      <c r="B232" s="219" t="s">
        <v>485</v>
      </c>
      <c r="C232" s="214">
        <v>455</v>
      </c>
      <c r="D232" s="214">
        <v>369.9</v>
      </c>
      <c r="E232" s="214">
        <v>537.20000000000005</v>
      </c>
      <c r="F232" s="214">
        <v>588</v>
      </c>
      <c r="G232" s="214">
        <v>767.2</v>
      </c>
      <c r="H232" s="214">
        <v>854</v>
      </c>
      <c r="I232" s="214">
        <v>869.2</v>
      </c>
      <c r="J232" s="214">
        <v>913.5</v>
      </c>
      <c r="K232" s="214">
        <v>977.8</v>
      </c>
      <c r="L232" s="214">
        <v>1064.4000000000001</v>
      </c>
      <c r="N232" s="214">
        <f>MEDIAN(C232:L232)</f>
        <v>810.6</v>
      </c>
      <c r="O232" s="214">
        <f>AVERAGE(C232:L232)</f>
        <v>739.62000000000012</v>
      </c>
    </row>
    <row r="233" spans="2:15">
      <c r="B233" s="219" t="s">
        <v>510</v>
      </c>
      <c r="C233" s="216">
        <f>C232/C230</f>
        <v>6.8679245283018872E-2</v>
      </c>
      <c r="D233" s="216">
        <f t="shared" ref="D233:L233" si="30">D232/D230</f>
        <v>6.5008787346221439E-2</v>
      </c>
      <c r="E233" s="216">
        <f t="shared" si="30"/>
        <v>6.3296806881112291E-2</v>
      </c>
      <c r="F233" s="216">
        <f t="shared" si="30"/>
        <v>5.9792556436851739E-2</v>
      </c>
      <c r="G233" s="216">
        <f t="shared" si="30"/>
        <v>6.1107615353368012E-2</v>
      </c>
      <c r="H233" s="216">
        <f t="shared" si="30"/>
        <v>6.6366695420387173E-2</v>
      </c>
      <c r="I233" s="216">
        <f t="shared" si="30"/>
        <v>6.4101713164745527E-2</v>
      </c>
      <c r="J233" s="216">
        <f t="shared" si="30"/>
        <v>6.086307640031715E-2</v>
      </c>
      <c r="K233" s="216">
        <f t="shared" si="30"/>
        <v>5.477042688220829E-2</v>
      </c>
      <c r="L233" s="216">
        <f t="shared" si="30"/>
        <v>5.187134502923977E-2</v>
      </c>
      <c r="N233" s="216">
        <f>MEDIAN(C233:L233)</f>
        <v>6.2202211117240155E-2</v>
      </c>
      <c r="O233" s="216">
        <f>AVERAGE(C233:L233)</f>
        <v>6.1585826819747037E-2</v>
      </c>
    </row>
    <row r="234" spans="2:15">
      <c r="B234" s="211"/>
      <c r="C234" s="214"/>
      <c r="D234" s="214"/>
      <c r="E234" s="214"/>
      <c r="F234" s="214"/>
      <c r="G234" s="214"/>
      <c r="H234" s="214"/>
      <c r="I234" s="214"/>
      <c r="J234" s="214"/>
      <c r="K234" s="214"/>
      <c r="L234" s="214"/>
      <c r="N234" s="214"/>
      <c r="O234" s="214"/>
    </row>
    <row r="235" spans="2:15">
      <c r="B235" t="s">
        <v>486</v>
      </c>
      <c r="C235" s="214">
        <v>1579.8</v>
      </c>
      <c r="D235" s="214">
        <v>1123</v>
      </c>
      <c r="E235" s="214">
        <v>1444.3</v>
      </c>
      <c r="F235" s="214">
        <v>1979.7</v>
      </c>
      <c r="G235" s="214">
        <v>3092.6</v>
      </c>
      <c r="H235" s="214">
        <v>2702.7</v>
      </c>
      <c r="I235" s="214">
        <v>2397.9</v>
      </c>
      <c r="J235" s="214">
        <v>3620.2</v>
      </c>
      <c r="K235" s="214">
        <v>6080.7</v>
      </c>
      <c r="L235" s="214">
        <v>6345.2</v>
      </c>
      <c r="N235" s="214">
        <f>MEDIAN(C235:L235)</f>
        <v>2550.3000000000002</v>
      </c>
      <c r="O235" s="214">
        <f>AVERAGE(C235:L235)</f>
        <v>3036.6099999999997</v>
      </c>
    </row>
    <row r="236" spans="2:15">
      <c r="B236" t="s">
        <v>511</v>
      </c>
      <c r="C236" s="216">
        <f>C235/C230</f>
        <v>0.23846037735849057</v>
      </c>
      <c r="D236" s="216">
        <f t="shared" ref="D236:L236" si="31">D235/D230</f>
        <v>0.19736379613356766</v>
      </c>
      <c r="E236" s="216">
        <f t="shared" si="31"/>
        <v>0.17017791917049604</v>
      </c>
      <c r="F236" s="216">
        <f t="shared" si="31"/>
        <v>0.20131177547284931</v>
      </c>
      <c r="G236" s="216">
        <f t="shared" si="31"/>
        <v>0.24632613561239039</v>
      </c>
      <c r="H236" s="216">
        <f t="shared" si="31"/>
        <v>0.21003427132632363</v>
      </c>
      <c r="I236" s="216">
        <f t="shared" si="31"/>
        <v>0.17684019557954822</v>
      </c>
      <c r="J236" s="216">
        <f t="shared" si="31"/>
        <v>0.24120033846133346</v>
      </c>
      <c r="K236" s="216">
        <f t="shared" si="31"/>
        <v>0.34060394226083446</v>
      </c>
      <c r="L236" s="216">
        <f t="shared" si="31"/>
        <v>0.3092202729044834</v>
      </c>
      <c r="N236" s="216">
        <f>MEDIAN(C236:L236)</f>
        <v>0.2242473243424071</v>
      </c>
      <c r="O236" s="216">
        <f>AVERAGE(C236:L236)</f>
        <v>0.23315390242803172</v>
      </c>
    </row>
    <row r="237" spans="2:15">
      <c r="C237" s="214"/>
      <c r="D237" s="214"/>
      <c r="E237" s="214"/>
      <c r="F237" s="214"/>
      <c r="G237" s="214"/>
      <c r="H237" s="214"/>
      <c r="I237" s="214"/>
      <c r="J237" s="214"/>
      <c r="K237" s="214"/>
      <c r="L237" s="214"/>
      <c r="N237" s="216"/>
      <c r="O237" s="216"/>
    </row>
    <row r="238" spans="2:15">
      <c r="B238" t="s">
        <v>502</v>
      </c>
      <c r="C238" s="200">
        <v>767.8</v>
      </c>
      <c r="D238" s="200">
        <v>719.3</v>
      </c>
      <c r="E238" s="214">
        <v>1036.0999999999999</v>
      </c>
      <c r="F238" s="214">
        <v>1092.4000000000001</v>
      </c>
      <c r="G238" s="214">
        <v>1281</v>
      </c>
      <c r="H238" s="214">
        <v>1303.5</v>
      </c>
      <c r="I238" s="214">
        <v>1334.5</v>
      </c>
      <c r="J238" s="214">
        <v>1703.1</v>
      </c>
      <c r="K238" s="214">
        <v>1894</v>
      </c>
      <c r="L238" s="214">
        <v>2050.1999999999998</v>
      </c>
      <c r="N238" s="214">
        <f>MEDIAN(C238:L238)</f>
        <v>1292.25</v>
      </c>
      <c r="O238" s="214">
        <f>AVERAGE(C238:L238)</f>
        <v>1318.19</v>
      </c>
    </row>
    <row r="239" spans="2:15">
      <c r="B239" t="s">
        <v>513</v>
      </c>
      <c r="C239" s="216">
        <f>C238/C230</f>
        <v>0.11589433962264151</v>
      </c>
      <c r="D239" s="216">
        <f t="shared" ref="D239:L239" si="32">D238/D230</f>
        <v>0.126414762741652</v>
      </c>
      <c r="E239" s="216">
        <f t="shared" si="32"/>
        <v>0.12208082950394721</v>
      </c>
      <c r="F239" s="216">
        <f t="shared" si="32"/>
        <v>0.11108399430547082</v>
      </c>
      <c r="G239" s="216">
        <f t="shared" si="32"/>
        <v>0.10203187600060534</v>
      </c>
      <c r="H239" s="216">
        <f t="shared" si="32"/>
        <v>0.10129858018790945</v>
      </c>
      <c r="I239" s="216">
        <f t="shared" si="32"/>
        <v>9.8416631636393137E-2</v>
      </c>
      <c r="J239" s="216">
        <f t="shared" si="32"/>
        <v>0.11347116082909701</v>
      </c>
      <c r="K239" s="216">
        <f t="shared" si="32"/>
        <v>0.10609039529034824</v>
      </c>
      <c r="L239" s="216">
        <f t="shared" si="32"/>
        <v>9.9912280701754383E-2</v>
      </c>
      <c r="N239" s="216">
        <f>MEDIAN(C239:L239)</f>
        <v>0.10858719479790953</v>
      </c>
      <c r="O239" s="216">
        <f>AVERAGE(C239:L239)</f>
        <v>0.1096694850819819</v>
      </c>
    </row>
    <row r="240" spans="2:15">
      <c r="C240" s="214"/>
      <c r="D240" s="214"/>
      <c r="E240" s="214"/>
      <c r="F240" s="214"/>
      <c r="G240" s="214"/>
      <c r="H240" s="214"/>
      <c r="I240" s="214"/>
      <c r="J240" s="214"/>
      <c r="K240" s="214"/>
      <c r="L240" s="214"/>
      <c r="N240" s="214"/>
      <c r="O240" s="214"/>
    </row>
    <row r="241" spans="1:28">
      <c r="B241" t="s">
        <v>493</v>
      </c>
      <c r="C241" s="214">
        <v>1632.5</v>
      </c>
      <c r="D241" s="214">
        <v>1271.4000000000001</v>
      </c>
      <c r="E241" s="214">
        <v>2096.6999999999998</v>
      </c>
      <c r="F241" s="214">
        <v>2729.5</v>
      </c>
      <c r="G241" s="214">
        <v>3166.5</v>
      </c>
      <c r="H241" s="214">
        <v>2941.5</v>
      </c>
      <c r="I241" s="214">
        <v>3425.6</v>
      </c>
      <c r="J241" s="214">
        <v>3694.7</v>
      </c>
      <c r="K241" s="214">
        <v>4190.6000000000004</v>
      </c>
      <c r="L241" s="214">
        <v>4607.3999999999996</v>
      </c>
      <c r="N241" s="214">
        <f>MEDIAN(C241:L241)</f>
        <v>3054</v>
      </c>
      <c r="O241" s="214">
        <f>AVERAGE(C241:L241)</f>
        <v>2975.6400000000003</v>
      </c>
    </row>
    <row r="242" spans="1:28">
      <c r="B242" t="s">
        <v>512</v>
      </c>
      <c r="C242" s="216">
        <f>C241/C230</f>
        <v>0.24641509433962264</v>
      </c>
      <c r="D242" s="216">
        <f t="shared" ref="D242:L242" si="33">D241/D230</f>
        <v>0.22344463971880493</v>
      </c>
      <c r="E242" s="216">
        <f t="shared" si="33"/>
        <v>0.24704842700600918</v>
      </c>
      <c r="F242" s="216">
        <f t="shared" si="33"/>
        <v>0.2775574537319504</v>
      </c>
      <c r="G242" s="216">
        <f t="shared" si="33"/>
        <v>0.25221228365020831</v>
      </c>
      <c r="H242" s="216">
        <f t="shared" si="33"/>
        <v>0.22859207796143893</v>
      </c>
      <c r="I242" s="216">
        <f t="shared" si="33"/>
        <v>0.2526309579120482</v>
      </c>
      <c r="J242" s="216">
        <f t="shared" si="33"/>
        <v>0.2461639938437348</v>
      </c>
      <c r="K242" s="216">
        <f t="shared" si="33"/>
        <v>0.2347320013219289</v>
      </c>
      <c r="L242" s="216">
        <f t="shared" si="33"/>
        <v>0.22453216374269003</v>
      </c>
      <c r="N242" s="216">
        <f>MEDIAN(C242:L242)</f>
        <v>0.24628954409167872</v>
      </c>
      <c r="O242" s="216">
        <f>AVERAGE(C242:L242)</f>
        <v>0.24333290932284363</v>
      </c>
    </row>
    <row r="243" spans="1:28">
      <c r="C243" s="214"/>
      <c r="D243" s="214"/>
      <c r="E243" s="214"/>
      <c r="F243" s="214"/>
      <c r="G243" s="214"/>
      <c r="H243" s="214"/>
      <c r="I243" s="214"/>
      <c r="J243" s="214"/>
      <c r="K243" s="214"/>
      <c r="L243" s="214"/>
      <c r="N243" s="216"/>
      <c r="O243" s="216"/>
    </row>
    <row r="244" spans="1:28">
      <c r="B244" t="s">
        <v>16</v>
      </c>
      <c r="C244" s="200">
        <f>SUM(C181:C186,C188:C195)</f>
        <v>170.7</v>
      </c>
      <c r="D244" s="200">
        <f t="shared" ref="D244:L244" si="34">SUM(D181:D186,D188:D195)</f>
        <v>167.60000000000002</v>
      </c>
      <c r="E244" s="200">
        <f>SUM(E181:E186,E188:E195)</f>
        <v>315.10000000000002</v>
      </c>
      <c r="F244" s="200">
        <f t="shared" si="34"/>
        <v>269</v>
      </c>
      <c r="G244" s="200">
        <f t="shared" si="34"/>
        <v>476.29999999999995</v>
      </c>
      <c r="H244" s="200">
        <f t="shared" si="34"/>
        <v>346.70000000000005</v>
      </c>
      <c r="I244" s="200">
        <f t="shared" si="34"/>
        <v>398.6</v>
      </c>
      <c r="J244" s="200">
        <f t="shared" si="34"/>
        <v>363</v>
      </c>
      <c r="K244" s="200">
        <f>SUM(K181:K186,K188:K195)</f>
        <v>386.4</v>
      </c>
      <c r="L244" s="200">
        <f t="shared" si="34"/>
        <v>431.5</v>
      </c>
      <c r="N244" s="214">
        <f>MEDIAN(C244:L244)</f>
        <v>354.85</v>
      </c>
      <c r="O244" s="214">
        <f>AVERAGE(C244:L244)</f>
        <v>332.49</v>
      </c>
    </row>
    <row r="245" spans="1:28">
      <c r="B245" t="s">
        <v>514</v>
      </c>
      <c r="C245" s="216">
        <f>C244/C230</f>
        <v>2.5766037735849054E-2</v>
      </c>
      <c r="D245" s="216">
        <f t="shared" ref="D245:L245" si="35">D244/D230</f>
        <v>2.9455184534270654E-2</v>
      </c>
      <c r="E245" s="216">
        <f t="shared" si="35"/>
        <v>3.7127371273712739E-2</v>
      </c>
      <c r="F245" s="216">
        <f t="shared" si="35"/>
        <v>2.7354077689648159E-2</v>
      </c>
      <c r="G245" s="216">
        <f t="shared" si="35"/>
        <v>3.7937379031294551E-2</v>
      </c>
      <c r="H245" s="216">
        <f t="shared" si="35"/>
        <v>2.6943013234482709E-2</v>
      </c>
      <c r="I245" s="216">
        <f t="shared" si="35"/>
        <v>2.9395930588434847E-2</v>
      </c>
      <c r="J245" s="216">
        <f t="shared" si="35"/>
        <v>2.4185327567942116E-2</v>
      </c>
      <c r="K245" s="216">
        <f t="shared" si="35"/>
        <v>2.1643784973701456E-2</v>
      </c>
      <c r="L245" s="216">
        <f t="shared" si="35"/>
        <v>2.1028265107212476E-2</v>
      </c>
      <c r="N245" s="216">
        <f>MEDIAN(C245:L245)</f>
        <v>2.7148545462065434E-2</v>
      </c>
      <c r="O245" s="216">
        <f>AVERAGE(C245:L245)</f>
        <v>2.8083637173654873E-2</v>
      </c>
    </row>
    <row r="246" spans="1:28" ht="4.1500000000000004" customHeight="1">
      <c r="C246" s="200"/>
      <c r="D246" s="200"/>
      <c r="E246" s="200"/>
      <c r="F246" s="200"/>
      <c r="G246" s="200"/>
      <c r="H246" s="200"/>
      <c r="I246" s="200"/>
      <c r="J246" s="200"/>
      <c r="K246" s="200"/>
      <c r="L246" s="200"/>
    </row>
    <row r="247" spans="1:28" ht="15.75" thickBot="1">
      <c r="B247" s="215" t="s">
        <v>507</v>
      </c>
      <c r="C247" s="225">
        <f>SUM(C232,C235,C238,C241,C244)</f>
        <v>4605.8</v>
      </c>
      <c r="D247" s="225">
        <f t="shared" ref="D247:L247" si="36">SUM(D232,D235,D238,D241,D244)</f>
        <v>3651.2</v>
      </c>
      <c r="E247" s="225">
        <f t="shared" si="36"/>
        <v>5429.4</v>
      </c>
      <c r="F247" s="225">
        <f t="shared" si="36"/>
        <v>6658.6</v>
      </c>
      <c r="G247" s="225">
        <f t="shared" si="36"/>
        <v>8783.5999999999985</v>
      </c>
      <c r="H247" s="225">
        <f t="shared" si="36"/>
        <v>8148.4</v>
      </c>
      <c r="I247" s="225">
        <f t="shared" si="36"/>
        <v>8425.8000000000011</v>
      </c>
      <c r="J247" s="225">
        <f t="shared" si="36"/>
        <v>10294.5</v>
      </c>
      <c r="K247" s="225">
        <f t="shared" si="36"/>
        <v>13529.5</v>
      </c>
      <c r="L247" s="225">
        <f t="shared" si="36"/>
        <v>14498.699999999999</v>
      </c>
      <c r="N247" s="2"/>
      <c r="O247" s="154"/>
    </row>
    <row r="248" spans="1:28">
      <c r="C248" s="226"/>
      <c r="D248" s="226"/>
      <c r="E248" s="226"/>
      <c r="F248" s="226"/>
      <c r="G248" s="226"/>
      <c r="H248" s="226"/>
      <c r="I248" s="226"/>
      <c r="J248" s="226"/>
      <c r="K248" s="226"/>
      <c r="L248" s="226"/>
      <c r="N248" s="2"/>
      <c r="O248" s="154"/>
    </row>
    <row r="249" spans="1:28">
      <c r="B249" s="1" t="s">
        <v>515</v>
      </c>
      <c r="C249" s="144">
        <f>C247/C230</f>
        <v>0.6952150943396227</v>
      </c>
      <c r="D249" s="144">
        <f t="shared" ref="D249:L249" si="37">D247/D230</f>
        <v>0.64168717047451662</v>
      </c>
      <c r="E249" s="144">
        <f t="shared" si="37"/>
        <v>0.63973135383527746</v>
      </c>
      <c r="F249" s="144">
        <f t="shared" si="37"/>
        <v>0.67709985763677039</v>
      </c>
      <c r="G249" s="144">
        <f t="shared" si="37"/>
        <v>0.69961528964786646</v>
      </c>
      <c r="H249" s="144">
        <f t="shared" si="37"/>
        <v>0.63323463813054193</v>
      </c>
      <c r="I249" s="144">
        <f t="shared" si="37"/>
        <v>0.62138542888116999</v>
      </c>
      <c r="J249" s="144">
        <f t="shared" si="37"/>
        <v>0.68588389710242459</v>
      </c>
      <c r="K249" s="144">
        <f t="shared" si="37"/>
        <v>0.75784055072902134</v>
      </c>
      <c r="L249" s="144">
        <f t="shared" si="37"/>
        <v>0.70656432748538012</v>
      </c>
      <c r="N249" s="154"/>
      <c r="O249" s="154">
        <f>AVERAGE(C249:L249)</f>
        <v>0.67582576082625923</v>
      </c>
      <c r="S249" t="s">
        <v>232</v>
      </c>
      <c r="T249" t="s">
        <v>233</v>
      </c>
      <c r="U249" t="s">
        <v>234</v>
      </c>
      <c r="V249" t="s">
        <v>235</v>
      </c>
      <c r="W249" t="s">
        <v>236</v>
      </c>
      <c r="X249" t="s">
        <v>237</v>
      </c>
      <c r="Y249" t="s">
        <v>238</v>
      </c>
      <c r="Z249" t="s">
        <v>504</v>
      </c>
    </row>
    <row r="250" spans="1:28">
      <c r="S250">
        <v>4605.8</v>
      </c>
      <c r="T250">
        <v>3651.2</v>
      </c>
      <c r="U250">
        <v>5429.4</v>
      </c>
      <c r="V250">
        <v>6658.6</v>
      </c>
      <c r="W250">
        <v>8783.5999999999985</v>
      </c>
      <c r="X250">
        <v>8148.4</v>
      </c>
      <c r="Y250">
        <v>8425.8000000000011</v>
      </c>
      <c r="Z250">
        <v>10294.5</v>
      </c>
      <c r="AA250">
        <v>13529.5</v>
      </c>
      <c r="AB250">
        <v>14498.699999999999</v>
      </c>
    </row>
    <row r="251" spans="1:28">
      <c r="C251" s="214"/>
      <c r="D251" s="214"/>
      <c r="E251" s="214"/>
      <c r="F251" s="214"/>
      <c r="G251" s="214"/>
      <c r="H251" s="214"/>
      <c r="I251" s="214"/>
      <c r="J251" s="214"/>
      <c r="K251" s="214"/>
      <c r="L251" s="214"/>
    </row>
    <row r="253" spans="1:28">
      <c r="S253" s="515">
        <v>2017</v>
      </c>
      <c r="T253" s="515">
        <f>S253+1</f>
        <v>2018</v>
      </c>
      <c r="U253" s="515">
        <f t="shared" ref="U253:Z253" si="38">T253+1</f>
        <v>2019</v>
      </c>
      <c r="V253" s="515">
        <f t="shared" si="38"/>
        <v>2020</v>
      </c>
      <c r="W253" s="515">
        <f t="shared" si="38"/>
        <v>2021</v>
      </c>
      <c r="X253" s="515">
        <f t="shared" si="38"/>
        <v>2022</v>
      </c>
      <c r="Y253" s="515">
        <f t="shared" si="38"/>
        <v>2023</v>
      </c>
      <c r="Z253" s="515">
        <f t="shared" si="38"/>
        <v>2024</v>
      </c>
    </row>
    <row r="254" spans="1:28">
      <c r="A254" s="260" t="s">
        <v>21</v>
      </c>
      <c r="B254" s="1" t="s">
        <v>530</v>
      </c>
      <c r="R254" t="s">
        <v>507</v>
      </c>
      <c r="S254">
        <v>5429.4</v>
      </c>
      <c r="T254">
        <v>6658.6</v>
      </c>
      <c r="U254">
        <v>8783.5999999999985</v>
      </c>
      <c r="V254">
        <v>8148.4</v>
      </c>
      <c r="W254">
        <v>8425.8000000000011</v>
      </c>
      <c r="X254">
        <v>10294.5</v>
      </c>
      <c r="Y254">
        <v>13529.5</v>
      </c>
      <c r="Z254">
        <v>14498.699999999999</v>
      </c>
    </row>
    <row r="255" spans="1:28">
      <c r="R255" t="s">
        <v>515</v>
      </c>
      <c r="S255" s="285">
        <v>0.63973135383527746</v>
      </c>
      <c r="T255" s="285">
        <v>0.67709985763677039</v>
      </c>
      <c r="U255" s="285">
        <v>0.69961528964786646</v>
      </c>
      <c r="V255" s="285">
        <v>0.63323463813054193</v>
      </c>
      <c r="W255" s="285">
        <v>0.62138542888116999</v>
      </c>
      <c r="X255" s="285">
        <v>0.68588389710242459</v>
      </c>
      <c r="Y255" s="285">
        <v>0.75784055072902134</v>
      </c>
      <c r="Z255" s="285">
        <v>0.70656432748538012</v>
      </c>
    </row>
    <row r="256" spans="1:28">
      <c r="S256" s="285"/>
      <c r="T256" s="285"/>
      <c r="U256" s="285"/>
      <c r="V256" s="285"/>
      <c r="W256" s="285"/>
      <c r="X256" s="285"/>
      <c r="Y256" s="285"/>
      <c r="Z256" s="285"/>
    </row>
    <row r="257" spans="2:26">
      <c r="S257" s="285"/>
      <c r="T257" s="285"/>
      <c r="U257" s="285"/>
      <c r="V257" s="285"/>
      <c r="W257" s="285"/>
      <c r="X257" s="285"/>
      <c r="Y257" s="285"/>
      <c r="Z257" s="285"/>
    </row>
    <row r="258" spans="2:26">
      <c r="B258" s="162" t="s">
        <v>202</v>
      </c>
      <c r="C258" s="163">
        <v>2015</v>
      </c>
      <c r="D258" s="163">
        <f>C258+1</f>
        <v>2016</v>
      </c>
      <c r="E258" s="163">
        <f t="shared" ref="E258:K258" si="39">D258+1</f>
        <v>2017</v>
      </c>
      <c r="F258" s="163">
        <f t="shared" si="39"/>
        <v>2018</v>
      </c>
      <c r="G258" s="163">
        <f t="shared" si="39"/>
        <v>2019</v>
      </c>
      <c r="H258" s="163">
        <f t="shared" si="39"/>
        <v>2020</v>
      </c>
      <c r="I258" s="163">
        <f t="shared" si="39"/>
        <v>2021</v>
      </c>
      <c r="J258" s="163">
        <f t="shared" si="39"/>
        <v>2022</v>
      </c>
      <c r="K258" s="163">
        <f t="shared" si="39"/>
        <v>2023</v>
      </c>
      <c r="L258" s="163">
        <f>K258+1</f>
        <v>2024</v>
      </c>
      <c r="P258" s="192" t="s">
        <v>204</v>
      </c>
      <c r="Q258" s="192" t="s">
        <v>207</v>
      </c>
      <c r="R258" s="192" t="s">
        <v>205</v>
      </c>
    </row>
    <row r="259" spans="2:26">
      <c r="B259" t="s">
        <v>532</v>
      </c>
      <c r="C259" s="214">
        <v>163.63</v>
      </c>
      <c r="D259" s="214">
        <v>80.08</v>
      </c>
      <c r="E259" s="214">
        <v>654.12</v>
      </c>
      <c r="F259" s="214">
        <v>2311.04</v>
      </c>
      <c r="G259" s="214">
        <v>32.74</v>
      </c>
      <c r="H259" s="214">
        <v>3086.32</v>
      </c>
      <c r="I259" s="214">
        <v>3801.47</v>
      </c>
      <c r="J259" s="214">
        <v>3526.3</v>
      </c>
      <c r="K259" s="214">
        <v>3397.89</v>
      </c>
      <c r="L259" s="214">
        <v>5264</v>
      </c>
      <c r="P259" s="244">
        <f t="shared" ref="P259:P264" si="40">_xlfn.RRI(3,H259,K259)</f>
        <v>3.257780886745687E-2</v>
      </c>
      <c r="Q259" s="244">
        <f t="shared" ref="Q259:Q264" si="41">_xlfn.RRI(5,F259,K259)</f>
        <v>8.0140799142418562E-2</v>
      </c>
      <c r="R259" s="244">
        <f t="shared" ref="R259:R264" si="42">_xlfn.RRI(7,D259,K259)</f>
        <v>0.70815180577106607</v>
      </c>
    </row>
    <row r="260" spans="2:26">
      <c r="B260" t="s">
        <v>315</v>
      </c>
      <c r="C260" s="214">
        <v>918.86</v>
      </c>
      <c r="D260" s="214">
        <v>815.19</v>
      </c>
      <c r="E260" s="214">
        <v>1314.5</v>
      </c>
      <c r="F260" s="214">
        <v>1569.02</v>
      </c>
      <c r="G260" s="214">
        <v>1870.31</v>
      </c>
      <c r="H260" s="214">
        <v>1713.49</v>
      </c>
      <c r="I260" s="214">
        <v>1715.72</v>
      </c>
      <c r="J260" s="214">
        <v>2497.02</v>
      </c>
      <c r="K260" s="214">
        <v>2759.68</v>
      </c>
      <c r="L260" s="214">
        <v>3555.07</v>
      </c>
      <c r="P260" s="244">
        <f t="shared" si="40"/>
        <v>0.17217480949354735</v>
      </c>
      <c r="Q260" s="244">
        <f t="shared" si="41"/>
        <v>0.11955658656936441</v>
      </c>
      <c r="R260" s="244">
        <f t="shared" si="42"/>
        <v>0.19030189797118768</v>
      </c>
    </row>
    <row r="261" spans="2:26">
      <c r="B261" t="s">
        <v>318</v>
      </c>
      <c r="C261" s="214">
        <v>476.39</v>
      </c>
      <c r="D261" s="214">
        <v>328.62</v>
      </c>
      <c r="E261" s="214">
        <v>335.12</v>
      </c>
      <c r="F261" s="214">
        <v>459.25</v>
      </c>
      <c r="G261" s="214">
        <v>1023.71</v>
      </c>
      <c r="H261" s="214">
        <v>1080.45</v>
      </c>
      <c r="I261" s="214">
        <v>679.43</v>
      </c>
      <c r="J261" s="214">
        <v>788.29</v>
      </c>
      <c r="K261" s="214">
        <v>1211.57</v>
      </c>
      <c r="L261" s="214">
        <v>1286</v>
      </c>
      <c r="P261" s="244">
        <f t="shared" si="40"/>
        <v>3.8918019846622576E-2</v>
      </c>
      <c r="Q261" s="244">
        <f t="shared" si="41"/>
        <v>0.21411512444513381</v>
      </c>
      <c r="R261" s="244">
        <f t="shared" si="42"/>
        <v>0.20489900484701273</v>
      </c>
    </row>
    <row r="262" spans="2:26">
      <c r="B262" t="s">
        <v>322</v>
      </c>
      <c r="C262" s="214">
        <v>307.54000000000002</v>
      </c>
      <c r="D262" s="214">
        <v>83.05</v>
      </c>
      <c r="E262" s="214">
        <v>111.1</v>
      </c>
      <c r="F262" s="214">
        <v>120.97</v>
      </c>
      <c r="G262" s="214">
        <v>439.29</v>
      </c>
      <c r="H262" s="214">
        <v>614.21</v>
      </c>
      <c r="I262" s="214">
        <v>708.35</v>
      </c>
      <c r="J262" s="214">
        <v>289.64999999999998</v>
      </c>
      <c r="K262" s="214">
        <v>160.93</v>
      </c>
      <c r="L262" s="214">
        <v>421.81</v>
      </c>
      <c r="P262" s="244">
        <f t="shared" si="40"/>
        <v>-0.36010795750700053</v>
      </c>
      <c r="Q262" s="244">
        <f t="shared" si="41"/>
        <v>5.8746203739679759E-2</v>
      </c>
      <c r="R262" s="244">
        <f t="shared" si="42"/>
        <v>9.911334788464643E-2</v>
      </c>
    </row>
    <row r="263" spans="2:26">
      <c r="B263" t="s">
        <v>531</v>
      </c>
      <c r="C263" s="214">
        <v>333.63</v>
      </c>
      <c r="D263" s="214">
        <v>198.48</v>
      </c>
      <c r="E263" s="214">
        <v>86.12</v>
      </c>
      <c r="F263" s="214">
        <v>118.92</v>
      </c>
      <c r="G263" s="214">
        <v>170.77</v>
      </c>
      <c r="H263" s="214">
        <v>151.16</v>
      </c>
      <c r="I263" s="214">
        <v>118.64</v>
      </c>
      <c r="J263" s="214">
        <v>150.79</v>
      </c>
      <c r="K263" s="214">
        <v>172.87</v>
      </c>
      <c r="L263" s="214">
        <v>171.37</v>
      </c>
      <c r="P263" s="244">
        <f t="shared" si="40"/>
        <v>4.5749300892967026E-2</v>
      </c>
      <c r="Q263" s="244">
        <f t="shared" si="41"/>
        <v>7.7687750004934886E-2</v>
      </c>
      <c r="R263" s="244">
        <f t="shared" si="42"/>
        <v>-1.9542025994696233E-2</v>
      </c>
    </row>
    <row r="264" spans="2:26">
      <c r="B264" t="s">
        <v>56</v>
      </c>
      <c r="C264" s="214">
        <v>32.200000000000003</v>
      </c>
      <c r="D264" s="214">
        <v>303.27</v>
      </c>
      <c r="E264" s="214">
        <v>781.23</v>
      </c>
      <c r="F264" s="214">
        <v>1121.05</v>
      </c>
      <c r="G264" s="214">
        <v>1182.4000000000001</v>
      </c>
      <c r="H264" s="214">
        <v>1248.19</v>
      </c>
      <c r="I264" s="214">
        <v>1163.72</v>
      </c>
      <c r="J264" s="214">
        <v>1218.28</v>
      </c>
      <c r="K264" s="214">
        <v>1264.99</v>
      </c>
      <c r="L264" s="214">
        <v>1513.39</v>
      </c>
      <c r="P264" s="244">
        <f t="shared" si="40"/>
        <v>4.4665169710016439E-3</v>
      </c>
      <c r="Q264" s="244">
        <f t="shared" si="41"/>
        <v>2.4453904150779193E-2</v>
      </c>
      <c r="R264" s="244">
        <f t="shared" si="42"/>
        <v>0.22633248996251298</v>
      </c>
    </row>
    <row r="265" spans="2:26" ht="7.15" customHeight="1">
      <c r="P265" s="245"/>
      <c r="Q265" s="245"/>
      <c r="R265" s="245"/>
    </row>
    <row r="266" spans="2:26" ht="15.75" thickBot="1">
      <c r="B266" s="243" t="s">
        <v>97</v>
      </c>
      <c r="C266" s="243">
        <f>SUM(C259:C264)</f>
        <v>2232.25</v>
      </c>
      <c r="D266" s="243">
        <f t="shared" ref="D266:L266" si="43">SUM(D259:D264)</f>
        <v>1808.69</v>
      </c>
      <c r="E266" s="243">
        <f t="shared" si="43"/>
        <v>3282.1899999999996</v>
      </c>
      <c r="F266" s="243">
        <f t="shared" si="43"/>
        <v>5700.25</v>
      </c>
      <c r="G266" s="243">
        <f t="shared" si="43"/>
        <v>4719.22</v>
      </c>
      <c r="H266" s="243">
        <f t="shared" si="43"/>
        <v>7893.82</v>
      </c>
      <c r="I266" s="243">
        <f t="shared" si="43"/>
        <v>8187.3300000000008</v>
      </c>
      <c r="J266" s="243">
        <f t="shared" si="43"/>
        <v>8470.33</v>
      </c>
      <c r="K266" s="243">
        <f t="shared" si="43"/>
        <v>8967.93</v>
      </c>
      <c r="L266" s="243">
        <f t="shared" si="43"/>
        <v>12211.64</v>
      </c>
      <c r="P266" s="244">
        <f>_xlfn.RRI(3,H266,K266)</f>
        <v>4.3442039619887574E-2</v>
      </c>
      <c r="Q266" s="244">
        <f>_xlfn.RRI(5,F266,K266)</f>
        <v>9.4862702252458631E-2</v>
      </c>
      <c r="R266" s="244">
        <f>_xlfn.RRI(7,D266,K266)</f>
        <v>0.25699219703845566</v>
      </c>
    </row>
    <row r="267" spans="2:26">
      <c r="P267" s="245"/>
      <c r="Q267" s="245"/>
      <c r="R267" s="245"/>
    </row>
    <row r="268" spans="2:26">
      <c r="B268" t="s">
        <v>100</v>
      </c>
      <c r="C268" s="226">
        <v>7802.6</v>
      </c>
      <c r="D268" s="226">
        <v>9091.4</v>
      </c>
      <c r="E268" s="226">
        <v>10658.29</v>
      </c>
      <c r="F268" s="226">
        <v>14628.62</v>
      </c>
      <c r="G268" s="226">
        <v>14880.41</v>
      </c>
      <c r="H268" s="226">
        <v>19200.37</v>
      </c>
      <c r="I268" s="226">
        <v>20727.09</v>
      </c>
      <c r="J268" s="226">
        <v>23074.49</v>
      </c>
      <c r="K268" s="226">
        <v>25651.66</v>
      </c>
      <c r="P268" s="244">
        <f>_xlfn.RRI(3,H268,K268)</f>
        <v>0.10137519809184581</v>
      </c>
      <c r="Q268" s="244">
        <f>_xlfn.RRI(5,F268,K268)</f>
        <v>0.11887719791343221</v>
      </c>
      <c r="R268" s="244">
        <f>_xlfn.RRI(7,D268,K268)</f>
        <v>0.15972483744095856</v>
      </c>
    </row>
    <row r="270" spans="2:26">
      <c r="B270" t="s">
        <v>533</v>
      </c>
      <c r="C270" s="154">
        <f>C266/C268</f>
        <v>0.28609053392458922</v>
      </c>
      <c r="D270" s="154">
        <f t="shared" ref="D270:K270" si="44">D266/D268</f>
        <v>0.19894515696152409</v>
      </c>
      <c r="E270" s="154">
        <f t="shared" si="44"/>
        <v>0.30794714724407002</v>
      </c>
      <c r="F270" s="154">
        <f t="shared" si="44"/>
        <v>0.38966423353672458</v>
      </c>
      <c r="G270" s="154">
        <f t="shared" si="44"/>
        <v>0.31714314323328457</v>
      </c>
      <c r="H270" s="154">
        <f t="shared" si="44"/>
        <v>0.41112853554384632</v>
      </c>
      <c r="I270" s="154">
        <f t="shared" si="44"/>
        <v>0.39500624544979546</v>
      </c>
      <c r="J270" s="154">
        <f t="shared" si="44"/>
        <v>0.36708633646940841</v>
      </c>
      <c r="K270" s="154">
        <f t="shared" si="44"/>
        <v>0.34960427512293551</v>
      </c>
    </row>
    <row r="273" spans="1:12">
      <c r="B273" s="162" t="s">
        <v>202</v>
      </c>
      <c r="C273" s="163">
        <v>2015</v>
      </c>
      <c r="D273" s="163">
        <f>C273+1</f>
        <v>2016</v>
      </c>
      <c r="E273" s="163">
        <f t="shared" ref="E273:K273" si="45">D273+1</f>
        <v>2017</v>
      </c>
      <c r="F273" s="163">
        <f t="shared" si="45"/>
        <v>2018</v>
      </c>
      <c r="G273" s="163">
        <f t="shared" si="45"/>
        <v>2019</v>
      </c>
      <c r="H273" s="163">
        <f t="shared" si="45"/>
        <v>2020</v>
      </c>
      <c r="I273" s="163">
        <f t="shared" si="45"/>
        <v>2021</v>
      </c>
      <c r="J273" s="163">
        <f t="shared" si="45"/>
        <v>2022</v>
      </c>
      <c r="K273" s="163">
        <f t="shared" si="45"/>
        <v>2023</v>
      </c>
    </row>
    <row r="274" spans="1:12">
      <c r="B274" t="s">
        <v>532</v>
      </c>
      <c r="C274" s="216">
        <f>C259/C$266</f>
        <v>7.3302721469369475E-2</v>
      </c>
      <c r="D274" s="216">
        <f t="shared" ref="D274:K274" si="46">D259/D$266</f>
        <v>4.427513835980737E-2</v>
      </c>
      <c r="E274" s="216">
        <f t="shared" si="46"/>
        <v>0.19929376422449646</v>
      </c>
      <c r="F274" s="216">
        <f t="shared" si="46"/>
        <v>0.40542783211262662</v>
      </c>
      <c r="G274" s="216">
        <f t="shared" si="46"/>
        <v>6.9375871436381433E-3</v>
      </c>
      <c r="H274" s="216">
        <f t="shared" si="46"/>
        <v>0.39097927239283392</v>
      </c>
      <c r="I274" s="216">
        <f t="shared" si="46"/>
        <v>0.46431132005183612</v>
      </c>
      <c r="J274" s="216">
        <f t="shared" si="46"/>
        <v>0.41631199728936186</v>
      </c>
      <c r="K274" s="216">
        <f t="shared" si="46"/>
        <v>0.37889345701850924</v>
      </c>
    </row>
    <row r="275" spans="1:12">
      <c r="B275" t="s">
        <v>315</v>
      </c>
      <c r="C275" s="216">
        <f t="shared" ref="C275:K275" si="47">C260/C$266</f>
        <v>0.41162952178295442</v>
      </c>
      <c r="D275" s="216">
        <f t="shared" si="47"/>
        <v>0.45070741807606612</v>
      </c>
      <c r="E275" s="216">
        <f t="shared" si="47"/>
        <v>0.40049479158732437</v>
      </c>
      <c r="F275" s="216">
        <f t="shared" si="47"/>
        <v>0.27525459409675013</v>
      </c>
      <c r="G275" s="216">
        <f t="shared" si="47"/>
        <v>0.3963176118087311</v>
      </c>
      <c r="H275" s="216">
        <f t="shared" si="47"/>
        <v>0.21706727541291795</v>
      </c>
      <c r="I275" s="216">
        <f t="shared" si="47"/>
        <v>0.20955793891293009</v>
      </c>
      <c r="J275" s="216">
        <f t="shared" si="47"/>
        <v>0.29479607051909429</v>
      </c>
      <c r="K275" s="216">
        <f t="shared" si="47"/>
        <v>0.30772764729430313</v>
      </c>
    </row>
    <row r="276" spans="1:12">
      <c r="B276" t="s">
        <v>318</v>
      </c>
      <c r="C276" s="216">
        <f t="shared" ref="C276:K276" si="48">C261/C$266</f>
        <v>0.21341247620114234</v>
      </c>
      <c r="D276" s="216">
        <f t="shared" si="48"/>
        <v>0.18168951008741133</v>
      </c>
      <c r="E276" s="216">
        <f t="shared" si="48"/>
        <v>0.10210255957150563</v>
      </c>
      <c r="F276" s="216">
        <f t="shared" si="48"/>
        <v>8.0566641813955522E-2</v>
      </c>
      <c r="G276" s="216">
        <f t="shared" si="48"/>
        <v>0.21692355940176555</v>
      </c>
      <c r="H276" s="216">
        <f t="shared" si="48"/>
        <v>0.13687289550559806</v>
      </c>
      <c r="I276" s="216">
        <f t="shared" si="48"/>
        <v>8.2985539852430512E-2</v>
      </c>
      <c r="J276" s="216">
        <f t="shared" si="48"/>
        <v>9.3064851074279281E-2</v>
      </c>
      <c r="K276" s="216">
        <f t="shared" si="48"/>
        <v>0.13510029627795933</v>
      </c>
    </row>
    <row r="277" spans="1:12">
      <c r="B277" t="s">
        <v>322</v>
      </c>
      <c r="C277" s="216">
        <f t="shared" ref="C277:K277" si="49">C262/C$266</f>
        <v>0.13777130697726511</v>
      </c>
      <c r="D277" s="216">
        <f t="shared" si="49"/>
        <v>4.5917210798976052E-2</v>
      </c>
      <c r="E277" s="216">
        <f t="shared" si="49"/>
        <v>3.3849350586041639E-2</v>
      </c>
      <c r="F277" s="216">
        <f t="shared" si="49"/>
        <v>2.122187623349853E-2</v>
      </c>
      <c r="G277" s="216">
        <f t="shared" si="49"/>
        <v>9.3085297994160057E-2</v>
      </c>
      <c r="H277" s="216">
        <f t="shared" si="49"/>
        <v>7.780896954833022E-2</v>
      </c>
      <c r="I277" s="216">
        <f t="shared" si="49"/>
        <v>8.6517826935032544E-2</v>
      </c>
      <c r="J277" s="216">
        <f t="shared" si="49"/>
        <v>3.4195834164666546E-2</v>
      </c>
      <c r="K277" s="216">
        <f t="shared" si="49"/>
        <v>1.7945055324918906E-2</v>
      </c>
    </row>
    <row r="278" spans="1:12">
      <c r="B278" t="s">
        <v>531</v>
      </c>
      <c r="C278" s="216">
        <f t="shared" ref="C278:K278" si="50">C263/C$266</f>
        <v>0.14945906596483369</v>
      </c>
      <c r="D278" s="216">
        <f t="shared" si="50"/>
        <v>0.1097368813892928</v>
      </c>
      <c r="E278" s="216">
        <f t="shared" si="50"/>
        <v>2.6238578510080164E-2</v>
      </c>
      <c r="F278" s="216">
        <f t="shared" si="50"/>
        <v>2.0862242884084031E-2</v>
      </c>
      <c r="G278" s="216">
        <f t="shared" si="50"/>
        <v>3.6186064646276293E-2</v>
      </c>
      <c r="H278" s="216">
        <f t="shared" si="50"/>
        <v>1.914915718878819E-2</v>
      </c>
      <c r="I278" s="216">
        <f t="shared" si="50"/>
        <v>1.449068255463014E-2</v>
      </c>
      <c r="J278" s="216">
        <f t="shared" si="50"/>
        <v>1.7802139940238455E-2</v>
      </c>
      <c r="K278" s="216">
        <f t="shared" si="50"/>
        <v>1.9276466252524271E-2</v>
      </c>
    </row>
    <row r="279" spans="1:12">
      <c r="B279" t="s">
        <v>56</v>
      </c>
      <c r="C279" s="216">
        <f t="shared" ref="C279:K279" si="51">C264/C$266</f>
        <v>1.4424907604434989E-2</v>
      </c>
      <c r="D279" s="216">
        <f t="shared" si="51"/>
        <v>0.16767384128844631</v>
      </c>
      <c r="E279" s="216">
        <f t="shared" si="51"/>
        <v>0.23802095552055186</v>
      </c>
      <c r="F279" s="216">
        <f t="shared" si="51"/>
        <v>0.19666681285908513</v>
      </c>
      <c r="G279" s="216">
        <f t="shared" si="51"/>
        <v>0.25054987900542885</v>
      </c>
      <c r="H279" s="216">
        <f t="shared" si="51"/>
        <v>0.15812242995153172</v>
      </c>
      <c r="I279" s="216">
        <f t="shared" si="51"/>
        <v>0.1421366916931405</v>
      </c>
      <c r="J279" s="216">
        <f t="shared" si="51"/>
        <v>0.1438291070123596</v>
      </c>
      <c r="K279" s="216">
        <f t="shared" si="51"/>
        <v>0.14105707783178503</v>
      </c>
    </row>
    <row r="280" spans="1:12">
      <c r="C280" s="154"/>
      <c r="D280" s="154"/>
      <c r="E280" s="154"/>
      <c r="F280" s="154"/>
      <c r="G280" s="154"/>
      <c r="H280" s="154"/>
      <c r="I280" s="154"/>
      <c r="J280" s="154"/>
      <c r="K280" s="154"/>
    </row>
    <row r="281" spans="1:12" ht="15.75" thickBot="1">
      <c r="B281" s="243" t="s">
        <v>97</v>
      </c>
      <c r="C281" s="246">
        <f>SUM(C274:C279)</f>
        <v>1</v>
      </c>
      <c r="D281" s="246">
        <f t="shared" ref="D281:K281" si="52">SUM(D274:D279)</f>
        <v>1</v>
      </c>
      <c r="E281" s="246">
        <f t="shared" si="52"/>
        <v>1</v>
      </c>
      <c r="F281" s="246">
        <f t="shared" si="52"/>
        <v>1</v>
      </c>
      <c r="G281" s="246">
        <f t="shared" si="52"/>
        <v>1</v>
      </c>
      <c r="H281" s="246">
        <f t="shared" si="52"/>
        <v>1</v>
      </c>
      <c r="I281" s="246">
        <f t="shared" si="52"/>
        <v>0.99999999999999989</v>
      </c>
      <c r="J281" s="246">
        <f t="shared" si="52"/>
        <v>1</v>
      </c>
      <c r="K281" s="246">
        <f t="shared" si="52"/>
        <v>0.99999999999999978</v>
      </c>
    </row>
    <row r="284" spans="1:12">
      <c r="A284" s="260" t="s">
        <v>21</v>
      </c>
      <c r="B284" s="1" t="s">
        <v>10</v>
      </c>
    </row>
    <row r="286" spans="1:12">
      <c r="B286" s="162" t="s">
        <v>202</v>
      </c>
      <c r="C286" s="163">
        <v>2015</v>
      </c>
      <c r="D286" s="163">
        <f>C286+1</f>
        <v>2016</v>
      </c>
      <c r="E286" s="163">
        <f t="shared" ref="E286:K286" si="53">D286+1</f>
        <v>2017</v>
      </c>
      <c r="F286" s="163">
        <f t="shared" si="53"/>
        <v>2018</v>
      </c>
      <c r="G286" s="163">
        <f t="shared" si="53"/>
        <v>2019</v>
      </c>
      <c r="H286" s="163">
        <f t="shared" si="53"/>
        <v>2020</v>
      </c>
      <c r="I286" s="163">
        <f t="shared" si="53"/>
        <v>2021</v>
      </c>
      <c r="J286" s="163">
        <f t="shared" si="53"/>
        <v>2022</v>
      </c>
      <c r="K286" s="163">
        <f t="shared" si="53"/>
        <v>2023</v>
      </c>
      <c r="L286" s="163">
        <f>K286+1</f>
        <v>2024</v>
      </c>
    </row>
    <row r="288" spans="1:12">
      <c r="B288" s="1" t="s">
        <v>40</v>
      </c>
      <c r="C288" s="218">
        <f>'Income Statement'!D8</f>
        <v>6625</v>
      </c>
      <c r="D288" s="218">
        <f>'Income Statement'!E8</f>
        <v>5690</v>
      </c>
      <c r="E288" s="218">
        <f>'Income Statement'!F8</f>
        <v>8487</v>
      </c>
      <c r="F288" s="218">
        <f>'Income Statement'!G8</f>
        <v>9834</v>
      </c>
      <c r="G288" s="218">
        <f>'Income Statement'!H8</f>
        <v>12554.9</v>
      </c>
      <c r="H288" s="218">
        <f>'Income Statement'!I8</f>
        <v>12867.9</v>
      </c>
      <c r="I288" s="218">
        <f>'Income Statement'!J8</f>
        <v>13559.7</v>
      </c>
      <c r="J288" s="218">
        <f>'Income Statement'!K8</f>
        <v>15009.099999999999</v>
      </c>
      <c r="K288" s="218">
        <f>'Income Statement'!L8</f>
        <v>17852.7</v>
      </c>
      <c r="L288" s="218">
        <f>'Income Statement'!M8</f>
        <v>20520.400000000001</v>
      </c>
    </row>
    <row r="289" spans="2:12">
      <c r="B289" t="s">
        <v>534</v>
      </c>
      <c r="D289" s="154">
        <f>D288/C288-1</f>
        <v>-0.14113207547169815</v>
      </c>
      <c r="E289" s="154">
        <f t="shared" ref="E289:K289" si="54">E288/D288-1</f>
        <v>0.49156414762741663</v>
      </c>
      <c r="F289" s="154">
        <f t="shared" si="54"/>
        <v>0.1587133262636975</v>
      </c>
      <c r="G289" s="154">
        <f t="shared" si="54"/>
        <v>0.27668293675005073</v>
      </c>
      <c r="H289" s="154">
        <f t="shared" si="54"/>
        <v>2.4930505221069099E-2</v>
      </c>
      <c r="I289" s="154">
        <f t="shared" si="54"/>
        <v>5.3761686055999958E-2</v>
      </c>
      <c r="J289" s="154">
        <f t="shared" si="54"/>
        <v>0.10689027043371158</v>
      </c>
      <c r="K289" s="154">
        <f t="shared" si="54"/>
        <v>0.18945839524022112</v>
      </c>
      <c r="L289" s="154">
        <f>L288/K288-1</f>
        <v>0.14942837778039175</v>
      </c>
    </row>
    <row r="290" spans="2:12">
      <c r="D290" s="154"/>
      <c r="E290" s="154"/>
      <c r="F290" s="154"/>
      <c r="G290" s="154"/>
      <c r="H290" s="154"/>
      <c r="I290" s="154"/>
      <c r="J290" s="154"/>
      <c r="K290" s="154"/>
    </row>
    <row r="291" spans="2:12">
      <c r="B291" t="s">
        <v>1270</v>
      </c>
      <c r="C291" s="154">
        <f>C260/$C$288</f>
        <v>0.13869584905660379</v>
      </c>
      <c r="D291" s="154">
        <f t="shared" ref="D291:L291" si="55">D260/$C$288</f>
        <v>0.12304754716981132</v>
      </c>
      <c r="E291" s="154">
        <f t="shared" si="55"/>
        <v>0.19841509433962265</v>
      </c>
      <c r="F291" s="154">
        <f t="shared" si="55"/>
        <v>0.2368332075471698</v>
      </c>
      <c r="G291" s="154">
        <f t="shared" si="55"/>
        <v>0.28231094339622642</v>
      </c>
      <c r="H291" s="154">
        <f t="shared" si="55"/>
        <v>0.25863999999999998</v>
      </c>
      <c r="I291" s="154">
        <f t="shared" si="55"/>
        <v>0.25897660377358489</v>
      </c>
      <c r="J291" s="154">
        <f t="shared" si="55"/>
        <v>0.37690867924528304</v>
      </c>
      <c r="K291" s="154">
        <f t="shared" si="55"/>
        <v>0.41655547169811319</v>
      </c>
      <c r="L291" s="154">
        <f t="shared" si="55"/>
        <v>0.53661433962264149</v>
      </c>
    </row>
    <row r="293" spans="2:12">
      <c r="B293" s="1" t="s">
        <v>315</v>
      </c>
      <c r="C293" s="218">
        <v>918.86</v>
      </c>
      <c r="D293" s="218">
        <v>815.19</v>
      </c>
      <c r="E293" s="218">
        <v>1314.5</v>
      </c>
      <c r="F293" s="218">
        <v>1569.02</v>
      </c>
      <c r="G293" s="218">
        <v>1870.31</v>
      </c>
      <c r="H293" s="218">
        <v>1713.49</v>
      </c>
      <c r="I293" s="218">
        <v>1715.72</v>
      </c>
      <c r="J293" s="218">
        <v>2497.02</v>
      </c>
      <c r="K293" s="218">
        <v>2759.68</v>
      </c>
      <c r="L293" s="218">
        <v>3555.07</v>
      </c>
    </row>
    <row r="294" spans="2:12">
      <c r="B294" t="s">
        <v>535</v>
      </c>
      <c r="D294" s="154">
        <f>D293/C293-1</f>
        <v>-0.11282458698822451</v>
      </c>
      <c r="E294" s="154">
        <f t="shared" ref="E294:K294" si="56">E293/D293-1</f>
        <v>0.61250751358578981</v>
      </c>
      <c r="F294" s="154">
        <f t="shared" si="56"/>
        <v>0.19362495245340439</v>
      </c>
      <c r="G294" s="154">
        <f t="shared" si="56"/>
        <v>0.19202432091369137</v>
      </c>
      <c r="H294" s="154">
        <f t="shared" si="56"/>
        <v>-8.3847062786382986E-2</v>
      </c>
      <c r="I294" s="154">
        <f t="shared" si="56"/>
        <v>1.3014374172011234E-3</v>
      </c>
      <c r="J294" s="154">
        <f t="shared" si="56"/>
        <v>0.45537733429697158</v>
      </c>
      <c r="K294" s="154">
        <f t="shared" si="56"/>
        <v>0.10518938574781123</v>
      </c>
      <c r="L294" s="154">
        <f>L293/K293-1</f>
        <v>0.28821819921150293</v>
      </c>
    </row>
    <row r="296" spans="2:12">
      <c r="B296" t="s">
        <v>536</v>
      </c>
      <c r="D296" s="226">
        <f>AVERAGE(C293:D293)</f>
        <v>867.02500000000009</v>
      </c>
      <c r="E296" s="226">
        <f t="shared" ref="E296:K296" si="57">AVERAGE(D293:E293)</f>
        <v>1064.845</v>
      </c>
      <c r="F296" s="226">
        <f t="shared" si="57"/>
        <v>1441.76</v>
      </c>
      <c r="G296" s="226">
        <f t="shared" si="57"/>
        <v>1719.665</v>
      </c>
      <c r="H296" s="226">
        <f t="shared" si="57"/>
        <v>1791.9</v>
      </c>
      <c r="I296" s="226">
        <f t="shared" si="57"/>
        <v>1714.605</v>
      </c>
      <c r="J296" s="226">
        <f t="shared" si="57"/>
        <v>2106.37</v>
      </c>
      <c r="K296" s="226">
        <f t="shared" si="57"/>
        <v>2628.35</v>
      </c>
      <c r="L296" s="226">
        <f>AVERAGE(K293:L293)</f>
        <v>3157.375</v>
      </c>
    </row>
    <row r="298" spans="2:12">
      <c r="B298" s="1" t="s">
        <v>53</v>
      </c>
      <c r="C298" s="1">
        <v>674.6</v>
      </c>
      <c r="D298" s="1">
        <v>631.9</v>
      </c>
      <c r="E298" s="1">
        <v>690.5</v>
      </c>
      <c r="F298" s="1">
        <v>701.8</v>
      </c>
      <c r="G298" s="1">
        <v>977.5</v>
      </c>
      <c r="H298" s="1">
        <v>964.4</v>
      </c>
      <c r="I298" s="247">
        <v>1054.4000000000001</v>
      </c>
      <c r="J298" s="247">
        <v>1009.9</v>
      </c>
      <c r="K298" s="247">
        <v>1369.3</v>
      </c>
      <c r="L298" s="247">
        <v>1535</v>
      </c>
    </row>
    <row r="300" spans="2:12">
      <c r="B300" t="s">
        <v>545</v>
      </c>
      <c r="D300" s="248">
        <f>D298/D296</f>
        <v>0.72881404803783045</v>
      </c>
      <c r="E300" s="248">
        <f t="shared" ref="E300:L300" si="58">E298/E296</f>
        <v>0.64845118303602867</v>
      </c>
      <c r="F300" s="248">
        <f t="shared" si="58"/>
        <v>0.48676617467539673</v>
      </c>
      <c r="G300" s="248">
        <f t="shared" si="58"/>
        <v>0.56842466410609049</v>
      </c>
      <c r="H300" s="248">
        <f t="shared" si="58"/>
        <v>0.53819967632122323</v>
      </c>
      <c r="I300" s="248">
        <f t="shared" si="58"/>
        <v>0.61495213183211295</v>
      </c>
      <c r="J300" s="248">
        <f t="shared" si="58"/>
        <v>0.47945042893698642</v>
      </c>
      <c r="K300" s="248">
        <f t="shared" si="58"/>
        <v>0.5209732341583122</v>
      </c>
      <c r="L300" s="248">
        <f t="shared" si="58"/>
        <v>0.48616334771764519</v>
      </c>
    </row>
    <row r="301" spans="2:12">
      <c r="B301" t="s">
        <v>546</v>
      </c>
      <c r="D301" s="248">
        <f>D288/D296</f>
        <v>6.562671203252501</v>
      </c>
      <c r="E301" s="248">
        <f t="shared" ref="E301:L301" si="59">E288/E296</f>
        <v>7.9701740628917825</v>
      </c>
      <c r="F301" s="248">
        <f>F288/F296</f>
        <v>6.8208300965486623</v>
      </c>
      <c r="G301" s="248">
        <f t="shared" si="59"/>
        <v>7.3007824198317692</v>
      </c>
      <c r="H301" s="248">
        <f t="shared" si="59"/>
        <v>7.1811485015904903</v>
      </c>
      <c r="I301" s="248">
        <f t="shared" si="59"/>
        <v>7.9083520694270693</v>
      </c>
      <c r="J301" s="248">
        <f t="shared" si="59"/>
        <v>7.1255762282979722</v>
      </c>
      <c r="K301" s="248">
        <f t="shared" si="59"/>
        <v>6.7923602259972995</v>
      </c>
      <c r="L301" s="248">
        <f t="shared" si="59"/>
        <v>6.4991963260619983</v>
      </c>
    </row>
    <row r="304" spans="2:12">
      <c r="B304" t="s">
        <v>547</v>
      </c>
      <c r="D304" s="250">
        <f>$B$306/D300</f>
        <v>500.81361766102236</v>
      </c>
      <c r="E304" s="250">
        <f t="shared" ref="E304:K304" si="60">$B$306/E300</f>
        <v>562.87968863142657</v>
      </c>
      <c r="F304" s="250">
        <f t="shared" si="60"/>
        <v>749.8466799658022</v>
      </c>
      <c r="G304" s="250">
        <f t="shared" si="60"/>
        <v>642.12554987212275</v>
      </c>
      <c r="H304" s="250">
        <f t="shared" si="60"/>
        <v>678.18695562007474</v>
      </c>
      <c r="I304" s="250">
        <f t="shared" si="60"/>
        <v>593.54213296661612</v>
      </c>
      <c r="J304" s="250">
        <f t="shared" si="60"/>
        <v>761.2882958708783</v>
      </c>
      <c r="K304" s="250">
        <f t="shared" si="60"/>
        <v>700.61180895347991</v>
      </c>
      <c r="L304" s="250">
        <f>$B$306/L300</f>
        <v>750.77646579804559</v>
      </c>
    </row>
    <row r="305" spans="2:12">
      <c r="B305" t="s">
        <v>548</v>
      </c>
      <c r="D305" s="250">
        <f>$B$306/D301</f>
        <v>55.617596660808438</v>
      </c>
      <c r="E305" s="250">
        <f t="shared" ref="E305:J305" si="61">$B$306/E301</f>
        <v>45.795737598680333</v>
      </c>
      <c r="F305" s="250">
        <f t="shared" si="61"/>
        <v>53.51254830181005</v>
      </c>
      <c r="G305" s="250">
        <f t="shared" si="61"/>
        <v>49.994641534381003</v>
      </c>
      <c r="H305" s="250">
        <f t="shared" si="61"/>
        <v>50.827524304665097</v>
      </c>
      <c r="I305" s="250">
        <f t="shared" si="61"/>
        <v>46.153736808336468</v>
      </c>
      <c r="J305" s="250">
        <f t="shared" si="61"/>
        <v>51.223927483993045</v>
      </c>
      <c r="K305" s="250">
        <f>$B$306/K301</f>
        <v>53.736843726719201</v>
      </c>
      <c r="L305" s="250">
        <f>$B$306/L301</f>
        <v>56.160789994347084</v>
      </c>
    </row>
    <row r="306" spans="2:12">
      <c r="B306" s="196">
        <v>365</v>
      </c>
    </row>
    <row r="309" spans="2:12">
      <c r="B309" s="1" t="s">
        <v>537</v>
      </c>
    </row>
    <row r="311" spans="2:12">
      <c r="B311" s="162" t="s">
        <v>202</v>
      </c>
      <c r="C311" s="163">
        <v>2015</v>
      </c>
      <c r="D311" s="163">
        <f>C311+1</f>
        <v>2016</v>
      </c>
      <c r="E311" s="163">
        <f t="shared" ref="E311:K311" si="62">D311+1</f>
        <v>2017</v>
      </c>
      <c r="F311" s="163">
        <f t="shared" si="62"/>
        <v>2018</v>
      </c>
      <c r="G311" s="163">
        <f t="shared" si="62"/>
        <v>2019</v>
      </c>
      <c r="H311" s="163">
        <f t="shared" si="62"/>
        <v>2020</v>
      </c>
      <c r="I311" s="163">
        <f t="shared" si="62"/>
        <v>2021</v>
      </c>
      <c r="J311" s="163">
        <f t="shared" si="62"/>
        <v>2022</v>
      </c>
      <c r="K311" s="163">
        <f t="shared" si="62"/>
        <v>2023</v>
      </c>
    </row>
    <row r="313" spans="2:12">
      <c r="B313" t="s">
        <v>538</v>
      </c>
      <c r="D313" s="249">
        <v>500.81361766102236</v>
      </c>
      <c r="E313" s="249">
        <v>562.87968863142657</v>
      </c>
      <c r="F313" s="249">
        <v>749.8466799658022</v>
      </c>
      <c r="G313" s="249">
        <v>642.12554987212275</v>
      </c>
      <c r="H313" s="249">
        <v>678.18695562007474</v>
      </c>
      <c r="I313" s="249">
        <v>593.54213296661612</v>
      </c>
      <c r="J313" s="249">
        <v>761.2882958708783</v>
      </c>
      <c r="K313" s="249">
        <v>700.61180895347991</v>
      </c>
    </row>
    <row r="314" spans="2:12">
      <c r="B314" t="s">
        <v>539</v>
      </c>
      <c r="C314" s="249">
        <v>266</v>
      </c>
      <c r="D314" s="249">
        <v>203</v>
      </c>
      <c r="E314" s="249">
        <v>195</v>
      </c>
      <c r="F314" s="249">
        <v>226</v>
      </c>
      <c r="G314" s="249">
        <v>214</v>
      </c>
      <c r="H314" s="249">
        <v>234</v>
      </c>
      <c r="I314" s="249">
        <v>207</v>
      </c>
      <c r="J314" s="249">
        <v>256</v>
      </c>
      <c r="K314" s="249">
        <v>248</v>
      </c>
      <c r="L314" s="249"/>
    </row>
    <row r="315" spans="2:12">
      <c r="B315" t="s">
        <v>540</v>
      </c>
      <c r="C315" s="249">
        <v>394</v>
      </c>
      <c r="D315" s="249">
        <v>339</v>
      </c>
      <c r="E315" s="249">
        <v>323</v>
      </c>
      <c r="F315" s="249">
        <v>333</v>
      </c>
      <c r="G315" s="249">
        <v>208</v>
      </c>
      <c r="H315" s="249">
        <v>193</v>
      </c>
      <c r="I315" s="249">
        <v>337</v>
      </c>
      <c r="J315" s="249"/>
      <c r="K315" s="249">
        <v>234</v>
      </c>
    </row>
    <row r="316" spans="2:12">
      <c r="B316" t="s">
        <v>541</v>
      </c>
      <c r="C316" s="249">
        <v>235</v>
      </c>
      <c r="D316" s="249">
        <v>278</v>
      </c>
      <c r="E316" s="249">
        <v>261</v>
      </c>
      <c r="F316" s="249">
        <v>263</v>
      </c>
      <c r="G316" s="249">
        <v>153</v>
      </c>
      <c r="H316" s="249">
        <v>131</v>
      </c>
      <c r="I316" s="249">
        <v>162</v>
      </c>
      <c r="J316" s="249">
        <v>109</v>
      </c>
      <c r="K316" s="249">
        <v>109</v>
      </c>
    </row>
    <row r="317" spans="2:12">
      <c r="B317" t="s">
        <v>542</v>
      </c>
      <c r="C317" s="249">
        <v>345</v>
      </c>
      <c r="D317" s="249">
        <v>258</v>
      </c>
      <c r="E317" s="249">
        <v>292</v>
      </c>
      <c r="F317" s="249">
        <v>269</v>
      </c>
      <c r="G317" s="249">
        <v>257</v>
      </c>
      <c r="H317" s="249">
        <v>288</v>
      </c>
      <c r="I317" s="249">
        <v>257</v>
      </c>
      <c r="J317" s="249">
        <v>343</v>
      </c>
      <c r="K317" s="249">
        <v>223</v>
      </c>
      <c r="L317" s="251"/>
    </row>
    <row r="318" spans="2:12">
      <c r="B318" t="s">
        <v>543</v>
      </c>
      <c r="C318" s="249">
        <v>280</v>
      </c>
      <c r="D318" s="249">
        <v>341</v>
      </c>
      <c r="E318" s="249">
        <v>314</v>
      </c>
      <c r="F318" s="249">
        <v>273</v>
      </c>
      <c r="G318" s="249">
        <v>242</v>
      </c>
      <c r="H318" s="249">
        <v>270</v>
      </c>
      <c r="I318" s="249">
        <v>253</v>
      </c>
      <c r="J318" s="249">
        <v>342</v>
      </c>
      <c r="K318" s="249">
        <v>240</v>
      </c>
    </row>
    <row r="319" spans="2:12">
      <c r="B319" t="s">
        <v>544</v>
      </c>
      <c r="C319" s="249">
        <v>146</v>
      </c>
      <c r="D319" s="249">
        <v>132</v>
      </c>
      <c r="E319" s="249">
        <v>157</v>
      </c>
      <c r="F319" s="249">
        <v>158</v>
      </c>
      <c r="G319" s="249">
        <v>148</v>
      </c>
      <c r="H319" s="249">
        <v>225</v>
      </c>
      <c r="I319" s="249">
        <v>134</v>
      </c>
      <c r="J319" s="249">
        <v>198</v>
      </c>
      <c r="K319" s="249">
        <v>236</v>
      </c>
    </row>
    <row r="322" spans="1:11">
      <c r="B322" s="1" t="s">
        <v>508</v>
      </c>
      <c r="C322" s="252">
        <f>MEDIAN(C314:C319)</f>
        <v>273</v>
      </c>
      <c r="D322" s="252">
        <f t="shared" ref="D322:K322" si="63">MEDIAN(D314:D319)</f>
        <v>268</v>
      </c>
      <c r="E322" s="252">
        <f t="shared" si="63"/>
        <v>276.5</v>
      </c>
      <c r="F322" s="252">
        <f t="shared" si="63"/>
        <v>266</v>
      </c>
      <c r="G322" s="252">
        <f t="shared" si="63"/>
        <v>211</v>
      </c>
      <c r="H322" s="252">
        <f t="shared" si="63"/>
        <v>229.5</v>
      </c>
      <c r="I322" s="252">
        <f t="shared" si="63"/>
        <v>230</v>
      </c>
      <c r="J322" s="252">
        <f t="shared" si="63"/>
        <v>256</v>
      </c>
      <c r="K322" s="252">
        <f t="shared" si="63"/>
        <v>235</v>
      </c>
    </row>
    <row r="323" spans="1:11">
      <c r="B323" s="1" t="s">
        <v>432</v>
      </c>
      <c r="C323" s="252">
        <f>AVERAGE(C314:C319)</f>
        <v>277.66666666666669</v>
      </c>
      <c r="D323" s="252">
        <f t="shared" ref="D323:K323" si="64">AVERAGE(D314:D319)</f>
        <v>258.5</v>
      </c>
      <c r="E323" s="252">
        <f t="shared" si="64"/>
        <v>257</v>
      </c>
      <c r="F323" s="252">
        <f t="shared" si="64"/>
        <v>253.66666666666666</v>
      </c>
      <c r="G323" s="252">
        <f t="shared" si="64"/>
        <v>203.66666666666666</v>
      </c>
      <c r="H323" s="252">
        <f t="shared" si="64"/>
        <v>223.5</v>
      </c>
      <c r="I323" s="252">
        <f t="shared" si="64"/>
        <v>225</v>
      </c>
      <c r="J323" s="252">
        <f t="shared" si="64"/>
        <v>249.6</v>
      </c>
      <c r="K323" s="252">
        <f t="shared" si="64"/>
        <v>215</v>
      </c>
    </row>
    <row r="328" spans="1:11">
      <c r="B328" s="1" t="s">
        <v>549</v>
      </c>
    </row>
    <row r="330" spans="1:11">
      <c r="B330" s="162" t="s">
        <v>202</v>
      </c>
      <c r="C330" s="253">
        <v>2024</v>
      </c>
      <c r="D330" s="253">
        <v>2025</v>
      </c>
    </row>
    <row r="332" spans="1:11">
      <c r="B332" t="s">
        <v>550</v>
      </c>
      <c r="C332">
        <v>128</v>
      </c>
      <c r="D332">
        <v>139</v>
      </c>
    </row>
    <row r="333" spans="1:11">
      <c r="B333" t="s">
        <v>223</v>
      </c>
      <c r="C333">
        <v>59</v>
      </c>
      <c r="D333">
        <v>45</v>
      </c>
    </row>
    <row r="336" spans="1:11">
      <c r="A336" s="260" t="s">
        <v>21</v>
      </c>
      <c r="B336" s="1" t="s">
        <v>9</v>
      </c>
    </row>
    <row r="337" spans="2:14">
      <c r="B337" s="1"/>
    </row>
    <row r="338" spans="2:14">
      <c r="B338" s="162" t="s">
        <v>202</v>
      </c>
      <c r="C338" s="163">
        <v>2015</v>
      </c>
      <c r="D338" s="163">
        <f t="shared" ref="D338:L338" si="65">C338+1</f>
        <v>2016</v>
      </c>
      <c r="E338" s="163">
        <f t="shared" si="65"/>
        <v>2017</v>
      </c>
      <c r="F338" s="163">
        <f t="shared" si="65"/>
        <v>2018</v>
      </c>
      <c r="G338" s="163">
        <f t="shared" si="65"/>
        <v>2019</v>
      </c>
      <c r="H338" s="163">
        <f t="shared" si="65"/>
        <v>2020</v>
      </c>
      <c r="I338" s="163">
        <f t="shared" si="65"/>
        <v>2021</v>
      </c>
      <c r="J338" s="163">
        <f t="shared" si="65"/>
        <v>2022</v>
      </c>
      <c r="K338" s="163">
        <f t="shared" si="65"/>
        <v>2023</v>
      </c>
      <c r="L338" s="163">
        <f t="shared" si="65"/>
        <v>2024</v>
      </c>
      <c r="M338" s="163" t="s">
        <v>508</v>
      </c>
      <c r="N338" s="163" t="s">
        <v>432</v>
      </c>
    </row>
    <row r="340" spans="2:14">
      <c r="B340" s="1" t="s">
        <v>40</v>
      </c>
      <c r="C340" s="218">
        <f>'Income Statement'!D8</f>
        <v>6625</v>
      </c>
      <c r="D340" s="218">
        <f>'Income Statement'!E8</f>
        <v>5690</v>
      </c>
      <c r="E340" s="218">
        <f>'Income Statement'!F8</f>
        <v>8487</v>
      </c>
      <c r="F340" s="218">
        <f>'Income Statement'!G8</f>
        <v>9834</v>
      </c>
      <c r="G340" s="218">
        <f>'Income Statement'!H8</f>
        <v>12554.9</v>
      </c>
      <c r="H340" s="218">
        <f>'Income Statement'!I8</f>
        <v>12867.9</v>
      </c>
      <c r="I340" s="218">
        <f>'Income Statement'!J8</f>
        <v>13559.7</v>
      </c>
      <c r="J340" s="218">
        <f>'Income Statement'!K8</f>
        <v>15009.099999999999</v>
      </c>
      <c r="K340" s="218">
        <f>'Income Statement'!L8</f>
        <v>17852.7</v>
      </c>
      <c r="L340" s="218">
        <f>'Income Statement'!M8</f>
        <v>20520.400000000001</v>
      </c>
    </row>
    <row r="341" spans="2:14">
      <c r="B341" t="s">
        <v>534</v>
      </c>
      <c r="D341" s="154">
        <f t="shared" ref="D341:L341" si="66">D340/C340-1</f>
        <v>-0.14113207547169815</v>
      </c>
      <c r="E341" s="154">
        <f t="shared" si="66"/>
        <v>0.49156414762741663</v>
      </c>
      <c r="F341" s="154">
        <f t="shared" si="66"/>
        <v>0.1587133262636975</v>
      </c>
      <c r="G341" s="154">
        <f t="shared" si="66"/>
        <v>0.27668293675005073</v>
      </c>
      <c r="H341" s="154">
        <f t="shared" si="66"/>
        <v>2.4930505221069099E-2</v>
      </c>
      <c r="I341" s="154">
        <f t="shared" si="66"/>
        <v>5.3761686055999958E-2</v>
      </c>
      <c r="J341" s="154">
        <f t="shared" si="66"/>
        <v>0.10689027043371158</v>
      </c>
      <c r="K341" s="154">
        <f t="shared" si="66"/>
        <v>0.18945839524022112</v>
      </c>
      <c r="L341" s="154">
        <f t="shared" si="66"/>
        <v>0.14942837778039175</v>
      </c>
      <c r="M341" s="154">
        <f>MEDIAN(B341:L341)</f>
        <v>0.14942837778039175</v>
      </c>
      <c r="N341" s="154">
        <f>AVERAGE(B341:L341)</f>
        <v>0.14558861887787333</v>
      </c>
    </row>
    <row r="343" spans="2:14">
      <c r="B343" t="s">
        <v>318</v>
      </c>
      <c r="C343" s="255">
        <v>476.39</v>
      </c>
      <c r="D343" s="256">
        <v>328.62</v>
      </c>
      <c r="E343" s="256">
        <v>335.12</v>
      </c>
      <c r="F343" s="256">
        <v>459.25</v>
      </c>
      <c r="G343" s="247">
        <v>1023.71</v>
      </c>
      <c r="H343" s="247">
        <v>1080.45</v>
      </c>
      <c r="I343" s="256">
        <v>679.43</v>
      </c>
      <c r="J343" s="256">
        <v>788.29</v>
      </c>
      <c r="K343" s="247">
        <v>1211.57</v>
      </c>
      <c r="L343" s="247">
        <v>1535</v>
      </c>
    </row>
    <row r="344" spans="2:14">
      <c r="B344" t="s">
        <v>551</v>
      </c>
      <c r="D344" s="154">
        <f t="shared" ref="D344:L344" si="67">D343/C343-1</f>
        <v>-0.31018703163374539</v>
      </c>
      <c r="E344" s="154">
        <f t="shared" si="67"/>
        <v>1.9779684742255554E-2</v>
      </c>
      <c r="F344" s="154">
        <f t="shared" si="67"/>
        <v>0.37040463117689182</v>
      </c>
      <c r="G344" s="154">
        <f t="shared" si="67"/>
        <v>1.229090909090909</v>
      </c>
      <c r="H344" s="154">
        <f t="shared" si="67"/>
        <v>5.5425853024782423E-2</v>
      </c>
      <c r="I344" s="154">
        <f t="shared" si="67"/>
        <v>-0.37116016474617064</v>
      </c>
      <c r="J344" s="154">
        <f t="shared" si="67"/>
        <v>0.16022253948162435</v>
      </c>
      <c r="K344" s="154">
        <f t="shared" si="67"/>
        <v>0.53695974831597515</v>
      </c>
      <c r="L344" s="154">
        <f t="shared" si="67"/>
        <v>0.26695114603365888</v>
      </c>
      <c r="M344" s="154">
        <f>MEDIAN(B344:L344)</f>
        <v>0.16022253948162435</v>
      </c>
      <c r="N344" s="154">
        <f>AVERAGE(B344:L344)</f>
        <v>0.21749859060957569</v>
      </c>
    </row>
    <row r="346" spans="2:14">
      <c r="B346" t="s">
        <v>552</v>
      </c>
      <c r="D346" s="149">
        <f>AVERAGE(C343:D343)</f>
        <v>402.505</v>
      </c>
      <c r="E346" s="149">
        <f t="shared" ref="E346:K346" si="68">AVERAGE(D343:E343)</f>
        <v>331.87</v>
      </c>
      <c r="F346" s="149">
        <f t="shared" si="68"/>
        <v>397.185</v>
      </c>
      <c r="G346" s="149">
        <f t="shared" si="68"/>
        <v>741.48</v>
      </c>
      <c r="H346" s="149">
        <f t="shared" si="68"/>
        <v>1052.08</v>
      </c>
      <c r="I346" s="149">
        <f t="shared" si="68"/>
        <v>879.94</v>
      </c>
      <c r="J346" s="149">
        <f t="shared" si="68"/>
        <v>733.8599999999999</v>
      </c>
      <c r="K346" s="149">
        <f t="shared" si="68"/>
        <v>999.93</v>
      </c>
      <c r="L346" s="149">
        <f>AVERAGE(K343:L343)</f>
        <v>1373.2849999999999</v>
      </c>
    </row>
    <row r="347" spans="2:14">
      <c r="B347" t="s">
        <v>1274</v>
      </c>
      <c r="C347" s="154">
        <f>C343/C340</f>
        <v>7.1907924528301886E-2</v>
      </c>
      <c r="D347" s="154">
        <f t="shared" ref="D347:L347" si="69">D343/D340</f>
        <v>5.7753954305799653E-2</v>
      </c>
      <c r="E347" s="154">
        <f t="shared" si="69"/>
        <v>3.9486273123600799E-2</v>
      </c>
      <c r="F347" s="154">
        <f t="shared" si="69"/>
        <v>4.670022371364653E-2</v>
      </c>
      <c r="G347" s="154">
        <f t="shared" si="69"/>
        <v>8.1538682108180868E-2</v>
      </c>
      <c r="H347" s="154">
        <f t="shared" si="69"/>
        <v>8.3964749492924262E-2</v>
      </c>
      <c r="I347" s="154">
        <f t="shared" si="69"/>
        <v>5.010656577947889E-2</v>
      </c>
      <c r="J347" s="154">
        <f t="shared" si="69"/>
        <v>5.2520804045545703E-2</v>
      </c>
      <c r="K347" s="154">
        <f t="shared" si="69"/>
        <v>6.7864804763425129E-2</v>
      </c>
      <c r="L347" s="154">
        <f t="shared" si="69"/>
        <v>7.4803610066080578E-2</v>
      </c>
    </row>
    <row r="348" spans="2:14">
      <c r="B348" t="s">
        <v>553</v>
      </c>
      <c r="D348" s="248">
        <f>D340/D346</f>
        <v>14.136470354405535</v>
      </c>
      <c r="E348" s="248">
        <f t="shared" ref="E348:K348" si="70">E340/E346</f>
        <v>25.573266640552024</v>
      </c>
      <c r="F348" s="248">
        <f t="shared" si="70"/>
        <v>24.75924317383587</v>
      </c>
      <c r="G348" s="248">
        <f t="shared" si="70"/>
        <v>16.932216647785509</v>
      </c>
      <c r="H348" s="248">
        <f t="shared" si="70"/>
        <v>12.230913998935442</v>
      </c>
      <c r="I348" s="248">
        <f t="shared" si="70"/>
        <v>15.40980066822738</v>
      </c>
      <c r="J348" s="248">
        <f t="shared" si="70"/>
        <v>20.452266099801054</v>
      </c>
      <c r="K348" s="248">
        <f t="shared" si="70"/>
        <v>17.853949776484356</v>
      </c>
      <c r="L348" s="248">
        <f>L340/L346</f>
        <v>14.942564726185754</v>
      </c>
      <c r="M348" s="248">
        <f>AVERAGE(D348:L348)</f>
        <v>18.032299120690325</v>
      </c>
      <c r="N348" s="248">
        <f>MEDIAN(D348:L348)</f>
        <v>16.932216647785509</v>
      </c>
    </row>
    <row r="349" spans="2:14">
      <c r="M349" s="250"/>
      <c r="N349" s="250"/>
    </row>
    <row r="350" spans="2:14">
      <c r="B350" t="s">
        <v>554</v>
      </c>
      <c r="D350" s="250">
        <f>$B$351/D348</f>
        <v>25.819740773286469</v>
      </c>
      <c r="E350" s="250">
        <f t="shared" ref="E350:K350" si="71">$B$351/E348</f>
        <v>14.272717096736184</v>
      </c>
      <c r="F350" s="250">
        <f t="shared" si="71"/>
        <v>14.741969188529591</v>
      </c>
      <c r="G350" s="250">
        <f t="shared" si="71"/>
        <v>21.556539677735387</v>
      </c>
      <c r="H350" s="250">
        <f t="shared" si="71"/>
        <v>29.842414069117726</v>
      </c>
      <c r="I350" s="250">
        <f t="shared" si="71"/>
        <v>23.686224621488677</v>
      </c>
      <c r="J350" s="250">
        <f t="shared" si="71"/>
        <v>17.846433163880576</v>
      </c>
      <c r="K350" s="250">
        <f t="shared" si="71"/>
        <v>20.443655581508676</v>
      </c>
      <c r="L350" s="250">
        <f>$B$351/L348</f>
        <v>24.426864242412424</v>
      </c>
      <c r="M350" s="250">
        <f>AVERAGE(D350:L350)</f>
        <v>21.4040620460773</v>
      </c>
      <c r="N350" s="250">
        <f>MEDIAN(D350:L350)</f>
        <v>21.556539677735387</v>
      </c>
    </row>
    <row r="351" spans="2:14">
      <c r="B351" s="196">
        <v>365</v>
      </c>
    </row>
    <row r="353" spans="2:28">
      <c r="B353" s="1" t="s">
        <v>555</v>
      </c>
    </row>
    <row r="354" spans="2:28">
      <c r="T354" s="515">
        <v>2017</v>
      </c>
      <c r="U354" s="515">
        <f>T354+1</f>
        <v>2018</v>
      </c>
      <c r="V354" s="515">
        <f t="shared" ref="V354:AA354" si="72">U354+1</f>
        <v>2019</v>
      </c>
      <c r="W354" s="515">
        <f t="shared" si="72"/>
        <v>2020</v>
      </c>
      <c r="X354" s="515">
        <f t="shared" si="72"/>
        <v>2021</v>
      </c>
      <c r="Y354" s="515">
        <f t="shared" si="72"/>
        <v>2022</v>
      </c>
      <c r="Z354" s="515">
        <f t="shared" si="72"/>
        <v>2023</v>
      </c>
      <c r="AA354" s="515">
        <f t="shared" si="72"/>
        <v>2024</v>
      </c>
    </row>
    <row r="355" spans="2:28">
      <c r="B355" s="162" t="s">
        <v>202</v>
      </c>
      <c r="C355" s="163">
        <v>2015</v>
      </c>
      <c r="D355" s="163">
        <f t="shared" ref="D355:L355" si="73">C355+1</f>
        <v>2016</v>
      </c>
      <c r="E355" s="163">
        <f t="shared" si="73"/>
        <v>2017</v>
      </c>
      <c r="F355" s="163">
        <f t="shared" si="73"/>
        <v>2018</v>
      </c>
      <c r="G355" s="163">
        <f t="shared" si="73"/>
        <v>2019</v>
      </c>
      <c r="H355" s="163">
        <f t="shared" si="73"/>
        <v>2020</v>
      </c>
      <c r="I355" s="163">
        <f t="shared" si="73"/>
        <v>2021</v>
      </c>
      <c r="J355" s="163">
        <f t="shared" si="73"/>
        <v>2022</v>
      </c>
      <c r="K355" s="163">
        <f t="shared" si="73"/>
        <v>2023</v>
      </c>
      <c r="L355" s="163">
        <f t="shared" si="73"/>
        <v>2024</v>
      </c>
      <c r="S355" t="s">
        <v>1275</v>
      </c>
      <c r="T355" s="249">
        <v>335.12</v>
      </c>
      <c r="U355" s="249">
        <v>459.25</v>
      </c>
      <c r="V355" s="249">
        <v>1023.71</v>
      </c>
      <c r="W355" s="249">
        <v>1080.45</v>
      </c>
      <c r="X355" s="249">
        <v>679.43</v>
      </c>
      <c r="Y355" s="249">
        <v>788.29</v>
      </c>
      <c r="Z355" s="249">
        <v>1211.57</v>
      </c>
      <c r="AA355" s="249">
        <v>1535</v>
      </c>
    </row>
    <row r="356" spans="2:28">
      <c r="S356" t="s">
        <v>554</v>
      </c>
      <c r="T356" s="249">
        <v>14.272717096736184</v>
      </c>
      <c r="U356" s="249">
        <v>14.741969188529591</v>
      </c>
      <c r="V356" s="249">
        <v>21.556539677735387</v>
      </c>
      <c r="W356" s="249">
        <v>29.842414069117726</v>
      </c>
      <c r="X356" s="249">
        <v>23.686224621488677</v>
      </c>
      <c r="Y356" s="249">
        <v>17.846433163880576</v>
      </c>
      <c r="Z356" s="249">
        <v>20.443655581508676</v>
      </c>
      <c r="AA356" s="249">
        <v>24.426864242412424</v>
      </c>
    </row>
    <row r="357" spans="2:28">
      <c r="B357" t="s">
        <v>538</v>
      </c>
      <c r="D357" s="249">
        <f>D350</f>
        <v>25.819740773286469</v>
      </c>
      <c r="E357" s="249">
        <f t="shared" ref="E357:K357" si="74">E350</f>
        <v>14.272717096736184</v>
      </c>
      <c r="F357" s="249">
        <f t="shared" si="74"/>
        <v>14.741969188529591</v>
      </c>
      <c r="G357" s="249">
        <f t="shared" si="74"/>
        <v>21.556539677735387</v>
      </c>
      <c r="H357" s="249">
        <f t="shared" si="74"/>
        <v>29.842414069117726</v>
      </c>
      <c r="I357" s="249">
        <f t="shared" si="74"/>
        <v>23.686224621488677</v>
      </c>
      <c r="J357" s="249">
        <f t="shared" si="74"/>
        <v>17.846433163880576</v>
      </c>
      <c r="K357" s="249">
        <f t="shared" si="74"/>
        <v>20.443655581508676</v>
      </c>
      <c r="L357">
        <v>24</v>
      </c>
      <c r="S357" t="s">
        <v>1276</v>
      </c>
      <c r="T357" s="249">
        <v>18</v>
      </c>
      <c r="U357" s="249">
        <v>19.5</v>
      </c>
      <c r="V357" s="249">
        <v>16.5</v>
      </c>
      <c r="W357" s="249">
        <v>14.5</v>
      </c>
      <c r="X357" s="249">
        <v>15</v>
      </c>
      <c r="Y357" s="249">
        <v>17</v>
      </c>
      <c r="Z357" s="249">
        <v>21.5</v>
      </c>
      <c r="AA357" s="249">
        <v>20</v>
      </c>
      <c r="AB357" s="249"/>
    </row>
    <row r="358" spans="2:28">
      <c r="B358" t="s">
        <v>539</v>
      </c>
      <c r="C358" s="249">
        <v>26</v>
      </c>
      <c r="D358" s="249">
        <v>28</v>
      </c>
      <c r="E358" s="249">
        <v>25</v>
      </c>
      <c r="F358" s="249">
        <v>26</v>
      </c>
      <c r="G358" s="249">
        <v>25</v>
      </c>
      <c r="H358" s="249">
        <v>20</v>
      </c>
      <c r="I358" s="249">
        <v>21</v>
      </c>
      <c r="J358" s="249">
        <v>21</v>
      </c>
      <c r="K358" s="249">
        <v>22</v>
      </c>
      <c r="L358" s="249">
        <v>22</v>
      </c>
    </row>
    <row r="359" spans="2:28">
      <c r="B359" t="s">
        <v>540</v>
      </c>
      <c r="C359" s="249">
        <v>11</v>
      </c>
      <c r="D359" s="249">
        <v>17</v>
      </c>
      <c r="E359" s="249">
        <v>14</v>
      </c>
      <c r="F359" s="249">
        <v>18</v>
      </c>
      <c r="G359" s="249">
        <v>14</v>
      </c>
      <c r="H359" s="249">
        <v>8</v>
      </c>
      <c r="I359" s="249">
        <v>8</v>
      </c>
      <c r="J359" s="249">
        <v>11</v>
      </c>
      <c r="K359" s="249">
        <v>234</v>
      </c>
      <c r="L359" s="249">
        <v>11</v>
      </c>
    </row>
    <row r="360" spans="2:28">
      <c r="B360" t="s">
        <v>541</v>
      </c>
      <c r="C360" s="249">
        <v>15</v>
      </c>
      <c r="D360" s="249">
        <v>18</v>
      </c>
      <c r="E360" s="249">
        <v>18</v>
      </c>
      <c r="F360" s="249">
        <v>21</v>
      </c>
      <c r="G360" s="249">
        <v>15</v>
      </c>
      <c r="H360" s="249">
        <v>12</v>
      </c>
      <c r="I360" s="249">
        <v>10</v>
      </c>
      <c r="J360" s="249">
        <v>14</v>
      </c>
      <c r="K360" s="249">
        <v>109</v>
      </c>
      <c r="L360" s="249">
        <v>117</v>
      </c>
    </row>
    <row r="361" spans="2:28">
      <c r="B361" t="s">
        <v>542</v>
      </c>
      <c r="C361" s="249">
        <v>19</v>
      </c>
      <c r="D361" s="249">
        <v>18</v>
      </c>
      <c r="E361" s="249">
        <v>18</v>
      </c>
      <c r="F361" s="249">
        <v>18</v>
      </c>
      <c r="G361" s="249">
        <v>18</v>
      </c>
      <c r="H361" s="249">
        <v>17</v>
      </c>
      <c r="I361" s="249">
        <v>20</v>
      </c>
      <c r="J361" s="249">
        <v>20</v>
      </c>
      <c r="K361" s="249">
        <v>18</v>
      </c>
      <c r="L361" s="249">
        <v>18</v>
      </c>
    </row>
    <row r="362" spans="2:28">
      <c r="B362" t="s">
        <v>543</v>
      </c>
      <c r="C362" s="249">
        <v>38</v>
      </c>
      <c r="D362" s="249">
        <v>48</v>
      </c>
      <c r="E362" s="249">
        <v>51</v>
      </c>
      <c r="F362" s="249">
        <v>37</v>
      </c>
      <c r="G362" s="249">
        <v>35</v>
      </c>
      <c r="H362" s="249">
        <v>36</v>
      </c>
      <c r="I362" s="249">
        <v>26</v>
      </c>
      <c r="J362" s="249">
        <v>21</v>
      </c>
      <c r="K362" s="249">
        <v>21</v>
      </c>
      <c r="L362" s="249">
        <v>33</v>
      </c>
    </row>
    <row r="363" spans="2:28">
      <c r="B363" t="s">
        <v>544</v>
      </c>
      <c r="C363" s="249">
        <v>9</v>
      </c>
      <c r="D363" s="249">
        <v>13</v>
      </c>
      <c r="E363" s="249">
        <v>11</v>
      </c>
      <c r="F363" s="249">
        <v>10</v>
      </c>
      <c r="G363" s="249">
        <v>9</v>
      </c>
      <c r="H363" s="249">
        <v>8</v>
      </c>
      <c r="I363" s="249">
        <v>4</v>
      </c>
      <c r="J363" s="249">
        <v>2</v>
      </c>
      <c r="K363" s="249">
        <v>4</v>
      </c>
      <c r="L363" s="249">
        <v>5</v>
      </c>
    </row>
    <row r="366" spans="2:28">
      <c r="B366" s="1" t="s">
        <v>508</v>
      </c>
      <c r="C366" s="252">
        <f>MEDIAN(C358:C363)</f>
        <v>17</v>
      </c>
      <c r="D366" s="252">
        <f t="shared" ref="D366:K366" si="75">MEDIAN(D358:D363)</f>
        <v>18</v>
      </c>
      <c r="E366" s="252">
        <f t="shared" si="75"/>
        <v>18</v>
      </c>
      <c r="F366" s="252">
        <f t="shared" si="75"/>
        <v>19.5</v>
      </c>
      <c r="G366" s="252">
        <f t="shared" si="75"/>
        <v>16.5</v>
      </c>
      <c r="H366" s="252">
        <f t="shared" si="75"/>
        <v>14.5</v>
      </c>
      <c r="I366" s="252">
        <f t="shared" si="75"/>
        <v>15</v>
      </c>
      <c r="J366" s="252">
        <f t="shared" si="75"/>
        <v>17</v>
      </c>
      <c r="K366" s="252">
        <f t="shared" si="75"/>
        <v>21.5</v>
      </c>
      <c r="L366" s="249">
        <f>MEDIAN(L358:L363)</f>
        <v>20</v>
      </c>
    </row>
    <row r="367" spans="2:28">
      <c r="B367" s="1" t="s">
        <v>432</v>
      </c>
      <c r="C367" s="252">
        <f>AVERAGE(C358:C363)</f>
        <v>19.666666666666668</v>
      </c>
      <c r="D367" s="252">
        <f t="shared" ref="D367:K367" si="76">AVERAGE(D358:D363)</f>
        <v>23.666666666666668</v>
      </c>
      <c r="E367" s="252">
        <f t="shared" si="76"/>
        <v>22.833333333333332</v>
      </c>
      <c r="F367" s="252">
        <f t="shared" si="76"/>
        <v>21.666666666666668</v>
      </c>
      <c r="G367" s="252">
        <f t="shared" si="76"/>
        <v>19.333333333333332</v>
      </c>
      <c r="H367" s="252">
        <f t="shared" si="76"/>
        <v>16.833333333333332</v>
      </c>
      <c r="I367" s="252">
        <f t="shared" si="76"/>
        <v>14.833333333333334</v>
      </c>
      <c r="J367" s="252">
        <f t="shared" si="76"/>
        <v>14.833333333333334</v>
      </c>
      <c r="K367" s="252">
        <f t="shared" si="76"/>
        <v>68</v>
      </c>
      <c r="L367" s="249">
        <f>AVERAGE(L357:L363)</f>
        <v>32.857142857142854</v>
      </c>
    </row>
    <row r="370" spans="2:7">
      <c r="B370" s="1" t="s">
        <v>556</v>
      </c>
    </row>
    <row r="372" spans="2:7">
      <c r="B372" s="162" t="s">
        <v>202</v>
      </c>
      <c r="C372" s="253">
        <v>2024</v>
      </c>
      <c r="D372" s="253">
        <v>2025</v>
      </c>
      <c r="F372" s="259" t="s">
        <v>213</v>
      </c>
      <c r="G372" s="259" t="s">
        <v>432</v>
      </c>
    </row>
    <row r="374" spans="2:7">
      <c r="B374" t="s">
        <v>550</v>
      </c>
      <c r="C374">
        <v>18</v>
      </c>
      <c r="D374">
        <v>22</v>
      </c>
      <c r="F374">
        <f>MEDIAN(C374:D374)</f>
        <v>20</v>
      </c>
      <c r="G374">
        <f>AVERAGE(C374:D374)</f>
        <v>20</v>
      </c>
    </row>
    <row r="375" spans="2:7">
      <c r="B375" t="s">
        <v>223</v>
      </c>
      <c r="C375">
        <v>17</v>
      </c>
      <c r="D375">
        <v>14</v>
      </c>
      <c r="F375">
        <f>MEDIAN(C375:D375)</f>
        <v>15.5</v>
      </c>
      <c r="G375">
        <f>AVERAGE(C375:D375)</f>
        <v>15.5</v>
      </c>
    </row>
    <row r="376" spans="2:7">
      <c r="F376">
        <f>AVERAGE(F374:F375)</f>
        <v>17.75</v>
      </c>
      <c r="G376">
        <f>AVERAGE(G374:G375)</f>
        <v>17.75</v>
      </c>
    </row>
    <row r="378" spans="2:7">
      <c r="B378" s="162" t="s">
        <v>563</v>
      </c>
    </row>
    <row r="396" spans="2:6">
      <c r="B396" s="162" t="s">
        <v>562</v>
      </c>
      <c r="C396" s="162"/>
      <c r="D396" s="162"/>
      <c r="E396" s="162"/>
      <c r="F396" s="162"/>
    </row>
    <row r="414" spans="2:8">
      <c r="B414">
        <v>616.67999999999995</v>
      </c>
      <c r="C414">
        <v>285.23</v>
      </c>
      <c r="D414">
        <v>2.15</v>
      </c>
      <c r="E414">
        <v>0.97</v>
      </c>
      <c r="F414">
        <v>0.82</v>
      </c>
      <c r="G414">
        <v>2.66</v>
      </c>
      <c r="H414">
        <f>SUM(B414:G414)</f>
        <v>908.51</v>
      </c>
    </row>
    <row r="415" spans="2:8">
      <c r="B415" s="154">
        <f t="shared" ref="B415:G415" si="77">B414/$H$414</f>
        <v>0.67878174153283943</v>
      </c>
      <c r="C415" s="154">
        <f t="shared" si="77"/>
        <v>0.31395361636085461</v>
      </c>
      <c r="D415" s="154">
        <f t="shared" si="77"/>
        <v>2.3665122012966285E-3</v>
      </c>
      <c r="E415" s="154">
        <f t="shared" si="77"/>
        <v>1.0676822489570836E-3</v>
      </c>
      <c r="F415" s="154">
        <f t="shared" si="77"/>
        <v>9.0257674654103969E-4</v>
      </c>
      <c r="G415" s="154">
        <f t="shared" si="77"/>
        <v>2.9278709095111777E-3</v>
      </c>
    </row>
    <row r="419" spans="1:14">
      <c r="B419" s="162" t="s">
        <v>202</v>
      </c>
      <c r="C419" s="163">
        <v>2015</v>
      </c>
      <c r="D419" s="163">
        <f t="shared" ref="D419:K419" si="78">C419+1</f>
        <v>2016</v>
      </c>
      <c r="E419" s="163">
        <f t="shared" si="78"/>
        <v>2017</v>
      </c>
      <c r="F419" s="163">
        <f t="shared" si="78"/>
        <v>2018</v>
      </c>
      <c r="G419" s="163">
        <f t="shared" si="78"/>
        <v>2019</v>
      </c>
      <c r="H419" s="163">
        <f t="shared" si="78"/>
        <v>2020</v>
      </c>
      <c r="I419" s="163">
        <f t="shared" si="78"/>
        <v>2021</v>
      </c>
      <c r="J419" s="163">
        <f t="shared" si="78"/>
        <v>2022</v>
      </c>
      <c r="K419" s="163">
        <f t="shared" si="78"/>
        <v>2023</v>
      </c>
      <c r="M419" s="163" t="s">
        <v>508</v>
      </c>
      <c r="N419" s="163" t="s">
        <v>432</v>
      </c>
    </row>
    <row r="421" spans="1:14">
      <c r="B421" s="1" t="s">
        <v>40</v>
      </c>
      <c r="C421" s="218">
        <f>'Income Statement'!D8</f>
        <v>6625</v>
      </c>
      <c r="D421" s="218">
        <f>'Income Statement'!E8</f>
        <v>5690</v>
      </c>
      <c r="E421" s="218">
        <f>'Income Statement'!F8</f>
        <v>8487</v>
      </c>
      <c r="F421" s="218">
        <f>'Income Statement'!G8</f>
        <v>9834</v>
      </c>
      <c r="G421" s="218">
        <f>'Income Statement'!H8</f>
        <v>12554.9</v>
      </c>
      <c r="H421" s="218">
        <f>'Income Statement'!I8</f>
        <v>12867.9</v>
      </c>
      <c r="I421" s="218">
        <f>'Income Statement'!J8</f>
        <v>13559.7</v>
      </c>
      <c r="J421" s="218">
        <f>'Income Statement'!K8</f>
        <v>15009.099999999999</v>
      </c>
      <c r="K421" s="218">
        <f>'Income Statement'!L8</f>
        <v>17852.7</v>
      </c>
      <c r="L421" s="154"/>
    </row>
    <row r="422" spans="1:14">
      <c r="B422" t="s">
        <v>56</v>
      </c>
      <c r="C422" s="214">
        <v>32.200000000000003</v>
      </c>
      <c r="D422" s="214">
        <v>303.27</v>
      </c>
      <c r="E422" s="214">
        <v>781.23</v>
      </c>
      <c r="F422" s="214">
        <v>1121.05</v>
      </c>
      <c r="G422" s="214">
        <v>1182.4000000000001</v>
      </c>
      <c r="H422" s="214">
        <v>1248.19</v>
      </c>
      <c r="I422" s="214">
        <v>1163.72</v>
      </c>
      <c r="J422" s="214">
        <v>1218.28</v>
      </c>
      <c r="K422" s="214">
        <v>1264.99</v>
      </c>
    </row>
    <row r="423" spans="1:14">
      <c r="C423" s="214"/>
      <c r="D423" s="214"/>
      <c r="E423" s="214"/>
      <c r="F423" s="214"/>
      <c r="G423" s="214"/>
      <c r="H423" s="214"/>
      <c r="I423" s="214"/>
      <c r="J423" s="214"/>
      <c r="K423" s="214"/>
    </row>
    <row r="424" spans="1:14">
      <c r="B424" t="s">
        <v>560</v>
      </c>
      <c r="D424" s="154">
        <f>D422/C422-1</f>
        <v>8.4183229813664582</v>
      </c>
      <c r="E424" s="154">
        <f t="shared" ref="E424:K424" si="79">E422/D422-1</f>
        <v>1.5760213670986252</v>
      </c>
      <c r="F424" s="154">
        <f t="shared" si="79"/>
        <v>0.43498073550682892</v>
      </c>
      <c r="G424" s="154">
        <f t="shared" si="79"/>
        <v>5.47254805762456E-2</v>
      </c>
      <c r="H424" s="154">
        <f t="shared" si="79"/>
        <v>5.564106901217869E-2</v>
      </c>
      <c r="I424" s="154">
        <f t="shared" si="79"/>
        <v>-6.7673991940329636E-2</v>
      </c>
      <c r="J424" s="154">
        <f t="shared" si="79"/>
        <v>4.6884130203141527E-2</v>
      </c>
      <c r="K424" s="154">
        <f t="shared" si="79"/>
        <v>3.8340939685458153E-2</v>
      </c>
      <c r="M424" s="154">
        <f>MEDIAN(B424:K424)</f>
        <v>5.5183274794212145E-2</v>
      </c>
      <c r="N424" s="154"/>
    </row>
    <row r="425" spans="1:14">
      <c r="B425" t="s">
        <v>559</v>
      </c>
      <c r="C425" s="154">
        <f>C422/C421</f>
        <v>4.8603773584905662E-3</v>
      </c>
      <c r="D425" s="154">
        <f t="shared" ref="D425:K425" si="80">D422/D421</f>
        <v>5.3298769771528996E-2</v>
      </c>
      <c r="E425" s="154">
        <f t="shared" si="80"/>
        <v>9.2050194414987629E-2</v>
      </c>
      <c r="F425" s="154">
        <f t="shared" si="80"/>
        <v>0.11399735611145007</v>
      </c>
      <c r="G425" s="154">
        <f t="shared" si="80"/>
        <v>9.4178368605086465E-2</v>
      </c>
      <c r="H425" s="154">
        <f t="shared" si="80"/>
        <v>9.7000287537204993E-2</v>
      </c>
      <c r="I425" s="154">
        <f t="shared" si="80"/>
        <v>8.5821957712928748E-2</v>
      </c>
      <c r="J425" s="154">
        <f t="shared" si="80"/>
        <v>8.1169423882844413E-2</v>
      </c>
      <c r="K425" s="154">
        <f t="shared" si="80"/>
        <v>7.085706923882662E-2</v>
      </c>
      <c r="M425" s="154">
        <f>MEDIAN(B425:K425)</f>
        <v>8.5821957712928748E-2</v>
      </c>
      <c r="N425" s="154">
        <f>AVERAGE(B425:K425)</f>
        <v>7.7025978292594291E-2</v>
      </c>
    </row>
    <row r="428" spans="1:14" ht="60">
      <c r="B428" s="150" t="s">
        <v>561</v>
      </c>
    </row>
    <row r="431" spans="1:14">
      <c r="A431" s="260" t="s">
        <v>21</v>
      </c>
      <c r="B431" s="1" t="s">
        <v>564</v>
      </c>
    </row>
    <row r="434" spans="2:28">
      <c r="B434" s="162" t="s">
        <v>202</v>
      </c>
      <c r="C434" s="163">
        <v>2015</v>
      </c>
      <c r="D434" s="163">
        <f t="shared" ref="D434:K434" si="81">C434+1</f>
        <v>2016</v>
      </c>
      <c r="E434" s="163">
        <f t="shared" si="81"/>
        <v>2017</v>
      </c>
      <c r="F434" s="163">
        <f t="shared" si="81"/>
        <v>2018</v>
      </c>
      <c r="G434" s="163">
        <f t="shared" si="81"/>
        <v>2019</v>
      </c>
      <c r="H434" s="163">
        <f t="shared" si="81"/>
        <v>2020</v>
      </c>
      <c r="I434" s="163">
        <f t="shared" si="81"/>
        <v>2021</v>
      </c>
      <c r="J434" s="163">
        <f t="shared" si="81"/>
        <v>2022</v>
      </c>
      <c r="K434" s="163">
        <f t="shared" si="81"/>
        <v>2023</v>
      </c>
    </row>
    <row r="435" spans="2:28">
      <c r="B435" t="s">
        <v>306</v>
      </c>
      <c r="C435" s="226">
        <v>8649.6200000000008</v>
      </c>
      <c r="D435" s="226">
        <v>3872.01</v>
      </c>
      <c r="E435" s="226">
        <v>4635.3900000000003</v>
      </c>
      <c r="F435" s="226">
        <v>6547.76</v>
      </c>
      <c r="G435" s="226">
        <v>10620.72</v>
      </c>
      <c r="H435" s="226">
        <v>12407.38</v>
      </c>
      <c r="I435" s="226">
        <v>13705.6</v>
      </c>
      <c r="J435" s="226">
        <v>15921.18</v>
      </c>
      <c r="K435" s="226">
        <v>17819.52</v>
      </c>
    </row>
    <row r="436" spans="2:28">
      <c r="B436" t="s">
        <v>307</v>
      </c>
      <c r="C436" s="226">
        <v>5645.29</v>
      </c>
      <c r="D436" s="149">
        <v>821.84</v>
      </c>
      <c r="E436" s="226">
        <v>2036.27</v>
      </c>
      <c r="F436" s="226">
        <v>2958.58</v>
      </c>
      <c r="G436" s="226">
        <v>4439.07</v>
      </c>
      <c r="H436" s="226">
        <v>6244.36</v>
      </c>
      <c r="I436" s="226">
        <v>7489.35</v>
      </c>
      <c r="J436" s="226">
        <v>8638.94</v>
      </c>
      <c r="K436" s="226">
        <v>10338.65</v>
      </c>
      <c r="O436" t="s">
        <v>580</v>
      </c>
      <c r="P436" s="226">
        <v>709</v>
      </c>
      <c r="Q436" s="226">
        <v>739</v>
      </c>
      <c r="R436" s="226">
        <v>892</v>
      </c>
      <c r="S436" s="226">
        <v>1110</v>
      </c>
      <c r="T436" s="226">
        <v>1326</v>
      </c>
      <c r="U436" s="226">
        <v>1646</v>
      </c>
      <c r="V436" s="226">
        <v>1917</v>
      </c>
      <c r="W436" s="226">
        <v>2323</v>
      </c>
      <c r="X436" s="226">
        <v>2613</v>
      </c>
    </row>
    <row r="437" spans="2:28" ht="15.75" thickBot="1">
      <c r="B437" s="243" t="s">
        <v>565</v>
      </c>
      <c r="C437" s="261">
        <f>C435-C436</f>
        <v>3004.3300000000008</v>
      </c>
      <c r="D437" s="261">
        <f t="shared" ref="D437:K437" si="82">D435-D436</f>
        <v>3050.17</v>
      </c>
      <c r="E437" s="261">
        <f t="shared" si="82"/>
        <v>2599.1200000000003</v>
      </c>
      <c r="F437" s="261">
        <f t="shared" si="82"/>
        <v>3589.1800000000003</v>
      </c>
      <c r="G437" s="261">
        <f t="shared" si="82"/>
        <v>6181.65</v>
      </c>
      <c r="H437" s="261">
        <f t="shared" si="82"/>
        <v>6163.0199999999995</v>
      </c>
      <c r="I437" s="261">
        <f t="shared" si="82"/>
        <v>6216.25</v>
      </c>
      <c r="J437" s="261">
        <f t="shared" si="82"/>
        <v>7282.24</v>
      </c>
      <c r="K437" s="261">
        <f t="shared" si="82"/>
        <v>7480.8700000000008</v>
      </c>
      <c r="O437" s="263" t="s">
        <v>581</v>
      </c>
      <c r="P437" s="264">
        <f t="shared" ref="P437:X437" si="83">C435-P436</f>
        <v>7940.6200000000008</v>
      </c>
      <c r="Q437" s="264">
        <f t="shared" si="83"/>
        <v>3133.01</v>
      </c>
      <c r="R437" s="264">
        <f t="shared" si="83"/>
        <v>3743.3900000000003</v>
      </c>
      <c r="S437" s="264">
        <f t="shared" si="83"/>
        <v>5437.76</v>
      </c>
      <c r="T437" s="264">
        <f t="shared" si="83"/>
        <v>9294.7199999999993</v>
      </c>
      <c r="U437" s="264">
        <f t="shared" si="83"/>
        <v>10761.38</v>
      </c>
      <c r="V437" s="264">
        <f t="shared" si="83"/>
        <v>11788.6</v>
      </c>
      <c r="W437" s="264">
        <f t="shared" si="83"/>
        <v>13598.18</v>
      </c>
      <c r="X437" s="264">
        <f t="shared" si="83"/>
        <v>15206.52</v>
      </c>
    </row>
    <row r="438" spans="2:28">
      <c r="C438" s="226"/>
      <c r="D438" s="149"/>
      <c r="E438" s="226"/>
      <c r="F438" s="226"/>
      <c r="G438" s="226"/>
      <c r="H438" s="226"/>
      <c r="I438" s="226"/>
      <c r="J438" s="226"/>
      <c r="K438" s="226"/>
    </row>
    <row r="440" spans="2:28">
      <c r="B440" t="s">
        <v>582</v>
      </c>
      <c r="C440" s="269">
        <v>0</v>
      </c>
      <c r="D440" s="269">
        <f t="shared" ref="D440:K440" si="84">D435-C435</f>
        <v>-4777.6100000000006</v>
      </c>
      <c r="E440" s="269">
        <f t="shared" si="84"/>
        <v>763.38000000000011</v>
      </c>
      <c r="F440" s="269">
        <f t="shared" si="84"/>
        <v>1912.37</v>
      </c>
      <c r="G440" s="269">
        <f t="shared" si="84"/>
        <v>4072.9599999999991</v>
      </c>
      <c r="H440" s="269">
        <f t="shared" si="84"/>
        <v>1786.6599999999999</v>
      </c>
      <c r="I440" s="269">
        <f t="shared" si="84"/>
        <v>1298.2200000000012</v>
      </c>
      <c r="J440" s="269">
        <f t="shared" si="84"/>
        <v>2215.58</v>
      </c>
      <c r="K440" s="269">
        <f t="shared" si="84"/>
        <v>1898.3400000000001</v>
      </c>
    </row>
    <row r="442" spans="2:28">
      <c r="B442" t="s">
        <v>100</v>
      </c>
      <c r="C442" s="226">
        <v>7802.6</v>
      </c>
      <c r="D442" s="226">
        <v>9091.4</v>
      </c>
      <c r="E442" s="226">
        <v>10658.29</v>
      </c>
      <c r="F442" s="226">
        <v>14628.62</v>
      </c>
      <c r="G442" s="226">
        <v>14880.41</v>
      </c>
      <c r="H442" s="226">
        <v>19200.37</v>
      </c>
      <c r="I442" s="226">
        <v>20727.09</v>
      </c>
      <c r="J442" s="226">
        <v>23074.49</v>
      </c>
      <c r="K442" s="226">
        <v>25651.66</v>
      </c>
    </row>
    <row r="444" spans="2:28">
      <c r="B444" t="s">
        <v>567</v>
      </c>
      <c r="C444" s="154">
        <f>C437/C442</f>
        <v>0.38504216543203557</v>
      </c>
      <c r="D444" s="154">
        <f t="shared" ref="D444:K444" si="85">D437/D442</f>
        <v>0.3355005829685197</v>
      </c>
      <c r="E444" s="154">
        <f t="shared" si="85"/>
        <v>0.24385900552527659</v>
      </c>
      <c r="F444" s="154">
        <f t="shared" si="85"/>
        <v>0.24535328691291455</v>
      </c>
      <c r="G444" s="154">
        <f t="shared" si="85"/>
        <v>0.41542202130183237</v>
      </c>
      <c r="H444" s="154">
        <f t="shared" si="85"/>
        <v>0.32098443936236642</v>
      </c>
      <c r="I444" s="154">
        <f t="shared" si="85"/>
        <v>0.29990944218411753</v>
      </c>
      <c r="J444" s="154">
        <f t="shared" si="85"/>
        <v>0.31559700777785332</v>
      </c>
      <c r="K444" s="154">
        <f t="shared" si="85"/>
        <v>0.2916329781386468</v>
      </c>
    </row>
    <row r="445" spans="2:28">
      <c r="S445" s="262"/>
      <c r="T445" s="262"/>
      <c r="U445" s="262"/>
      <c r="V445" s="262"/>
      <c r="W445" s="262"/>
      <c r="X445" s="262"/>
      <c r="Y445" s="262"/>
      <c r="Z445" s="262"/>
      <c r="AA445" s="262"/>
      <c r="AB445" s="262"/>
    </row>
    <row r="446" spans="2:28">
      <c r="B446" s="1" t="s">
        <v>40</v>
      </c>
      <c r="C446" s="218">
        <f>'Income Statement'!D8</f>
        <v>6625</v>
      </c>
      <c r="D446" s="218">
        <f>'Income Statement'!E8</f>
        <v>5690</v>
      </c>
      <c r="E446" s="218">
        <f>'Income Statement'!F8</f>
        <v>8487</v>
      </c>
      <c r="F446" s="218">
        <f>'Income Statement'!G8</f>
        <v>9834</v>
      </c>
      <c r="G446" s="218">
        <f>'Income Statement'!H8</f>
        <v>12554.9</v>
      </c>
      <c r="H446" s="218">
        <f>'Income Statement'!I8</f>
        <v>12867.9</v>
      </c>
      <c r="I446" s="218">
        <f>'Income Statement'!J8</f>
        <v>13559.7</v>
      </c>
      <c r="J446" s="218">
        <f>'Income Statement'!K8</f>
        <v>15009.099999999999</v>
      </c>
      <c r="K446" s="218">
        <f>'Income Statement'!L8</f>
        <v>17852.7</v>
      </c>
      <c r="L446" s="218"/>
      <c r="V446" s="262"/>
      <c r="W446" s="262"/>
      <c r="X446" s="262"/>
      <c r="Y446" s="262"/>
      <c r="Z446" s="262"/>
      <c r="AA446" s="262"/>
      <c r="AB446" s="262"/>
    </row>
    <row r="447" spans="2:28">
      <c r="B447" s="1"/>
      <c r="C447" s="218"/>
      <c r="D447" s="218"/>
      <c r="E447" s="218"/>
      <c r="F447" s="218"/>
      <c r="G447" s="218"/>
      <c r="H447" s="218"/>
      <c r="I447" s="218"/>
      <c r="J447" s="218"/>
      <c r="K447" s="218"/>
      <c r="L447" s="218"/>
      <c r="V447" s="262"/>
      <c r="W447" s="262"/>
      <c r="X447" s="262"/>
      <c r="Y447" s="262"/>
      <c r="Z447" s="262"/>
      <c r="AA447" s="262"/>
      <c r="AB447" s="262"/>
    </row>
    <row r="448" spans="2:28">
      <c r="B448" s="1" t="s">
        <v>583</v>
      </c>
      <c r="C448" s="218"/>
      <c r="D448" s="267">
        <f>D446-C446</f>
        <v>-935</v>
      </c>
      <c r="E448" s="267">
        <f t="shared" ref="E448:K448" si="86">E446-D446</f>
        <v>2797</v>
      </c>
      <c r="F448" s="267">
        <f t="shared" si="86"/>
        <v>1347</v>
      </c>
      <c r="G448" s="267">
        <f t="shared" si="86"/>
        <v>2720.8999999999996</v>
      </c>
      <c r="H448" s="267">
        <f t="shared" si="86"/>
        <v>313</v>
      </c>
      <c r="I448" s="267">
        <f t="shared" si="86"/>
        <v>691.80000000000109</v>
      </c>
      <c r="J448" s="267">
        <f t="shared" si="86"/>
        <v>1449.3999999999978</v>
      </c>
      <c r="K448" s="267">
        <f t="shared" si="86"/>
        <v>2843.6000000000022</v>
      </c>
      <c r="L448" s="218"/>
      <c r="V448" s="262"/>
      <c r="W448" s="262"/>
      <c r="X448" s="262"/>
      <c r="Y448" s="262"/>
      <c r="Z448" s="262"/>
      <c r="AA448" s="262"/>
      <c r="AB448" s="262"/>
    </row>
    <row r="449" spans="2:28">
      <c r="X449" s="262"/>
      <c r="Y449" s="262"/>
      <c r="Z449" s="262"/>
      <c r="AA449" s="262"/>
      <c r="AB449" s="262"/>
    </row>
    <row r="450" spans="2:28">
      <c r="B450" t="s">
        <v>566</v>
      </c>
      <c r="C450" s="154">
        <f>C437/C446</f>
        <v>0.45348377358490577</v>
      </c>
      <c r="D450" s="154">
        <f t="shared" ref="D450:K450" si="87">D437/D446</f>
        <v>0.53605799648506147</v>
      </c>
      <c r="E450" s="154">
        <f t="shared" si="87"/>
        <v>0.30624720160245084</v>
      </c>
      <c r="F450" s="154">
        <f t="shared" si="87"/>
        <v>0.36497661175513529</v>
      </c>
      <c r="G450" s="154">
        <f t="shared" si="87"/>
        <v>0.49236951309847149</v>
      </c>
      <c r="H450" s="154">
        <f t="shared" si="87"/>
        <v>0.47894528244701928</v>
      </c>
      <c r="I450" s="154">
        <f t="shared" si="87"/>
        <v>0.45843565860601632</v>
      </c>
      <c r="J450" s="154">
        <f t="shared" si="87"/>
        <v>0.48518831908642096</v>
      </c>
      <c r="K450" s="154">
        <f t="shared" si="87"/>
        <v>0.41903297540428064</v>
      </c>
      <c r="S450" s="262"/>
      <c r="T450" s="262"/>
      <c r="U450" s="262"/>
      <c r="V450" s="262"/>
      <c r="W450" s="262"/>
      <c r="X450" s="262"/>
      <c r="Y450" s="262"/>
      <c r="Z450" s="262"/>
      <c r="AA450" s="262"/>
      <c r="AB450" s="262"/>
    </row>
    <row r="451" spans="2:28">
      <c r="B451" s="1" t="s">
        <v>138</v>
      </c>
      <c r="C451" s="154">
        <f>C446/C442</f>
        <v>0.84907594904262673</v>
      </c>
      <c r="D451" s="154">
        <f t="shared" ref="D451:K451" si="88">D446/D442</f>
        <v>0.62586620322502584</v>
      </c>
      <c r="E451" s="154">
        <f t="shared" si="88"/>
        <v>0.79628157987819803</v>
      </c>
      <c r="F451" s="154">
        <f t="shared" si="88"/>
        <v>0.67224386169030292</v>
      </c>
      <c r="G451" s="154">
        <f t="shared" si="88"/>
        <v>0.84372003190772293</v>
      </c>
      <c r="H451" s="154">
        <f t="shared" si="88"/>
        <v>0.67019020987616384</v>
      </c>
      <c r="I451" s="154">
        <f t="shared" si="88"/>
        <v>0.65420181993709681</v>
      </c>
      <c r="J451" s="154">
        <f t="shared" si="88"/>
        <v>0.65046291380654553</v>
      </c>
      <c r="K451" s="154">
        <f t="shared" si="88"/>
        <v>0.69596665478959263</v>
      </c>
      <c r="S451" s="262"/>
      <c r="T451" s="262"/>
      <c r="U451" s="262"/>
      <c r="V451" s="262"/>
      <c r="W451" s="262"/>
      <c r="X451" s="262"/>
      <c r="Y451" s="262"/>
      <c r="Z451" s="262"/>
      <c r="AA451" s="262"/>
      <c r="AB451" s="262"/>
    </row>
    <row r="452" spans="2:28">
      <c r="C452" s="154"/>
      <c r="D452" s="154"/>
      <c r="E452" s="154"/>
      <c r="F452" s="154"/>
      <c r="G452" s="154"/>
      <c r="H452" s="154"/>
      <c r="I452" s="154"/>
      <c r="J452" s="154"/>
      <c r="K452" s="154"/>
      <c r="S452" s="262"/>
      <c r="T452" s="262"/>
      <c r="U452" s="262"/>
      <c r="V452" s="262"/>
      <c r="W452" s="262"/>
      <c r="X452" s="262"/>
      <c r="Y452" s="262"/>
      <c r="Z452" s="262"/>
      <c r="AA452" s="262"/>
      <c r="AB452" s="262"/>
    </row>
    <row r="453" spans="2:28">
      <c r="B453" t="s">
        <v>588</v>
      </c>
      <c r="C453" s="154"/>
      <c r="D453" s="154">
        <f>D435/C435-1</f>
        <v>-0.55234912053939944</v>
      </c>
      <c r="E453" s="154">
        <f t="shared" ref="E453:K453" si="89">E435/D435-1</f>
        <v>0.19715341644262274</v>
      </c>
      <c r="F453" s="154">
        <f t="shared" si="89"/>
        <v>0.41255859808991246</v>
      </c>
      <c r="G453" s="154">
        <f t="shared" si="89"/>
        <v>0.62203868193091982</v>
      </c>
      <c r="H453" s="154">
        <f t="shared" si="89"/>
        <v>0.16822399987948078</v>
      </c>
      <c r="I453" s="154">
        <f t="shared" si="89"/>
        <v>0.10463288784578229</v>
      </c>
      <c r="J453" s="154">
        <f t="shared" si="89"/>
        <v>0.16165508989026378</v>
      </c>
      <c r="K453" s="154">
        <f t="shared" si="89"/>
        <v>0.11923362464339959</v>
      </c>
      <c r="S453" s="262"/>
      <c r="T453" s="262"/>
      <c r="U453" s="262"/>
      <c r="V453" s="262"/>
      <c r="W453" s="262"/>
      <c r="X453" s="262"/>
      <c r="Y453" s="262"/>
      <c r="Z453" s="262"/>
      <c r="AA453" s="262"/>
      <c r="AB453" s="262"/>
    </row>
    <row r="454" spans="2:28">
      <c r="C454" s="154"/>
      <c r="D454" s="154"/>
      <c r="E454" s="154"/>
      <c r="F454" s="154"/>
      <c r="G454" s="154"/>
      <c r="H454" s="154"/>
      <c r="I454" s="154"/>
      <c r="J454" s="154"/>
      <c r="K454" s="154"/>
      <c r="S454" s="262"/>
      <c r="T454" s="262"/>
      <c r="U454" s="262"/>
      <c r="V454" s="262"/>
      <c r="W454" s="262"/>
      <c r="X454" s="262"/>
      <c r="Y454" s="262"/>
      <c r="Z454" s="262"/>
      <c r="AA454" s="262"/>
      <c r="AB454" s="262"/>
    </row>
    <row r="455" spans="2:28">
      <c r="B455" t="s">
        <v>584</v>
      </c>
      <c r="C455" s="154"/>
      <c r="D455" s="268">
        <f>D446/D440</f>
        <v>-1.1909720550651894</v>
      </c>
      <c r="E455" s="268">
        <f t="shared" ref="E455:K455" si="90">E446/E440</f>
        <v>11.117660929026172</v>
      </c>
      <c r="F455" s="268">
        <f t="shared" si="90"/>
        <v>5.1423103269764745</v>
      </c>
      <c r="G455" s="268">
        <f t="shared" si="90"/>
        <v>3.0825001964173482</v>
      </c>
      <c r="H455" s="268">
        <f t="shared" si="90"/>
        <v>7.2022097097377236</v>
      </c>
      <c r="I455" s="268">
        <f t="shared" si="90"/>
        <v>10.444839857651237</v>
      </c>
      <c r="J455" s="268">
        <f t="shared" si="90"/>
        <v>6.7743435127596383</v>
      </c>
      <c r="K455" s="268">
        <f t="shared" si="90"/>
        <v>9.4043743481146684</v>
      </c>
      <c r="S455" s="262"/>
      <c r="T455" s="262"/>
      <c r="U455" s="262"/>
      <c r="V455" s="262"/>
      <c r="W455" s="262"/>
      <c r="X455" s="262"/>
      <c r="Y455" s="262"/>
      <c r="Z455" s="262"/>
      <c r="AA455" s="262"/>
      <c r="AB455" s="262"/>
    </row>
    <row r="457" spans="2:28">
      <c r="B457" s="162" t="s">
        <v>577</v>
      </c>
      <c r="C457" s="163">
        <v>2015</v>
      </c>
      <c r="D457" s="163">
        <f t="shared" ref="D457:K457" si="91">C457+1</f>
        <v>2016</v>
      </c>
      <c r="E457" s="163">
        <f t="shared" si="91"/>
        <v>2017</v>
      </c>
      <c r="F457" s="163">
        <f t="shared" si="91"/>
        <v>2018</v>
      </c>
      <c r="G457" s="163">
        <f t="shared" si="91"/>
        <v>2019</v>
      </c>
      <c r="H457" s="163">
        <f t="shared" si="91"/>
        <v>2020</v>
      </c>
      <c r="I457" s="163">
        <f t="shared" si="91"/>
        <v>2021</v>
      </c>
      <c r="J457" s="163">
        <f t="shared" si="91"/>
        <v>2022</v>
      </c>
      <c r="K457" s="163">
        <f t="shared" si="91"/>
        <v>2023</v>
      </c>
    </row>
    <row r="459" spans="2:28">
      <c r="B459" t="s">
        <v>568</v>
      </c>
      <c r="C459" s="226">
        <v>709</v>
      </c>
      <c r="D459" s="226">
        <v>739</v>
      </c>
      <c r="E459" s="226">
        <v>892</v>
      </c>
      <c r="F459" s="226">
        <v>1110</v>
      </c>
      <c r="G459" s="226">
        <v>1326</v>
      </c>
      <c r="H459" s="226">
        <v>1646</v>
      </c>
      <c r="I459" s="226">
        <v>1917</v>
      </c>
      <c r="J459" s="226">
        <v>2323</v>
      </c>
      <c r="K459" s="226">
        <v>2613</v>
      </c>
      <c r="L459" s="262"/>
      <c r="M459" s="262"/>
      <c r="N459" s="262"/>
    </row>
    <row r="460" spans="2:28">
      <c r="B460" t="s">
        <v>569</v>
      </c>
      <c r="C460" s="226">
        <v>387</v>
      </c>
      <c r="D460" s="226">
        <v>356</v>
      </c>
      <c r="E460" s="226">
        <v>454</v>
      </c>
      <c r="F460" s="226">
        <v>639</v>
      </c>
      <c r="G460" s="226">
        <v>953</v>
      </c>
      <c r="H460" s="226">
        <v>1151</v>
      </c>
      <c r="I460" s="226">
        <v>1256</v>
      </c>
      <c r="J460" s="226">
        <v>1421</v>
      </c>
      <c r="K460" s="226">
        <v>1660</v>
      </c>
      <c r="L460" s="262"/>
      <c r="M460" s="262"/>
      <c r="N460" s="262"/>
    </row>
    <row r="461" spans="2:28">
      <c r="B461" t="s">
        <v>570</v>
      </c>
      <c r="C461" s="226">
        <v>7231</v>
      </c>
      <c r="D461" s="226">
        <v>2704</v>
      </c>
      <c r="E461" s="226">
        <v>3174</v>
      </c>
      <c r="F461" s="226">
        <v>4659</v>
      </c>
      <c r="G461" s="226">
        <v>8088</v>
      </c>
      <c r="H461" s="226">
        <v>9306</v>
      </c>
      <c r="I461" s="226">
        <v>10203</v>
      </c>
      <c r="J461" s="226">
        <v>11783</v>
      </c>
      <c r="K461" s="226">
        <v>12859</v>
      </c>
      <c r="L461" s="262"/>
      <c r="M461" s="262"/>
      <c r="N461" s="262"/>
    </row>
    <row r="462" spans="2:28">
      <c r="B462" t="s">
        <v>571</v>
      </c>
      <c r="C462" s="226">
        <v>63</v>
      </c>
      <c r="D462" s="226">
        <v>19</v>
      </c>
      <c r="E462" s="226">
        <v>32</v>
      </c>
      <c r="F462" s="226">
        <v>39</v>
      </c>
      <c r="G462" s="226">
        <v>54</v>
      </c>
      <c r="H462" s="226">
        <v>69</v>
      </c>
      <c r="I462" s="226">
        <v>75</v>
      </c>
      <c r="J462" s="226">
        <v>85</v>
      </c>
      <c r="K462" s="226">
        <v>99</v>
      </c>
    </row>
    <row r="463" spans="2:28">
      <c r="B463" t="s">
        <v>572</v>
      </c>
      <c r="C463" s="226">
        <v>41</v>
      </c>
      <c r="D463" s="226">
        <v>17</v>
      </c>
      <c r="E463" s="226">
        <v>22</v>
      </c>
      <c r="F463" s="226">
        <v>30</v>
      </c>
      <c r="G463" s="226">
        <v>39</v>
      </c>
      <c r="H463" s="226">
        <v>45</v>
      </c>
      <c r="I463" s="226">
        <v>47</v>
      </c>
      <c r="J463" s="226">
        <v>56</v>
      </c>
      <c r="K463" s="226">
        <v>65</v>
      </c>
    </row>
    <row r="464" spans="2:28">
      <c r="B464" t="s">
        <v>573</v>
      </c>
      <c r="C464" s="226">
        <v>39</v>
      </c>
      <c r="D464" s="226">
        <v>20</v>
      </c>
      <c r="E464" s="226">
        <v>23</v>
      </c>
      <c r="F464" s="226">
        <v>23</v>
      </c>
      <c r="G464" s="226">
        <v>63</v>
      </c>
      <c r="H464" s="226">
        <v>63</v>
      </c>
      <c r="I464" s="226">
        <v>66</v>
      </c>
      <c r="J464" s="226">
        <v>68</v>
      </c>
      <c r="K464" s="226">
        <v>276</v>
      </c>
    </row>
    <row r="465" spans="2:11">
      <c r="B465" t="s">
        <v>574</v>
      </c>
      <c r="C465" s="226">
        <v>39</v>
      </c>
      <c r="D465" s="226">
        <v>14</v>
      </c>
      <c r="E465" s="226">
        <v>20</v>
      </c>
      <c r="F465" s="226">
        <v>26</v>
      </c>
      <c r="G465" s="226">
        <v>38</v>
      </c>
      <c r="H465" s="226">
        <v>52</v>
      </c>
      <c r="I465" s="226">
        <v>53</v>
      </c>
      <c r="J465" s="226">
        <v>95</v>
      </c>
      <c r="K465" s="226">
        <v>133</v>
      </c>
    </row>
    <row r="466" spans="2:11">
      <c r="B466" t="s">
        <v>575</v>
      </c>
      <c r="C466" s="226">
        <v>111</v>
      </c>
      <c r="D466" s="226">
        <v>0</v>
      </c>
      <c r="E466" s="226">
        <v>0</v>
      </c>
      <c r="F466" s="226">
        <v>0</v>
      </c>
      <c r="G466" s="226">
        <v>0</v>
      </c>
      <c r="H466" s="226">
        <v>0</v>
      </c>
      <c r="I466" s="226">
        <v>0</v>
      </c>
      <c r="J466" s="226">
        <v>0</v>
      </c>
      <c r="K466" s="226">
        <v>31</v>
      </c>
    </row>
    <row r="467" spans="2:11">
      <c r="B467" t="s">
        <v>576</v>
      </c>
      <c r="C467" s="226">
        <v>30</v>
      </c>
      <c r="D467" s="226">
        <v>3</v>
      </c>
      <c r="E467" s="226">
        <v>18</v>
      </c>
      <c r="F467" s="226">
        <v>21</v>
      </c>
      <c r="G467" s="226">
        <v>61</v>
      </c>
      <c r="H467" s="226">
        <v>75</v>
      </c>
      <c r="I467" s="226">
        <v>88</v>
      </c>
      <c r="J467" s="226">
        <v>91</v>
      </c>
      <c r="K467" s="226">
        <v>84</v>
      </c>
    </row>
    <row r="469" spans="2:11" ht="15.75" thickBot="1">
      <c r="B469" s="243" t="s">
        <v>578</v>
      </c>
      <c r="C469" s="261">
        <f>SUM(C459:C467)</f>
        <v>8650</v>
      </c>
      <c r="D469" s="261">
        <f t="shared" ref="D469:K469" si="92">SUM(D459:D467)</f>
        <v>3872</v>
      </c>
      <c r="E469" s="261">
        <f t="shared" si="92"/>
        <v>4635</v>
      </c>
      <c r="F469" s="261">
        <f t="shared" si="92"/>
        <v>6547</v>
      </c>
      <c r="G469" s="261">
        <f t="shared" si="92"/>
        <v>10622</v>
      </c>
      <c r="H469" s="261">
        <f t="shared" si="92"/>
        <v>12407</v>
      </c>
      <c r="I469" s="261">
        <f t="shared" si="92"/>
        <v>13705</v>
      </c>
      <c r="J469" s="261">
        <f t="shared" si="92"/>
        <v>15922</v>
      </c>
      <c r="K469" s="261">
        <f t="shared" si="92"/>
        <v>17820</v>
      </c>
    </row>
    <row r="472" spans="2:11">
      <c r="B472" s="162" t="s">
        <v>579</v>
      </c>
      <c r="C472" s="163">
        <v>2015</v>
      </c>
      <c r="D472" s="163">
        <f t="shared" ref="D472:K472" si="93">C472+1</f>
        <v>2016</v>
      </c>
      <c r="E472" s="163">
        <f t="shared" si="93"/>
        <v>2017</v>
      </c>
      <c r="F472" s="163">
        <f t="shared" si="93"/>
        <v>2018</v>
      </c>
      <c r="G472" s="163">
        <f t="shared" si="93"/>
        <v>2019</v>
      </c>
      <c r="H472" s="163">
        <f t="shared" si="93"/>
        <v>2020</v>
      </c>
      <c r="I472" s="163">
        <f t="shared" si="93"/>
        <v>2021</v>
      </c>
      <c r="J472" s="163">
        <f t="shared" si="93"/>
        <v>2022</v>
      </c>
      <c r="K472" s="163">
        <f t="shared" si="93"/>
        <v>2023</v>
      </c>
    </row>
    <row r="474" spans="2:11">
      <c r="B474" t="s">
        <v>568</v>
      </c>
      <c r="C474" s="154">
        <f>C459/C$469</f>
        <v>8.1965317919075145E-2</v>
      </c>
      <c r="D474" s="154">
        <f t="shared" ref="D474:K474" si="94">D459/D$469</f>
        <v>0.19085743801652894</v>
      </c>
      <c r="E474" s="154">
        <f t="shared" si="94"/>
        <v>0.19244875943905071</v>
      </c>
      <c r="F474" s="154">
        <f t="shared" si="94"/>
        <v>0.16954330227585154</v>
      </c>
      <c r="G474" s="154">
        <f t="shared" si="94"/>
        <v>0.12483524759932216</v>
      </c>
      <c r="H474" s="154">
        <f t="shared" si="94"/>
        <v>0.13266704279842026</v>
      </c>
      <c r="I474" s="154">
        <f t="shared" si="94"/>
        <v>0.13987595767967895</v>
      </c>
      <c r="J474" s="154">
        <f t="shared" si="94"/>
        <v>0.14589875643763348</v>
      </c>
      <c r="K474" s="154">
        <f t="shared" si="94"/>
        <v>0.14663299663299664</v>
      </c>
    </row>
    <row r="475" spans="2:11">
      <c r="B475" s="265" t="s">
        <v>569</v>
      </c>
      <c r="C475" s="266">
        <f t="shared" ref="C475:K475" si="95">C460/C$469</f>
        <v>4.4739884393063582E-2</v>
      </c>
      <c r="D475" s="266">
        <f t="shared" si="95"/>
        <v>9.1942148760330578E-2</v>
      </c>
      <c r="E475" s="266">
        <f t="shared" si="95"/>
        <v>9.7950377562028054E-2</v>
      </c>
      <c r="F475" s="266">
        <f t="shared" si="95"/>
        <v>9.7601955093936155E-2</v>
      </c>
      <c r="G475" s="266">
        <f t="shared" si="95"/>
        <v>8.9719450197702874E-2</v>
      </c>
      <c r="H475" s="266">
        <f t="shared" si="95"/>
        <v>9.2770210365116471E-2</v>
      </c>
      <c r="I475" s="266">
        <f t="shared" si="95"/>
        <v>9.1645384896023349E-2</v>
      </c>
      <c r="J475" s="266">
        <f t="shared" si="95"/>
        <v>8.9247581962065073E-2</v>
      </c>
      <c r="K475" s="266">
        <f t="shared" si="95"/>
        <v>9.3153759820426493E-2</v>
      </c>
    </row>
    <row r="476" spans="2:11">
      <c r="B476" s="265" t="s">
        <v>570</v>
      </c>
      <c r="C476" s="266">
        <f t="shared" ref="C476:K476" si="96">C461/C$469</f>
        <v>0.83595375722543352</v>
      </c>
      <c r="D476" s="266">
        <f t="shared" si="96"/>
        <v>0.69834710743801653</v>
      </c>
      <c r="E476" s="266">
        <f t="shared" si="96"/>
        <v>0.68478964401294495</v>
      </c>
      <c r="F476" s="266">
        <f t="shared" si="96"/>
        <v>0.71162364441729031</v>
      </c>
      <c r="G476" s="266">
        <f t="shared" si="96"/>
        <v>0.76143852381848998</v>
      </c>
      <c r="H476" s="266">
        <f t="shared" si="96"/>
        <v>0.75006044974611108</v>
      </c>
      <c r="I476" s="266">
        <f t="shared" si="96"/>
        <v>0.74447282013863558</v>
      </c>
      <c r="J476" s="266">
        <f t="shared" si="96"/>
        <v>0.74004522044969223</v>
      </c>
      <c r="K476" s="266">
        <f t="shared" si="96"/>
        <v>0.72160493827160499</v>
      </c>
    </row>
    <row r="477" spans="2:11">
      <c r="B477" t="s">
        <v>571</v>
      </c>
      <c r="C477" s="154">
        <f t="shared" ref="C477:K477" si="97">C462/C$469</f>
        <v>7.283236994219653E-3</v>
      </c>
      <c r="D477" s="154">
        <f t="shared" si="97"/>
        <v>4.9070247933884299E-3</v>
      </c>
      <c r="E477" s="154">
        <f t="shared" si="97"/>
        <v>6.9039913700107876E-3</v>
      </c>
      <c r="F477" s="154">
        <f t="shared" si="97"/>
        <v>5.9569268367191076E-3</v>
      </c>
      <c r="G477" s="154">
        <f t="shared" si="97"/>
        <v>5.0837883637733011E-3</v>
      </c>
      <c r="H477" s="154">
        <f t="shared" si="97"/>
        <v>5.5613766422181023E-3</v>
      </c>
      <c r="I477" s="154">
        <f t="shared" si="97"/>
        <v>5.4724553082816487E-3</v>
      </c>
      <c r="J477" s="154">
        <f t="shared" si="97"/>
        <v>5.3385253108905913E-3</v>
      </c>
      <c r="K477" s="154">
        <f t="shared" si="97"/>
        <v>5.5555555555555558E-3</v>
      </c>
    </row>
    <row r="478" spans="2:11">
      <c r="B478" t="s">
        <v>572</v>
      </c>
      <c r="C478" s="154">
        <f t="shared" ref="C478:K478" si="98">C463/C$469</f>
        <v>4.739884393063584E-3</v>
      </c>
      <c r="D478" s="154">
        <f t="shared" si="98"/>
        <v>4.3904958677685952E-3</v>
      </c>
      <c r="E478" s="154">
        <f t="shared" si="98"/>
        <v>4.7464940668824167E-3</v>
      </c>
      <c r="F478" s="154">
        <f t="shared" si="98"/>
        <v>4.5822514128608521E-3</v>
      </c>
      <c r="G478" s="154">
        <f t="shared" si="98"/>
        <v>3.6716249293918283E-3</v>
      </c>
      <c r="H478" s="154">
        <f t="shared" si="98"/>
        <v>3.6269847666639799E-3</v>
      </c>
      <c r="I478" s="154">
        <f t="shared" si="98"/>
        <v>3.4294053265231665E-3</v>
      </c>
      <c r="J478" s="154">
        <f t="shared" si="98"/>
        <v>3.5171460871749778E-3</v>
      </c>
      <c r="K478" s="154">
        <f t="shared" si="98"/>
        <v>3.6475869809203141E-3</v>
      </c>
    </row>
    <row r="479" spans="2:11">
      <c r="B479" t="s">
        <v>573</v>
      </c>
      <c r="C479" s="154">
        <f t="shared" ref="C479:K479" si="99">C464/C$469</f>
        <v>4.5086705202312142E-3</v>
      </c>
      <c r="D479" s="154">
        <f t="shared" si="99"/>
        <v>5.1652892561983473E-3</v>
      </c>
      <c r="E479" s="154">
        <f t="shared" si="99"/>
        <v>4.9622437971952532E-3</v>
      </c>
      <c r="F479" s="154">
        <f t="shared" si="99"/>
        <v>3.5130594165266532E-3</v>
      </c>
      <c r="G479" s="154">
        <f t="shared" si="99"/>
        <v>5.9310864244021839E-3</v>
      </c>
      <c r="H479" s="154">
        <f t="shared" si="99"/>
        <v>5.0777786733295716E-3</v>
      </c>
      <c r="I479" s="154">
        <f t="shared" si="99"/>
        <v>4.8157606712878514E-3</v>
      </c>
      <c r="J479" s="154">
        <f t="shared" si="99"/>
        <v>4.2708202487124732E-3</v>
      </c>
      <c r="K479" s="154">
        <f t="shared" si="99"/>
        <v>1.5488215488215488E-2</v>
      </c>
    </row>
    <row r="480" spans="2:11">
      <c r="B480" t="s">
        <v>574</v>
      </c>
      <c r="C480" s="154">
        <f t="shared" ref="C480:K480" si="100">C465/C$469</f>
        <v>4.5086705202312142E-3</v>
      </c>
      <c r="D480" s="154">
        <f t="shared" si="100"/>
        <v>3.6157024793388431E-3</v>
      </c>
      <c r="E480" s="154">
        <f t="shared" si="100"/>
        <v>4.3149946062567418E-3</v>
      </c>
      <c r="F480" s="154">
        <f t="shared" si="100"/>
        <v>3.971284557812739E-3</v>
      </c>
      <c r="G480" s="154">
        <f t="shared" si="100"/>
        <v>3.5774807004330636E-3</v>
      </c>
      <c r="H480" s="154">
        <f t="shared" si="100"/>
        <v>4.1911823970339325E-3</v>
      </c>
      <c r="I480" s="154">
        <f t="shared" si="100"/>
        <v>3.8672017511856985E-3</v>
      </c>
      <c r="J480" s="154">
        <f t="shared" si="100"/>
        <v>5.9665871121718375E-3</v>
      </c>
      <c r="K480" s="154">
        <f t="shared" si="100"/>
        <v>7.4635241301907965E-3</v>
      </c>
    </row>
    <row r="481" spans="2:11">
      <c r="B481" t="s">
        <v>575</v>
      </c>
      <c r="C481" s="154">
        <f t="shared" ref="C481:K481" si="101">C466/C$469</f>
        <v>1.2832369942196532E-2</v>
      </c>
      <c r="D481" s="154">
        <f t="shared" si="101"/>
        <v>0</v>
      </c>
      <c r="E481" s="154">
        <f t="shared" si="101"/>
        <v>0</v>
      </c>
      <c r="F481" s="154">
        <f t="shared" si="101"/>
        <v>0</v>
      </c>
      <c r="G481" s="154">
        <f t="shared" si="101"/>
        <v>0</v>
      </c>
      <c r="H481" s="154">
        <f t="shared" si="101"/>
        <v>0</v>
      </c>
      <c r="I481" s="154">
        <f t="shared" si="101"/>
        <v>0</v>
      </c>
      <c r="J481" s="154">
        <f t="shared" si="101"/>
        <v>0</v>
      </c>
      <c r="K481" s="154">
        <f t="shared" si="101"/>
        <v>1.7396184062850729E-3</v>
      </c>
    </row>
    <row r="482" spans="2:11">
      <c r="B482" t="s">
        <v>576</v>
      </c>
      <c r="C482" s="154">
        <f t="shared" ref="C482:K482" si="102">C467/C$469</f>
        <v>3.4682080924855491E-3</v>
      </c>
      <c r="D482" s="154">
        <f t="shared" si="102"/>
        <v>7.7479338842975209E-4</v>
      </c>
      <c r="E482" s="154">
        <f t="shared" si="102"/>
        <v>3.8834951456310678E-3</v>
      </c>
      <c r="F482" s="154">
        <f t="shared" si="102"/>
        <v>3.2075759890025967E-3</v>
      </c>
      <c r="G482" s="154">
        <f t="shared" si="102"/>
        <v>5.7427979664846545E-3</v>
      </c>
      <c r="H482" s="154">
        <f t="shared" si="102"/>
        <v>6.044974611106633E-3</v>
      </c>
      <c r="I482" s="154">
        <f t="shared" si="102"/>
        <v>6.4210142283838015E-3</v>
      </c>
      <c r="J482" s="154">
        <f t="shared" si="102"/>
        <v>5.7153623916593394E-3</v>
      </c>
      <c r="K482" s="154">
        <f t="shared" si="102"/>
        <v>4.7138047138047135E-3</v>
      </c>
    </row>
    <row r="484" spans="2:11" ht="15.75" thickBot="1">
      <c r="B484" s="243" t="s">
        <v>578</v>
      </c>
      <c r="C484" s="246">
        <f>SUM(C474:C482)</f>
        <v>1</v>
      </c>
      <c r="D484" s="246">
        <f t="shared" ref="D484:K484" si="103">SUM(D474:D482)</f>
        <v>1</v>
      </c>
      <c r="E484" s="246">
        <f t="shared" si="103"/>
        <v>0.99999999999999989</v>
      </c>
      <c r="F484" s="246">
        <f t="shared" si="103"/>
        <v>0.99999999999999989</v>
      </c>
      <c r="G484" s="246">
        <f t="shared" si="103"/>
        <v>1</v>
      </c>
      <c r="H484" s="246">
        <f t="shared" si="103"/>
        <v>1.0000000000000002</v>
      </c>
      <c r="I484" s="246">
        <f t="shared" si="103"/>
        <v>1</v>
      </c>
      <c r="J484" s="246">
        <f t="shared" si="103"/>
        <v>1</v>
      </c>
      <c r="K484" s="246">
        <f t="shared" si="103"/>
        <v>0.99999999999999989</v>
      </c>
    </row>
    <row r="486" spans="2:11">
      <c r="B486" s="162" t="s">
        <v>202</v>
      </c>
      <c r="C486" s="163">
        <v>2015</v>
      </c>
      <c r="D486" s="163">
        <f t="shared" ref="D486:K486" si="104">C486+1</f>
        <v>2016</v>
      </c>
      <c r="E486" s="163">
        <f t="shared" si="104"/>
        <v>2017</v>
      </c>
      <c r="F486" s="163">
        <f t="shared" si="104"/>
        <v>2018</v>
      </c>
      <c r="G486" s="163">
        <f t="shared" si="104"/>
        <v>2019</v>
      </c>
      <c r="H486" s="163">
        <f t="shared" si="104"/>
        <v>2020</v>
      </c>
      <c r="I486" s="163">
        <f t="shared" si="104"/>
        <v>2021</v>
      </c>
      <c r="J486" s="163">
        <f t="shared" si="104"/>
        <v>2022</v>
      </c>
      <c r="K486" s="163">
        <f t="shared" si="104"/>
        <v>2023</v>
      </c>
    </row>
    <row r="488" spans="2:11">
      <c r="B488" t="s">
        <v>582</v>
      </c>
      <c r="C488" s="270">
        <v>0</v>
      </c>
      <c r="D488" s="270">
        <v>-4777.6100000000006</v>
      </c>
      <c r="E488" s="270">
        <v>763.38000000000011</v>
      </c>
      <c r="F488" s="270">
        <v>1912.37</v>
      </c>
      <c r="G488" s="270">
        <v>4072.9599999999991</v>
      </c>
      <c r="H488" s="270">
        <v>1786.6599999999999</v>
      </c>
      <c r="I488" s="270">
        <v>1298.2200000000012</v>
      </c>
      <c r="J488" s="270">
        <v>2215.58</v>
      </c>
      <c r="K488" s="270">
        <v>1898.3400000000001</v>
      </c>
    </row>
    <row r="489" spans="2:11">
      <c r="B489" t="s">
        <v>585</v>
      </c>
      <c r="C489">
        <v>924.8</v>
      </c>
      <c r="D489">
        <v>827.6</v>
      </c>
      <c r="E489">
        <v>1214.7</v>
      </c>
      <c r="F489">
        <v>899.4</v>
      </c>
      <c r="G489">
        <v>1471.8</v>
      </c>
      <c r="H489">
        <v>1807.8</v>
      </c>
      <c r="I489">
        <v>1262.3</v>
      </c>
      <c r="J489">
        <v>1145.9000000000001</v>
      </c>
      <c r="K489">
        <v>1660.7</v>
      </c>
    </row>
    <row r="490" spans="2:11">
      <c r="B490" s="263" t="s">
        <v>586</v>
      </c>
      <c r="C490" s="263">
        <f>C489</f>
        <v>924.8</v>
      </c>
      <c r="D490" s="263">
        <f t="shared" ref="D490:K490" si="105">D489</f>
        <v>827.6</v>
      </c>
      <c r="E490" s="263">
        <f t="shared" si="105"/>
        <v>1214.7</v>
      </c>
      <c r="F490" s="263">
        <f t="shared" si="105"/>
        <v>899.4</v>
      </c>
      <c r="G490" s="263">
        <f t="shared" si="105"/>
        <v>1471.8</v>
      </c>
      <c r="H490" s="263">
        <f t="shared" si="105"/>
        <v>1807.8</v>
      </c>
      <c r="I490" s="263">
        <f t="shared" si="105"/>
        <v>1262.3</v>
      </c>
      <c r="J490" s="263">
        <f t="shared" si="105"/>
        <v>1145.9000000000001</v>
      </c>
      <c r="K490" s="263">
        <f t="shared" si="105"/>
        <v>1660.7</v>
      </c>
    </row>
    <row r="491" spans="2:11" ht="15.75" thickBot="1">
      <c r="B491" s="271" t="s">
        <v>587</v>
      </c>
      <c r="C491" s="271">
        <f>IF(C489&gt;C488,0,C488-C489)</f>
        <v>0</v>
      </c>
      <c r="D491" s="271">
        <f t="shared" ref="D491:K491" si="106">IF(D489&gt;D488,0,D488-D489)</f>
        <v>0</v>
      </c>
      <c r="E491" s="271">
        <f t="shared" si="106"/>
        <v>0</v>
      </c>
      <c r="F491" s="271">
        <f t="shared" si="106"/>
        <v>1012.9699999999999</v>
      </c>
      <c r="G491" s="271">
        <f t="shared" si="106"/>
        <v>2601.1599999999989</v>
      </c>
      <c r="H491" s="271">
        <f t="shared" si="106"/>
        <v>0</v>
      </c>
      <c r="I491" s="271">
        <f t="shared" si="106"/>
        <v>35.92000000000121</v>
      </c>
      <c r="J491" s="271">
        <f t="shared" si="106"/>
        <v>1069.6799999999998</v>
      </c>
      <c r="K491" s="271">
        <f t="shared" si="106"/>
        <v>237.6400000000001</v>
      </c>
    </row>
    <row r="495" spans="2:11">
      <c r="B495" s="162" t="s">
        <v>589</v>
      </c>
    </row>
    <row r="499" spans="2:9">
      <c r="B499" s="1" t="s">
        <v>590</v>
      </c>
    </row>
    <row r="507" spans="2:9">
      <c r="I507">
        <f>12500/4</f>
        <v>3125</v>
      </c>
    </row>
    <row r="576" spans="2:2" ht="60">
      <c r="B576" s="272" t="s">
        <v>592</v>
      </c>
    </row>
    <row r="580" spans="2:15">
      <c r="B580" s="1" t="s">
        <v>591</v>
      </c>
    </row>
    <row r="582" spans="2:15">
      <c r="B582" s="162" t="s">
        <v>202</v>
      </c>
      <c r="C582" s="253">
        <v>2024</v>
      </c>
      <c r="D582" s="253">
        <f>C582+1</f>
        <v>2025</v>
      </c>
      <c r="E582" s="253">
        <f>D582+1</f>
        <v>2026</v>
      </c>
      <c r="G582" s="253" t="s">
        <v>508</v>
      </c>
      <c r="H582" s="253" t="s">
        <v>432</v>
      </c>
      <c r="K582">
        <f>12500/4</f>
        <v>3125</v>
      </c>
    </row>
    <row r="584" spans="2:15">
      <c r="B584" t="s">
        <v>223</v>
      </c>
      <c r="C584" s="249">
        <v>2745.8</v>
      </c>
      <c r="D584" s="249">
        <v>3600</v>
      </c>
      <c r="E584" s="249">
        <v>3600</v>
      </c>
      <c r="F584" s="249">
        <f>SUM(C584:E584)</f>
        <v>9945.7999999999993</v>
      </c>
      <c r="G584" s="249">
        <f>MEDIAN(C584:E584)</f>
        <v>3600</v>
      </c>
      <c r="H584" s="249">
        <f>AVERAGE(C584:E584)</f>
        <v>3315.2666666666664</v>
      </c>
    </row>
    <row r="585" spans="2:15">
      <c r="B585" t="s">
        <v>593</v>
      </c>
      <c r="C585" s="249">
        <v>2560.1</v>
      </c>
      <c r="D585" s="249">
        <v>2308.6</v>
      </c>
      <c r="E585" s="249">
        <v>2479.1999999999998</v>
      </c>
      <c r="F585" s="249">
        <f>SUM(C585:E585)</f>
        <v>7347.9</v>
      </c>
      <c r="G585" s="249">
        <f>MEDIAN(C585:E585)</f>
        <v>2479.1999999999998</v>
      </c>
      <c r="H585" s="249">
        <f>AVERAGE(C585:E585)</f>
        <v>2449.2999999999997</v>
      </c>
    </row>
    <row r="586" spans="2:15">
      <c r="B586" t="s">
        <v>594</v>
      </c>
      <c r="C586" s="249">
        <v>3292</v>
      </c>
      <c r="D586" s="249">
        <v>2963</v>
      </c>
      <c r="E586" s="249"/>
      <c r="F586" s="249">
        <f>SUM(C586:E586)</f>
        <v>6255</v>
      </c>
      <c r="G586" s="249">
        <f>MEDIAN(C586:E586)</f>
        <v>3127.5</v>
      </c>
      <c r="H586" s="249">
        <f>AVERAGE(C586:E586)</f>
        <v>3127.5</v>
      </c>
    </row>
    <row r="587" spans="2:15">
      <c r="G587" s="249">
        <f>MEDIAN(G584:G586)</f>
        <v>3127.5</v>
      </c>
      <c r="H587" s="249">
        <f>AVERAGE(H584:H586)</f>
        <v>2964.0222222222219</v>
      </c>
      <c r="I587" s="249">
        <f>AVERAGE(G587:H587)</f>
        <v>3045.7611111111109</v>
      </c>
    </row>
    <row r="590" spans="2:15">
      <c r="B590" s="162" t="s">
        <v>202</v>
      </c>
      <c r="C590" s="163">
        <v>2015</v>
      </c>
      <c r="D590" s="163">
        <f t="shared" ref="D590:O590" si="107">C590+1</f>
        <v>2016</v>
      </c>
      <c r="E590" s="163">
        <f t="shared" si="107"/>
        <v>2017</v>
      </c>
      <c r="F590" s="163">
        <f t="shared" si="107"/>
        <v>2018</v>
      </c>
      <c r="G590" s="163">
        <f t="shared" si="107"/>
        <v>2019</v>
      </c>
      <c r="H590" s="163">
        <f t="shared" si="107"/>
        <v>2020</v>
      </c>
      <c r="I590" s="163">
        <f t="shared" si="107"/>
        <v>2021</v>
      </c>
      <c r="J590" s="163">
        <f t="shared" si="107"/>
        <v>2022</v>
      </c>
      <c r="K590" s="163">
        <f t="shared" si="107"/>
        <v>2023</v>
      </c>
      <c r="L590" s="273">
        <f t="shared" si="107"/>
        <v>2024</v>
      </c>
      <c r="M590" s="273">
        <f t="shared" si="107"/>
        <v>2025</v>
      </c>
      <c r="N590" s="273">
        <f t="shared" si="107"/>
        <v>2026</v>
      </c>
      <c r="O590" s="273">
        <f t="shared" si="107"/>
        <v>2027</v>
      </c>
    </row>
    <row r="591" spans="2:15">
      <c r="B591" t="s">
        <v>306</v>
      </c>
      <c r="C591" s="226">
        <v>8649.6200000000008</v>
      </c>
      <c r="D591" s="226">
        <v>3872.01</v>
      </c>
      <c r="E591" s="226">
        <v>4635.3900000000003</v>
      </c>
      <c r="F591" s="226">
        <v>6547.76</v>
      </c>
      <c r="G591" s="226">
        <v>10620.72</v>
      </c>
      <c r="H591" s="226">
        <v>12407.38</v>
      </c>
      <c r="I591" s="226">
        <v>13705.6</v>
      </c>
      <c r="J591" s="226">
        <v>15921.18</v>
      </c>
      <c r="K591" s="226">
        <v>17819.52</v>
      </c>
    </row>
    <row r="592" spans="2:15">
      <c r="B592" t="s">
        <v>307</v>
      </c>
      <c r="C592" s="226">
        <v>5645.29</v>
      </c>
      <c r="D592" s="149">
        <v>821.84</v>
      </c>
      <c r="E592" s="226">
        <v>2036.27</v>
      </c>
      <c r="F592" s="226">
        <v>2958.58</v>
      </c>
      <c r="G592" s="226">
        <v>4439.07</v>
      </c>
      <c r="H592" s="226">
        <v>6244.36</v>
      </c>
      <c r="I592" s="226">
        <v>7489.35</v>
      </c>
      <c r="J592" s="226">
        <v>8638.94</v>
      </c>
      <c r="K592" s="226">
        <v>10338.65</v>
      </c>
    </row>
    <row r="593" spans="1:15" ht="15.75" thickBot="1">
      <c r="B593" s="243" t="s">
        <v>565</v>
      </c>
      <c r="C593" s="261">
        <f>C591-C592</f>
        <v>3004.3300000000008</v>
      </c>
      <c r="D593" s="261">
        <f t="shared" ref="D593:K593" si="108">D591-D592</f>
        <v>3050.17</v>
      </c>
      <c r="E593" s="261">
        <f t="shared" si="108"/>
        <v>2599.1200000000003</v>
      </c>
      <c r="F593" s="261">
        <f t="shared" si="108"/>
        <v>3589.1800000000003</v>
      </c>
      <c r="G593" s="261">
        <f t="shared" si="108"/>
        <v>6181.65</v>
      </c>
      <c r="H593" s="261">
        <f t="shared" si="108"/>
        <v>6163.0199999999995</v>
      </c>
      <c r="I593" s="261">
        <f t="shared" si="108"/>
        <v>6216.25</v>
      </c>
      <c r="J593" s="261">
        <f t="shared" si="108"/>
        <v>7282.24</v>
      </c>
      <c r="K593" s="261">
        <f t="shared" si="108"/>
        <v>7480.8700000000008</v>
      </c>
      <c r="L593" s="226">
        <f>K593+3125</f>
        <v>10605.87</v>
      </c>
      <c r="M593" s="226">
        <f>L593+3125</f>
        <v>13730.87</v>
      </c>
      <c r="N593" s="226">
        <f>M593+3125</f>
        <v>16855.870000000003</v>
      </c>
      <c r="O593" s="226">
        <f>N593+3125</f>
        <v>19980.870000000003</v>
      </c>
    </row>
    <row r="594" spans="1:15">
      <c r="L594" s="154">
        <f>L593/K593-1</f>
        <v>0.41773216216830389</v>
      </c>
      <c r="M594" s="154">
        <f>M593/L593-1</f>
        <v>0.29464815239108155</v>
      </c>
      <c r="N594" s="154">
        <f>N593/M593-1</f>
        <v>0.22758936615087033</v>
      </c>
      <c r="O594" s="154">
        <f>O593/N593-1</f>
        <v>0.18539535485264191</v>
      </c>
    </row>
    <row r="595" spans="1:15">
      <c r="L595" s="226">
        <f>K593+3046</f>
        <v>10526.87</v>
      </c>
      <c r="M595" s="226">
        <f>L593+3046</f>
        <v>13651.87</v>
      </c>
      <c r="N595" s="226">
        <f>M593+3046</f>
        <v>16776.870000000003</v>
      </c>
      <c r="O595" s="226">
        <f>N593+3046</f>
        <v>19901.870000000003</v>
      </c>
    </row>
    <row r="596" spans="1:15">
      <c r="L596" s="154">
        <f>L595/K593-1</f>
        <v>0.40717189310868918</v>
      </c>
      <c r="M596" s="154">
        <f>M595/L593-1</f>
        <v>0.28719944709863499</v>
      </c>
      <c r="N596" s="154">
        <f>N595/M593-1</f>
        <v>0.22183590697457634</v>
      </c>
      <c r="O596" s="154">
        <f>O595/N593-1</f>
        <v>0.18070856028196713</v>
      </c>
    </row>
    <row r="597" spans="1:15">
      <c r="M597" s="285">
        <f>M595/L595-1</f>
        <v>0.29685937035415089</v>
      </c>
      <c r="N597" s="285">
        <f>N595/M595-1</f>
        <v>0.22890636960357824</v>
      </c>
      <c r="O597" s="285">
        <f>O595/N595-1</f>
        <v>0.18626835637398398</v>
      </c>
    </row>
    <row r="601" spans="1:15">
      <c r="A601" s="260" t="s">
        <v>21</v>
      </c>
      <c r="B601" s="1" t="s">
        <v>596</v>
      </c>
    </row>
    <row r="602" spans="1:15">
      <c r="A602" s="260"/>
      <c r="B602" s="1"/>
    </row>
    <row r="603" spans="1:15">
      <c r="A603" s="260"/>
      <c r="B603" s="1"/>
    </row>
    <row r="604" spans="1:15">
      <c r="B604" s="162" t="s">
        <v>202</v>
      </c>
      <c r="C604" s="163">
        <v>2015</v>
      </c>
      <c r="D604" s="163">
        <f t="shared" ref="D604:K604" si="109">C604+1</f>
        <v>2016</v>
      </c>
      <c r="E604" s="163">
        <f t="shared" si="109"/>
        <v>2017</v>
      </c>
      <c r="F604" s="163">
        <f t="shared" si="109"/>
        <v>2018</v>
      </c>
      <c r="G604" s="163">
        <f t="shared" si="109"/>
        <v>2019</v>
      </c>
      <c r="H604" s="163">
        <f t="shared" si="109"/>
        <v>2020</v>
      </c>
      <c r="I604" s="163">
        <f t="shared" si="109"/>
        <v>2021</v>
      </c>
      <c r="J604" s="163">
        <f t="shared" si="109"/>
        <v>2022</v>
      </c>
      <c r="K604" s="163">
        <f t="shared" si="109"/>
        <v>2023</v>
      </c>
    </row>
    <row r="606" spans="1:15">
      <c r="B606" s="1" t="s">
        <v>598</v>
      </c>
      <c r="C606" s="247">
        <v>6762.1</v>
      </c>
      <c r="D606" s="247">
        <v>6362.6</v>
      </c>
      <c r="E606" s="247">
        <v>8994.7000000000007</v>
      </c>
      <c r="F606" s="247">
        <v>10222.200000000001</v>
      </c>
      <c r="G606" s="247">
        <v>12804.4</v>
      </c>
      <c r="H606" s="247">
        <v>13146.2</v>
      </c>
      <c r="I606" s="247">
        <v>13998</v>
      </c>
      <c r="J606" s="247">
        <v>15558.1</v>
      </c>
      <c r="K606" s="247">
        <v>18322.400000000001</v>
      </c>
    </row>
    <row r="607" spans="1:15">
      <c r="B607" t="s">
        <v>596</v>
      </c>
      <c r="C607" s="166">
        <v>0</v>
      </c>
      <c r="D607" s="166">
        <v>620</v>
      </c>
      <c r="E607" s="166">
        <v>221</v>
      </c>
      <c r="F607" s="166">
        <v>237</v>
      </c>
      <c r="G607" s="166">
        <v>72</v>
      </c>
      <c r="H607" s="166">
        <v>204</v>
      </c>
      <c r="I607" s="166">
        <v>148</v>
      </c>
      <c r="J607" s="166">
        <v>168</v>
      </c>
      <c r="K607" s="166">
        <v>257</v>
      </c>
      <c r="L607" s="166"/>
    </row>
    <row r="608" spans="1:15">
      <c r="B608" t="s">
        <v>599</v>
      </c>
      <c r="C608" s="154">
        <f>C607/C606</f>
        <v>0</v>
      </c>
      <c r="D608" s="154">
        <f t="shared" ref="D608:K608" si="110">D607/D606</f>
        <v>9.744444095181215E-2</v>
      </c>
      <c r="E608" s="154">
        <f t="shared" si="110"/>
        <v>2.4570024570024569E-2</v>
      </c>
      <c r="F608" s="154">
        <f t="shared" si="110"/>
        <v>2.3184833010506542E-2</v>
      </c>
      <c r="G608" s="154">
        <f t="shared" si="110"/>
        <v>5.6230670706944492E-3</v>
      </c>
      <c r="H608" s="154">
        <f t="shared" si="110"/>
        <v>1.5517792213719553E-2</v>
      </c>
      <c r="I608" s="154">
        <f t="shared" si="110"/>
        <v>1.057293899128447E-2</v>
      </c>
      <c r="J608" s="154">
        <f t="shared" si="110"/>
        <v>1.0798233717484782E-2</v>
      </c>
      <c r="K608" s="154">
        <f t="shared" si="110"/>
        <v>1.4026546740601668E-2</v>
      </c>
      <c r="M608" s="2">
        <f>MEDIAN(C608:K608)</f>
        <v>1.4026546740601668E-2</v>
      </c>
    </row>
    <row r="611" spans="1:11">
      <c r="A611" s="260" t="s">
        <v>21</v>
      </c>
      <c r="B611" s="1" t="s">
        <v>611</v>
      </c>
    </row>
    <row r="613" spans="1:11">
      <c r="B613" s="162" t="s">
        <v>202</v>
      </c>
      <c r="C613" s="163">
        <v>2015</v>
      </c>
      <c r="D613" s="163">
        <f t="shared" ref="D613:K613" si="111">C613+1</f>
        <v>2016</v>
      </c>
      <c r="E613" s="163">
        <f t="shared" si="111"/>
        <v>2017</v>
      </c>
      <c r="F613" s="163">
        <f t="shared" si="111"/>
        <v>2018</v>
      </c>
      <c r="G613" s="163">
        <f t="shared" si="111"/>
        <v>2019</v>
      </c>
      <c r="H613" s="163">
        <f t="shared" si="111"/>
        <v>2020</v>
      </c>
      <c r="I613" s="163">
        <f t="shared" si="111"/>
        <v>2021</v>
      </c>
      <c r="J613" s="163">
        <f t="shared" si="111"/>
        <v>2022</v>
      </c>
      <c r="K613" s="163">
        <f t="shared" si="111"/>
        <v>2023</v>
      </c>
    </row>
    <row r="614" spans="1:11">
      <c r="B614" s="1" t="s">
        <v>565</v>
      </c>
      <c r="C614" s="1">
        <v>3004.3300000000008</v>
      </c>
      <c r="D614" s="1">
        <v>3050.17</v>
      </c>
      <c r="E614" s="1">
        <v>2599.1200000000003</v>
      </c>
      <c r="F614" s="1">
        <v>3589.1800000000003</v>
      </c>
      <c r="G614" s="1">
        <v>6181.65</v>
      </c>
      <c r="H614" s="1">
        <v>6163.0199999999995</v>
      </c>
      <c r="I614" s="1">
        <v>6216.25</v>
      </c>
      <c r="J614" s="1">
        <v>7282.24</v>
      </c>
      <c r="K614" s="1">
        <v>7480.8700000000008</v>
      </c>
    </row>
    <row r="615" spans="1:11">
      <c r="B615" s="284" t="s">
        <v>611</v>
      </c>
      <c r="C615" s="284">
        <f>'Balance Sheet '!D14</f>
        <v>511</v>
      </c>
      <c r="D615" s="284">
        <f>'Balance Sheet '!E14</f>
        <v>264</v>
      </c>
      <c r="E615" s="284">
        <f>'Balance Sheet '!F14</f>
        <v>710</v>
      </c>
      <c r="F615" s="284">
        <f>'Balance Sheet '!G14</f>
        <v>1427</v>
      </c>
      <c r="G615" s="284">
        <f>'Balance Sheet '!H14</f>
        <v>1129</v>
      </c>
      <c r="H615" s="284">
        <f>'Balance Sheet '!I14</f>
        <v>1198</v>
      </c>
      <c r="I615" s="284">
        <f>'Balance Sheet '!J14</f>
        <v>997</v>
      </c>
      <c r="J615" s="284">
        <f>'Balance Sheet '!K14</f>
        <v>1054</v>
      </c>
      <c r="K615" s="284">
        <f>'Balance Sheet '!L14</f>
        <v>2797</v>
      </c>
    </row>
    <row r="616" spans="1:11">
      <c r="B616" t="s">
        <v>612</v>
      </c>
      <c r="C616" s="44">
        <f>C615/C614</f>
        <v>0.17008783988443343</v>
      </c>
      <c r="D616" s="44">
        <f t="shared" ref="D616:K616" si="112">D615/D614</f>
        <v>8.6552552808531982E-2</v>
      </c>
      <c r="E616" s="44">
        <f t="shared" si="112"/>
        <v>0.27316938040567573</v>
      </c>
      <c r="F616" s="44">
        <f t="shared" si="112"/>
        <v>0.39758384923575857</v>
      </c>
      <c r="G616" s="44">
        <f t="shared" si="112"/>
        <v>0.1826373217506653</v>
      </c>
      <c r="H616" s="44">
        <f t="shared" si="112"/>
        <v>0.19438522023293775</v>
      </c>
      <c r="I616" s="44">
        <f t="shared" si="112"/>
        <v>0.16038608485823447</v>
      </c>
      <c r="J616" s="44">
        <f t="shared" si="112"/>
        <v>0.14473568572307421</v>
      </c>
      <c r="K616" s="44">
        <f t="shared" si="112"/>
        <v>0.37388699442711876</v>
      </c>
    </row>
    <row r="619" spans="1:11">
      <c r="B619" s="1" t="s">
        <v>613</v>
      </c>
      <c r="C619" s="213">
        <f>MEDIAN(E616:F616,K616)</f>
        <v>0.37388699442711876</v>
      </c>
    </row>
    <row r="620" spans="1:11">
      <c r="B620" s="1" t="s">
        <v>614</v>
      </c>
      <c r="C620" s="213">
        <f>MEDIAN(C616:D616,G616:J616)</f>
        <v>0.16523696237133395</v>
      </c>
    </row>
    <row r="625" spans="2:9">
      <c r="B625" s="162" t="s">
        <v>615</v>
      </c>
      <c r="I625" s="285"/>
    </row>
    <row r="626" spans="2:9">
      <c r="B626" t="s">
        <v>617</v>
      </c>
    </row>
    <row r="628" spans="2:9">
      <c r="B628" s="162" t="s">
        <v>616</v>
      </c>
      <c r="C628" s="253">
        <v>2024</v>
      </c>
      <c r="D628" s="253">
        <v>2025</v>
      </c>
      <c r="E628" s="253">
        <v>2026</v>
      </c>
    </row>
    <row r="629" spans="2:9">
      <c r="B629" t="s">
        <v>618</v>
      </c>
    </row>
    <row r="630" spans="2:9">
      <c r="B630" t="s">
        <v>620</v>
      </c>
      <c r="C630">
        <v>1930</v>
      </c>
      <c r="D630">
        <v>1930</v>
      </c>
      <c r="E630">
        <v>1930</v>
      </c>
    </row>
    <row r="631" spans="2:9">
      <c r="C631" s="154">
        <f>C630/L593</f>
        <v>0.18197469891673196</v>
      </c>
      <c r="D631" s="154">
        <f>D630/M593</f>
        <v>0.14055919253477747</v>
      </c>
      <c r="E631" s="154">
        <f>E630/N593</f>
        <v>0.11450017115699158</v>
      </c>
    </row>
    <row r="642" spans="1:14">
      <c r="A642" s="260" t="s">
        <v>21</v>
      </c>
      <c r="B642" s="1" t="s">
        <v>2</v>
      </c>
    </row>
    <row r="644" spans="1:14">
      <c r="B644" s="162" t="s">
        <v>202</v>
      </c>
      <c r="C644" s="163">
        <v>2015</v>
      </c>
      <c r="D644" s="163">
        <f t="shared" ref="D644:K644" si="113">C644+1</f>
        <v>2016</v>
      </c>
      <c r="E644" s="163">
        <f t="shared" si="113"/>
        <v>2017</v>
      </c>
      <c r="F644" s="163">
        <f t="shared" si="113"/>
        <v>2018</v>
      </c>
      <c r="G644" s="163">
        <f t="shared" si="113"/>
        <v>2019</v>
      </c>
      <c r="H644" s="163">
        <f t="shared" si="113"/>
        <v>2020</v>
      </c>
      <c r="I644" s="163">
        <f t="shared" si="113"/>
        <v>2021</v>
      </c>
      <c r="J644" s="163">
        <f t="shared" si="113"/>
        <v>2022</v>
      </c>
      <c r="K644" s="163">
        <f t="shared" si="113"/>
        <v>2023</v>
      </c>
      <c r="M644" s="253" t="s">
        <v>508</v>
      </c>
      <c r="N644" s="253" t="s">
        <v>432</v>
      </c>
    </row>
    <row r="645" spans="1:14">
      <c r="B645" t="s">
        <v>306</v>
      </c>
      <c r="C645" s="226">
        <v>8649.6200000000008</v>
      </c>
      <c r="D645" s="226">
        <v>3872.01</v>
      </c>
      <c r="E645" s="226">
        <v>4635.3900000000003</v>
      </c>
      <c r="F645" s="226">
        <v>6547.76</v>
      </c>
      <c r="G645" s="226">
        <v>10620.72</v>
      </c>
      <c r="H645" s="226">
        <v>12407.38</v>
      </c>
      <c r="I645" s="226">
        <v>13705.6</v>
      </c>
      <c r="J645" s="226">
        <v>15921.18</v>
      </c>
      <c r="K645" s="226">
        <v>17819.52</v>
      </c>
    </row>
    <row r="646" spans="1:14">
      <c r="B646" t="s">
        <v>580</v>
      </c>
      <c r="C646" s="226">
        <v>709</v>
      </c>
      <c r="D646" s="226">
        <v>739</v>
      </c>
      <c r="E646" s="226">
        <v>892</v>
      </c>
      <c r="F646" s="226">
        <v>1110</v>
      </c>
      <c r="G646" s="226">
        <v>1326</v>
      </c>
      <c r="H646" s="226">
        <v>1646</v>
      </c>
      <c r="I646" s="226">
        <v>1917</v>
      </c>
      <c r="J646" s="226">
        <v>2323</v>
      </c>
      <c r="K646" s="226">
        <v>2613</v>
      </c>
    </row>
    <row r="647" spans="1:14">
      <c r="B647" t="s">
        <v>622</v>
      </c>
      <c r="C647" s="226">
        <v>111</v>
      </c>
      <c r="D647" s="226">
        <v>0</v>
      </c>
      <c r="E647" s="226">
        <v>0</v>
      </c>
      <c r="F647" s="226">
        <v>0</v>
      </c>
      <c r="G647" s="226">
        <v>0</v>
      </c>
      <c r="H647" s="226">
        <v>0</v>
      </c>
      <c r="I647" s="226">
        <v>0</v>
      </c>
      <c r="J647" s="226">
        <v>0</v>
      </c>
      <c r="K647" s="226">
        <v>31</v>
      </c>
    </row>
    <row r="648" spans="1:14">
      <c r="B648" s="263" t="s">
        <v>581</v>
      </c>
      <c r="C648" s="264">
        <f>C645-C646-C647</f>
        <v>7829.6200000000008</v>
      </c>
      <c r="D648" s="264">
        <f t="shared" ref="D648:K648" si="114">D645-D646-D647</f>
        <v>3133.01</v>
      </c>
      <c r="E648" s="264">
        <f t="shared" si="114"/>
        <v>3743.3900000000003</v>
      </c>
      <c r="F648" s="264">
        <f t="shared" si="114"/>
        <v>5437.76</v>
      </c>
      <c r="G648" s="264">
        <f t="shared" si="114"/>
        <v>9294.7199999999993</v>
      </c>
      <c r="H648" s="264">
        <f t="shared" si="114"/>
        <v>10761.38</v>
      </c>
      <c r="I648" s="264">
        <f t="shared" si="114"/>
        <v>11788.6</v>
      </c>
      <c r="J648" s="264">
        <f t="shared" si="114"/>
        <v>13598.18</v>
      </c>
      <c r="K648" s="264">
        <f t="shared" si="114"/>
        <v>15175.52</v>
      </c>
    </row>
    <row r="649" spans="1:14">
      <c r="B649" t="s">
        <v>307</v>
      </c>
      <c r="C649" s="226">
        <v>5645.29</v>
      </c>
      <c r="D649" s="149">
        <v>821.84</v>
      </c>
      <c r="E649" s="226">
        <v>2036.27</v>
      </c>
      <c r="F649" s="226">
        <v>2958.58</v>
      </c>
      <c r="G649" s="226">
        <v>4439.07</v>
      </c>
      <c r="H649" s="226">
        <v>6244.36</v>
      </c>
      <c r="I649" s="226">
        <v>7489.35</v>
      </c>
      <c r="J649" s="226">
        <v>8638.94</v>
      </c>
      <c r="K649" s="226">
        <v>10338.65</v>
      </c>
    </row>
    <row r="650" spans="1:14" ht="15.75" thickBot="1">
      <c r="B650" s="243" t="s">
        <v>623</v>
      </c>
      <c r="C650" s="261">
        <f>C648-C649</f>
        <v>2184.3300000000008</v>
      </c>
      <c r="D650" s="261">
        <f t="shared" ref="D650:K650" si="115">D648-D649</f>
        <v>2311.17</v>
      </c>
      <c r="E650" s="261">
        <f t="shared" si="115"/>
        <v>1707.1200000000003</v>
      </c>
      <c r="F650" s="261">
        <f t="shared" si="115"/>
        <v>2479.1800000000003</v>
      </c>
      <c r="G650" s="261">
        <f t="shared" si="115"/>
        <v>4855.6499999999996</v>
      </c>
      <c r="H650" s="261">
        <f t="shared" si="115"/>
        <v>4517.0199999999995</v>
      </c>
      <c r="I650" s="261">
        <f t="shared" si="115"/>
        <v>4299.25</v>
      </c>
      <c r="J650" s="261">
        <f t="shared" si="115"/>
        <v>4959.24</v>
      </c>
      <c r="K650" s="261">
        <f t="shared" si="115"/>
        <v>4836.8700000000008</v>
      </c>
    </row>
    <row r="652" spans="1:14">
      <c r="B652" s="1" t="s">
        <v>624</v>
      </c>
      <c r="C652">
        <v>924.8</v>
      </c>
      <c r="D652">
        <v>827.6</v>
      </c>
      <c r="E652" s="226">
        <v>1214.7</v>
      </c>
      <c r="F652">
        <v>899.4</v>
      </c>
      <c r="G652" s="226">
        <v>1471.8</v>
      </c>
      <c r="H652" s="226">
        <v>1807.8</v>
      </c>
      <c r="I652" s="226">
        <v>1262.3</v>
      </c>
      <c r="J652" s="226">
        <v>1145.9000000000001</v>
      </c>
      <c r="K652" s="226">
        <v>1660.7</v>
      </c>
      <c r="L652" s="226"/>
      <c r="M652" s="226"/>
    </row>
    <row r="654" spans="1:14">
      <c r="B654" s="1" t="s">
        <v>625</v>
      </c>
      <c r="C654" s="262">
        <f>C645/C652</f>
        <v>9.3529628027681682</v>
      </c>
      <c r="D654" s="262">
        <f t="shared" ref="D654:K654" si="116">D645/D652</f>
        <v>4.6786007733204444</v>
      </c>
      <c r="E654" s="262">
        <f t="shared" si="116"/>
        <v>3.8160780439614719</v>
      </c>
      <c r="F654" s="262">
        <f t="shared" si="116"/>
        <v>7.2801423171002897</v>
      </c>
      <c r="G654" s="262">
        <f t="shared" si="116"/>
        <v>7.2161434977578471</v>
      </c>
      <c r="H654" s="262">
        <f t="shared" si="116"/>
        <v>6.8632481469189068</v>
      </c>
      <c r="I654" s="262">
        <f t="shared" si="116"/>
        <v>10.857640814386437</v>
      </c>
      <c r="J654" s="262">
        <f t="shared" si="116"/>
        <v>13.894039619513046</v>
      </c>
      <c r="K654" s="262">
        <f t="shared" si="116"/>
        <v>10.730125850544951</v>
      </c>
      <c r="M654" s="262">
        <f>MEDIAN(C654:K654)</f>
        <v>7.2801423171002897</v>
      </c>
      <c r="N654" s="262">
        <f>AVERAGE(C654:K654)</f>
        <v>8.2987757629190604</v>
      </c>
    </row>
    <row r="655" spans="1:14">
      <c r="B655" s="1" t="s">
        <v>626</v>
      </c>
      <c r="C655" s="262">
        <f>C649/C652</f>
        <v>6.1043360726643598</v>
      </c>
      <c r="D655" s="262">
        <f t="shared" ref="D655:K655" si="117">D649/D652</f>
        <v>0.99304011599806674</v>
      </c>
      <c r="E655" s="262">
        <f t="shared" si="117"/>
        <v>1.676356301967564</v>
      </c>
      <c r="F655" s="262">
        <f t="shared" si="117"/>
        <v>3.2895041138536802</v>
      </c>
      <c r="G655" s="262">
        <f t="shared" si="117"/>
        <v>3.0160823481451282</v>
      </c>
      <c r="H655" s="262">
        <f t="shared" si="117"/>
        <v>3.4541210310875097</v>
      </c>
      <c r="I655" s="262">
        <f t="shared" si="117"/>
        <v>5.9330983126039776</v>
      </c>
      <c r="J655" s="262">
        <f t="shared" si="117"/>
        <v>7.5389999127323497</v>
      </c>
      <c r="K655" s="262">
        <f t="shared" si="117"/>
        <v>6.2254772084060939</v>
      </c>
      <c r="M655" s="262">
        <f>MEDIAN(C655:K655)</f>
        <v>3.4541210310875097</v>
      </c>
      <c r="N655" s="262">
        <f>AVERAGE(C655:K655)</f>
        <v>4.2478906019398579</v>
      </c>
    </row>
    <row r="656" spans="1:14">
      <c r="B656" s="1" t="s">
        <v>627</v>
      </c>
      <c r="C656" s="44">
        <f>C649/C648</f>
        <v>0.72101711194157558</v>
      </c>
      <c r="D656" s="44">
        <f t="shared" ref="D656:K656" si="118">D649/D648</f>
        <v>0.26231643052527759</v>
      </c>
      <c r="E656" s="44">
        <f t="shared" si="118"/>
        <v>0.54396416082748522</v>
      </c>
      <c r="F656" s="44">
        <f t="shared" si="118"/>
        <v>0.54408065085623492</v>
      </c>
      <c r="G656" s="44">
        <f t="shared" si="118"/>
        <v>0.47759050299524891</v>
      </c>
      <c r="H656" s="44">
        <f t="shared" si="118"/>
        <v>0.5802564355129175</v>
      </c>
      <c r="I656" s="44">
        <f t="shared" si="118"/>
        <v>0.63530444666881569</v>
      </c>
      <c r="J656" s="44">
        <f t="shared" si="118"/>
        <v>0.63530119471870505</v>
      </c>
      <c r="K656" s="44">
        <f t="shared" si="118"/>
        <v>0.6812715478612924</v>
      </c>
      <c r="M656" s="44">
        <f>MEDIAN(C656:K656)</f>
        <v>0.5802564355129175</v>
      </c>
      <c r="N656" s="44">
        <f>AVERAGE(C656:K656)</f>
        <v>0.56456694243417249</v>
      </c>
    </row>
    <row r="658" spans="1:14">
      <c r="B658" s="1" t="s">
        <v>628</v>
      </c>
      <c r="C658" s="154">
        <f>C652/C650</f>
        <v>0.42337925130360321</v>
      </c>
      <c r="D658" s="154">
        <f t="shared" ref="D658:K658" si="119">D652/D650</f>
        <v>0.35808702951319027</v>
      </c>
      <c r="E658" s="154">
        <f t="shared" si="119"/>
        <v>0.71154927597356943</v>
      </c>
      <c r="F658" s="154">
        <f t="shared" si="119"/>
        <v>0.36278124218491592</v>
      </c>
      <c r="G658" s="154">
        <f t="shared" si="119"/>
        <v>0.30311080905748972</v>
      </c>
      <c r="H658" s="154">
        <f t="shared" si="119"/>
        <v>0.40021961381618859</v>
      </c>
      <c r="I658" s="154">
        <f t="shared" si="119"/>
        <v>0.29360935046810488</v>
      </c>
      <c r="J658" s="154">
        <f t="shared" si="119"/>
        <v>0.23106363071760999</v>
      </c>
      <c r="K658" s="154">
        <f t="shared" si="119"/>
        <v>0.34334187191303461</v>
      </c>
      <c r="M658" s="154">
        <f>MEDIAN(C658:K658)</f>
        <v>0.35808702951319027</v>
      </c>
      <c r="N658" s="154">
        <f>AVERAGE(C658:K658)</f>
        <v>0.3807935638830785</v>
      </c>
    </row>
    <row r="659" spans="1:14">
      <c r="C659" s="154"/>
      <c r="D659" s="154"/>
      <c r="E659" s="154"/>
      <c r="F659" s="154"/>
      <c r="G659" s="154"/>
      <c r="H659" s="154"/>
      <c r="I659" s="154"/>
      <c r="J659" s="154"/>
      <c r="K659" s="154"/>
      <c r="M659" s="154"/>
      <c r="N659" s="154"/>
    </row>
    <row r="660" spans="1:14">
      <c r="B660" s="1" t="s">
        <v>629</v>
      </c>
      <c r="C660" s="154">
        <f>C652/C645</f>
        <v>0.10691799177304898</v>
      </c>
      <c r="D660" s="154">
        <f t="shared" ref="D660:K660" si="120">D652/D645</f>
        <v>0.21373911740930421</v>
      </c>
      <c r="E660" s="154">
        <f t="shared" si="120"/>
        <v>0.26204914796813211</v>
      </c>
      <c r="F660" s="154">
        <f t="shared" si="120"/>
        <v>0.1373599521057583</v>
      </c>
      <c r="G660" s="154">
        <f t="shared" si="120"/>
        <v>0.13857817549092719</v>
      </c>
      <c r="H660" s="154">
        <f t="shared" si="120"/>
        <v>0.14570360543482991</v>
      </c>
      <c r="I660" s="154">
        <f t="shared" si="120"/>
        <v>9.2101038991361184E-2</v>
      </c>
      <c r="J660" s="154">
        <f t="shared" si="120"/>
        <v>7.1973308511052575E-2</v>
      </c>
      <c r="K660" s="154">
        <f t="shared" si="120"/>
        <v>9.3195551844269656E-2</v>
      </c>
      <c r="M660" s="154">
        <f>MEDIAN(C660:K660)</f>
        <v>0.1373599521057583</v>
      </c>
      <c r="N660" s="154">
        <f>AVERAGE(C660:K660)</f>
        <v>0.14017976550318714</v>
      </c>
    </row>
    <row r="661" spans="1:14">
      <c r="C661" s="154"/>
      <c r="D661" s="154"/>
      <c r="E661" s="154"/>
      <c r="F661" s="154"/>
      <c r="G661" s="154"/>
      <c r="H661" s="154"/>
      <c r="I661" s="154"/>
      <c r="J661" s="154"/>
      <c r="K661" s="154"/>
      <c r="M661" s="154"/>
      <c r="N661" s="154"/>
    </row>
    <row r="662" spans="1:14">
      <c r="B662" s="1" t="s">
        <v>630</v>
      </c>
      <c r="C662" s="154">
        <f>C652/C606</f>
        <v>0.13676224841395423</v>
      </c>
      <c r="D662" s="154">
        <f t="shared" ref="D662:K662" si="121">D652/D606</f>
        <v>0.1300726118253544</v>
      </c>
      <c r="E662" s="154">
        <f t="shared" si="121"/>
        <v>0.13504619386972327</v>
      </c>
      <c r="F662" s="154">
        <f t="shared" si="121"/>
        <v>8.7984973880377987E-2</v>
      </c>
      <c r="G662" s="154">
        <f t="shared" si="121"/>
        <v>0.11494486270344569</v>
      </c>
      <c r="H662" s="154">
        <f t="shared" si="121"/>
        <v>0.13751502335275592</v>
      </c>
      <c r="I662" s="154">
        <f t="shared" si="121"/>
        <v>9.0177168166880983E-2</v>
      </c>
      <c r="J662" s="154">
        <f t="shared" si="121"/>
        <v>7.3652952481344125E-2</v>
      </c>
      <c r="K662" s="154">
        <f t="shared" si="121"/>
        <v>9.0637689385669989E-2</v>
      </c>
      <c r="M662" s="154">
        <f>MEDIAN(C662:K662)</f>
        <v>0.11494486270344569</v>
      </c>
      <c r="N662" s="154">
        <f>AVERAGE(C662:K662)</f>
        <v>0.1107548582310563</v>
      </c>
    </row>
    <row r="666" spans="1:14">
      <c r="A666" s="260" t="s">
        <v>21</v>
      </c>
      <c r="B666" s="1" t="s">
        <v>118</v>
      </c>
    </row>
    <row r="669" spans="1:14">
      <c r="B669" s="162" t="s">
        <v>202</v>
      </c>
      <c r="C669" s="163">
        <v>2015</v>
      </c>
      <c r="D669" s="163">
        <f t="shared" ref="D669:L669" si="122">C669+1</f>
        <v>2016</v>
      </c>
      <c r="E669" s="163">
        <f t="shared" si="122"/>
        <v>2017</v>
      </c>
      <c r="F669" s="163">
        <f t="shared" si="122"/>
        <v>2018</v>
      </c>
      <c r="G669" s="163">
        <f t="shared" si="122"/>
        <v>2019</v>
      </c>
      <c r="H669" s="163">
        <f t="shared" si="122"/>
        <v>2020</v>
      </c>
      <c r="I669" s="163">
        <f t="shared" si="122"/>
        <v>2021</v>
      </c>
      <c r="J669" s="163">
        <f t="shared" si="122"/>
        <v>2022</v>
      </c>
      <c r="K669" s="163">
        <f t="shared" si="122"/>
        <v>2023</v>
      </c>
      <c r="L669" s="163">
        <f t="shared" si="122"/>
        <v>2024</v>
      </c>
    </row>
    <row r="671" spans="1:14">
      <c r="B671" s="1" t="s">
        <v>364</v>
      </c>
      <c r="C671" s="149">
        <v>292.39999999999998</v>
      </c>
      <c r="D671" s="149">
        <v>257.26</v>
      </c>
      <c r="E671" s="149">
        <v>351.69</v>
      </c>
      <c r="F671" s="149">
        <v>727.28</v>
      </c>
      <c r="G671" s="149">
        <v>538.19000000000005</v>
      </c>
      <c r="H671" s="149">
        <v>657.65</v>
      </c>
      <c r="I671" s="149">
        <v>882.97</v>
      </c>
      <c r="J671" s="149">
        <v>890.37</v>
      </c>
      <c r="K671" s="226">
        <v>1196</v>
      </c>
      <c r="L671" s="226">
        <v>1196</v>
      </c>
      <c r="M671" s="315"/>
      <c r="N671" s="315"/>
    </row>
    <row r="672" spans="1:14">
      <c r="B672" t="s">
        <v>673</v>
      </c>
      <c r="D672" s="44">
        <f>D671/C671-1</f>
        <v>-0.12017783857729136</v>
      </c>
      <c r="E672" s="44">
        <f t="shared" ref="E672:K672" si="123">E671/D671-1</f>
        <v>0.36706056129985232</v>
      </c>
      <c r="F672" s="44">
        <f t="shared" si="123"/>
        <v>1.0679575762745599</v>
      </c>
      <c r="G672" s="44">
        <f t="shared" si="123"/>
        <v>-0.25999615003849952</v>
      </c>
      <c r="H672" s="44">
        <f t="shared" si="123"/>
        <v>0.22196622010814004</v>
      </c>
      <c r="I672" s="44">
        <f t="shared" si="123"/>
        <v>0.34261385235307551</v>
      </c>
      <c r="J672" s="44">
        <f t="shared" si="123"/>
        <v>8.3808056898875272E-3</v>
      </c>
      <c r="K672" s="44">
        <f t="shared" si="123"/>
        <v>0.34326179004234203</v>
      </c>
      <c r="L672" s="44">
        <f>L671/K671-1</f>
        <v>0</v>
      </c>
    </row>
    <row r="674" spans="2:13">
      <c r="B674" s="167" t="s">
        <v>674</v>
      </c>
      <c r="C674" s="170">
        <v>556.9</v>
      </c>
      <c r="D674" s="170">
        <v>674.5</v>
      </c>
      <c r="E674" s="170">
        <v>632</v>
      </c>
      <c r="F674" s="170">
        <v>690</v>
      </c>
      <c r="G674" s="170">
        <v>702.7</v>
      </c>
      <c r="H674" s="170">
        <v>977.1</v>
      </c>
      <c r="I674" s="170">
        <v>965</v>
      </c>
      <c r="J674" s="170">
        <v>1054</v>
      </c>
      <c r="K674" s="170">
        <v>1010.5</v>
      </c>
      <c r="L674" s="170">
        <v>1535</v>
      </c>
      <c r="M674" s="170" t="s">
        <v>240</v>
      </c>
    </row>
    <row r="675" spans="2:13">
      <c r="B675" t="s">
        <v>675</v>
      </c>
      <c r="C675" s="44">
        <f>C671/C674</f>
        <v>0.52504938049919192</v>
      </c>
      <c r="D675" s="44">
        <f t="shared" ref="D675:K675" si="124">D671/D674</f>
        <v>0.38140845070422535</v>
      </c>
      <c r="E675" s="44">
        <f t="shared" si="124"/>
        <v>0.55647151898734182</v>
      </c>
      <c r="F675" s="44">
        <f t="shared" si="124"/>
        <v>1.0540289855072464</v>
      </c>
      <c r="G675" s="44">
        <f t="shared" si="124"/>
        <v>0.76588871495659605</v>
      </c>
      <c r="H675" s="44">
        <f t="shared" si="124"/>
        <v>0.67306314604441708</v>
      </c>
      <c r="I675" s="44">
        <f t="shared" si="124"/>
        <v>0.91499481865284982</v>
      </c>
      <c r="J675" s="44">
        <f t="shared" si="124"/>
        <v>0.84475332068311193</v>
      </c>
      <c r="K675" s="44">
        <f t="shared" si="124"/>
        <v>1.1835724888668975</v>
      </c>
      <c r="L675" s="44">
        <f>L671/L674</f>
        <v>0.77915309446254066</v>
      </c>
    </row>
    <row r="676" spans="2:13">
      <c r="B676" t="s">
        <v>678</v>
      </c>
      <c r="C676" s="250">
        <f>C675*$B$677</f>
        <v>191.64302388220506</v>
      </c>
      <c r="D676" s="250">
        <f t="shared" ref="D676:K676" si="125">D675*$B$677</f>
        <v>139.21408450704226</v>
      </c>
      <c r="E676" s="250">
        <f t="shared" si="125"/>
        <v>203.11210443037976</v>
      </c>
      <c r="F676" s="250">
        <f t="shared" si="125"/>
        <v>384.72057971014493</v>
      </c>
      <c r="G676" s="250">
        <f t="shared" si="125"/>
        <v>279.54938095915753</v>
      </c>
      <c r="H676" s="250">
        <f t="shared" si="125"/>
        <v>245.66804830621223</v>
      </c>
      <c r="I676" s="250">
        <f t="shared" si="125"/>
        <v>333.97310880829019</v>
      </c>
      <c r="J676" s="250">
        <f t="shared" si="125"/>
        <v>308.33496204933584</v>
      </c>
      <c r="K676" s="250">
        <f t="shared" si="125"/>
        <v>432.00395843641758</v>
      </c>
      <c r="L676" s="250">
        <f>L675*$B$677</f>
        <v>284.39087947882734</v>
      </c>
    </row>
    <row r="677" spans="2:13">
      <c r="B677" s="196">
        <v>365</v>
      </c>
    </row>
    <row r="678" spans="2:13">
      <c r="B678" t="s">
        <v>679</v>
      </c>
      <c r="C678" s="250">
        <f>C671/C681*$B$677</f>
        <v>16.109584905660377</v>
      </c>
      <c r="D678" s="250">
        <f t="shared" ref="D678:K678" si="126">D671/D681*$B$677</f>
        <v>16.502618629173991</v>
      </c>
      <c r="E678" s="250">
        <f t="shared" si="126"/>
        <v>15.125114881583599</v>
      </c>
      <c r="F678" s="250">
        <f t="shared" si="126"/>
        <v>26.993817368314012</v>
      </c>
      <c r="G678" s="250">
        <f t="shared" si="126"/>
        <v>15.646428884339983</v>
      </c>
      <c r="H678" s="250">
        <f t="shared" si="126"/>
        <v>18.654345308869356</v>
      </c>
      <c r="I678" s="250">
        <f t="shared" si="126"/>
        <v>23.767786160460776</v>
      </c>
      <c r="J678" s="250">
        <f t="shared" si="126"/>
        <v>21.652534129294896</v>
      </c>
      <c r="K678" s="250">
        <f t="shared" si="126"/>
        <v>24.452323738146049</v>
      </c>
      <c r="L678" s="250">
        <f>L671/L681*$B$677</f>
        <v>21.273879142300196</v>
      </c>
    </row>
    <row r="679" spans="2:13">
      <c r="C679" s="250"/>
      <c r="D679" s="250"/>
      <c r="E679" s="250"/>
      <c r="F679" s="250"/>
      <c r="G679" s="250"/>
      <c r="H679" s="250"/>
      <c r="I679" s="250"/>
      <c r="J679" s="250"/>
      <c r="K679" s="250"/>
      <c r="L679" s="250"/>
    </row>
    <row r="680" spans="2:13">
      <c r="C680" s="250"/>
      <c r="D680" s="250"/>
      <c r="E680" s="250"/>
      <c r="F680" s="250"/>
      <c r="G680" s="250"/>
      <c r="H680" s="250"/>
      <c r="I680" s="250"/>
      <c r="J680" s="250"/>
      <c r="K680" s="250"/>
      <c r="L680" s="250"/>
    </row>
    <row r="681" spans="2:13">
      <c r="B681" t="s">
        <v>40</v>
      </c>
      <c r="C681" s="226">
        <f>C446</f>
        <v>6625</v>
      </c>
      <c r="D681" s="226">
        <f t="shared" ref="D681:K681" si="127">D446</f>
        <v>5690</v>
      </c>
      <c r="E681" s="226">
        <f t="shared" si="127"/>
        <v>8487</v>
      </c>
      <c r="F681" s="226">
        <f t="shared" si="127"/>
        <v>9834</v>
      </c>
      <c r="G681" s="226">
        <f t="shared" si="127"/>
        <v>12554.9</v>
      </c>
      <c r="H681" s="226">
        <f t="shared" si="127"/>
        <v>12867.9</v>
      </c>
      <c r="I681" s="226">
        <f t="shared" si="127"/>
        <v>13559.7</v>
      </c>
      <c r="J681" s="226">
        <f t="shared" si="127"/>
        <v>15009.099999999999</v>
      </c>
      <c r="K681" s="226">
        <f t="shared" si="127"/>
        <v>17852.7</v>
      </c>
      <c r="L681" s="226">
        <v>20520</v>
      </c>
    </row>
    <row r="683" spans="2:13">
      <c r="B683" t="s">
        <v>676</v>
      </c>
      <c r="C683" s="44">
        <f>C671/C681</f>
        <v>4.4135849056603768E-2</v>
      </c>
      <c r="D683" s="44">
        <f t="shared" ref="D683:K683" si="128">D671/D681</f>
        <v>4.5212653778558876E-2</v>
      </c>
      <c r="E683" s="44">
        <f t="shared" si="128"/>
        <v>4.1438670908448216E-2</v>
      </c>
      <c r="F683" s="44">
        <f t="shared" si="128"/>
        <v>7.3955664022778117E-2</v>
      </c>
      <c r="G683" s="44">
        <f t="shared" si="128"/>
        <v>4.2866928450246526E-2</v>
      </c>
      <c r="H683" s="44">
        <f t="shared" si="128"/>
        <v>5.1107795366765359E-2</v>
      </c>
      <c r="I683" s="44">
        <f t="shared" si="128"/>
        <v>6.5117222357426785E-2</v>
      </c>
      <c r="J683" s="44">
        <f t="shared" si="128"/>
        <v>5.9322011313136705E-2</v>
      </c>
      <c r="K683" s="44">
        <f t="shared" si="128"/>
        <v>6.6992667775742601E-2</v>
      </c>
      <c r="L683" s="44">
        <f>L671/L681</f>
        <v>5.828460038986355E-2</v>
      </c>
    </row>
    <row r="684" spans="2:13">
      <c r="B684" t="s">
        <v>677</v>
      </c>
      <c r="C684" s="44">
        <f>C343/C340</f>
        <v>7.1907924528301886E-2</v>
      </c>
      <c r="D684" s="44">
        <f t="shared" ref="D684:K684" si="129">D343/D340</f>
        <v>5.7753954305799653E-2</v>
      </c>
      <c r="E684" s="44">
        <f t="shared" si="129"/>
        <v>3.9486273123600799E-2</v>
      </c>
      <c r="F684" s="44">
        <f t="shared" si="129"/>
        <v>4.670022371364653E-2</v>
      </c>
      <c r="G684" s="44">
        <f t="shared" si="129"/>
        <v>8.1538682108180868E-2</v>
      </c>
      <c r="H684" s="44">
        <f t="shared" si="129"/>
        <v>8.3964749492924262E-2</v>
      </c>
      <c r="I684" s="44">
        <f t="shared" si="129"/>
        <v>5.010656577947889E-2</v>
      </c>
      <c r="J684" s="44">
        <f t="shared" si="129"/>
        <v>5.2520804045545703E-2</v>
      </c>
      <c r="K684" s="44">
        <f t="shared" si="129"/>
        <v>6.7864804763425129E-2</v>
      </c>
      <c r="L684" s="44">
        <f>L343/L340</f>
        <v>7.4803610066080578E-2</v>
      </c>
    </row>
    <row r="690" spans="2:23">
      <c r="B690" s="162" t="s">
        <v>202</v>
      </c>
      <c r="C690" s="163">
        <v>2015</v>
      </c>
      <c r="D690" s="163">
        <f t="shared" ref="D690:L690" si="130">C690+1</f>
        <v>2016</v>
      </c>
      <c r="E690" s="163">
        <f t="shared" si="130"/>
        <v>2017</v>
      </c>
      <c r="F690" s="163">
        <f t="shared" si="130"/>
        <v>2018</v>
      </c>
      <c r="G690" s="163">
        <f t="shared" si="130"/>
        <v>2019</v>
      </c>
      <c r="H690" s="163">
        <f t="shared" si="130"/>
        <v>2020</v>
      </c>
      <c r="I690" s="163">
        <f t="shared" si="130"/>
        <v>2021</v>
      </c>
      <c r="J690" s="163">
        <f t="shared" si="130"/>
        <v>2022</v>
      </c>
      <c r="K690" s="163">
        <f t="shared" si="130"/>
        <v>2023</v>
      </c>
      <c r="L690" s="163">
        <f t="shared" si="130"/>
        <v>2024</v>
      </c>
    </row>
    <row r="692" spans="2:23">
      <c r="B692" t="s">
        <v>538</v>
      </c>
      <c r="C692" s="250">
        <v>191.64302388220506</v>
      </c>
      <c r="D692" s="250">
        <v>139.21408450704226</v>
      </c>
      <c r="E692" s="250">
        <v>203.11210443037976</v>
      </c>
      <c r="F692" s="250">
        <v>384.72057971014493</v>
      </c>
      <c r="G692" s="250">
        <v>279.54938095915753</v>
      </c>
      <c r="H692" s="250">
        <v>245.66804830621223</v>
      </c>
      <c r="I692" s="250">
        <v>333.97310880829019</v>
      </c>
      <c r="J692" s="250">
        <v>308.33496204933584</v>
      </c>
      <c r="K692" s="250">
        <v>432.00395843641758</v>
      </c>
      <c r="L692" s="250">
        <v>282</v>
      </c>
    </row>
    <row r="693" spans="2:23">
      <c r="B693" t="s">
        <v>539</v>
      </c>
      <c r="C693" s="250">
        <v>154</v>
      </c>
      <c r="D693" s="250">
        <v>142</v>
      </c>
      <c r="E693" s="250">
        <v>150</v>
      </c>
      <c r="F693" s="250">
        <v>165</v>
      </c>
      <c r="G693" s="250">
        <v>165</v>
      </c>
      <c r="H693" s="250">
        <v>188</v>
      </c>
      <c r="I693" s="250">
        <v>234</v>
      </c>
      <c r="J693" s="250">
        <v>269</v>
      </c>
      <c r="K693" s="250">
        <v>271</v>
      </c>
      <c r="L693" s="250">
        <v>260</v>
      </c>
    </row>
    <row r="694" spans="2:23">
      <c r="B694" t="s">
        <v>540</v>
      </c>
      <c r="C694" s="250">
        <v>299</v>
      </c>
      <c r="D694" s="250">
        <v>324</v>
      </c>
      <c r="E694" s="250">
        <v>370</v>
      </c>
      <c r="F694" s="250">
        <v>339</v>
      </c>
      <c r="G694" s="250">
        <v>231</v>
      </c>
      <c r="H694" s="250">
        <v>259</v>
      </c>
      <c r="I694" s="250">
        <v>359</v>
      </c>
      <c r="J694" s="250"/>
      <c r="K694" s="250">
        <v>198</v>
      </c>
      <c r="L694" s="250">
        <v>268</v>
      </c>
    </row>
    <row r="695" spans="2:23">
      <c r="B695" t="s">
        <v>541</v>
      </c>
      <c r="C695" s="250">
        <v>173</v>
      </c>
      <c r="D695" s="250">
        <v>286</v>
      </c>
      <c r="E695" s="250">
        <v>337</v>
      </c>
      <c r="F695" s="250">
        <v>301</v>
      </c>
      <c r="G695" s="250">
        <v>198</v>
      </c>
      <c r="H695" s="250">
        <v>207</v>
      </c>
      <c r="I695" s="250">
        <v>243</v>
      </c>
      <c r="J695" s="250">
        <v>110</v>
      </c>
      <c r="K695" s="250">
        <v>121</v>
      </c>
      <c r="L695" s="250">
        <v>121</v>
      </c>
    </row>
    <row r="696" spans="2:23">
      <c r="B696" t="s">
        <v>542</v>
      </c>
      <c r="C696" s="250">
        <v>196</v>
      </c>
      <c r="D696" s="250">
        <v>160</v>
      </c>
      <c r="E696" s="250">
        <v>222</v>
      </c>
      <c r="F696" s="250">
        <v>303</v>
      </c>
      <c r="G696" s="250">
        <v>179</v>
      </c>
      <c r="H696" s="250">
        <v>205</v>
      </c>
      <c r="I696" s="250">
        <v>204</v>
      </c>
      <c r="J696" s="250">
        <v>203</v>
      </c>
      <c r="K696" s="250">
        <v>188</v>
      </c>
      <c r="L696" s="250">
        <v>185</v>
      </c>
    </row>
    <row r="697" spans="2:23">
      <c r="B697" t="s">
        <v>543</v>
      </c>
      <c r="C697" s="250">
        <v>123</v>
      </c>
      <c r="D697" s="250">
        <v>133</v>
      </c>
      <c r="E697" s="250">
        <v>140</v>
      </c>
      <c r="F697" s="250">
        <v>130</v>
      </c>
      <c r="G697" s="250">
        <v>111</v>
      </c>
      <c r="H697" s="250">
        <v>143</v>
      </c>
      <c r="I697" s="250">
        <v>154</v>
      </c>
      <c r="J697" s="250">
        <v>199</v>
      </c>
      <c r="K697" s="250">
        <v>174</v>
      </c>
      <c r="L697" s="250">
        <v>211</v>
      </c>
    </row>
    <row r="698" spans="2:23">
      <c r="B698" t="s">
        <v>544</v>
      </c>
      <c r="C698" s="250">
        <v>145</v>
      </c>
      <c r="D698" s="250">
        <v>109</v>
      </c>
      <c r="E698" s="250">
        <v>136</v>
      </c>
      <c r="F698" s="250">
        <v>146</v>
      </c>
      <c r="G698" s="250">
        <v>229</v>
      </c>
      <c r="H698" s="250">
        <v>239</v>
      </c>
      <c r="I698" s="250">
        <v>154</v>
      </c>
      <c r="J698" s="250">
        <v>125</v>
      </c>
      <c r="K698" s="250">
        <v>164</v>
      </c>
      <c r="L698" s="250">
        <v>160</v>
      </c>
    </row>
    <row r="700" spans="2:23">
      <c r="P700" s="515">
        <v>2017</v>
      </c>
      <c r="Q700" s="515">
        <f>P700+1</f>
        <v>2018</v>
      </c>
      <c r="R700" s="515">
        <f t="shared" ref="R700:W700" si="131">Q700+1</f>
        <v>2019</v>
      </c>
      <c r="S700" s="515">
        <f t="shared" si="131"/>
        <v>2020</v>
      </c>
      <c r="T700" s="515">
        <f t="shared" si="131"/>
        <v>2021</v>
      </c>
      <c r="U700" s="515">
        <f t="shared" si="131"/>
        <v>2022</v>
      </c>
      <c r="V700" s="515">
        <f t="shared" si="131"/>
        <v>2023</v>
      </c>
      <c r="W700" s="515">
        <f t="shared" si="131"/>
        <v>2024</v>
      </c>
    </row>
    <row r="701" spans="2:23">
      <c r="B701" s="1" t="s">
        <v>508</v>
      </c>
      <c r="C701" s="252">
        <f>MEDIAN(C693:C698)</f>
        <v>163.5</v>
      </c>
      <c r="D701" s="252">
        <f>MEDIAN(D692:D698)</f>
        <v>142</v>
      </c>
      <c r="E701" s="252">
        <f t="shared" ref="E701:K701" si="132">MEDIAN(E693:E698)</f>
        <v>186</v>
      </c>
      <c r="F701" s="252">
        <f t="shared" si="132"/>
        <v>233</v>
      </c>
      <c r="G701" s="252">
        <f t="shared" si="132"/>
        <v>188.5</v>
      </c>
      <c r="H701" s="252">
        <f t="shared" si="132"/>
        <v>206</v>
      </c>
      <c r="I701" s="252">
        <f t="shared" si="132"/>
        <v>219</v>
      </c>
      <c r="J701" s="252">
        <f t="shared" si="132"/>
        <v>199</v>
      </c>
      <c r="K701" s="252">
        <f t="shared" si="132"/>
        <v>181</v>
      </c>
      <c r="L701" s="252">
        <f>MEDIAN(L693:L698)</f>
        <v>198</v>
      </c>
      <c r="O701" t="s">
        <v>1277</v>
      </c>
      <c r="P701" s="249">
        <v>351.69</v>
      </c>
      <c r="Q701" s="249">
        <v>727.28</v>
      </c>
      <c r="R701" s="249">
        <v>538.19000000000005</v>
      </c>
      <c r="S701" s="249">
        <v>657.65</v>
      </c>
      <c r="T701" s="249">
        <v>882.97</v>
      </c>
      <c r="U701" s="249">
        <v>890.37</v>
      </c>
      <c r="V701" s="249">
        <v>1196</v>
      </c>
      <c r="W701" s="249">
        <v>1196</v>
      </c>
    </row>
    <row r="702" spans="2:23">
      <c r="B702" s="1" t="s">
        <v>432</v>
      </c>
      <c r="C702" s="252">
        <f>AVERAGE(C693:C698)</f>
        <v>181.66666666666666</v>
      </c>
      <c r="D702" s="252">
        <f t="shared" ref="D702:K702" si="133">AVERAGE(D693:D698)</f>
        <v>192.33333333333334</v>
      </c>
      <c r="E702" s="252">
        <f t="shared" si="133"/>
        <v>225.83333333333334</v>
      </c>
      <c r="F702" s="252">
        <f t="shared" si="133"/>
        <v>230.66666666666666</v>
      </c>
      <c r="G702" s="252">
        <f t="shared" si="133"/>
        <v>185.5</v>
      </c>
      <c r="H702" s="252">
        <f t="shared" si="133"/>
        <v>206.83333333333334</v>
      </c>
      <c r="I702" s="252">
        <f t="shared" si="133"/>
        <v>224.66666666666666</v>
      </c>
      <c r="J702" s="252">
        <f t="shared" si="133"/>
        <v>181.2</v>
      </c>
      <c r="K702" s="252">
        <f t="shared" si="133"/>
        <v>186</v>
      </c>
      <c r="L702" s="252">
        <f>AVERAGE(L693:L698)</f>
        <v>200.83333333333334</v>
      </c>
      <c r="O702" t="s">
        <v>1278</v>
      </c>
      <c r="P702" s="249">
        <v>203.11210443037976</v>
      </c>
      <c r="Q702" s="249">
        <v>384.72057971014493</v>
      </c>
      <c r="R702" s="249">
        <v>279.54938095915753</v>
      </c>
      <c r="S702" s="249">
        <v>245.66804830621223</v>
      </c>
      <c r="T702" s="249">
        <v>333.97310880829019</v>
      </c>
      <c r="U702" s="249">
        <v>308.33496204933584</v>
      </c>
      <c r="V702" s="249">
        <v>432.00395843641758</v>
      </c>
      <c r="W702" s="249">
        <v>284.39087947882734</v>
      </c>
    </row>
    <row r="705" spans="1:7">
      <c r="B705" s="1" t="s">
        <v>556</v>
      </c>
    </row>
    <row r="707" spans="1:7">
      <c r="B707" s="162" t="s">
        <v>202</v>
      </c>
      <c r="C707" s="253">
        <v>2024</v>
      </c>
      <c r="D707" s="253">
        <v>2025</v>
      </c>
      <c r="F707" s="259" t="s">
        <v>213</v>
      </c>
      <c r="G707" s="259" t="s">
        <v>432</v>
      </c>
    </row>
    <row r="709" spans="1:7">
      <c r="B709" t="s">
        <v>550</v>
      </c>
      <c r="C709">
        <v>66.599999999999994</v>
      </c>
      <c r="D709">
        <v>67.3</v>
      </c>
      <c r="F709">
        <f>MEDIAN(C709:D709)</f>
        <v>66.949999999999989</v>
      </c>
      <c r="G709">
        <f>AVERAGE(C709:D709)</f>
        <v>66.949999999999989</v>
      </c>
    </row>
    <row r="710" spans="1:7">
      <c r="B710" t="s">
        <v>223</v>
      </c>
      <c r="C710">
        <v>26</v>
      </c>
      <c r="D710">
        <v>27</v>
      </c>
      <c r="F710">
        <f>MEDIAN(C710:D710)</f>
        <v>26.5</v>
      </c>
      <c r="G710">
        <f>AVERAGE(C710:D710)</f>
        <v>26.5</v>
      </c>
    </row>
    <row r="711" spans="1:7">
      <c r="F711">
        <f>AVERAGE(F709:F710)</f>
        <v>46.724999999999994</v>
      </c>
      <c r="G711">
        <f>AVERAGE(G709:G710)</f>
        <v>46.724999999999994</v>
      </c>
    </row>
    <row r="713" spans="1:7">
      <c r="B713" s="1" t="s">
        <v>681</v>
      </c>
    </row>
    <row r="715" spans="1:7">
      <c r="B715" s="162" t="s">
        <v>202</v>
      </c>
    </row>
    <row r="716" spans="1:7">
      <c r="B716" t="s">
        <v>680</v>
      </c>
    </row>
    <row r="718" spans="1:7">
      <c r="A718" t="s">
        <v>21</v>
      </c>
      <c r="B718" s="1" t="s">
        <v>102</v>
      </c>
    </row>
    <row r="720" spans="1:7">
      <c r="B720" t="s">
        <v>710</v>
      </c>
    </row>
    <row r="722" spans="1:14">
      <c r="A722" t="s">
        <v>21</v>
      </c>
      <c r="B722" s="1" t="s">
        <v>683</v>
      </c>
    </row>
    <row r="723" spans="1:14">
      <c r="B723" s="1"/>
    </row>
    <row r="724" spans="1:14">
      <c r="B724" s="1"/>
    </row>
    <row r="725" spans="1:14">
      <c r="B725" s="162" t="s">
        <v>202</v>
      </c>
      <c r="C725" s="163">
        <v>2015</v>
      </c>
      <c r="D725" s="163">
        <f t="shared" ref="D725:K725" si="134">C725+1</f>
        <v>2016</v>
      </c>
      <c r="E725" s="163">
        <f t="shared" si="134"/>
        <v>2017</v>
      </c>
      <c r="F725" s="163">
        <f t="shared" si="134"/>
        <v>2018</v>
      </c>
      <c r="G725" s="163">
        <f t="shared" si="134"/>
        <v>2019</v>
      </c>
      <c r="H725" s="163">
        <f t="shared" si="134"/>
        <v>2020</v>
      </c>
      <c r="I725" s="163">
        <f t="shared" si="134"/>
        <v>2021</v>
      </c>
      <c r="J725" s="163">
        <f t="shared" si="134"/>
        <v>2022</v>
      </c>
      <c r="K725" s="163">
        <f t="shared" si="134"/>
        <v>2023</v>
      </c>
    </row>
    <row r="726" spans="1:14">
      <c r="B726" t="str">
        <f>'Balance Sheet '!B85</f>
        <v>Long-Term Borrowings</v>
      </c>
      <c r="C726">
        <f>'Balance Sheet '!D85</f>
        <v>401.9</v>
      </c>
      <c r="D726">
        <f>'Balance Sheet '!E85</f>
        <v>531</v>
      </c>
      <c r="E726">
        <f>'Balance Sheet '!F85</f>
        <v>519</v>
      </c>
      <c r="F726">
        <f>'Balance Sheet '!G85</f>
        <v>2208</v>
      </c>
      <c r="G726">
        <f>'Balance Sheet '!H85</f>
        <v>2310</v>
      </c>
      <c r="H726">
        <f>'Balance Sheet '!I85</f>
        <v>1639</v>
      </c>
      <c r="I726">
        <f>'Balance Sheet '!J85</f>
        <v>1332</v>
      </c>
      <c r="J726">
        <f>'Balance Sheet '!K85</f>
        <v>1298</v>
      </c>
      <c r="K726">
        <f>'Balance Sheet '!L85</f>
        <v>581</v>
      </c>
    </row>
    <row r="727" spans="1:14">
      <c r="B727" t="s">
        <v>673</v>
      </c>
      <c r="D727" s="44">
        <f>D726/C726-1</f>
        <v>0.32122418512067696</v>
      </c>
      <c r="E727" s="44">
        <f t="shared" ref="E727:K727" si="135">E726/D726-1</f>
        <v>-2.2598870056497189E-2</v>
      </c>
      <c r="F727" s="44">
        <f t="shared" si="135"/>
        <v>3.2543352601156066</v>
      </c>
      <c r="G727" s="44">
        <f t="shared" si="135"/>
        <v>4.6195652173913082E-2</v>
      </c>
      <c r="H727" s="44">
        <f t="shared" si="135"/>
        <v>-0.29047619047619044</v>
      </c>
      <c r="I727" s="44">
        <f t="shared" si="135"/>
        <v>-0.18730933496034163</v>
      </c>
      <c r="J727" s="44">
        <f t="shared" si="135"/>
        <v>-2.5525525525525561E-2</v>
      </c>
      <c r="K727" s="44">
        <f t="shared" si="135"/>
        <v>-0.55238828967642528</v>
      </c>
      <c r="M727" s="213">
        <f>MEDIAN(D727:K727)</f>
        <v>-2.4062197791011375E-2</v>
      </c>
      <c r="N727" s="213">
        <f>AVERAGE(D727:K727)</f>
        <v>0.31793211083940204</v>
      </c>
    </row>
    <row r="728" spans="1:14">
      <c r="B728" t="str">
        <f>'Balance Sheet '!B106</f>
        <v>Short-Term Borrowings</v>
      </c>
      <c r="C728">
        <f>'Balance Sheet '!D106</f>
        <v>215.1</v>
      </c>
      <c r="D728">
        <f>'Balance Sheet '!E106</f>
        <v>195.8</v>
      </c>
      <c r="E728">
        <f>'Balance Sheet '!F106</f>
        <v>774.4</v>
      </c>
      <c r="F728">
        <f>'Balance Sheet '!G106</f>
        <v>1186</v>
      </c>
      <c r="G728">
        <f>'Balance Sheet '!H106</f>
        <v>473.3</v>
      </c>
      <c r="H728">
        <f>'Balance Sheet '!I106</f>
        <v>709.8</v>
      </c>
      <c r="I728">
        <f>'Balance Sheet '!J106</f>
        <v>509.2</v>
      </c>
      <c r="J728">
        <f>'Balance Sheet '!K106</f>
        <v>319.5</v>
      </c>
      <c r="K728">
        <f>'Balance Sheet '!L106</f>
        <v>972.4</v>
      </c>
    </row>
    <row r="729" spans="1:14">
      <c r="B729" t="s">
        <v>673</v>
      </c>
      <c r="D729" s="44">
        <f>D728/C728-1</f>
        <v>-8.9725708972570817E-2</v>
      </c>
      <c r="E729" s="44">
        <f t="shared" ref="E729:K729" si="136">E728/D728-1</f>
        <v>2.9550561797752803</v>
      </c>
      <c r="F729" s="44">
        <f t="shared" si="136"/>
        <v>0.53150826446280997</v>
      </c>
      <c r="G729" s="44">
        <f t="shared" si="136"/>
        <v>-0.60092748735244517</v>
      </c>
      <c r="H729" s="44">
        <f t="shared" si="136"/>
        <v>0.49968307627297692</v>
      </c>
      <c r="I729" s="44">
        <f t="shared" si="136"/>
        <v>-0.28261482107635949</v>
      </c>
      <c r="J729" s="44">
        <f t="shared" si="136"/>
        <v>-0.37254516889238021</v>
      </c>
      <c r="K729" s="44">
        <f t="shared" si="136"/>
        <v>2.0435054773082943</v>
      </c>
      <c r="M729" s="44">
        <f>MEDIAN(D729:K729)</f>
        <v>0.20497868365020305</v>
      </c>
      <c r="N729" s="44">
        <f>AVERAGE(D729:K729)</f>
        <v>0.58549247644070079</v>
      </c>
    </row>
    <row r="731" spans="1:14">
      <c r="B731" s="319" t="s">
        <v>684</v>
      </c>
      <c r="C731" s="319">
        <f>C728+C726</f>
        <v>617</v>
      </c>
      <c r="D731" s="319">
        <f t="shared" ref="D731:K731" si="137">D728+D726</f>
        <v>726.8</v>
      </c>
      <c r="E731" s="319">
        <f t="shared" si="137"/>
        <v>1293.4000000000001</v>
      </c>
      <c r="F731" s="319">
        <f t="shared" si="137"/>
        <v>3394</v>
      </c>
      <c r="G731" s="319">
        <f t="shared" si="137"/>
        <v>2783.3</v>
      </c>
      <c r="H731" s="319">
        <f t="shared" si="137"/>
        <v>2348.8000000000002</v>
      </c>
      <c r="I731" s="319">
        <f t="shared" si="137"/>
        <v>1841.2</v>
      </c>
      <c r="J731" s="319">
        <f t="shared" si="137"/>
        <v>1617.5</v>
      </c>
      <c r="K731" s="319">
        <f t="shared" si="137"/>
        <v>1553.4</v>
      </c>
    </row>
    <row r="732" spans="1:14">
      <c r="B732" t="s">
        <v>673</v>
      </c>
      <c r="D732" s="44">
        <f>D731/C731-1</f>
        <v>0.17795786061588315</v>
      </c>
      <c r="E732" s="44">
        <f t="shared" ref="E732:K732" si="138">E731/D731-1</f>
        <v>0.77958172812328042</v>
      </c>
      <c r="F732" s="44">
        <f t="shared" si="138"/>
        <v>1.6240915416731094</v>
      </c>
      <c r="G732" s="44">
        <f t="shared" si="138"/>
        <v>-0.17993517972893336</v>
      </c>
      <c r="H732" s="44">
        <f t="shared" si="138"/>
        <v>-0.15610965400783239</v>
      </c>
      <c r="I732" s="44">
        <f t="shared" si="138"/>
        <v>-0.21611035422343328</v>
      </c>
      <c r="J732" s="44">
        <f t="shared" si="138"/>
        <v>-0.12149684988051268</v>
      </c>
      <c r="K732" s="44">
        <f t="shared" si="138"/>
        <v>-3.9629057187016925E-2</v>
      </c>
    </row>
    <row r="734" spans="1:14">
      <c r="B734" t="s">
        <v>685</v>
      </c>
      <c r="C734" s="44">
        <f>C726/C731</f>
        <v>0.65137763371150725</v>
      </c>
      <c r="D734" s="44">
        <f t="shared" ref="D734:K734" si="139">D726/D731</f>
        <v>0.73059988992845359</v>
      </c>
      <c r="E734" s="44">
        <f t="shared" si="139"/>
        <v>0.40126797587753205</v>
      </c>
      <c r="F734" s="44">
        <f t="shared" si="139"/>
        <v>0.65055981143193875</v>
      </c>
      <c r="G734" s="44">
        <f t="shared" si="139"/>
        <v>0.82995005928214705</v>
      </c>
      <c r="H734" s="44">
        <f t="shared" si="139"/>
        <v>0.69780313351498635</v>
      </c>
      <c r="I734" s="44">
        <f t="shared" si="139"/>
        <v>0.72344123397784055</v>
      </c>
      <c r="J734" s="44">
        <f t="shared" si="139"/>
        <v>0.80247295208655334</v>
      </c>
      <c r="K734" s="44">
        <f t="shared" si="139"/>
        <v>0.37401828247714686</v>
      </c>
    </row>
    <row r="735" spans="1:14">
      <c r="B735" t="s">
        <v>686</v>
      </c>
      <c r="C735" s="44">
        <f>C728/C731</f>
        <v>0.34862236628849269</v>
      </c>
      <c r="D735" s="44">
        <f t="shared" ref="D735:K735" si="140">D728/D731</f>
        <v>0.26940011007154652</v>
      </c>
      <c r="E735" s="44">
        <f t="shared" si="140"/>
        <v>0.59873202412246784</v>
      </c>
      <c r="F735" s="44">
        <f t="shared" si="140"/>
        <v>0.34944018856806131</v>
      </c>
      <c r="G735" s="44">
        <f t="shared" si="140"/>
        <v>0.1700499407178529</v>
      </c>
      <c r="H735" s="44">
        <f t="shared" si="140"/>
        <v>0.30219686648501359</v>
      </c>
      <c r="I735" s="44">
        <f t="shared" si="140"/>
        <v>0.27655876602215945</v>
      </c>
      <c r="J735" s="44">
        <f t="shared" si="140"/>
        <v>0.19752704791344669</v>
      </c>
      <c r="K735" s="44">
        <f t="shared" si="140"/>
        <v>0.62598171752285303</v>
      </c>
    </row>
    <row r="738" spans="2:14">
      <c r="B738" t="s">
        <v>40</v>
      </c>
      <c r="C738" s="226">
        <f>C681</f>
        <v>6625</v>
      </c>
      <c r="D738" s="226">
        <f t="shared" ref="D738:K738" si="141">D681</f>
        <v>5690</v>
      </c>
      <c r="E738" s="226">
        <f t="shared" si="141"/>
        <v>8487</v>
      </c>
      <c r="F738" s="226">
        <f t="shared" si="141"/>
        <v>9834</v>
      </c>
      <c r="G738" s="226">
        <f t="shared" si="141"/>
        <v>12554.9</v>
      </c>
      <c r="H738" s="226">
        <f t="shared" si="141"/>
        <v>12867.9</v>
      </c>
      <c r="I738" s="226">
        <f t="shared" si="141"/>
        <v>13559.7</v>
      </c>
      <c r="J738" s="226">
        <f t="shared" si="141"/>
        <v>15009.099999999999</v>
      </c>
      <c r="K738" s="226">
        <f t="shared" si="141"/>
        <v>17852.7</v>
      </c>
    </row>
    <row r="740" spans="2:14">
      <c r="B740" t="s">
        <v>687</v>
      </c>
      <c r="C740" s="44">
        <f>C726/C738</f>
        <v>6.0664150943396222E-2</v>
      </c>
      <c r="D740" s="44">
        <f t="shared" ref="D740:K740" si="142">D726/D738</f>
        <v>9.3321616871704746E-2</v>
      </c>
      <c r="E740" s="44">
        <f t="shared" si="142"/>
        <v>6.1152350653941319E-2</v>
      </c>
      <c r="F740" s="44">
        <f t="shared" si="142"/>
        <v>0.22452715070164733</v>
      </c>
      <c r="G740" s="44">
        <f t="shared" si="142"/>
        <v>0.1839919075420752</v>
      </c>
      <c r="H740" s="44">
        <f t="shared" si="142"/>
        <v>0.12737121053163297</v>
      </c>
      <c r="I740" s="44">
        <f t="shared" si="142"/>
        <v>9.8232261775703003E-2</v>
      </c>
      <c r="J740" s="44">
        <f t="shared" si="142"/>
        <v>8.6480868273247566E-2</v>
      </c>
      <c r="K740" s="44">
        <f t="shared" si="142"/>
        <v>3.2544096971326465E-2</v>
      </c>
      <c r="M740" s="213">
        <f>MEDIAN(C740:K740)</f>
        <v>9.3321616871704746E-2</v>
      </c>
      <c r="N740" s="213">
        <f>AVERAGE(C740:K740)</f>
        <v>0.10758729047385274</v>
      </c>
    </row>
    <row r="741" spans="2:14">
      <c r="B741" t="s">
        <v>688</v>
      </c>
      <c r="C741" s="44">
        <f>C728/C738</f>
        <v>3.2467924528301884E-2</v>
      </c>
      <c r="D741" s="44">
        <f t="shared" ref="D741:K741" si="143">D728/D738</f>
        <v>3.4411247803163444E-2</v>
      </c>
      <c r="E741" s="44">
        <f t="shared" si="143"/>
        <v>9.1245434193472363E-2</v>
      </c>
      <c r="F741" s="44">
        <f t="shared" si="143"/>
        <v>0.12060199308521456</v>
      </c>
      <c r="G741" s="44">
        <f t="shared" si="143"/>
        <v>3.7698428502019134E-2</v>
      </c>
      <c r="H741" s="44">
        <f t="shared" si="143"/>
        <v>5.516051570186277E-2</v>
      </c>
      <c r="I741" s="44">
        <f t="shared" si="143"/>
        <v>3.7552453225366343E-2</v>
      </c>
      <c r="J741" s="44">
        <f t="shared" si="143"/>
        <v>2.1287085834593683E-2</v>
      </c>
      <c r="K741" s="44">
        <f t="shared" si="143"/>
        <v>5.4467951626364634E-2</v>
      </c>
      <c r="M741" s="213">
        <f>MEDIAN(C741:K741)</f>
        <v>3.7698428502019134E-2</v>
      </c>
      <c r="N741" s="213">
        <f>AVERAGE(C741:K741)</f>
        <v>5.3877003833373203E-2</v>
      </c>
    </row>
    <row r="744" spans="2:14">
      <c r="M744" s="200" t="s">
        <v>213</v>
      </c>
      <c r="N744" s="200" t="s">
        <v>432</v>
      </c>
    </row>
    <row r="745" spans="2:14">
      <c r="B745" t="s">
        <v>689</v>
      </c>
      <c r="C745" s="320">
        <f>C731/('Balance Sheet '!D70+'Balance Sheet '!D75)</f>
        <v>0.11692249384119766</v>
      </c>
      <c r="D745" s="320">
        <f>D731/('Balance Sheet '!E70+'Balance Sheet '!E75)</f>
        <v>0.10616418346479696</v>
      </c>
      <c r="E745" s="320">
        <f>E731/('Balance Sheet '!F70+'Balance Sheet '!F75)</f>
        <v>0.16800675456257713</v>
      </c>
      <c r="F745" s="320">
        <f>F731/('Balance Sheet '!G70+'Balance Sheet '!G75)</f>
        <v>0.38146403965247888</v>
      </c>
      <c r="G745" s="320">
        <f>G731/('Balance Sheet '!H70+'Balance Sheet '!H75)</f>
        <v>0.2877807188055751</v>
      </c>
      <c r="H745" s="320">
        <f>H731/('Balance Sheet '!I70+'Balance Sheet '!I75)</f>
        <v>0.17834472285497344</v>
      </c>
      <c r="I745" s="320">
        <f>I731/('Balance Sheet '!J70+'Balance Sheet '!J75)</f>
        <v>0.11957397064553839</v>
      </c>
      <c r="J745" s="320">
        <f>J731/('Balance Sheet '!K70+'Balance Sheet '!K75)</f>
        <v>9.2635015176679464E-2</v>
      </c>
      <c r="K745" s="320">
        <f>K731/('Balance Sheet '!L70+'Balance Sheet '!L75)</f>
        <v>8.3354797166773992E-2</v>
      </c>
      <c r="M745" s="248">
        <f>MEDIAN(C745:K745)</f>
        <v>0.11957397064553839</v>
      </c>
      <c r="N745" s="248">
        <f>AVERAGE(C745:K745)</f>
        <v>0.17047185513006569</v>
      </c>
    </row>
    <row r="746" spans="2:14">
      <c r="B746" t="s">
        <v>690</v>
      </c>
      <c r="C746" s="320">
        <f>C731/('Balance Sheet '!D70+'Balance Sheet '!D75+'Company Information'!C731)</f>
        <v>0.10468272819816762</v>
      </c>
      <c r="D746" s="320">
        <f>D731/('Balance Sheet '!E70+'Balance Sheet '!E75+'Company Information'!D731)</f>
        <v>9.5975068666807509E-2</v>
      </c>
      <c r="E746" s="320">
        <f>E731/('Balance Sheet '!F70+'Balance Sheet '!F75+'Company Information'!E731)</f>
        <v>0.14384056762197089</v>
      </c>
      <c r="F746" s="320">
        <f>F731/('Balance Sheet '!G70+'Balance Sheet '!G75+'Company Information'!F731)</f>
        <v>0.27613027100469439</v>
      </c>
      <c r="G746" s="320">
        <f>G731/('Balance Sheet '!H70+'Balance Sheet '!H75+'Company Information'!G731)</f>
        <v>0.22347028077302908</v>
      </c>
      <c r="H746" s="320">
        <f>H731/('Balance Sheet '!I70+'Balance Sheet '!I75+'Company Information'!H731)</f>
        <v>0.1513519086527309</v>
      </c>
      <c r="I746" s="320">
        <f>I731/('Balance Sheet '!J70+'Balance Sheet '!J75+'Company Information'!I731)</f>
        <v>0.10680309991182885</v>
      </c>
      <c r="J746" s="320">
        <f>J731/('Balance Sheet '!K70+'Balance Sheet '!K75+'Company Information'!J731)</f>
        <v>8.4781298320098536E-2</v>
      </c>
      <c r="K746" s="320">
        <f>K731/('Balance Sheet '!L70+'Balance Sheet '!L75+'Company Information'!K731)</f>
        <v>7.6941365270884715E-2</v>
      </c>
      <c r="M746" s="248">
        <f>MEDIAN(C746:K746)</f>
        <v>0.10680309991182885</v>
      </c>
      <c r="N746" s="248">
        <f>AVERAGE(C746:K746)</f>
        <v>0.14044184315780139</v>
      </c>
    </row>
    <row r="747" spans="2:14">
      <c r="B747" t="s">
        <v>691</v>
      </c>
      <c r="C747" s="248">
        <f>C731/'Balance Sheet '!D60</f>
        <v>7.7148144443332997E-2</v>
      </c>
      <c r="D747" s="248">
        <f>D731/'Balance Sheet '!E60</f>
        <v>7.6792223572296467E-2</v>
      </c>
      <c r="E747" s="248">
        <f>E731/'Balance Sheet '!F60</f>
        <v>0.11585141925602144</v>
      </c>
      <c r="F747" s="248">
        <f>F731/'Balance Sheet '!G60</f>
        <v>0.22417289185672484</v>
      </c>
      <c r="G747" s="248">
        <f>G731/'Balance Sheet '!H60</f>
        <v>0.1796581505531816</v>
      </c>
      <c r="H747" s="248">
        <f>H731/'Balance Sheet '!I60</f>
        <v>0.11776562194467703</v>
      </c>
      <c r="I747" s="248">
        <f>I731/'Balance Sheet '!J60</f>
        <v>8.5589040586460649E-2</v>
      </c>
      <c r="J747" s="248">
        <f>J731/'Balance Sheet '!K60</f>
        <v>6.8114440682534069E-2</v>
      </c>
      <c r="K747" s="248">
        <f>K731/'Balance Sheet '!L60</f>
        <v>5.8987484051278939E-2</v>
      </c>
      <c r="M747" s="248">
        <f>MEDIAN(C747:K747)</f>
        <v>8.5589040586460649E-2</v>
      </c>
      <c r="N747" s="248">
        <f>AVERAGE(C747:K747)</f>
        <v>0.11156437966072311</v>
      </c>
    </row>
    <row r="748" spans="2:14">
      <c r="B748" t="s">
        <v>692</v>
      </c>
      <c r="C748" s="248">
        <f>C731/'Income Statement'!D59</f>
        <v>0.45887252714561938</v>
      </c>
      <c r="D748" s="248">
        <f>D731/'Income Statement'!E59</f>
        <v>0.5169642222064158</v>
      </c>
      <c r="E748" s="248">
        <f>E731/'Income Statement'!F59</f>
        <v>0.54633775449860622</v>
      </c>
      <c r="F748" s="248">
        <f>F731/'Income Statement'!G59</f>
        <v>1.3727552176023299</v>
      </c>
      <c r="G748" s="248">
        <f>G731/'Income Statement'!H59</f>
        <v>0.99563584331962085</v>
      </c>
      <c r="H748" s="248">
        <f>H731/'Income Statement'!I59</f>
        <v>0.62542937025695655</v>
      </c>
      <c r="I748" s="248">
        <f>I731/'Income Statement'!J59</f>
        <v>0.45130769419320044</v>
      </c>
      <c r="J748" s="248">
        <f>J731/'Income Statement'!K59</f>
        <v>0.43664291113270731</v>
      </c>
      <c r="K748" s="248">
        <f>K731/'Income Statement'!L59</f>
        <v>0.53136758568789744</v>
      </c>
      <c r="M748" s="248">
        <f>MEDIAN(C748:K748)</f>
        <v>0.53136758568789744</v>
      </c>
      <c r="N748" s="248">
        <f>AVERAGE(C748:K748)</f>
        <v>0.65947923622703941</v>
      </c>
    </row>
    <row r="751" spans="2:14">
      <c r="B751" s="162" t="s">
        <v>615</v>
      </c>
    </row>
    <row r="768" spans="6:13">
      <c r="F768" s="515">
        <v>2017</v>
      </c>
      <c r="G768" s="515">
        <f>F768+1</f>
        <v>2018</v>
      </c>
      <c r="H768" s="515">
        <f t="shared" ref="H768:M768" si="144">G768+1</f>
        <v>2019</v>
      </c>
      <c r="I768" s="515">
        <f t="shared" si="144"/>
        <v>2020</v>
      </c>
      <c r="J768" s="515">
        <f t="shared" si="144"/>
        <v>2021</v>
      </c>
      <c r="K768" s="515">
        <f t="shared" si="144"/>
        <v>2022</v>
      </c>
      <c r="L768" s="515">
        <f t="shared" si="144"/>
        <v>2023</v>
      </c>
      <c r="M768" s="515">
        <f t="shared" si="144"/>
        <v>2024</v>
      </c>
    </row>
    <row r="769" spans="1:13">
      <c r="E769" t="s">
        <v>652</v>
      </c>
      <c r="F769" s="262">
        <v>519</v>
      </c>
      <c r="G769" s="262">
        <v>2208</v>
      </c>
      <c r="H769" s="262">
        <v>2310</v>
      </c>
      <c r="I769" s="524">
        <v>1639</v>
      </c>
      <c r="J769" s="524">
        <v>1332</v>
      </c>
      <c r="K769" s="524">
        <v>1298</v>
      </c>
      <c r="L769" s="524">
        <v>581</v>
      </c>
      <c r="M769" s="524">
        <v>713.08</v>
      </c>
    </row>
    <row r="770" spans="1:13">
      <c r="E770" t="s">
        <v>1279</v>
      </c>
      <c r="F770" s="262">
        <v>774.4</v>
      </c>
      <c r="G770" s="262">
        <v>1186</v>
      </c>
      <c r="H770" s="262">
        <v>473.3</v>
      </c>
      <c r="I770" s="524">
        <v>709.8</v>
      </c>
      <c r="J770" s="524">
        <v>509.2</v>
      </c>
      <c r="K770" s="524">
        <v>319.5</v>
      </c>
      <c r="L770" s="524">
        <v>972.4</v>
      </c>
      <c r="M770" s="524">
        <v>475.91999999999996</v>
      </c>
    </row>
    <row r="771" spans="1:13">
      <c r="E771" t="s">
        <v>684</v>
      </c>
      <c r="F771" s="262">
        <f>F770+F769</f>
        <v>1293.4000000000001</v>
      </c>
      <c r="G771" s="262">
        <f t="shared" ref="G771:M771" si="145">G770+G769</f>
        <v>3394</v>
      </c>
      <c r="H771" s="262">
        <f t="shared" si="145"/>
        <v>2783.3</v>
      </c>
      <c r="I771" s="262">
        <f t="shared" si="145"/>
        <v>2348.8000000000002</v>
      </c>
      <c r="J771" s="262">
        <f t="shared" si="145"/>
        <v>1841.2</v>
      </c>
      <c r="K771" s="262">
        <f t="shared" si="145"/>
        <v>1617.5</v>
      </c>
      <c r="L771" s="262">
        <f t="shared" si="145"/>
        <v>1553.4</v>
      </c>
      <c r="M771" s="262">
        <f t="shared" si="145"/>
        <v>1189</v>
      </c>
    </row>
    <row r="772" spans="1:13">
      <c r="E772" t="s">
        <v>1281</v>
      </c>
      <c r="F772" s="285">
        <f>F769/F771</f>
        <v>0.40126797587753205</v>
      </c>
      <c r="G772" s="285">
        <f t="shared" ref="G772:M772" si="146">G769/G771</f>
        <v>0.65055981143193875</v>
      </c>
      <c r="H772" s="285">
        <f t="shared" si="146"/>
        <v>0.82995005928214705</v>
      </c>
      <c r="I772" s="285">
        <f t="shared" si="146"/>
        <v>0.69780313351498635</v>
      </c>
      <c r="J772" s="285">
        <f t="shared" si="146"/>
        <v>0.72344123397784055</v>
      </c>
      <c r="K772" s="285">
        <f t="shared" si="146"/>
        <v>0.80247295208655334</v>
      </c>
      <c r="L772" s="285">
        <f t="shared" si="146"/>
        <v>0.37401828247714686</v>
      </c>
      <c r="M772" s="285">
        <f t="shared" si="146"/>
        <v>0.59973086627418004</v>
      </c>
    </row>
    <row r="773" spans="1:13">
      <c r="E773" t="s">
        <v>1280</v>
      </c>
      <c r="F773" s="285">
        <f>F770/F771</f>
        <v>0.59873202412246784</v>
      </c>
      <c r="G773" s="285">
        <f t="shared" ref="G773:M773" si="147">G770/G771</f>
        <v>0.34944018856806131</v>
      </c>
      <c r="H773" s="285">
        <f t="shared" si="147"/>
        <v>0.1700499407178529</v>
      </c>
      <c r="I773" s="285">
        <f t="shared" si="147"/>
        <v>0.30219686648501359</v>
      </c>
      <c r="J773" s="285">
        <f t="shared" si="147"/>
        <v>0.27655876602215945</v>
      </c>
      <c r="K773" s="285">
        <f t="shared" si="147"/>
        <v>0.19752704791344669</v>
      </c>
      <c r="L773" s="285">
        <f t="shared" si="147"/>
        <v>0.62598171752285303</v>
      </c>
      <c r="M773" s="285">
        <f t="shared" si="147"/>
        <v>0.40026913372581996</v>
      </c>
    </row>
    <row r="782" spans="1:13">
      <c r="A782" t="s">
        <v>21</v>
      </c>
      <c r="B782" s="1" t="s">
        <v>683</v>
      </c>
    </row>
    <row r="785" spans="1:9">
      <c r="B785" s="162" t="s">
        <v>202</v>
      </c>
      <c r="C785" s="163">
        <v>2017</v>
      </c>
      <c r="D785" s="163">
        <f t="shared" ref="D785:I785" si="148">C785+1</f>
        <v>2018</v>
      </c>
      <c r="E785" s="163">
        <f t="shared" si="148"/>
        <v>2019</v>
      </c>
      <c r="F785" s="163">
        <f t="shared" si="148"/>
        <v>2020</v>
      </c>
      <c r="G785" s="163">
        <f t="shared" si="148"/>
        <v>2021</v>
      </c>
      <c r="H785" s="163">
        <f t="shared" si="148"/>
        <v>2022</v>
      </c>
      <c r="I785" s="163">
        <f t="shared" si="148"/>
        <v>2023</v>
      </c>
    </row>
    <row r="787" spans="1:9">
      <c r="B787" t="s">
        <v>684</v>
      </c>
      <c r="C787">
        <f>Schedules!E233</f>
        <v>1293.4000000000001</v>
      </c>
      <c r="D787">
        <f>Schedules!F233</f>
        <v>3394</v>
      </c>
      <c r="E787">
        <f>Schedules!G233</f>
        <v>2783.3</v>
      </c>
      <c r="F787">
        <f>Schedules!H233</f>
        <v>2348.8000000000002</v>
      </c>
      <c r="G787">
        <f>Schedules!I233</f>
        <v>1841.2</v>
      </c>
      <c r="H787">
        <f>Schedules!J233</f>
        <v>1617.5</v>
      </c>
      <c r="I787">
        <f>Schedules!K233</f>
        <v>1553.4</v>
      </c>
    </row>
    <row r="788" spans="1:9">
      <c r="B788" t="s">
        <v>704</v>
      </c>
      <c r="C788">
        <f>'Income Statement'!F67</f>
        <v>129.9</v>
      </c>
      <c r="D788">
        <f>'Income Statement'!G67</f>
        <v>135.4</v>
      </c>
      <c r="E788">
        <f>'Income Statement'!H67</f>
        <v>247.4</v>
      </c>
      <c r="F788">
        <f>'Income Statement'!I67</f>
        <v>291.8</v>
      </c>
      <c r="G788">
        <f>'Income Statement'!J67</f>
        <v>251.3</v>
      </c>
      <c r="H788">
        <f>'Income Statement'!K67</f>
        <v>216.5</v>
      </c>
      <c r="I788">
        <f>'Income Statement'!L67</f>
        <v>263.3</v>
      </c>
    </row>
    <row r="789" spans="1:9">
      <c r="B789" t="s">
        <v>705</v>
      </c>
      <c r="C789" s="44">
        <f>C788/C787</f>
        <v>0.10043296737281583</v>
      </c>
      <c r="D789" s="44">
        <f t="shared" ref="D789:I789" si="149">D788/D787</f>
        <v>3.9893930465527402E-2</v>
      </c>
      <c r="E789" s="44">
        <f t="shared" si="149"/>
        <v>8.8887292063378004E-2</v>
      </c>
      <c r="F789" s="44">
        <f t="shared" si="149"/>
        <v>0.12423365122615804</v>
      </c>
      <c r="G789" s="44">
        <f t="shared" si="149"/>
        <v>0.13648707364762111</v>
      </c>
      <c r="H789" s="44">
        <f t="shared" si="149"/>
        <v>0.1338485316846986</v>
      </c>
      <c r="I789" s="44">
        <f t="shared" si="149"/>
        <v>0.1694991631260461</v>
      </c>
    </row>
    <row r="791" spans="1:9">
      <c r="B791" s="162" t="s">
        <v>202</v>
      </c>
      <c r="C791" s="163" t="s">
        <v>706</v>
      </c>
      <c r="D791" s="163" t="s">
        <v>707</v>
      </c>
    </row>
    <row r="792" spans="1:9">
      <c r="C792" s="2">
        <v>7.8100000000000003E-2</v>
      </c>
      <c r="D792">
        <v>455</v>
      </c>
    </row>
    <row r="793" spans="1:9">
      <c r="C793" s="2">
        <v>7.8200000000000006E-2</v>
      </c>
      <c r="D793">
        <v>246</v>
      </c>
    </row>
    <row r="794" spans="1:9">
      <c r="C794" s="2">
        <v>7.9600000000000004E-2</v>
      </c>
      <c r="D794">
        <v>363</v>
      </c>
    </row>
    <row r="795" spans="1:9">
      <c r="C795" s="2">
        <v>8.1000000000000003E-2</v>
      </c>
      <c r="D795">
        <v>109</v>
      </c>
    </row>
    <row r="796" spans="1:9">
      <c r="C796" s="154">
        <f>SUMPRODUCT(C792:C795,D792:D795)/SUM(D792:D795)</f>
        <v>7.885464620630861E-2</v>
      </c>
    </row>
    <row r="799" spans="1:9">
      <c r="A799" t="s">
        <v>21</v>
      </c>
      <c r="B799" s="1" t="s">
        <v>711</v>
      </c>
    </row>
    <row r="802" spans="2:9">
      <c r="B802" s="162" t="s">
        <v>202</v>
      </c>
      <c r="C802" s="163">
        <v>2017</v>
      </c>
      <c r="D802" s="163">
        <f t="shared" ref="D802:I802" si="150">C802+1</f>
        <v>2018</v>
      </c>
      <c r="E802" s="163">
        <f t="shared" si="150"/>
        <v>2019</v>
      </c>
      <c r="F802" s="163">
        <f t="shared" si="150"/>
        <v>2020</v>
      </c>
      <c r="G802" s="163">
        <f t="shared" si="150"/>
        <v>2021</v>
      </c>
      <c r="H802" s="163">
        <f t="shared" si="150"/>
        <v>2022</v>
      </c>
      <c r="I802" s="163">
        <f t="shared" si="150"/>
        <v>2023</v>
      </c>
    </row>
    <row r="803" spans="2:9">
      <c r="B803" t="s">
        <v>40</v>
      </c>
      <c r="C803">
        <f>'Income Statement'!F4</f>
        <v>8946</v>
      </c>
      <c r="D803">
        <f>'Income Statement'!G4</f>
        <v>9433</v>
      </c>
      <c r="E803">
        <f>'Income Statement'!H4</f>
        <v>11457</v>
      </c>
      <c r="F803">
        <f>'Income Statement'!I4</f>
        <v>12083</v>
      </c>
      <c r="G803">
        <f>'Income Statement'!J4</f>
        <v>16543</v>
      </c>
      <c r="H803">
        <f>'Income Statement'!K4</f>
        <v>10426</v>
      </c>
      <c r="I803">
        <f>'Income Statement'!L4</f>
        <v>12065</v>
      </c>
    </row>
    <row r="804" spans="2:9">
      <c r="B804" t="s">
        <v>712</v>
      </c>
      <c r="C804">
        <f>'Income Statement'!F76</f>
        <v>507.1</v>
      </c>
      <c r="D804">
        <f>'Income Statement'!G76</f>
        <v>389.5</v>
      </c>
      <c r="E804">
        <f>'Income Statement'!H76</f>
        <v>249.8</v>
      </c>
      <c r="F804">
        <f>'Income Statement'!I76</f>
        <v>277.89999999999998</v>
      </c>
      <c r="G804">
        <f>'Income Statement'!J76</f>
        <v>438.6</v>
      </c>
      <c r="H804">
        <f>'Income Statement'!K76</f>
        <v>548.40000000000009</v>
      </c>
      <c r="I804">
        <f>'Income Statement'!L76</f>
        <v>465.5</v>
      </c>
    </row>
    <row r="806" spans="2:9">
      <c r="B806" s="1" t="s">
        <v>713</v>
      </c>
      <c r="C806" s="325">
        <f>C804/C803</f>
        <v>5.6684551754974291E-2</v>
      </c>
      <c r="D806" s="325">
        <f t="shared" ref="D806:I806" si="151">D804/D803</f>
        <v>4.1291211703593768E-2</v>
      </c>
      <c r="E806" s="325">
        <f t="shared" si="151"/>
        <v>2.1803264379855112E-2</v>
      </c>
      <c r="F806" s="325">
        <f t="shared" si="151"/>
        <v>2.2999255151866255E-2</v>
      </c>
      <c r="G806" s="325">
        <f t="shared" si="151"/>
        <v>2.6512724415160491E-2</v>
      </c>
      <c r="H806" s="325">
        <f t="shared" si="151"/>
        <v>5.2599271053136401E-2</v>
      </c>
      <c r="I806" s="325">
        <f t="shared" si="151"/>
        <v>3.858267716535433E-2</v>
      </c>
    </row>
    <row r="808" spans="2:9">
      <c r="D808" t="s">
        <v>714</v>
      </c>
    </row>
    <row r="811" spans="2:9">
      <c r="B811" s="1" t="s">
        <v>339</v>
      </c>
    </row>
    <row r="814" spans="2:9">
      <c r="B814" s="162" t="s">
        <v>202</v>
      </c>
      <c r="C814" s="163">
        <v>2017</v>
      </c>
      <c r="D814" s="163">
        <f t="shared" ref="D814:I814" si="152">C814+1</f>
        <v>2018</v>
      </c>
      <c r="E814" s="163">
        <f t="shared" si="152"/>
        <v>2019</v>
      </c>
      <c r="F814" s="163">
        <f t="shared" si="152"/>
        <v>2020</v>
      </c>
      <c r="G814" s="163">
        <f t="shared" si="152"/>
        <v>2021</v>
      </c>
      <c r="H814" s="163">
        <f t="shared" si="152"/>
        <v>2022</v>
      </c>
      <c r="I814" s="163">
        <f t="shared" si="152"/>
        <v>2023</v>
      </c>
    </row>
    <row r="815" spans="2:9">
      <c r="B815" t="s">
        <v>722</v>
      </c>
      <c r="C815">
        <f>'Cash Flow Statemenet'!F51*-1</f>
        <v>484.6</v>
      </c>
      <c r="D815">
        <f>'Cash Flow Statemenet'!G51*-1</f>
        <v>184.3</v>
      </c>
      <c r="E815">
        <f>'Cash Flow Statemenet'!H51*-1</f>
        <v>240.7</v>
      </c>
      <c r="F815">
        <f>'Cash Flow Statemenet'!I51*-1</f>
        <v>628.4</v>
      </c>
      <c r="G815">
        <f>'Cash Flow Statemenet'!J51*-1</f>
        <v>11.1</v>
      </c>
      <c r="H815">
        <f>'Cash Flow Statemenet'!K51*-1</f>
        <v>384.3</v>
      </c>
      <c r="I815">
        <f>'Cash Flow Statemenet'!L51*-1</f>
        <v>324.5</v>
      </c>
    </row>
    <row r="816" spans="2:9">
      <c r="B816" t="s">
        <v>723</v>
      </c>
      <c r="C816">
        <f>'3 Statment Model'!E39</f>
        <v>1338.3999999999999</v>
      </c>
      <c r="D816">
        <f>'3 Statment Model'!F39</f>
        <v>1384.6999999999991</v>
      </c>
      <c r="E816">
        <f>'3 Statment Model'!G39</f>
        <v>1016.5999999999992</v>
      </c>
      <c r="F816">
        <f>'3 Statment Model'!H39</f>
        <v>1543.4999999999998</v>
      </c>
      <c r="G816">
        <f>'3 Statment Model'!I39</f>
        <v>2291.0000000000009</v>
      </c>
      <c r="H816">
        <f>'3 Statment Model'!J39</f>
        <v>2334.4999999999986</v>
      </c>
      <c r="I816">
        <f>'3 Statment Model'!K39</f>
        <v>1269.4000000000033</v>
      </c>
    </row>
    <row r="818" spans="2:14">
      <c r="B818" s="1" t="s">
        <v>724</v>
      </c>
      <c r="C818" s="325">
        <f>C815/C816</f>
        <v>0.36207411835026904</v>
      </c>
      <c r="D818" s="325">
        <f t="shared" ref="D818:I818" si="153">D815/D816</f>
        <v>0.13309742182422193</v>
      </c>
      <c r="E818" s="325">
        <f t="shared" si="153"/>
        <v>0.2367696242376551</v>
      </c>
      <c r="F818" s="325">
        <f t="shared" si="153"/>
        <v>0.40712666018788474</v>
      </c>
      <c r="G818" s="325">
        <f t="shared" si="153"/>
        <v>4.8450458315146203E-3</v>
      </c>
      <c r="H818" s="325">
        <f t="shared" si="153"/>
        <v>0.1646176911544229</v>
      </c>
      <c r="I818" s="325">
        <f t="shared" si="153"/>
        <v>0.25563258232235636</v>
      </c>
    </row>
    <row r="822" spans="2:14">
      <c r="B822" t="s">
        <v>748</v>
      </c>
    </row>
    <row r="824" spans="2:14">
      <c r="B824" s="162" t="s">
        <v>202</v>
      </c>
      <c r="C824" s="163">
        <v>2017</v>
      </c>
      <c r="D824" s="163">
        <f t="shared" ref="D824:N824" si="154">C824+1</f>
        <v>2018</v>
      </c>
      <c r="E824" s="163">
        <f t="shared" si="154"/>
        <v>2019</v>
      </c>
      <c r="F824" s="163">
        <f t="shared" si="154"/>
        <v>2020</v>
      </c>
      <c r="G824" s="163">
        <f t="shared" si="154"/>
        <v>2021</v>
      </c>
      <c r="H824" s="163">
        <f t="shared" si="154"/>
        <v>2022</v>
      </c>
      <c r="I824" s="163">
        <f t="shared" si="154"/>
        <v>2023</v>
      </c>
      <c r="J824" s="163">
        <f t="shared" si="154"/>
        <v>2024</v>
      </c>
      <c r="K824" s="163">
        <f t="shared" si="154"/>
        <v>2025</v>
      </c>
      <c r="L824" s="163">
        <f t="shared" si="154"/>
        <v>2026</v>
      </c>
      <c r="M824" s="163">
        <f t="shared" si="154"/>
        <v>2027</v>
      </c>
      <c r="N824" s="163">
        <f t="shared" si="154"/>
        <v>2028</v>
      </c>
    </row>
    <row r="825" spans="2:14">
      <c r="B825" t="s">
        <v>96</v>
      </c>
      <c r="C825">
        <f>'Balance Sheet '!F41</f>
        <v>110.7</v>
      </c>
      <c r="D825">
        <f>'Balance Sheet '!G41</f>
        <v>120.6</v>
      </c>
      <c r="E825">
        <f>'Balance Sheet '!H41</f>
        <v>438.9</v>
      </c>
      <c r="F825">
        <f>'Balance Sheet '!I41</f>
        <v>614.5</v>
      </c>
      <c r="G825">
        <f>'Balance Sheet '!J41</f>
        <v>708</v>
      </c>
      <c r="H825">
        <f>'Balance Sheet '!K41</f>
        <v>289.39999999999998</v>
      </c>
      <c r="I825">
        <f>'Balance Sheet '!L41</f>
        <v>161.1</v>
      </c>
      <c r="J825" s="249">
        <f>'3 Statment Model'!L51</f>
        <v>421.81</v>
      </c>
      <c r="K825" s="249">
        <f ca="1">'3 Statment Model'!M51</f>
        <v>2836.5867624379634</v>
      </c>
      <c r="L825" s="249">
        <f ca="1">'3 Statment Model'!N51</f>
        <v>4016.7846244874881</v>
      </c>
      <c r="M825" s="249">
        <f ca="1">'3 Statment Model'!O51</f>
        <v>5472.4815575386856</v>
      </c>
      <c r="N825" s="249">
        <f ca="1">'3 Statment Model'!P51</f>
        <v>7282.8798325571624</v>
      </c>
    </row>
    <row r="826" spans="2:14">
      <c r="B826" t="s">
        <v>470</v>
      </c>
      <c r="C826">
        <f>'Income Statement'!F8</f>
        <v>8487</v>
      </c>
      <c r="D826">
        <f>'Income Statement'!G8</f>
        <v>9834</v>
      </c>
      <c r="E826">
        <f>'Income Statement'!H8</f>
        <v>12554.9</v>
      </c>
      <c r="F826">
        <f>'Income Statement'!I8</f>
        <v>12867.9</v>
      </c>
      <c r="G826">
        <f>'Income Statement'!J8</f>
        <v>13559.7</v>
      </c>
      <c r="H826">
        <f>'Income Statement'!K8</f>
        <v>15009.099999999999</v>
      </c>
      <c r="I826">
        <f>'Income Statement'!L8</f>
        <v>17852.7</v>
      </c>
      <c r="J826" s="249">
        <f>'3 Statment Model'!L13</f>
        <v>20520.400000000001</v>
      </c>
      <c r="K826" s="249">
        <f>'3 Statment Model'!M13</f>
        <v>22141.511600000002</v>
      </c>
      <c r="L826" s="249">
        <f>'3 Statment Model'!N13</f>
        <v>25256.822282120003</v>
      </c>
      <c r="M826" s="249">
        <f>'3 Statment Model'!O13</f>
        <v>28626.803998048588</v>
      </c>
      <c r="N826" s="249">
        <f>'3 Statment Model'!P13</f>
        <v>32238.279799573833</v>
      </c>
    </row>
    <row r="827" spans="2:14">
      <c r="J827" s="222"/>
      <c r="K827" s="222"/>
      <c r="L827" s="222"/>
      <c r="M827" s="222"/>
      <c r="N827" s="222"/>
    </row>
    <row r="828" spans="2:14">
      <c r="B828" s="1" t="s">
        <v>749</v>
      </c>
      <c r="C828" s="325">
        <f>C825/C826</f>
        <v>1.3043478260869566E-2</v>
      </c>
      <c r="D828" s="325">
        <f t="shared" ref="D828:I828" si="155">D825/D826</f>
        <v>1.2263575350823673E-2</v>
      </c>
      <c r="E828" s="325">
        <f t="shared" si="155"/>
        <v>3.4958462432994289E-2</v>
      </c>
      <c r="F828" s="325">
        <f t="shared" si="155"/>
        <v>4.775448985459943E-2</v>
      </c>
      <c r="G828" s="325">
        <f t="shared" si="155"/>
        <v>5.2213544547445735E-2</v>
      </c>
      <c r="H828" s="325">
        <f t="shared" si="155"/>
        <v>1.928163580761005E-2</v>
      </c>
      <c r="I828" s="325">
        <f t="shared" si="155"/>
        <v>9.0238451326690068E-3</v>
      </c>
      <c r="J828" s="20">
        <f>J825/J826</f>
        <v>2.0555642190210714E-2</v>
      </c>
      <c r="K828" s="20">
        <f ca="1">K825/K826</f>
        <v>0.12179077334788294</v>
      </c>
      <c r="L828" s="20">
        <f ca="1">L825/L826</f>
        <v>0.15271029148415904</v>
      </c>
      <c r="M828" s="20">
        <f ca="1">M825/M826</f>
        <v>0.1851499870153665</v>
      </c>
      <c r="N828" s="20">
        <f ca="1">N825/N826</f>
        <v>0.22038462730472949</v>
      </c>
    </row>
    <row r="829" spans="2:14">
      <c r="J829" s="222"/>
      <c r="K829" s="222"/>
      <c r="L829" s="222"/>
      <c r="M829" s="222"/>
      <c r="N829" s="222"/>
    </row>
    <row r="830" spans="2:14">
      <c r="B830" t="s">
        <v>96</v>
      </c>
      <c r="C830">
        <f>'3 Statment Model'!E51</f>
        <v>110.7</v>
      </c>
      <c r="D830">
        <f>'3 Statment Model'!F51</f>
        <v>120.6</v>
      </c>
      <c r="E830">
        <f>'3 Statment Model'!G51</f>
        <v>438.9</v>
      </c>
      <c r="F830">
        <f>'3 Statment Model'!H51</f>
        <v>614.5</v>
      </c>
      <c r="G830">
        <f>'3 Statment Model'!I51</f>
        <v>708</v>
      </c>
      <c r="H830">
        <f>'3 Statment Model'!J51</f>
        <v>289.39999999999998</v>
      </c>
      <c r="I830">
        <f>'3 Statment Model'!K51</f>
        <v>161.1</v>
      </c>
      <c r="J830" s="153">
        <f>'3 Statment Model'!L51</f>
        <v>421.81</v>
      </c>
      <c r="K830" s="153">
        <f ca="1">'3 Statment Model'!M51</f>
        <v>2836.5867624379634</v>
      </c>
      <c r="L830" s="153">
        <f ca="1">'3 Statment Model'!N51</f>
        <v>4016.7846244874881</v>
      </c>
      <c r="M830" s="153">
        <f ca="1">'3 Statment Model'!O51</f>
        <v>5472.4815575386856</v>
      </c>
      <c r="N830" s="153">
        <f ca="1">'3 Statment Model'!P51</f>
        <v>7282.8798325571624</v>
      </c>
    </row>
    <row r="831" spans="2:14">
      <c r="B831" t="s">
        <v>100</v>
      </c>
      <c r="C831">
        <f>'3 Statment Model'!E69</f>
        <v>11163.76</v>
      </c>
      <c r="D831">
        <f>'3 Statment Model'!F69</f>
        <v>15140.24</v>
      </c>
      <c r="E831">
        <f>'3 Statment Model'!G69</f>
        <v>15494.359999999999</v>
      </c>
      <c r="F831">
        <f>'3 Statment Model'!H69</f>
        <v>19945.2</v>
      </c>
      <c r="G831">
        <f>'3 Statment Model'!I69</f>
        <v>21513.46</v>
      </c>
      <c r="H831">
        <f>'3 Statment Model'!J69</f>
        <v>23748.129999999997</v>
      </c>
      <c r="I831">
        <f>'3 Statment Model'!K69</f>
        <v>26335.03</v>
      </c>
      <c r="J831" s="249">
        <f>'3 Statment Model'!L69</f>
        <v>27925.520000000004</v>
      </c>
      <c r="K831" s="249">
        <f ca="1">'3 Statment Model'!M69</f>
        <v>32321.344990295107</v>
      </c>
      <c r="L831" s="249">
        <f ca="1">'3 Statment Model'!N69</f>
        <v>35140.453867723671</v>
      </c>
      <c r="M831" s="249">
        <f ca="1">'3 Statment Model'!O69</f>
        <v>37676.112905618727</v>
      </c>
      <c r="N831" s="249">
        <f ca="1">'3 Statment Model'!P69</f>
        <v>39711.867983006217</v>
      </c>
    </row>
    <row r="832" spans="2:14">
      <c r="J832" s="222"/>
      <c r="K832" s="222"/>
      <c r="L832" s="222"/>
      <c r="M832" s="222"/>
      <c r="N832" s="222"/>
    </row>
    <row r="833" spans="2:26">
      <c r="B833" s="1" t="s">
        <v>749</v>
      </c>
      <c r="C833" s="325">
        <f>C830/C831</f>
        <v>9.9160139594545206E-3</v>
      </c>
      <c r="D833" s="325">
        <f t="shared" ref="D833:I833" si="156">D830/D831</f>
        <v>7.9655276270389364E-3</v>
      </c>
      <c r="E833" s="325">
        <f t="shared" si="156"/>
        <v>2.8326436200010845E-2</v>
      </c>
      <c r="F833" s="325">
        <f t="shared" si="156"/>
        <v>3.0809417804785109E-2</v>
      </c>
      <c r="G833" s="325">
        <f t="shared" si="156"/>
        <v>3.2909629599329908E-2</v>
      </c>
      <c r="H833" s="325">
        <f t="shared" si="156"/>
        <v>1.2186222662584381E-2</v>
      </c>
      <c r="I833" s="325">
        <f t="shared" si="156"/>
        <v>6.1173273772613893E-3</v>
      </c>
      <c r="J833" s="20">
        <f>J830/J831</f>
        <v>1.5104821682819155E-2</v>
      </c>
      <c r="K833" s="20">
        <f ca="1">K830/K831</f>
        <v>8.7762027331773615E-2</v>
      </c>
      <c r="L833" s="20">
        <f ca="1">L830/L831</f>
        <v>0.11430656643216792</v>
      </c>
      <c r="M833" s="20">
        <f ca="1">M830/M831</f>
        <v>0.14525069428599577</v>
      </c>
      <c r="N833" s="20">
        <f ca="1">N830/N831</f>
        <v>0.18339303091140674</v>
      </c>
    </row>
    <row r="834" spans="2:26">
      <c r="J834" s="222"/>
      <c r="K834" s="222"/>
      <c r="L834" s="222"/>
      <c r="M834" s="222"/>
      <c r="N834" s="222"/>
    </row>
    <row r="835" spans="2:26">
      <c r="J835" s="222"/>
      <c r="K835" s="222"/>
      <c r="L835" s="222"/>
      <c r="M835" s="222"/>
      <c r="N835" s="222"/>
    </row>
    <row r="836" spans="2:26">
      <c r="J836" s="222"/>
      <c r="K836" s="222"/>
      <c r="L836" s="222"/>
      <c r="M836" s="222"/>
      <c r="N836" s="222"/>
    </row>
    <row r="838" spans="2:26" ht="6" customHeight="1"/>
    <row r="839" spans="2:26" ht="76.150000000000006" customHeight="1">
      <c r="Z839" s="505" t="s">
        <v>1224</v>
      </c>
    </row>
    <row r="840" spans="2:26" ht="394.5">
      <c r="Z840" s="506" t="s">
        <v>1225</v>
      </c>
    </row>
    <row r="842" spans="2:26" ht="409.5">
      <c r="Z842" s="508" t="s">
        <v>1226</v>
      </c>
    </row>
    <row r="843" spans="2:26">
      <c r="D843" s="507" t="s">
        <v>1227</v>
      </c>
      <c r="E843" s="315">
        <v>0.89</v>
      </c>
    </row>
    <row r="844" spans="2:26">
      <c r="D844" s="507" t="s">
        <v>1228</v>
      </c>
      <c r="E844" s="315">
        <v>0.04</v>
      </c>
    </row>
    <row r="845" spans="2:26">
      <c r="D845" s="507" t="s">
        <v>1229</v>
      </c>
      <c r="E845" s="315">
        <v>0.03</v>
      </c>
    </row>
    <row r="846" spans="2:26">
      <c r="D846" s="507" t="s">
        <v>456</v>
      </c>
      <c r="E846" s="315">
        <v>0.04</v>
      </c>
    </row>
    <row r="850" spans="3:26">
      <c r="Z850" t="s">
        <v>1226</v>
      </c>
    </row>
    <row r="854" spans="3:26">
      <c r="C854" t="s">
        <v>1230</v>
      </c>
      <c r="D854" t="s">
        <v>1231</v>
      </c>
    </row>
    <row r="855" spans="3:26">
      <c r="C855" s="509">
        <v>45614</v>
      </c>
      <c r="D855" s="262">
        <v>23935.05</v>
      </c>
    </row>
    <row r="856" spans="3:26" ht="16.899999999999999" customHeight="1">
      <c r="C856" s="509">
        <v>45610</v>
      </c>
      <c r="D856" s="262">
        <v>24091.7</v>
      </c>
    </row>
    <row r="857" spans="3:26">
      <c r="C857" s="509">
        <v>45609</v>
      </c>
      <c r="D857" s="262">
        <v>24049.200000000001</v>
      </c>
    </row>
    <row r="858" spans="3:26">
      <c r="C858" s="509">
        <v>45608</v>
      </c>
      <c r="D858" s="262">
        <v>24372.799999999999</v>
      </c>
    </row>
    <row r="859" spans="3:26" s="150" customFormat="1" ht="15" customHeight="1">
      <c r="C859" s="510">
        <v>45607</v>
      </c>
      <c r="D859" s="511">
        <v>24418.25</v>
      </c>
      <c r="Z859" s="150" t="s">
        <v>1232</v>
      </c>
    </row>
    <row r="860" spans="3:26" s="150" customFormat="1" ht="37.9" customHeight="1">
      <c r="C860" s="510">
        <v>45604</v>
      </c>
      <c r="D860" s="511">
        <v>24533</v>
      </c>
      <c r="Z860" s="150" t="s">
        <v>1233</v>
      </c>
    </row>
    <row r="861" spans="3:26" s="150" customFormat="1" ht="17.45" customHeight="1">
      <c r="C861" s="510">
        <v>45603</v>
      </c>
      <c r="D861" s="511">
        <v>24778.65</v>
      </c>
      <c r="Z861" s="150" t="s">
        <v>1234</v>
      </c>
    </row>
    <row r="862" spans="3:26" s="150" customFormat="1" ht="15.6" customHeight="1">
      <c r="C862" s="510">
        <v>45602</v>
      </c>
      <c r="D862" s="511">
        <v>25009.15</v>
      </c>
      <c r="Z862" s="150" t="s">
        <v>1235</v>
      </c>
    </row>
    <row r="863" spans="3:26" s="150" customFormat="1" ht="18.600000000000001" customHeight="1">
      <c r="C863" s="510">
        <v>45601</v>
      </c>
      <c r="D863" s="511">
        <v>24695.9</v>
      </c>
      <c r="Z863" s="150" t="s">
        <v>1236</v>
      </c>
    </row>
    <row r="864" spans="3:26" s="150" customFormat="1" ht="21.6" customHeight="1">
      <c r="C864" s="510">
        <v>45600</v>
      </c>
      <c r="D864" s="511">
        <v>24865.3</v>
      </c>
      <c r="Z864" s="150" t="s">
        <v>1237</v>
      </c>
    </row>
    <row r="865" spans="3:26" s="150" customFormat="1" ht="20.45" customHeight="1">
      <c r="C865" s="510">
        <v>45597</v>
      </c>
      <c r="D865" s="511">
        <v>25241.05</v>
      </c>
      <c r="Z865" s="150" t="s">
        <v>1238</v>
      </c>
    </row>
    <row r="866" spans="3:26" s="150" customFormat="1" ht="12" customHeight="1">
      <c r="C866" s="510">
        <v>45596</v>
      </c>
      <c r="D866" s="511">
        <v>25072.15</v>
      </c>
      <c r="Z866" s="150" t="s">
        <v>1239</v>
      </c>
    </row>
    <row r="867" spans="3:26">
      <c r="C867" s="509">
        <v>45595</v>
      </c>
      <c r="D867" s="262">
        <v>25351.35</v>
      </c>
    </row>
    <row r="868" spans="3:26">
      <c r="C868" s="509">
        <v>45594</v>
      </c>
      <c r="D868" s="262">
        <v>25331.75</v>
      </c>
    </row>
    <row r="869" spans="3:26">
      <c r="C869" s="509">
        <v>45593</v>
      </c>
      <c r="D869" s="262">
        <v>25056.15</v>
      </c>
    </row>
    <row r="870" spans="3:26">
      <c r="C870" s="509">
        <v>45590</v>
      </c>
      <c r="D870" s="262">
        <v>24956.799999999999</v>
      </c>
    </row>
    <row r="871" spans="3:26">
      <c r="C871" s="509">
        <v>45589</v>
      </c>
      <c r="D871" s="262">
        <v>25065.3</v>
      </c>
    </row>
    <row r="872" spans="3:26">
      <c r="C872" s="509">
        <v>45588</v>
      </c>
      <c r="D872" s="262">
        <v>24710.25</v>
      </c>
    </row>
    <row r="873" spans="3:26">
      <c r="C873" s="509">
        <v>45587</v>
      </c>
      <c r="D873" s="262">
        <v>24434.400000000001</v>
      </c>
    </row>
    <row r="874" spans="3:26">
      <c r="C874" s="509">
        <v>45586</v>
      </c>
      <c r="D874" s="262">
        <v>24297.75</v>
      </c>
    </row>
    <row r="875" spans="3:26">
      <c r="C875" s="509">
        <v>45583</v>
      </c>
      <c r="D875" s="262">
        <v>24325.25</v>
      </c>
    </row>
    <row r="876" spans="3:26" ht="257.45" customHeight="1">
      <c r="C876" s="509">
        <v>45582</v>
      </c>
      <c r="D876" s="262">
        <v>24245.1</v>
      </c>
      <c r="Z876" s="150" t="s">
        <v>1232</v>
      </c>
    </row>
    <row r="877" spans="3:26">
      <c r="C877" s="509">
        <v>45581</v>
      </c>
      <c r="D877" s="262">
        <v>24439.55</v>
      </c>
    </row>
    <row r="878" spans="3:26">
      <c r="C878" s="509">
        <v>45580</v>
      </c>
      <c r="D878" s="262">
        <v>24718.5</v>
      </c>
    </row>
    <row r="879" spans="3:26">
      <c r="C879" s="509">
        <v>45579</v>
      </c>
      <c r="D879" s="262">
        <v>24572.2</v>
      </c>
    </row>
    <row r="880" spans="3:26">
      <c r="C880" s="509">
        <v>45576</v>
      </c>
      <c r="D880" s="262">
        <v>24337.05</v>
      </c>
    </row>
    <row r="881" spans="3:4">
      <c r="C881" s="509">
        <v>45575</v>
      </c>
      <c r="D881" s="262">
        <v>24641.8</v>
      </c>
    </row>
    <row r="882" spans="3:4">
      <c r="C882" s="509">
        <v>45574</v>
      </c>
      <c r="D882" s="262">
        <v>24975.05</v>
      </c>
    </row>
    <row r="883" spans="3:4">
      <c r="C883" s="509">
        <v>45573</v>
      </c>
      <c r="D883" s="262">
        <v>25582.9</v>
      </c>
    </row>
    <row r="884" spans="3:4">
      <c r="C884" s="509">
        <v>45572</v>
      </c>
      <c r="D884" s="262">
        <v>25376.45</v>
      </c>
    </row>
    <row r="885" spans="3:4">
      <c r="C885" s="509">
        <v>45569</v>
      </c>
      <c r="D885" s="262">
        <v>26034.2</v>
      </c>
    </row>
    <row r="886" spans="3:4">
      <c r="C886" s="509">
        <v>45568</v>
      </c>
      <c r="D886" s="262">
        <v>26259.200000000001</v>
      </c>
    </row>
    <row r="887" spans="3:4">
      <c r="C887" s="509">
        <v>45566</v>
      </c>
      <c r="D887" s="262">
        <v>26523.25</v>
      </c>
    </row>
    <row r="888" spans="3:4">
      <c r="C888" s="509">
        <v>45565</v>
      </c>
      <c r="D888" s="262">
        <v>26308.9</v>
      </c>
    </row>
    <row r="889" spans="3:4">
      <c r="C889" s="509">
        <v>45562</v>
      </c>
      <c r="D889" s="262">
        <v>26247.9</v>
      </c>
    </row>
    <row r="890" spans="3:4">
      <c r="C890" s="509">
        <v>45561</v>
      </c>
      <c r="D890" s="262">
        <v>26123.1</v>
      </c>
    </row>
    <row r="891" spans="3:4">
      <c r="C891" s="509">
        <v>45560</v>
      </c>
      <c r="D891" s="262">
        <v>25903.65</v>
      </c>
    </row>
    <row r="892" spans="3:4">
      <c r="C892" s="509">
        <v>45559</v>
      </c>
      <c r="D892" s="262">
        <v>25911.65</v>
      </c>
    </row>
    <row r="893" spans="3:4">
      <c r="C893" s="509">
        <v>45558</v>
      </c>
      <c r="D893" s="262">
        <v>25958.1</v>
      </c>
    </row>
    <row r="894" spans="3:4">
      <c r="C894" s="509">
        <v>45555</v>
      </c>
      <c r="D894" s="262">
        <v>25141.7</v>
      </c>
    </row>
    <row r="895" spans="3:4">
      <c r="C895" s="509">
        <v>45554</v>
      </c>
      <c r="D895" s="262">
        <v>24931.7</v>
      </c>
    </row>
    <row r="896" spans="3:4">
      <c r="C896" s="509">
        <v>45553</v>
      </c>
      <c r="D896" s="262">
        <v>25076.65</v>
      </c>
    </row>
    <row r="897" spans="3:4">
      <c r="C897" s="509">
        <v>45552</v>
      </c>
      <c r="D897" s="262">
        <v>25437.1</v>
      </c>
    </row>
    <row r="898" spans="3:4">
      <c r="C898" s="509">
        <v>45551</v>
      </c>
      <c r="D898" s="262">
        <v>25619.4</v>
      </c>
    </row>
    <row r="899" spans="3:4">
      <c r="C899" s="509">
        <v>45548</v>
      </c>
      <c r="D899" s="262">
        <v>25883.1</v>
      </c>
    </row>
    <row r="900" spans="3:4">
      <c r="C900" s="509">
        <v>45547</v>
      </c>
      <c r="D900" s="262">
        <v>26019.65</v>
      </c>
    </row>
    <row r="901" spans="3:4">
      <c r="C901" s="509">
        <v>45546</v>
      </c>
      <c r="D901" s="262">
        <v>25614.1</v>
      </c>
    </row>
    <row r="902" spans="3:4">
      <c r="C902" s="509">
        <v>45545</v>
      </c>
      <c r="D902" s="262">
        <v>25725.15</v>
      </c>
    </row>
    <row r="903" spans="3:4">
      <c r="C903" s="509">
        <v>45544</v>
      </c>
      <c r="D903" s="262">
        <v>25798.6</v>
      </c>
    </row>
    <row r="904" spans="3:4">
      <c r="C904" s="509">
        <v>45541</v>
      </c>
      <c r="D904" s="262">
        <v>25610.45</v>
      </c>
    </row>
    <row r="905" spans="3:4">
      <c r="C905" s="509">
        <v>45540</v>
      </c>
      <c r="D905" s="262">
        <v>25662.25</v>
      </c>
    </row>
    <row r="906" spans="3:4">
      <c r="C906" s="509">
        <v>45539</v>
      </c>
      <c r="D906" s="262">
        <v>25770.75</v>
      </c>
    </row>
    <row r="907" spans="3:4">
      <c r="C907" s="509">
        <v>45538</v>
      </c>
      <c r="D907" s="262">
        <v>25507.599999999999</v>
      </c>
    </row>
    <row r="908" spans="3:4">
      <c r="C908" s="509">
        <v>45537</v>
      </c>
      <c r="D908" s="262">
        <v>25427.3</v>
      </c>
    </row>
    <row r="909" spans="3:4">
      <c r="C909" s="509">
        <v>45534</v>
      </c>
      <c r="D909" s="262">
        <v>25482</v>
      </c>
    </row>
    <row r="910" spans="3:4">
      <c r="C910" s="509">
        <v>45533</v>
      </c>
      <c r="D910" s="262">
        <v>24821.35</v>
      </c>
    </row>
    <row r="911" spans="3:4">
      <c r="C911" s="509">
        <v>45532</v>
      </c>
      <c r="D911" s="262">
        <v>24692.2</v>
      </c>
    </row>
    <row r="912" spans="3:4">
      <c r="C912" s="509">
        <v>45531</v>
      </c>
      <c r="D912" s="262">
        <v>24813.200000000001</v>
      </c>
    </row>
    <row r="913" spans="3:4">
      <c r="C913" s="509">
        <v>45530</v>
      </c>
      <c r="D913" s="262">
        <v>24906.45</v>
      </c>
    </row>
    <row r="914" spans="3:4">
      <c r="C914" s="509">
        <v>45527</v>
      </c>
      <c r="D914" s="262">
        <v>24706.05</v>
      </c>
    </row>
    <row r="915" spans="3:4">
      <c r="C915" s="509">
        <v>45526</v>
      </c>
      <c r="D915" s="262">
        <v>25012.400000000001</v>
      </c>
    </row>
    <row r="916" spans="3:4">
      <c r="C916" s="509">
        <v>45525</v>
      </c>
      <c r="D916" s="262">
        <v>24808.05</v>
      </c>
    </row>
    <row r="917" spans="3:4">
      <c r="C917" s="509">
        <v>45524</v>
      </c>
      <c r="D917" s="262">
        <v>24730.55</v>
      </c>
    </row>
    <row r="918" spans="3:4">
      <c r="C918" s="509">
        <v>45523</v>
      </c>
      <c r="D918" s="262">
        <v>24848.95</v>
      </c>
    </row>
    <row r="919" spans="3:4">
      <c r="C919" s="509">
        <v>45520</v>
      </c>
      <c r="D919" s="262">
        <v>24642.85</v>
      </c>
    </row>
    <row r="920" spans="3:4">
      <c r="C920" s="509">
        <v>45518</v>
      </c>
      <c r="D920" s="262">
        <v>24338.95</v>
      </c>
    </row>
    <row r="921" spans="3:4">
      <c r="C921" s="509">
        <v>45517</v>
      </c>
      <c r="D921" s="262">
        <v>24205.95</v>
      </c>
    </row>
    <row r="922" spans="3:4">
      <c r="C922" s="509">
        <v>45516</v>
      </c>
      <c r="D922" s="262">
        <v>24408.35</v>
      </c>
    </row>
    <row r="923" spans="3:4">
      <c r="C923" s="509">
        <v>45513</v>
      </c>
      <c r="D923" s="262">
        <v>24296.6</v>
      </c>
    </row>
    <row r="924" spans="3:4">
      <c r="C924" s="509">
        <v>45512</v>
      </c>
      <c r="D924" s="262">
        <v>24143.4</v>
      </c>
    </row>
    <row r="925" spans="3:4">
      <c r="C925" s="509">
        <v>45511</v>
      </c>
      <c r="D925" s="262">
        <v>25098.6</v>
      </c>
    </row>
    <row r="926" spans="3:4">
      <c r="C926" s="509">
        <v>45510</v>
      </c>
      <c r="D926" s="262">
        <v>26101.35</v>
      </c>
    </row>
    <row r="927" spans="3:4">
      <c r="C927" s="509">
        <v>45509</v>
      </c>
      <c r="D927" s="262">
        <v>26834.799999999999</v>
      </c>
    </row>
    <row r="928" spans="3:4">
      <c r="C928" s="509">
        <v>45506</v>
      </c>
      <c r="D928" s="262">
        <v>27295.35</v>
      </c>
    </row>
    <row r="929" spans="3:4">
      <c r="C929" s="509">
        <v>45505</v>
      </c>
      <c r="D929" s="262">
        <v>27768.5</v>
      </c>
    </row>
    <row r="930" spans="3:4">
      <c r="C930" s="509">
        <v>45504</v>
      </c>
      <c r="D930" s="262">
        <v>27740.45</v>
      </c>
    </row>
    <row r="931" spans="3:4">
      <c r="C931" s="509">
        <v>45503</v>
      </c>
      <c r="D931" s="262">
        <v>27314.35</v>
      </c>
    </row>
    <row r="932" spans="3:4">
      <c r="C932" s="509">
        <v>45502</v>
      </c>
      <c r="D932" s="262">
        <v>27237.9</v>
      </c>
    </row>
    <row r="933" spans="3:4">
      <c r="C933" s="509">
        <v>45499</v>
      </c>
      <c r="D933" s="262">
        <v>27566.75</v>
      </c>
    </row>
    <row r="934" spans="3:4">
      <c r="C934" s="509">
        <v>45498</v>
      </c>
      <c r="D934" s="262">
        <v>27484.35</v>
      </c>
    </row>
    <row r="935" spans="3:4">
      <c r="C935" s="509">
        <v>45497</v>
      </c>
      <c r="D935" s="262">
        <v>27552</v>
      </c>
    </row>
    <row r="936" spans="3:4">
      <c r="C936" s="509">
        <v>45496</v>
      </c>
      <c r="D936" s="262">
        <v>28162.2</v>
      </c>
    </row>
    <row r="937" spans="3:4">
      <c r="C937" s="509">
        <v>45495</v>
      </c>
      <c r="D937" s="262">
        <v>27919.8</v>
      </c>
    </row>
    <row r="938" spans="3:4">
      <c r="C938" s="509">
        <v>45492</v>
      </c>
      <c r="D938" s="262">
        <v>27284.15</v>
      </c>
    </row>
    <row r="939" spans="3:4">
      <c r="C939" s="509">
        <v>45491</v>
      </c>
      <c r="D939" s="262">
        <v>28061.599999999999</v>
      </c>
    </row>
    <row r="940" spans="3:4">
      <c r="C940" s="509">
        <v>45489</v>
      </c>
      <c r="D940" s="262">
        <v>27906.799999999999</v>
      </c>
    </row>
    <row r="941" spans="3:4">
      <c r="C941" s="509">
        <v>45488</v>
      </c>
      <c r="D941" s="262">
        <v>27616.85</v>
      </c>
    </row>
    <row r="942" spans="3:4">
      <c r="C942" s="509">
        <v>45485</v>
      </c>
      <c r="D942" s="262">
        <v>27665.5</v>
      </c>
    </row>
    <row r="943" spans="3:4">
      <c r="C943" s="509">
        <v>45484</v>
      </c>
      <c r="D943" s="262">
        <v>27772.6</v>
      </c>
    </row>
    <row r="944" spans="3:4">
      <c r="C944" s="509">
        <v>45483</v>
      </c>
      <c r="D944" s="262">
        <v>27905.45</v>
      </c>
    </row>
    <row r="945" spans="3:4">
      <c r="C945" s="509">
        <v>45482</v>
      </c>
      <c r="D945" s="262">
        <v>27776.3</v>
      </c>
    </row>
    <row r="946" spans="3:4">
      <c r="C946" s="509">
        <v>45481</v>
      </c>
      <c r="D946" s="262">
        <v>27193.25</v>
      </c>
    </row>
    <row r="947" spans="3:4">
      <c r="C947" s="509">
        <v>45478</v>
      </c>
      <c r="D947" s="262">
        <v>27528.7</v>
      </c>
    </row>
    <row r="948" spans="3:4">
      <c r="C948" s="509">
        <v>45477</v>
      </c>
      <c r="D948" s="262">
        <v>27459.05</v>
      </c>
    </row>
    <row r="949" spans="3:4">
      <c r="C949" s="509">
        <v>45476</v>
      </c>
      <c r="D949" s="262">
        <v>27383.9</v>
      </c>
    </row>
    <row r="950" spans="3:4">
      <c r="C950" s="509">
        <v>45475</v>
      </c>
      <c r="D950" s="262">
        <v>27697.75</v>
      </c>
    </row>
    <row r="951" spans="3:4">
      <c r="C951" s="509">
        <v>45474</v>
      </c>
      <c r="D951" s="262">
        <v>28353.35</v>
      </c>
    </row>
    <row r="952" spans="3:4">
      <c r="C952" s="509">
        <v>45471</v>
      </c>
      <c r="D952" s="262">
        <v>27870.400000000001</v>
      </c>
    </row>
    <row r="953" spans="3:4">
      <c r="C953" s="509">
        <v>45470</v>
      </c>
      <c r="D953" s="262">
        <v>27832.45</v>
      </c>
    </row>
    <row r="954" spans="3:4">
      <c r="C954" s="509">
        <v>45469</v>
      </c>
      <c r="D954" s="262">
        <v>27498.9</v>
      </c>
    </row>
    <row r="955" spans="3:4">
      <c r="C955" s="509">
        <v>45468</v>
      </c>
      <c r="D955" s="262">
        <v>27217.55</v>
      </c>
    </row>
    <row r="956" spans="3:4">
      <c r="C956" s="509">
        <v>45467</v>
      </c>
      <c r="D956" s="262">
        <v>27318.799999999999</v>
      </c>
    </row>
    <row r="957" spans="3:4">
      <c r="C957" s="509">
        <v>45464</v>
      </c>
      <c r="D957" s="262">
        <v>27403.8</v>
      </c>
    </row>
    <row r="958" spans="3:4">
      <c r="C958" s="509">
        <v>45463</v>
      </c>
      <c r="D958" s="262">
        <v>27698.45</v>
      </c>
    </row>
    <row r="959" spans="3:4">
      <c r="C959" s="509">
        <v>45462</v>
      </c>
      <c r="D959" s="262">
        <v>27443.4</v>
      </c>
    </row>
    <row r="960" spans="3:4">
      <c r="C960" s="509">
        <v>45461</v>
      </c>
      <c r="D960" s="262">
        <v>27462.1</v>
      </c>
    </row>
    <row r="961" spans="3:4">
      <c r="C961" s="509">
        <v>45457</v>
      </c>
      <c r="D961" s="262">
        <v>27538</v>
      </c>
    </row>
    <row r="962" spans="3:4">
      <c r="C962" s="509">
        <v>45456</v>
      </c>
      <c r="D962" s="262">
        <v>27490.75</v>
      </c>
    </row>
    <row r="963" spans="3:4">
      <c r="C963" s="509">
        <v>45455</v>
      </c>
      <c r="D963" s="262">
        <v>27538.9</v>
      </c>
    </row>
    <row r="964" spans="3:4">
      <c r="C964" s="509">
        <v>45454</v>
      </c>
      <c r="D964" s="262">
        <v>27063.85</v>
      </c>
    </row>
    <row r="965" spans="3:4">
      <c r="C965" s="509">
        <v>45453</v>
      </c>
      <c r="D965" s="262">
        <v>27239.7</v>
      </c>
    </row>
    <row r="966" spans="3:4">
      <c r="C966" s="509">
        <v>45450</v>
      </c>
      <c r="D966" s="262">
        <v>26077.5</v>
      </c>
    </row>
    <row r="967" spans="3:4">
      <c r="C967" s="509">
        <v>45449</v>
      </c>
      <c r="D967" s="262">
        <v>25636.25</v>
      </c>
    </row>
    <row r="968" spans="3:4">
      <c r="C968" s="509">
        <v>45448</v>
      </c>
      <c r="D968" s="262">
        <v>25481.05</v>
      </c>
    </row>
    <row r="969" spans="3:4">
      <c r="C969" s="509">
        <v>45447</v>
      </c>
      <c r="D969" s="262">
        <v>24882.799999999999</v>
      </c>
    </row>
    <row r="970" spans="3:4">
      <c r="C970" s="509">
        <v>45446</v>
      </c>
      <c r="D970" s="262">
        <v>25309.25</v>
      </c>
    </row>
    <row r="971" spans="3:4">
      <c r="C971" s="509">
        <v>45443</v>
      </c>
      <c r="D971" s="262">
        <v>24680.6</v>
      </c>
    </row>
    <row r="972" spans="3:4">
      <c r="C972" s="509">
        <v>45442</v>
      </c>
      <c r="D972" s="262">
        <v>25062.35</v>
      </c>
    </row>
    <row r="973" spans="3:4">
      <c r="C973" s="509">
        <v>45441</v>
      </c>
      <c r="D973" s="262">
        <v>25325.55</v>
      </c>
    </row>
    <row r="974" spans="3:4">
      <c r="C974" s="509">
        <v>45440</v>
      </c>
      <c r="D974" s="262">
        <v>25634.65</v>
      </c>
    </row>
    <row r="975" spans="3:4">
      <c r="C975" s="509">
        <v>45439</v>
      </c>
      <c r="D975" s="262">
        <v>25415.200000000001</v>
      </c>
    </row>
    <row r="976" spans="3:4">
      <c r="C976" s="509">
        <v>45436</v>
      </c>
      <c r="D976" s="262">
        <v>25456.45</v>
      </c>
    </row>
    <row r="977" spans="3:4">
      <c r="C977" s="509">
        <v>45435</v>
      </c>
      <c r="D977" s="262">
        <v>25676.9</v>
      </c>
    </row>
    <row r="978" spans="3:4">
      <c r="C978" s="509">
        <v>45434</v>
      </c>
      <c r="D978" s="262">
        <v>25678.95</v>
      </c>
    </row>
    <row r="979" spans="3:4">
      <c r="C979" s="509">
        <v>45433</v>
      </c>
      <c r="D979" s="262">
        <v>25833.45</v>
      </c>
    </row>
    <row r="980" spans="3:4">
      <c r="C980" s="509">
        <v>45430</v>
      </c>
      <c r="D980" s="262">
        <v>26288.7</v>
      </c>
    </row>
    <row r="981" spans="3:4">
      <c r="C981" s="509">
        <v>45429</v>
      </c>
      <c r="D981" s="262">
        <v>26305.8</v>
      </c>
    </row>
    <row r="982" spans="3:4">
      <c r="C982" s="509">
        <v>45428</v>
      </c>
      <c r="D982" s="262">
        <v>25685.599999999999</v>
      </c>
    </row>
    <row r="983" spans="3:4">
      <c r="C983" s="509">
        <v>45427</v>
      </c>
      <c r="D983" s="262">
        <v>25819.65</v>
      </c>
    </row>
    <row r="984" spans="3:4">
      <c r="C984" s="509">
        <v>45426</v>
      </c>
      <c r="D984" s="262">
        <v>26024.9</v>
      </c>
    </row>
    <row r="985" spans="3:4">
      <c r="C985" s="509">
        <v>45425</v>
      </c>
      <c r="D985" s="262">
        <v>25992.5</v>
      </c>
    </row>
    <row r="986" spans="3:4">
      <c r="C986" s="509">
        <v>45422</v>
      </c>
      <c r="D986" s="262">
        <v>25661.25</v>
      </c>
    </row>
    <row r="987" spans="3:4">
      <c r="C987" s="509">
        <v>45421</v>
      </c>
      <c r="D987" s="262">
        <v>25500.75</v>
      </c>
    </row>
    <row r="988" spans="3:4">
      <c r="C988" s="509">
        <v>45420</v>
      </c>
      <c r="D988" s="262">
        <v>25660.45</v>
      </c>
    </row>
    <row r="989" spans="3:4">
      <c r="C989" s="509">
        <v>45419</v>
      </c>
      <c r="D989" s="262">
        <v>25395.65</v>
      </c>
    </row>
    <row r="990" spans="3:4">
      <c r="C990" s="509">
        <v>45418</v>
      </c>
      <c r="D990" s="262">
        <v>25537</v>
      </c>
    </row>
    <row r="991" spans="3:4">
      <c r="C991" s="509">
        <v>45415</v>
      </c>
      <c r="D991" s="262">
        <v>25746.55</v>
      </c>
    </row>
    <row r="992" spans="3:4">
      <c r="C992" s="509">
        <v>45414</v>
      </c>
      <c r="D992" s="262">
        <v>24827.200000000001</v>
      </c>
    </row>
    <row r="993" spans="3:4">
      <c r="C993" s="509">
        <v>45412</v>
      </c>
      <c r="D993" s="262">
        <v>24444.85</v>
      </c>
    </row>
    <row r="994" spans="3:4">
      <c r="C994" s="509">
        <v>45411</v>
      </c>
      <c r="D994" s="262">
        <v>24145.15</v>
      </c>
    </row>
    <row r="995" spans="3:4">
      <c r="C995" s="509">
        <v>45408</v>
      </c>
      <c r="D995" s="262">
        <v>24140.5</v>
      </c>
    </row>
    <row r="996" spans="3:4">
      <c r="C996" s="509">
        <v>45407</v>
      </c>
      <c r="D996" s="262">
        <v>23971.599999999999</v>
      </c>
    </row>
    <row r="997" spans="3:4">
      <c r="C997" s="509">
        <v>45406</v>
      </c>
      <c r="D997" s="262">
        <v>24369.15</v>
      </c>
    </row>
    <row r="998" spans="3:4">
      <c r="C998" s="509">
        <v>45405</v>
      </c>
      <c r="D998" s="262">
        <v>24377.75</v>
      </c>
    </row>
    <row r="999" spans="3:4">
      <c r="C999" s="509">
        <v>45404</v>
      </c>
      <c r="D999" s="262">
        <v>24396.400000000001</v>
      </c>
    </row>
    <row r="1000" spans="3:4">
      <c r="C1000" s="509">
        <v>45401</v>
      </c>
      <c r="D1000" s="262">
        <v>24368.75</v>
      </c>
    </row>
    <row r="1001" spans="3:4">
      <c r="C1001" s="509">
        <v>45400</v>
      </c>
      <c r="D1001" s="262">
        <v>24425.85</v>
      </c>
    </row>
    <row r="1002" spans="3:4">
      <c r="C1002" s="509">
        <v>45398</v>
      </c>
      <c r="D1002" s="262">
        <v>24882.55</v>
      </c>
    </row>
    <row r="1003" spans="3:4">
      <c r="C1003" s="509">
        <v>45397</v>
      </c>
      <c r="D1003" s="262">
        <v>25296.2</v>
      </c>
    </row>
    <row r="1004" spans="3:4">
      <c r="C1004" s="509">
        <v>45394</v>
      </c>
      <c r="D1004" s="262">
        <v>25491.15</v>
      </c>
    </row>
    <row r="1005" spans="3:4">
      <c r="C1005" s="509">
        <v>45392</v>
      </c>
      <c r="D1005" s="262">
        <v>25610</v>
      </c>
    </row>
    <row r="1006" spans="3:4">
      <c r="C1006" s="509">
        <v>45391</v>
      </c>
      <c r="D1006" s="262">
        <v>25991.8</v>
      </c>
    </row>
    <row r="1007" spans="3:4">
      <c r="C1007" s="509">
        <v>45390</v>
      </c>
      <c r="D1007" s="262">
        <v>25955.200000000001</v>
      </c>
    </row>
    <row r="1008" spans="3:4">
      <c r="C1008" s="509">
        <v>45387</v>
      </c>
      <c r="D1008" s="262">
        <v>25811.05</v>
      </c>
    </row>
    <row r="1009" spans="3:4">
      <c r="C1009" s="509">
        <v>45386</v>
      </c>
      <c r="D1009" s="262">
        <v>25910.25</v>
      </c>
    </row>
    <row r="1010" spans="3:4">
      <c r="C1010" s="509">
        <v>45385</v>
      </c>
      <c r="D1010" s="262">
        <v>26354.3</v>
      </c>
    </row>
    <row r="1011" spans="3:4">
      <c r="C1011" s="509">
        <v>45384</v>
      </c>
      <c r="D1011" s="262">
        <v>26532.9</v>
      </c>
    </row>
    <row r="1012" spans="3:4">
      <c r="C1012" s="509">
        <v>45383</v>
      </c>
      <c r="D1012" s="262">
        <v>26458</v>
      </c>
    </row>
    <row r="1013" spans="3:4">
      <c r="C1013" s="509">
        <v>45379</v>
      </c>
      <c r="D1013" s="262">
        <v>25682.85</v>
      </c>
    </row>
    <row r="1014" spans="3:4">
      <c r="C1014" s="509">
        <v>45378</v>
      </c>
      <c r="D1014" s="262">
        <v>25939.35</v>
      </c>
    </row>
    <row r="1015" spans="3:4">
      <c r="C1015" s="509">
        <v>45377</v>
      </c>
      <c r="D1015" s="262">
        <v>25684.15</v>
      </c>
    </row>
    <row r="1016" spans="3:4">
      <c r="C1016" s="509">
        <v>45373</v>
      </c>
      <c r="D1016" s="262">
        <v>25366.05</v>
      </c>
    </row>
    <row r="1017" spans="3:4">
      <c r="C1017" s="509">
        <v>45372</v>
      </c>
      <c r="D1017" s="262">
        <v>25361.4</v>
      </c>
    </row>
    <row r="1018" spans="3:4">
      <c r="C1018" s="509">
        <v>45371</v>
      </c>
      <c r="D1018" s="262">
        <v>24935.85</v>
      </c>
    </row>
    <row r="1019" spans="3:4">
      <c r="C1019" s="509">
        <v>45370</v>
      </c>
      <c r="D1019" s="262">
        <v>25005.45</v>
      </c>
    </row>
    <row r="1020" spans="3:4">
      <c r="C1020" s="509">
        <v>45369</v>
      </c>
      <c r="D1020" s="262">
        <v>25343.200000000001</v>
      </c>
    </row>
    <row r="1021" spans="3:4">
      <c r="C1021" s="509">
        <v>45366</v>
      </c>
      <c r="D1021" s="262">
        <v>25070.45</v>
      </c>
    </row>
    <row r="1022" spans="3:4">
      <c r="C1022" s="509">
        <v>45365</v>
      </c>
      <c r="D1022" s="262">
        <v>24957.599999999999</v>
      </c>
    </row>
    <row r="1023" spans="3:4">
      <c r="C1023" s="509">
        <v>45364</v>
      </c>
      <c r="D1023" s="262">
        <v>24360.35</v>
      </c>
    </row>
    <row r="1024" spans="3:4">
      <c r="C1024" s="509">
        <v>45363</v>
      </c>
      <c r="D1024" s="262">
        <v>24960.400000000001</v>
      </c>
    </row>
    <row r="1025" spans="3:4">
      <c r="C1025" s="509">
        <v>45362</v>
      </c>
      <c r="D1025" s="262">
        <v>25312.25</v>
      </c>
    </row>
    <row r="1026" spans="3:4">
      <c r="C1026" s="509">
        <v>45358</v>
      </c>
      <c r="D1026" s="262">
        <v>24705.9</v>
      </c>
    </row>
    <row r="1027" spans="3:4">
      <c r="C1027" s="509">
        <v>45357</v>
      </c>
      <c r="D1027" s="262">
        <v>24754.25</v>
      </c>
    </row>
    <row r="1028" spans="3:4">
      <c r="C1028" s="509">
        <v>45356</v>
      </c>
      <c r="D1028" s="262">
        <v>25009.75</v>
      </c>
    </row>
    <row r="1029" spans="3:4">
      <c r="C1029" s="509">
        <v>45355</v>
      </c>
      <c r="D1029" s="262">
        <v>25730.3</v>
      </c>
    </row>
    <row r="1030" spans="3:4">
      <c r="C1030" s="509">
        <v>45353</v>
      </c>
      <c r="D1030" s="262">
        <v>25749</v>
      </c>
    </row>
    <row r="1031" spans="3:4">
      <c r="C1031" s="509">
        <v>45352</v>
      </c>
      <c r="D1031" s="262">
        <v>25637.8</v>
      </c>
    </row>
    <row r="1032" spans="3:4">
      <c r="C1032" s="509">
        <v>45351</v>
      </c>
      <c r="D1032" s="262">
        <v>25504.400000000001</v>
      </c>
    </row>
    <row r="1033" spans="3:4">
      <c r="C1033" s="509">
        <v>45350</v>
      </c>
      <c r="D1033" s="262">
        <v>25606.400000000001</v>
      </c>
    </row>
    <row r="1034" spans="3:4">
      <c r="C1034" s="509">
        <v>45349</v>
      </c>
      <c r="D1034" s="262">
        <v>26191.3</v>
      </c>
    </row>
    <row r="1035" spans="3:4">
      <c r="C1035" s="509">
        <v>45348</v>
      </c>
      <c r="D1035" s="262">
        <v>26099.7</v>
      </c>
    </row>
    <row r="1036" spans="3:4">
      <c r="C1036" s="509">
        <v>45345</v>
      </c>
      <c r="D1036" s="262">
        <v>26489.65</v>
      </c>
    </row>
    <row r="1037" spans="3:4">
      <c r="C1037" s="509">
        <v>45344</v>
      </c>
      <c r="D1037" s="262">
        <v>26603.35</v>
      </c>
    </row>
    <row r="1038" spans="3:4">
      <c r="C1038" s="509">
        <v>45343</v>
      </c>
      <c r="D1038" s="262">
        <v>26345</v>
      </c>
    </row>
    <row r="1039" spans="3:4">
      <c r="C1039" s="509">
        <v>45342</v>
      </c>
      <c r="D1039" s="262">
        <v>26524.9</v>
      </c>
    </row>
    <row r="1040" spans="3:4">
      <c r="C1040" s="509">
        <v>45341</v>
      </c>
      <c r="D1040" s="262">
        <v>26815.3</v>
      </c>
    </row>
    <row r="1041" spans="3:4">
      <c r="C1041" s="509">
        <v>45338</v>
      </c>
      <c r="D1041" s="262">
        <v>26298</v>
      </c>
    </row>
    <row r="1042" spans="3:4">
      <c r="C1042" s="509">
        <v>45337</v>
      </c>
      <c r="D1042" s="262">
        <v>26332.9</v>
      </c>
    </row>
    <row r="1043" spans="3:4">
      <c r="C1043" s="509">
        <v>45336</v>
      </c>
      <c r="D1043" s="262">
        <v>26898.45</v>
      </c>
    </row>
    <row r="1044" spans="3:4">
      <c r="C1044" s="509">
        <v>45335</v>
      </c>
      <c r="D1044" s="262">
        <v>27249.65</v>
      </c>
    </row>
    <row r="1045" spans="3:4">
      <c r="C1045" s="509">
        <v>45334</v>
      </c>
      <c r="D1045" s="262">
        <v>27265.5</v>
      </c>
    </row>
    <row r="1046" spans="3:4">
      <c r="C1046" s="509">
        <v>45331</v>
      </c>
      <c r="D1046" s="262">
        <v>27630.1</v>
      </c>
    </row>
    <row r="1047" spans="3:4">
      <c r="C1047" s="509">
        <v>45330</v>
      </c>
      <c r="D1047" s="262">
        <v>27370.2</v>
      </c>
    </row>
    <row r="1048" spans="3:4">
      <c r="C1048" s="509">
        <v>45329</v>
      </c>
      <c r="D1048" s="262">
        <v>28116.3</v>
      </c>
    </row>
    <row r="1049" spans="3:4">
      <c r="C1049" s="509">
        <v>45328</v>
      </c>
      <c r="D1049" s="262">
        <v>27569.4</v>
      </c>
    </row>
    <row r="1050" spans="3:4">
      <c r="C1050" s="509">
        <v>45327</v>
      </c>
      <c r="D1050" s="262">
        <v>26954.799999999999</v>
      </c>
    </row>
    <row r="1051" spans="3:4">
      <c r="C1051" s="509">
        <v>45324</v>
      </c>
      <c r="D1051" s="262">
        <v>28453.95</v>
      </c>
    </row>
    <row r="1052" spans="3:4">
      <c r="C1052" s="509">
        <v>45323</v>
      </c>
      <c r="D1052" s="262">
        <v>29613.55</v>
      </c>
    </row>
    <row r="1053" spans="3:4">
      <c r="C1053" s="509">
        <v>45322</v>
      </c>
      <c r="D1053" s="262">
        <v>28556.25</v>
      </c>
    </row>
    <row r="1054" spans="3:4">
      <c r="C1054" s="509">
        <v>45321</v>
      </c>
      <c r="D1054" s="262">
        <v>28077.75</v>
      </c>
    </row>
    <row r="1055" spans="3:4">
      <c r="C1055" s="509">
        <v>45320</v>
      </c>
      <c r="D1055" s="262">
        <v>28411.55</v>
      </c>
    </row>
    <row r="1056" spans="3:4">
      <c r="C1056" s="509">
        <v>45316</v>
      </c>
      <c r="D1056" s="262">
        <v>27948.799999999999</v>
      </c>
    </row>
    <row r="1057" spans="3:4">
      <c r="C1057" s="509">
        <v>45315</v>
      </c>
      <c r="D1057" s="262">
        <v>27635.15</v>
      </c>
    </row>
    <row r="1058" spans="3:4">
      <c r="C1058" s="509">
        <v>45314</v>
      </c>
      <c r="D1058" s="262">
        <v>27493.75</v>
      </c>
    </row>
    <row r="1059" spans="3:4">
      <c r="C1059" s="509">
        <v>45311</v>
      </c>
      <c r="D1059" s="262">
        <v>27593.8</v>
      </c>
    </row>
    <row r="1060" spans="3:4">
      <c r="C1060" s="509">
        <v>45310</v>
      </c>
      <c r="D1060" s="262">
        <v>26649.5</v>
      </c>
    </row>
    <row r="1061" spans="3:4">
      <c r="C1061" s="509">
        <v>45309</v>
      </c>
      <c r="D1061" s="262">
        <v>26477.15</v>
      </c>
    </row>
    <row r="1062" spans="3:4">
      <c r="C1062" s="509">
        <v>45308</v>
      </c>
      <c r="D1062" s="262">
        <v>26137</v>
      </c>
    </row>
    <row r="1063" spans="3:4">
      <c r="C1063" s="509">
        <v>45307</v>
      </c>
      <c r="D1063" s="262">
        <v>27082.1</v>
      </c>
    </row>
    <row r="1064" spans="3:4">
      <c r="C1064" s="509">
        <v>45306</v>
      </c>
      <c r="D1064" s="262">
        <v>26813.7</v>
      </c>
    </row>
    <row r="1065" spans="3:4">
      <c r="C1065" s="509">
        <v>45303</v>
      </c>
      <c r="D1065" s="262">
        <v>26874</v>
      </c>
    </row>
    <row r="1066" spans="3:4">
      <c r="C1066" s="509">
        <v>45302</v>
      </c>
      <c r="D1066" s="262">
        <v>26909.95</v>
      </c>
    </row>
    <row r="1067" spans="3:4">
      <c r="C1067" s="509">
        <v>45301</v>
      </c>
      <c r="D1067" s="262">
        <v>26842.15</v>
      </c>
    </row>
    <row r="1068" spans="3:4">
      <c r="C1068" s="509">
        <v>45300</v>
      </c>
      <c r="D1068" s="262">
        <v>27312.9</v>
      </c>
    </row>
    <row r="1069" spans="3:4">
      <c r="C1069" s="509">
        <v>45299</v>
      </c>
      <c r="D1069" s="262">
        <v>27329.65</v>
      </c>
    </row>
    <row r="1070" spans="3:4">
      <c r="C1070" s="509">
        <v>45296</v>
      </c>
      <c r="D1070" s="262">
        <v>27023.3</v>
      </c>
    </row>
    <row r="1071" spans="3:4">
      <c r="C1071" s="509">
        <v>45295</v>
      </c>
      <c r="D1071" s="262">
        <v>28357.9</v>
      </c>
    </row>
    <row r="1072" spans="3:4">
      <c r="C1072" s="509">
        <v>45294</v>
      </c>
      <c r="D1072" s="262">
        <v>28221.75</v>
      </c>
    </row>
    <row r="1073" spans="3:4">
      <c r="C1073" s="509">
        <v>45293</v>
      </c>
      <c r="D1073" s="262">
        <v>28088.55</v>
      </c>
    </row>
    <row r="1074" spans="3:4">
      <c r="C1074" s="509">
        <v>45292</v>
      </c>
      <c r="D1074" s="262">
        <v>28461.599999999999</v>
      </c>
    </row>
    <row r="1075" spans="3:4">
      <c r="C1075" s="509">
        <v>45289</v>
      </c>
      <c r="D1075" s="262">
        <v>28653.3</v>
      </c>
    </row>
    <row r="1076" spans="3:4">
      <c r="C1076" s="509">
        <v>45288</v>
      </c>
      <c r="D1076" s="262">
        <v>28601.5</v>
      </c>
    </row>
    <row r="1077" spans="3:4">
      <c r="C1077" s="509">
        <v>45287</v>
      </c>
      <c r="D1077" s="262">
        <v>28644.9</v>
      </c>
    </row>
    <row r="1078" spans="3:4">
      <c r="C1078" s="509">
        <v>45286</v>
      </c>
      <c r="D1078" s="262">
        <v>28606.75</v>
      </c>
    </row>
    <row r="1079" spans="3:4">
      <c r="C1079" s="509">
        <v>45282</v>
      </c>
      <c r="D1079" s="262">
        <v>28186.55</v>
      </c>
    </row>
    <row r="1080" spans="3:4">
      <c r="C1080" s="509">
        <v>45281</v>
      </c>
      <c r="D1080" s="262">
        <v>28213.8</v>
      </c>
    </row>
    <row r="1081" spans="3:4">
      <c r="C1081" s="509">
        <v>45280</v>
      </c>
      <c r="D1081" s="262">
        <v>28253</v>
      </c>
    </row>
    <row r="1082" spans="3:4">
      <c r="C1082" s="509">
        <v>45279</v>
      </c>
      <c r="D1082" s="262">
        <v>28585.95</v>
      </c>
    </row>
    <row r="1083" spans="3:4">
      <c r="C1083" s="509">
        <v>45278</v>
      </c>
      <c r="D1083" s="262">
        <v>28557</v>
      </c>
    </row>
    <row r="1084" spans="3:4">
      <c r="C1084" s="509">
        <v>45275</v>
      </c>
      <c r="D1084" s="262">
        <v>28758.9</v>
      </c>
    </row>
    <row r="1085" spans="3:4">
      <c r="C1085" s="509">
        <v>45274</v>
      </c>
      <c r="D1085" s="262">
        <v>28733.05</v>
      </c>
    </row>
    <row r="1086" spans="3:4">
      <c r="C1086" s="509">
        <v>45273</v>
      </c>
      <c r="D1086" s="262">
        <v>28536.85</v>
      </c>
    </row>
    <row r="1087" spans="3:4">
      <c r="C1087" s="509">
        <v>45272</v>
      </c>
      <c r="D1087" s="262">
        <v>28606.799999999999</v>
      </c>
    </row>
    <row r="1088" spans="3:4">
      <c r="C1088" s="509">
        <v>45271</v>
      </c>
      <c r="D1088" s="262">
        <v>28302.6</v>
      </c>
    </row>
    <row r="1089" spans="3:4">
      <c r="C1089" s="509">
        <v>45268</v>
      </c>
      <c r="D1089" s="262">
        <v>27670.25</v>
      </c>
    </row>
    <row r="1090" spans="3:4">
      <c r="C1090" s="509">
        <v>45267</v>
      </c>
      <c r="D1090" s="262">
        <v>28020.5</v>
      </c>
    </row>
    <row r="1091" spans="3:4">
      <c r="C1091" s="509">
        <v>45266</v>
      </c>
      <c r="D1091" s="262">
        <v>27799.1</v>
      </c>
    </row>
    <row r="1092" spans="3:4">
      <c r="C1092" s="509">
        <v>45265</v>
      </c>
      <c r="D1092" s="262">
        <v>28003.85</v>
      </c>
    </row>
    <row r="1093" spans="3:4">
      <c r="C1093" s="509">
        <v>45264</v>
      </c>
      <c r="D1093" s="262">
        <v>27717</v>
      </c>
    </row>
    <row r="1094" spans="3:4">
      <c r="C1094" s="509">
        <v>45261</v>
      </c>
      <c r="D1094" s="262">
        <v>27026.55</v>
      </c>
    </row>
    <row r="1095" spans="3:4">
      <c r="C1095" s="509">
        <v>45260</v>
      </c>
      <c r="D1095" s="262">
        <v>26741.75</v>
      </c>
    </row>
    <row r="1096" spans="3:4">
      <c r="C1096" s="509">
        <v>45259</v>
      </c>
      <c r="D1096" s="262">
        <v>26106.9</v>
      </c>
    </row>
    <row r="1097" spans="3:4">
      <c r="C1097" s="509">
        <v>45258</v>
      </c>
      <c r="D1097" s="262">
        <v>26067.45</v>
      </c>
    </row>
    <row r="1098" spans="3:4">
      <c r="C1098" s="509">
        <v>45254</v>
      </c>
      <c r="D1098" s="262">
        <v>25645.4</v>
      </c>
    </row>
    <row r="1099" spans="3:4">
      <c r="C1099" s="509">
        <v>45253</v>
      </c>
      <c r="D1099" s="262">
        <v>25922.2</v>
      </c>
    </row>
    <row r="1100" spans="3:4">
      <c r="C1100" s="509">
        <v>45252</v>
      </c>
      <c r="D1100" s="262">
        <v>25997.05</v>
      </c>
    </row>
    <row r="1101" spans="3:4">
      <c r="C1101" s="509">
        <v>45251</v>
      </c>
      <c r="D1101" s="262">
        <v>25937.05</v>
      </c>
    </row>
    <row r="1102" spans="3:4">
      <c r="C1102" s="509">
        <v>45250</v>
      </c>
      <c r="D1102" s="262">
        <v>25953.65</v>
      </c>
    </row>
    <row r="1105" spans="2:14">
      <c r="C1105" s="515">
        <v>2017</v>
      </c>
      <c r="D1105" s="515">
        <v>2018</v>
      </c>
      <c r="E1105" s="515">
        <v>2019</v>
      </c>
      <c r="F1105" s="515">
        <v>2020</v>
      </c>
      <c r="G1105" s="515">
        <v>2021</v>
      </c>
      <c r="H1105" s="515">
        <v>2022</v>
      </c>
      <c r="I1105" s="515">
        <v>2023</v>
      </c>
      <c r="J1105" s="515">
        <v>2024</v>
      </c>
      <c r="K1105" s="518">
        <v>2025</v>
      </c>
      <c r="L1105" s="518">
        <v>2026</v>
      </c>
      <c r="M1105" s="518">
        <v>2027</v>
      </c>
      <c r="N1105" s="518">
        <v>2028</v>
      </c>
    </row>
    <row r="1106" spans="2:14">
      <c r="B1106" t="s">
        <v>40</v>
      </c>
      <c r="C1106" s="249">
        <v>8487</v>
      </c>
      <c r="D1106" s="249">
        <v>9834</v>
      </c>
      <c r="E1106" s="249">
        <v>12554.9</v>
      </c>
      <c r="F1106" s="249">
        <v>12867.9</v>
      </c>
      <c r="G1106" s="249">
        <v>13559.7</v>
      </c>
      <c r="H1106" s="249">
        <v>15009.099999999999</v>
      </c>
      <c r="I1106" s="249">
        <v>17852.7</v>
      </c>
      <c r="J1106" s="249">
        <v>20520.400000000001</v>
      </c>
      <c r="K1106" s="249">
        <v>23588.199800000002</v>
      </c>
      <c r="L1106" s="249">
        <v>26938.608729092502</v>
      </c>
      <c r="M1106" s="249">
        <v>30563.871998810122</v>
      </c>
      <c r="N1106" s="249">
        <v>34448.922178258872</v>
      </c>
    </row>
    <row r="1107" spans="2:14">
      <c r="B1107" t="s">
        <v>733</v>
      </c>
      <c r="D1107" s="44">
        <f>D1106/C1106-1</f>
        <v>0.1587133262636975</v>
      </c>
      <c r="E1107" s="44">
        <f t="shared" ref="E1107:N1107" si="157">E1106/D1106-1</f>
        <v>0.27668293675005073</v>
      </c>
      <c r="F1107" s="44">
        <f t="shared" si="157"/>
        <v>2.4930505221069099E-2</v>
      </c>
      <c r="G1107" s="44">
        <f t="shared" si="157"/>
        <v>5.3761686055999958E-2</v>
      </c>
      <c r="H1107" s="44">
        <f t="shared" si="157"/>
        <v>0.10689027043371158</v>
      </c>
      <c r="I1107" s="44">
        <f t="shared" si="157"/>
        <v>0.18945839524022112</v>
      </c>
      <c r="J1107" s="44">
        <f t="shared" si="157"/>
        <v>0.14942837778039175</v>
      </c>
      <c r="K1107" s="44">
        <f t="shared" si="157"/>
        <v>0.14949999999999997</v>
      </c>
      <c r="L1107" s="44">
        <f t="shared" si="157"/>
        <v>0.14203750000000004</v>
      </c>
      <c r="M1107" s="44">
        <f t="shared" si="157"/>
        <v>0.13457499999999989</v>
      </c>
      <c r="N1107" s="44">
        <f t="shared" si="157"/>
        <v>0.12711249999999996</v>
      </c>
    </row>
  </sheetData>
  <hyperlinks>
    <hyperlink ref="Z842" r:id="rId1" location="brands" display="https://www.shreecement.com/our-business - brands" xr:uid="{BEF1C278-F2E3-41F1-A0C2-AF1FDC02C0C9}"/>
  </hyperlinks>
  <pageMargins left="0.7" right="0.7" top="0.75" bottom="0.75" header="0.3" footer="0.3"/>
  <pageSetup orientation="portrait" r:id="rId2"/>
  <ignoredErrors>
    <ignoredError sqref="C266:J266 C281 D296:J296 D322:K322 D323:K323 D346:J346 C702:J702 C701 E701:J701 K701:L702" formulaRange="1"/>
    <ignoredError sqref="D701" formula="1" formulaRange="1"/>
    <ignoredError sqref="D728 E728:K728" formula="1"/>
  </ignoredError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A2044-3C0E-488E-B0D9-17768F97725F}">
  <sheetPr codeName="Sheet5"/>
  <dimension ref="A1:AL114"/>
  <sheetViews>
    <sheetView topLeftCell="A70" zoomScale="68" workbookViewId="0">
      <selection activeCell="AE87" sqref="AE87"/>
    </sheetView>
  </sheetViews>
  <sheetFormatPr defaultRowHeight="15"/>
  <cols>
    <col min="1" max="1" width="141.5703125" customWidth="1"/>
    <col min="2" max="2" width="16.42578125" customWidth="1"/>
    <col min="3" max="3" width="14.28515625" customWidth="1"/>
    <col min="6" max="6" width="3" customWidth="1"/>
    <col min="7" max="7" width="8.85546875" hidden="1" customWidth="1"/>
    <col min="8" max="8" width="32.85546875" customWidth="1"/>
    <col min="13" max="13" width="16.28515625" customWidth="1"/>
    <col min="17" max="17" width="10" bestFit="1" customWidth="1"/>
  </cols>
  <sheetData>
    <row r="1" spans="1:38">
      <c r="A1" t="s">
        <v>1232</v>
      </c>
    </row>
    <row r="2" spans="1:38">
      <c r="A2" t="s">
        <v>1233</v>
      </c>
      <c r="AA2" s="520">
        <v>2017</v>
      </c>
      <c r="AB2" s="521">
        <f>AA2+1</f>
        <v>2018</v>
      </c>
      <c r="AC2" s="521">
        <f>AB2+1</f>
        <v>2019</v>
      </c>
      <c r="AD2" s="521">
        <f>AC2+1</f>
        <v>2020</v>
      </c>
      <c r="AE2" s="520">
        <v>2021</v>
      </c>
      <c r="AF2" s="521">
        <f>AE2+1</f>
        <v>2022</v>
      </c>
      <c r="AG2" s="521">
        <f t="shared" ref="AG2:AL2" si="0">AF2+1</f>
        <v>2023</v>
      </c>
      <c r="AH2" s="521">
        <f t="shared" si="0"/>
        <v>2024</v>
      </c>
      <c r="AI2" s="522">
        <f>AH2+1</f>
        <v>2025</v>
      </c>
      <c r="AJ2" s="522">
        <f>AI2+1</f>
        <v>2026</v>
      </c>
      <c r="AK2" s="522">
        <f t="shared" si="0"/>
        <v>2027</v>
      </c>
      <c r="AL2" s="522">
        <f t="shared" si="0"/>
        <v>2028</v>
      </c>
    </row>
    <row r="3" spans="1:38">
      <c r="A3" t="s">
        <v>1234</v>
      </c>
      <c r="AA3" s="154">
        <v>0.91869918699186992</v>
      </c>
      <c r="AB3" s="154">
        <v>0.92854382753711606</v>
      </c>
      <c r="AC3" s="154">
        <v>0.92217381261499487</v>
      </c>
      <c r="AD3" s="154">
        <v>0.92500718843012453</v>
      </c>
      <c r="AE3" s="154">
        <v>0.92226966673303978</v>
      </c>
      <c r="AF3" s="154">
        <v>0.93267417766554961</v>
      </c>
      <c r="AG3" s="154">
        <v>0.92328331288824672</v>
      </c>
      <c r="AH3" s="154">
        <v>0.92519638993391939</v>
      </c>
      <c r="AI3" s="154">
        <v>0.91900000000000004</v>
      </c>
      <c r="AJ3" s="154">
        <v>0.91965000000000008</v>
      </c>
      <c r="AK3" s="154">
        <v>0.92030000000000012</v>
      </c>
      <c r="AL3" s="154">
        <v>0.92095000000000016</v>
      </c>
    </row>
    <row r="4" spans="1:38">
      <c r="A4" t="s">
        <v>1235</v>
      </c>
      <c r="AB4" s="285"/>
      <c r="AC4" s="285"/>
      <c r="AD4" s="285"/>
      <c r="AE4" s="285"/>
      <c r="AF4" s="285"/>
      <c r="AG4" s="285"/>
      <c r="AH4" s="285"/>
      <c r="AI4" s="285"/>
      <c r="AJ4" s="285"/>
      <c r="AK4" s="285"/>
      <c r="AL4" s="285"/>
    </row>
    <row r="5" spans="1:38">
      <c r="A5" t="s">
        <v>1236</v>
      </c>
    </row>
    <row r="6" spans="1:38">
      <c r="A6" t="s">
        <v>1237</v>
      </c>
    </row>
    <row r="7" spans="1:38">
      <c r="A7" t="s">
        <v>1238</v>
      </c>
    </row>
    <row r="8" spans="1:38">
      <c r="A8" t="s">
        <v>1239</v>
      </c>
    </row>
    <row r="33" spans="1:5">
      <c r="C33" t="s">
        <v>1241</v>
      </c>
      <c r="D33" t="s">
        <v>1242</v>
      </c>
      <c r="E33" t="s">
        <v>1242</v>
      </c>
    </row>
    <row r="35" spans="1:5">
      <c r="B35" t="s">
        <v>1240</v>
      </c>
      <c r="C35" s="213">
        <v>3.3000000000000002E-2</v>
      </c>
      <c r="D35" s="213">
        <v>3.2000000000000001E-2</v>
      </c>
      <c r="E35" s="213">
        <v>3.2000000000000001E-2</v>
      </c>
    </row>
    <row r="36" spans="1:5">
      <c r="B36" t="s">
        <v>1244</v>
      </c>
      <c r="C36" s="213">
        <v>1.7000000000000001E-2</v>
      </c>
      <c r="D36" s="213">
        <v>1.7999999999999999E-2</v>
      </c>
      <c r="E36" s="213">
        <v>2.8000000000000001E-2</v>
      </c>
    </row>
    <row r="37" spans="1:5">
      <c r="B37" t="s">
        <v>1243</v>
      </c>
      <c r="C37" s="213">
        <v>4.3999999999999997E-2</v>
      </c>
      <c r="D37" s="213">
        <v>4.2000000000000003E-2</v>
      </c>
      <c r="E37" s="213">
        <v>4.2000000000000003E-2</v>
      </c>
    </row>
    <row r="38" spans="1:5">
      <c r="B38" t="s">
        <v>1245</v>
      </c>
      <c r="C38" s="213">
        <v>2.8999999999999998E-2</v>
      </c>
      <c r="D38" s="213">
        <v>2.7999999999999997E-2</v>
      </c>
      <c r="E38" s="213">
        <v>2.2000000000000002E-2</v>
      </c>
    </row>
    <row r="39" spans="1:5">
      <c r="B39" t="s">
        <v>834</v>
      </c>
      <c r="C39" s="213">
        <v>5.2000000000000005E-2</v>
      </c>
      <c r="D39" s="213">
        <v>4.8000000000000001E-2</v>
      </c>
      <c r="E39" s="213">
        <v>4.4999999999999998E-2</v>
      </c>
    </row>
    <row r="40" spans="1:5">
      <c r="B40" t="s">
        <v>869</v>
      </c>
      <c r="C40" s="213">
        <v>8.199999999999999E-2</v>
      </c>
      <c r="D40" s="213">
        <v>7.0000000000000007E-2</v>
      </c>
      <c r="E40" s="213">
        <v>6.5000000000000002E-2</v>
      </c>
    </row>
    <row r="46" spans="1:5" ht="160.15" customHeight="1">
      <c r="A46" s="512" t="s">
        <v>1247</v>
      </c>
    </row>
    <row r="49" spans="1:6">
      <c r="A49" t="s">
        <v>1246</v>
      </c>
    </row>
    <row r="61" spans="1:6">
      <c r="E61" t="s">
        <v>869</v>
      </c>
      <c r="F61" t="s">
        <v>436</v>
      </c>
    </row>
    <row r="62" spans="1:6">
      <c r="D62" t="s">
        <v>1248</v>
      </c>
      <c r="E62" s="2">
        <v>6.8000000000000005E-2</v>
      </c>
      <c r="F62" s="2">
        <v>3.3000000000000002E-2</v>
      </c>
    </row>
    <row r="63" spans="1:6">
      <c r="D63" t="s">
        <v>1249</v>
      </c>
      <c r="E63" s="2">
        <v>6.5000000000000002E-2</v>
      </c>
      <c r="F63" s="2">
        <v>2.5999999999999999E-2</v>
      </c>
    </row>
    <row r="64" spans="1:6">
      <c r="D64" t="s">
        <v>1250</v>
      </c>
      <c r="E64" s="2">
        <v>3.9E-2</v>
      </c>
      <c r="F64" s="2">
        <v>-3.1E-2</v>
      </c>
    </row>
    <row r="65" spans="4:21">
      <c r="D65" t="s">
        <v>1251</v>
      </c>
      <c r="E65" s="2">
        <v>-5.8000000000000003E-2</v>
      </c>
      <c r="F65" s="2">
        <v>6.0999999999999999E-2</v>
      </c>
    </row>
    <row r="66" spans="4:21">
      <c r="D66" t="s">
        <v>1252</v>
      </c>
      <c r="E66" s="2">
        <v>9.7000000000000003E-2</v>
      </c>
      <c r="F66" s="2">
        <v>3.0800000000000001E-2</v>
      </c>
    </row>
    <row r="67" spans="4:21">
      <c r="D67" t="s">
        <v>1241</v>
      </c>
      <c r="E67" s="2">
        <v>7.1999999999999995E-2</v>
      </c>
      <c r="F67" s="2">
        <v>3.2000000000000001E-2</v>
      </c>
    </row>
    <row r="68" spans="4:21">
      <c r="D68" t="s">
        <v>1242</v>
      </c>
      <c r="E68" s="2">
        <v>6.8000000000000005E-2</v>
      </c>
      <c r="F68" s="2">
        <v>3.2000000000000001E-2</v>
      </c>
    </row>
    <row r="69" spans="4:21">
      <c r="D69" t="s">
        <v>1253</v>
      </c>
      <c r="E69" s="2">
        <v>6.5000000000000002E-2</v>
      </c>
      <c r="F69" s="2">
        <v>3.2000000000000001E-2</v>
      </c>
    </row>
    <row r="77" spans="4:21">
      <c r="L77" s="515">
        <v>2017</v>
      </c>
      <c r="M77" s="515" t="s">
        <v>1248</v>
      </c>
      <c r="N77" t="s">
        <v>1249</v>
      </c>
      <c r="O77" t="s">
        <v>1250</v>
      </c>
      <c r="P77" t="s">
        <v>1251</v>
      </c>
      <c r="Q77" t="s">
        <v>1252</v>
      </c>
      <c r="R77" t="s">
        <v>1241</v>
      </c>
      <c r="S77" s="515">
        <v>2024</v>
      </c>
    </row>
    <row r="78" spans="4:21" ht="15.75" thickBot="1">
      <c r="K78" t="s">
        <v>547</v>
      </c>
      <c r="L78" s="214">
        <v>1314.5</v>
      </c>
      <c r="M78" s="214">
        <v>1569.02</v>
      </c>
      <c r="N78" s="214">
        <v>1870.31</v>
      </c>
      <c r="O78" s="214">
        <v>1713.49</v>
      </c>
      <c r="P78" s="214">
        <v>1715.72</v>
      </c>
      <c r="Q78" s="214">
        <v>2497.02</v>
      </c>
      <c r="R78" s="214">
        <v>2759.68</v>
      </c>
      <c r="S78" s="214">
        <v>3555.07</v>
      </c>
    </row>
    <row r="79" spans="4:21" ht="18.75" thickBot="1">
      <c r="K79" s="513" t="s">
        <v>54</v>
      </c>
      <c r="L79" s="249">
        <v>562.87968863142657</v>
      </c>
      <c r="M79" s="249">
        <v>749.8466799658022</v>
      </c>
      <c r="N79" s="249">
        <v>642.12554987212275</v>
      </c>
      <c r="O79" s="249">
        <v>678</v>
      </c>
      <c r="P79" s="249">
        <v>593.54213296661612</v>
      </c>
      <c r="Q79" s="249">
        <v>761.2882958708783</v>
      </c>
      <c r="R79" s="249">
        <v>700.61180895347991</v>
      </c>
      <c r="S79" s="249">
        <v>750.77646579804559</v>
      </c>
      <c r="T79" s="249"/>
      <c r="U79" s="249"/>
    </row>
    <row r="80" spans="4:21" ht="15.75" thickBot="1">
      <c r="K80" s="514"/>
      <c r="Q80" s="2"/>
    </row>
    <row r="81" spans="11:17" ht="15.75" thickBot="1">
      <c r="K81" s="514"/>
      <c r="Q81" s="2"/>
    </row>
    <row r="82" spans="11:17" ht="15.75" thickBot="1">
      <c r="K82" s="514"/>
      <c r="Q82" s="2"/>
    </row>
    <row r="83" spans="11:17" ht="15.75" thickBot="1">
      <c r="K83" s="514"/>
      <c r="Q83" s="2"/>
    </row>
    <row r="84" spans="11:17" ht="15.75" thickBot="1">
      <c r="K84" s="514"/>
      <c r="Q84" s="2"/>
    </row>
    <row r="85" spans="11:17" ht="15.75" thickBot="1">
      <c r="K85" s="514"/>
      <c r="Q85" s="2"/>
    </row>
    <row r="86" spans="11:17" ht="15.75" thickBot="1">
      <c r="K86" s="514"/>
      <c r="Q86" s="2"/>
    </row>
    <row r="87" spans="11:17" ht="15.75" thickBot="1">
      <c r="K87" s="514"/>
      <c r="Q87" s="2"/>
    </row>
    <row r="88" spans="11:17">
      <c r="K88" s="514"/>
      <c r="Q88" s="2"/>
    </row>
    <row r="89" spans="11:17">
      <c r="K89" s="278"/>
      <c r="N89" t="s">
        <v>19</v>
      </c>
      <c r="O89" t="s">
        <v>1265</v>
      </c>
    </row>
    <row r="90" spans="11:17">
      <c r="M90" t="s">
        <v>1264</v>
      </c>
      <c r="N90" s="2">
        <v>5.3999999999999999E-2</v>
      </c>
      <c r="O90" s="2">
        <v>0.06</v>
      </c>
    </row>
    <row r="91" spans="11:17">
      <c r="M91" t="s">
        <v>1264</v>
      </c>
      <c r="N91" s="2">
        <v>5.3999999999999999E-2</v>
      </c>
      <c r="O91" s="2">
        <v>0.06</v>
      </c>
    </row>
    <row r="92" spans="11:17">
      <c r="M92" t="s">
        <v>1263</v>
      </c>
      <c r="N92" s="2">
        <v>4.1000000000000002E-2</v>
      </c>
      <c r="O92" s="2">
        <v>0.04</v>
      </c>
    </row>
    <row r="93" spans="11:17">
      <c r="M93" t="s">
        <v>1262</v>
      </c>
      <c r="N93" s="2">
        <v>0.13500000000000001</v>
      </c>
      <c r="O93" s="2">
        <v>0.152</v>
      </c>
    </row>
    <row r="94" spans="11:17">
      <c r="M94" t="s">
        <v>1261</v>
      </c>
      <c r="N94" s="2">
        <v>6.3E-2</v>
      </c>
      <c r="O94" s="2">
        <v>6.2E-2</v>
      </c>
    </row>
    <row r="95" spans="11:17">
      <c r="M95" t="s">
        <v>1260</v>
      </c>
      <c r="N95" s="2">
        <v>4.3999999999999997E-2</v>
      </c>
      <c r="O95" s="2">
        <v>4.5999999999999999E-2</v>
      </c>
    </row>
    <row r="96" spans="11:17">
      <c r="M96" t="s">
        <v>1259</v>
      </c>
      <c r="N96" s="2">
        <v>6.0999999999999999E-2</v>
      </c>
      <c r="O96" s="2">
        <v>4.5999999999999999E-2</v>
      </c>
    </row>
    <row r="97" spans="9:16">
      <c r="M97" t="s">
        <v>1258</v>
      </c>
      <c r="N97" s="2">
        <v>7.8E-2</v>
      </c>
      <c r="O97" s="2">
        <v>7.6999999999999999E-2</v>
      </c>
    </row>
    <row r="98" spans="9:16">
      <c r="M98" t="s">
        <v>1257</v>
      </c>
      <c r="N98" s="2">
        <v>7.5999999999999998E-2</v>
      </c>
      <c r="O98" s="2">
        <v>6.8000000000000005E-2</v>
      </c>
    </row>
    <row r="99" spans="9:16">
      <c r="M99" t="s">
        <v>1256</v>
      </c>
      <c r="N99" s="2">
        <v>8.4000000000000005E-2</v>
      </c>
      <c r="O99" s="2">
        <v>6.6000000000000003E-2</v>
      </c>
    </row>
    <row r="100" spans="9:16">
      <c r="M100" t="s">
        <v>1255</v>
      </c>
      <c r="N100" s="2">
        <v>7.8E-2</v>
      </c>
      <c r="O100" s="2">
        <v>6.7000000000000004E-2</v>
      </c>
    </row>
    <row r="101" spans="9:16">
      <c r="M101" t="s">
        <v>1254</v>
      </c>
      <c r="N101" s="2">
        <v>6.7000000000000004E-2</v>
      </c>
      <c r="O101" s="2">
        <v>6.9000000000000006E-2</v>
      </c>
    </row>
    <row r="107" spans="9:16">
      <c r="I107" s="515">
        <v>2017</v>
      </c>
      <c r="J107" s="515" t="s">
        <v>1248</v>
      </c>
      <c r="K107" t="s">
        <v>1249</v>
      </c>
      <c r="L107" t="s">
        <v>1250</v>
      </c>
      <c r="M107" t="s">
        <v>1251</v>
      </c>
      <c r="N107" t="s">
        <v>1252</v>
      </c>
      <c r="O107" t="s">
        <v>1241</v>
      </c>
      <c r="P107" s="515">
        <v>2024</v>
      </c>
    </row>
    <row r="108" spans="9:16">
      <c r="I108">
        <v>323</v>
      </c>
      <c r="J108">
        <v>333</v>
      </c>
      <c r="K108">
        <v>208</v>
      </c>
      <c r="L108">
        <v>193</v>
      </c>
      <c r="M108">
        <v>337</v>
      </c>
      <c r="N108">
        <v>234</v>
      </c>
      <c r="O108">
        <v>268</v>
      </c>
    </row>
    <row r="109" spans="9:16">
      <c r="I109">
        <v>195</v>
      </c>
      <c r="J109">
        <v>226</v>
      </c>
      <c r="K109">
        <v>214</v>
      </c>
      <c r="L109">
        <v>234</v>
      </c>
      <c r="M109">
        <v>207</v>
      </c>
      <c r="N109">
        <v>256</v>
      </c>
      <c r="O109">
        <v>248</v>
      </c>
      <c r="P109">
        <v>255</v>
      </c>
    </row>
    <row r="110" spans="9:16">
      <c r="I110">
        <v>292</v>
      </c>
      <c r="J110">
        <v>269</v>
      </c>
      <c r="K110">
        <v>257</v>
      </c>
      <c r="L110">
        <v>288</v>
      </c>
      <c r="M110">
        <v>257</v>
      </c>
      <c r="N110">
        <v>343</v>
      </c>
      <c r="O110">
        <v>223</v>
      </c>
      <c r="P110">
        <v>235</v>
      </c>
    </row>
    <row r="111" spans="9:16">
      <c r="I111">
        <v>114</v>
      </c>
      <c r="J111">
        <v>125</v>
      </c>
      <c r="K111">
        <v>148</v>
      </c>
      <c r="L111">
        <v>179</v>
      </c>
      <c r="M111">
        <v>215</v>
      </c>
      <c r="N111">
        <v>283</v>
      </c>
      <c r="O111">
        <v>215</v>
      </c>
      <c r="P111">
        <v>177</v>
      </c>
    </row>
    <row r="112" spans="9:16">
      <c r="I112">
        <v>189</v>
      </c>
      <c r="J112">
        <v>186</v>
      </c>
      <c r="K112">
        <v>211</v>
      </c>
      <c r="L112">
        <v>204</v>
      </c>
      <c r="M112">
        <v>180</v>
      </c>
      <c r="N112">
        <v>234</v>
      </c>
      <c r="O112">
        <v>242</v>
      </c>
      <c r="P112">
        <v>164</v>
      </c>
    </row>
    <row r="113" spans="8:16">
      <c r="H113" t="s">
        <v>1272</v>
      </c>
      <c r="I113" s="249">
        <f>AVERAGE(I108:I112)</f>
        <v>222.6</v>
      </c>
      <c r="J113" s="249">
        <f t="shared" ref="J113:P113" si="1">AVERAGE(J108:J112)</f>
        <v>227.8</v>
      </c>
      <c r="K113" s="249">
        <f t="shared" si="1"/>
        <v>207.6</v>
      </c>
      <c r="L113" s="249">
        <f t="shared" si="1"/>
        <v>219.6</v>
      </c>
      <c r="M113" s="249">
        <f t="shared" si="1"/>
        <v>239.2</v>
      </c>
      <c r="N113" s="249">
        <f t="shared" si="1"/>
        <v>270</v>
      </c>
      <c r="O113" s="249">
        <f t="shared" si="1"/>
        <v>239.2</v>
      </c>
      <c r="P113" s="249">
        <f t="shared" si="1"/>
        <v>207.75</v>
      </c>
    </row>
    <row r="114" spans="8:16">
      <c r="H114" t="s">
        <v>1273</v>
      </c>
      <c r="I114" s="249">
        <v>562.87968863142657</v>
      </c>
      <c r="J114" s="249">
        <v>749.8466799658022</v>
      </c>
      <c r="K114" s="249">
        <v>642.12554987212275</v>
      </c>
      <c r="L114" s="249">
        <v>678</v>
      </c>
      <c r="M114" s="249">
        <v>593.54213296661612</v>
      </c>
      <c r="N114" s="249">
        <v>761.2882958708783</v>
      </c>
      <c r="O114" s="249">
        <v>700.61180895347991</v>
      </c>
      <c r="P114" s="249">
        <v>750.77646579804559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35E2-4E5D-4F27-B632-F3E76AB0BCEC}">
  <sheetPr codeName="Sheet6"/>
  <dimension ref="B2:R160"/>
  <sheetViews>
    <sheetView topLeftCell="D34" workbookViewId="0">
      <selection activeCell="D18" sqref="D18"/>
    </sheetView>
  </sheetViews>
  <sheetFormatPr defaultRowHeight="15"/>
  <cols>
    <col min="2" max="2" width="24" customWidth="1"/>
    <col min="3" max="3" width="30.42578125" customWidth="1"/>
    <col min="4" max="4" width="28.7109375" customWidth="1"/>
    <col min="5" max="5" width="28" customWidth="1"/>
  </cols>
  <sheetData>
    <row r="2" spans="2:18">
      <c r="B2" t="s">
        <v>993</v>
      </c>
      <c r="I2" t="s">
        <v>994</v>
      </c>
    </row>
    <row r="4" spans="2:18">
      <c r="B4" t="s">
        <v>763</v>
      </c>
      <c r="C4" t="s">
        <v>773</v>
      </c>
      <c r="D4" t="s">
        <v>774</v>
      </c>
      <c r="E4" t="s">
        <v>775</v>
      </c>
      <c r="I4" s="359" t="s">
        <v>968</v>
      </c>
      <c r="J4" s="358"/>
      <c r="K4" s="358"/>
      <c r="L4" s="358"/>
      <c r="M4" s="358"/>
      <c r="N4" s="359" t="s">
        <v>969</v>
      </c>
      <c r="O4" s="358"/>
      <c r="P4" s="358"/>
      <c r="Q4" s="358"/>
      <c r="R4" s="358"/>
    </row>
    <row r="5" spans="2:18">
      <c r="B5" t="s">
        <v>869</v>
      </c>
      <c r="C5" t="s">
        <v>806</v>
      </c>
      <c r="D5" t="s">
        <v>794</v>
      </c>
      <c r="E5" s="44">
        <v>2.0679214707827093E-2</v>
      </c>
      <c r="I5" s="364" t="s">
        <v>970</v>
      </c>
      <c r="J5" s="364"/>
      <c r="K5" s="365"/>
      <c r="L5" s="365"/>
      <c r="M5" s="358"/>
      <c r="N5" s="360" t="s">
        <v>971</v>
      </c>
      <c r="O5" s="361"/>
      <c r="P5" s="357"/>
      <c r="Q5" s="357"/>
      <c r="R5" s="357"/>
    </row>
    <row r="6" spans="2:18">
      <c r="B6" t="s">
        <v>954</v>
      </c>
      <c r="C6" t="s">
        <v>783</v>
      </c>
      <c r="D6" t="s">
        <v>811</v>
      </c>
      <c r="E6" s="44">
        <v>5.6397858294073887E-3</v>
      </c>
      <c r="I6" s="366" t="s">
        <v>972</v>
      </c>
      <c r="J6" s="366" t="s">
        <v>992</v>
      </c>
      <c r="K6" s="366" t="s">
        <v>973</v>
      </c>
      <c r="L6" s="366" t="s">
        <v>974</v>
      </c>
      <c r="M6" s="358"/>
      <c r="N6" s="362" t="s">
        <v>975</v>
      </c>
      <c r="O6" s="362" t="s">
        <v>992</v>
      </c>
      <c r="P6" s="362" t="s">
        <v>973</v>
      </c>
      <c r="Q6" s="362" t="s">
        <v>974</v>
      </c>
      <c r="R6" s="358"/>
    </row>
    <row r="7" spans="2:18" ht="15.75">
      <c r="B7" t="s">
        <v>955</v>
      </c>
      <c r="C7" t="s">
        <v>830</v>
      </c>
      <c r="D7" t="s">
        <v>797</v>
      </c>
      <c r="E7" s="44">
        <v>0</v>
      </c>
      <c r="I7" s="367">
        <v>-100000</v>
      </c>
      <c r="J7" s="367">
        <v>0.19999900000000001</v>
      </c>
      <c r="K7" s="367" t="s">
        <v>976</v>
      </c>
      <c r="L7" s="371">
        <v>0.2</v>
      </c>
      <c r="M7" s="358"/>
      <c r="N7" s="362">
        <v>-100000</v>
      </c>
      <c r="O7" s="362">
        <v>4.9999000000000002E-2</v>
      </c>
      <c r="P7" s="363" t="s">
        <v>976</v>
      </c>
      <c r="Q7" s="371">
        <v>0.2</v>
      </c>
      <c r="R7" s="358"/>
    </row>
    <row r="8" spans="2:18" ht="15.75">
      <c r="B8" t="s">
        <v>776</v>
      </c>
      <c r="C8" t="s">
        <v>777</v>
      </c>
      <c r="D8" t="s">
        <v>778</v>
      </c>
      <c r="E8" s="44">
        <v>4.6445295065707902E-3</v>
      </c>
      <c r="I8" s="367">
        <v>0.2</v>
      </c>
      <c r="J8" s="367">
        <v>0.64999899999999999</v>
      </c>
      <c r="K8" s="367" t="s">
        <v>977</v>
      </c>
      <c r="L8" s="371">
        <v>0.17</v>
      </c>
      <c r="M8" s="358"/>
      <c r="N8" s="362">
        <v>0.05</v>
      </c>
      <c r="O8" s="362">
        <v>9.9999000000000005E-2</v>
      </c>
      <c r="P8" s="363" t="s">
        <v>977</v>
      </c>
      <c r="Q8" s="371">
        <v>0.17</v>
      </c>
      <c r="R8" s="358"/>
    </row>
    <row r="9" spans="2:18" ht="15.75">
      <c r="B9" t="s">
        <v>779</v>
      </c>
      <c r="C9" t="s">
        <v>780</v>
      </c>
      <c r="D9" t="s">
        <v>781</v>
      </c>
      <c r="E9" s="44">
        <v>4.2353685738490778E-2</v>
      </c>
      <c r="I9" s="367">
        <v>0.65</v>
      </c>
      <c r="J9" s="367">
        <v>0.79999900000000002</v>
      </c>
      <c r="K9" s="367" t="s">
        <v>978</v>
      </c>
      <c r="L9" s="371">
        <v>0.1178</v>
      </c>
      <c r="M9" s="358"/>
      <c r="N9" s="362">
        <v>0.1</v>
      </c>
      <c r="O9" s="362">
        <v>0.19999900000000001</v>
      </c>
      <c r="P9" s="363" t="s">
        <v>978</v>
      </c>
      <c r="Q9" s="371">
        <v>0.1178</v>
      </c>
      <c r="R9" s="358"/>
    </row>
    <row r="10" spans="2:18" ht="15.75">
      <c r="B10" t="s">
        <v>782</v>
      </c>
      <c r="C10" t="s">
        <v>783</v>
      </c>
      <c r="D10" t="s">
        <v>784</v>
      </c>
      <c r="E10" s="44">
        <v>1.5039428878419702E-2</v>
      </c>
      <c r="I10" s="367">
        <v>0.8</v>
      </c>
      <c r="J10" s="367">
        <v>1.2499990000000001</v>
      </c>
      <c r="K10" s="367" t="s">
        <v>979</v>
      </c>
      <c r="L10" s="371">
        <v>8.5099999999999995E-2</v>
      </c>
      <c r="M10" s="358"/>
      <c r="N10" s="362">
        <v>0.2</v>
      </c>
      <c r="O10" s="362">
        <v>0.29999900000000002</v>
      </c>
      <c r="P10" s="363" t="s">
        <v>979</v>
      </c>
      <c r="Q10" s="371">
        <v>8.5099999999999995E-2</v>
      </c>
      <c r="R10" s="358"/>
    </row>
    <row r="11" spans="2:18" ht="15.75">
      <c r="B11" t="s">
        <v>785</v>
      </c>
      <c r="C11" t="s">
        <v>773</v>
      </c>
      <c r="D11" t="s">
        <v>786</v>
      </c>
      <c r="E11" s="44">
        <v>6.1152971836515406E-2</v>
      </c>
      <c r="I11" s="367">
        <v>1.25</v>
      </c>
      <c r="J11" s="367">
        <v>1.4999990000000001</v>
      </c>
      <c r="K11" s="367" t="s">
        <v>980</v>
      </c>
      <c r="L11" s="371">
        <v>5.2400000000000002E-2</v>
      </c>
      <c r="M11" s="358"/>
      <c r="N11" s="362">
        <v>0.3</v>
      </c>
      <c r="O11" s="362">
        <v>0.39999899999999999</v>
      </c>
      <c r="P11" s="363" t="s">
        <v>980</v>
      </c>
      <c r="Q11" s="371">
        <v>5.2400000000000002E-2</v>
      </c>
      <c r="R11" s="358"/>
    </row>
    <row r="12" spans="2:18" ht="15.75">
      <c r="B12" t="s">
        <v>787</v>
      </c>
      <c r="C12" t="s">
        <v>788</v>
      </c>
      <c r="D12" t="s">
        <v>789</v>
      </c>
      <c r="E12" s="44">
        <v>0.11290630062401852</v>
      </c>
      <c r="I12" s="367">
        <v>1.5</v>
      </c>
      <c r="J12" s="367">
        <v>1.7499990000000001</v>
      </c>
      <c r="K12" s="367" t="s">
        <v>981</v>
      </c>
      <c r="L12" s="371">
        <v>3.61E-2</v>
      </c>
      <c r="M12" s="358"/>
      <c r="N12" s="362">
        <v>0.4</v>
      </c>
      <c r="O12" s="362">
        <v>0.49999900000000003</v>
      </c>
      <c r="P12" s="363" t="s">
        <v>981</v>
      </c>
      <c r="Q12" s="371">
        <v>3.61E-2</v>
      </c>
      <c r="R12" s="358"/>
    </row>
    <row r="13" spans="2:18" ht="15.75">
      <c r="B13" t="s">
        <v>790</v>
      </c>
      <c r="C13" t="s">
        <v>780</v>
      </c>
      <c r="D13" t="s">
        <v>791</v>
      </c>
      <c r="E13" s="44">
        <v>3.3838714976444327E-2</v>
      </c>
      <c r="I13" s="367">
        <v>1.75</v>
      </c>
      <c r="J13" s="367">
        <v>1.9999990000000001</v>
      </c>
      <c r="K13" s="367" t="s">
        <v>982</v>
      </c>
      <c r="L13" s="371">
        <v>3.1399999999999997E-2</v>
      </c>
      <c r="M13" s="358"/>
      <c r="N13" s="362">
        <v>0.5</v>
      </c>
      <c r="O13" s="362">
        <v>0.59999899999999995</v>
      </c>
      <c r="P13" s="363" t="s">
        <v>982</v>
      </c>
      <c r="Q13" s="371">
        <v>3.1399999999999997E-2</v>
      </c>
      <c r="R13" s="358"/>
    </row>
    <row r="14" spans="2:18" ht="15.75">
      <c r="B14" t="s">
        <v>792</v>
      </c>
      <c r="C14" t="s">
        <v>793</v>
      </c>
      <c r="D14" t="s">
        <v>794</v>
      </c>
      <c r="E14" s="44">
        <v>2.0679214707827093E-2</v>
      </c>
      <c r="I14" s="367">
        <v>2</v>
      </c>
      <c r="J14" s="367">
        <v>2.2499999000000002</v>
      </c>
      <c r="K14" s="367" t="s">
        <v>983</v>
      </c>
      <c r="L14" s="371">
        <v>2.2100000000000002E-2</v>
      </c>
      <c r="M14" s="358"/>
      <c r="N14" s="362">
        <v>0.6</v>
      </c>
      <c r="O14" s="362">
        <v>0.74999899999999997</v>
      </c>
      <c r="P14" s="363" t="s">
        <v>983</v>
      </c>
      <c r="Q14" s="371">
        <v>2.2100000000000002E-2</v>
      </c>
      <c r="R14" s="358"/>
    </row>
    <row r="15" spans="2:18" ht="15.75">
      <c r="B15" t="s">
        <v>795</v>
      </c>
      <c r="C15" t="s">
        <v>796</v>
      </c>
      <c r="D15" t="s">
        <v>797</v>
      </c>
      <c r="E15" s="44">
        <v>0</v>
      </c>
      <c r="I15" s="367">
        <v>2.25</v>
      </c>
      <c r="J15" s="367">
        <v>2.4999899999999999</v>
      </c>
      <c r="K15" s="367" t="s">
        <v>984</v>
      </c>
      <c r="L15" s="371">
        <v>1.7399999999999999E-2</v>
      </c>
      <c r="M15" s="358"/>
      <c r="N15" s="362">
        <v>0.75</v>
      </c>
      <c r="O15" s="362">
        <v>0.89999899999999999</v>
      </c>
      <c r="P15" s="363" t="s">
        <v>984</v>
      </c>
      <c r="Q15" s="371">
        <v>1.7399999999999999E-2</v>
      </c>
      <c r="R15" s="358"/>
    </row>
    <row r="16" spans="2:18" ht="15.75">
      <c r="B16" t="s">
        <v>798</v>
      </c>
      <c r="C16" t="s">
        <v>783</v>
      </c>
      <c r="D16" t="s">
        <v>799</v>
      </c>
      <c r="E16" s="44">
        <v>3.7598572196049255E-3</v>
      </c>
      <c r="I16" s="367">
        <v>2.5</v>
      </c>
      <c r="J16" s="367">
        <v>2.9999989999999999</v>
      </c>
      <c r="K16" s="367" t="s">
        <v>985</v>
      </c>
      <c r="L16" s="371">
        <v>1.47E-2</v>
      </c>
      <c r="M16" s="358"/>
      <c r="N16" s="362">
        <v>0.9</v>
      </c>
      <c r="O16" s="362">
        <v>1.199999</v>
      </c>
      <c r="P16" s="363" t="s">
        <v>985</v>
      </c>
      <c r="Q16" s="371">
        <v>1.47E-2</v>
      </c>
      <c r="R16" s="358"/>
    </row>
    <row r="17" spans="2:18" ht="15.75">
      <c r="B17" t="s">
        <v>800</v>
      </c>
      <c r="C17" t="s">
        <v>780</v>
      </c>
      <c r="D17" t="s">
        <v>801</v>
      </c>
      <c r="E17" s="44">
        <v>2.3554399640466156E-2</v>
      </c>
      <c r="I17" s="367">
        <v>3</v>
      </c>
      <c r="J17" s="367">
        <v>4.2499989999999999</v>
      </c>
      <c r="K17" s="367" t="s">
        <v>986</v>
      </c>
      <c r="L17" s="371">
        <v>1.21E-2</v>
      </c>
      <c r="M17" s="358"/>
      <c r="N17" s="362">
        <v>1.2</v>
      </c>
      <c r="O17" s="362">
        <v>1.4999899999999999</v>
      </c>
      <c r="P17" s="363" t="s">
        <v>986</v>
      </c>
      <c r="Q17" s="371">
        <v>1.21E-2</v>
      </c>
      <c r="R17" s="358"/>
    </row>
    <row r="18" spans="2:18" ht="15.75">
      <c r="B18" t="s">
        <v>802</v>
      </c>
      <c r="C18" t="s">
        <v>793</v>
      </c>
      <c r="D18" t="s">
        <v>781</v>
      </c>
      <c r="E18" s="44">
        <v>4.2353685738490778E-2</v>
      </c>
      <c r="I18" s="367">
        <v>4.25</v>
      </c>
      <c r="J18" s="367">
        <v>5.4999989999999999</v>
      </c>
      <c r="K18" s="367" t="s">
        <v>987</v>
      </c>
      <c r="L18" s="371">
        <v>1.0699999999999999E-2</v>
      </c>
      <c r="M18" s="358"/>
      <c r="N18" s="362">
        <v>1.5</v>
      </c>
      <c r="O18" s="362">
        <v>1.9999899999999999</v>
      </c>
      <c r="P18" s="363" t="s">
        <v>987</v>
      </c>
      <c r="Q18" s="371">
        <v>1.0699999999999999E-2</v>
      </c>
      <c r="R18" s="358"/>
    </row>
    <row r="19" spans="2:18" ht="15.75">
      <c r="B19" t="s">
        <v>803</v>
      </c>
      <c r="C19" t="s">
        <v>777</v>
      </c>
      <c r="D19" t="s">
        <v>804</v>
      </c>
      <c r="E19" s="44">
        <v>5.1753328787503099E-2</v>
      </c>
      <c r="I19" s="367">
        <v>5.5</v>
      </c>
      <c r="J19" s="367">
        <v>6.4999989999999999</v>
      </c>
      <c r="K19" s="367" t="s">
        <v>988</v>
      </c>
      <c r="L19" s="371">
        <v>9.1999999999999998E-3</v>
      </c>
      <c r="M19" s="358"/>
      <c r="N19" s="362">
        <v>2</v>
      </c>
      <c r="O19" s="362">
        <v>2.4999899999999999</v>
      </c>
      <c r="P19" s="363" t="s">
        <v>988</v>
      </c>
      <c r="Q19" s="371">
        <v>9.1999999999999998E-3</v>
      </c>
      <c r="R19" s="358"/>
    </row>
    <row r="20" spans="2:18" ht="15.75">
      <c r="B20" t="s">
        <v>805</v>
      </c>
      <c r="C20" t="s">
        <v>806</v>
      </c>
      <c r="D20" t="s">
        <v>781</v>
      </c>
      <c r="E20" s="44">
        <v>4.2353685738490778E-2</v>
      </c>
      <c r="I20" s="367">
        <v>6.5</v>
      </c>
      <c r="J20" s="367">
        <v>8.4999990000000007</v>
      </c>
      <c r="K20" s="367" t="s">
        <v>989</v>
      </c>
      <c r="L20" s="371">
        <v>7.0000000000000001E-3</v>
      </c>
      <c r="M20" s="358"/>
      <c r="N20" s="362">
        <v>2.5</v>
      </c>
      <c r="O20" s="362">
        <v>2.9999899999999999</v>
      </c>
      <c r="P20" s="363" t="s">
        <v>989</v>
      </c>
      <c r="Q20" s="371">
        <v>7.0000000000000001E-3</v>
      </c>
      <c r="R20" s="358"/>
    </row>
    <row r="21" spans="2:18" ht="15.75">
      <c r="B21" t="s">
        <v>807</v>
      </c>
      <c r="C21" t="s">
        <v>793</v>
      </c>
      <c r="D21" t="s">
        <v>786</v>
      </c>
      <c r="E21" s="44">
        <v>6.1152971836515406E-2</v>
      </c>
      <c r="I21" s="368">
        <v>8.5</v>
      </c>
      <c r="J21" s="367">
        <v>100000</v>
      </c>
      <c r="K21" s="367" t="s">
        <v>990</v>
      </c>
      <c r="L21" s="371">
        <v>5.8999999999999999E-3</v>
      </c>
      <c r="M21" s="358"/>
      <c r="N21" s="362">
        <v>3</v>
      </c>
      <c r="O21" s="362">
        <v>100000</v>
      </c>
      <c r="P21" s="363" t="s">
        <v>990</v>
      </c>
      <c r="Q21" s="371">
        <v>5.8999999999999999E-3</v>
      </c>
      <c r="R21" s="358"/>
    </row>
    <row r="22" spans="2:18">
      <c r="B22" t="s">
        <v>808</v>
      </c>
      <c r="C22" t="s">
        <v>780</v>
      </c>
      <c r="D22" t="s">
        <v>809</v>
      </c>
      <c r="E22" s="44">
        <v>0.17499999999999999</v>
      </c>
      <c r="I22" s="369"/>
      <c r="J22" s="369"/>
      <c r="K22" s="369"/>
      <c r="L22" s="369"/>
      <c r="M22" s="358"/>
      <c r="N22" s="358"/>
      <c r="O22" s="358"/>
      <c r="P22" s="358"/>
      <c r="Q22" s="358"/>
      <c r="R22" s="358"/>
    </row>
    <row r="23" spans="2:18">
      <c r="B23" t="s">
        <v>810</v>
      </c>
      <c r="C23" t="s">
        <v>783</v>
      </c>
      <c r="D23" t="s">
        <v>811</v>
      </c>
      <c r="E23" s="44">
        <v>5.6397858294073887E-3</v>
      </c>
      <c r="I23" s="370" t="s">
        <v>991</v>
      </c>
      <c r="J23" s="369"/>
      <c r="K23" s="369"/>
      <c r="L23" s="369"/>
      <c r="M23" s="358"/>
      <c r="N23" s="358"/>
      <c r="O23" s="358"/>
      <c r="P23" s="358"/>
      <c r="Q23" s="358"/>
      <c r="R23" s="358"/>
    </row>
    <row r="24" spans="2:18">
      <c r="B24" t="s">
        <v>812</v>
      </c>
      <c r="C24" t="s">
        <v>788</v>
      </c>
      <c r="D24" t="s">
        <v>813</v>
      </c>
      <c r="E24" s="44">
        <v>8.4707371476981555E-2</v>
      </c>
      <c r="I24" s="553" t="s">
        <v>970</v>
      </c>
      <c r="J24" s="554"/>
      <c r="K24" s="367"/>
      <c r="L24" s="367"/>
      <c r="M24" s="358"/>
      <c r="N24" s="356"/>
      <c r="O24" s="356"/>
      <c r="P24" s="356"/>
      <c r="Q24" s="356"/>
      <c r="R24" s="356"/>
    </row>
    <row r="25" spans="2:18">
      <c r="B25" t="s">
        <v>814</v>
      </c>
      <c r="C25" t="s">
        <v>773</v>
      </c>
      <c r="D25" t="s">
        <v>781</v>
      </c>
      <c r="E25" s="44">
        <v>4.2353685738490778E-2</v>
      </c>
      <c r="I25" s="367" t="s">
        <v>975</v>
      </c>
      <c r="J25" s="367" t="s">
        <v>992</v>
      </c>
      <c r="K25" s="367" t="s">
        <v>973</v>
      </c>
      <c r="L25" s="367" t="s">
        <v>974</v>
      </c>
      <c r="M25" s="358"/>
      <c r="N25" s="356"/>
      <c r="O25" s="356"/>
      <c r="P25" s="356"/>
      <c r="Q25" s="356"/>
      <c r="R25" s="356"/>
    </row>
    <row r="26" spans="2:18" ht="15.75">
      <c r="B26" t="s">
        <v>815</v>
      </c>
      <c r="C26" t="s">
        <v>793</v>
      </c>
      <c r="D26" t="s">
        <v>816</v>
      </c>
      <c r="E26" s="44">
        <v>7.9620505826927847E-3</v>
      </c>
      <c r="I26" s="367">
        <v>-100000</v>
      </c>
      <c r="J26" s="367">
        <v>0.49999900000000003</v>
      </c>
      <c r="K26" s="367" t="s">
        <v>976</v>
      </c>
      <c r="L26" s="371">
        <v>0.2</v>
      </c>
      <c r="M26" s="358"/>
      <c r="N26" s="356"/>
      <c r="O26" s="356"/>
      <c r="P26" s="356"/>
      <c r="Q26" s="356"/>
      <c r="R26" s="356"/>
    </row>
    <row r="27" spans="2:18" ht="15.75">
      <c r="B27" t="s">
        <v>817</v>
      </c>
      <c r="C27" t="s">
        <v>788</v>
      </c>
      <c r="D27" t="s">
        <v>818</v>
      </c>
      <c r="E27" s="44">
        <v>9.410701452599389E-2</v>
      </c>
      <c r="I27" s="367">
        <v>0.5</v>
      </c>
      <c r="J27" s="367">
        <v>0.79999900000000002</v>
      </c>
      <c r="K27" s="367" t="s">
        <v>977</v>
      </c>
      <c r="L27" s="371">
        <v>0.17</v>
      </c>
      <c r="M27" s="358"/>
      <c r="N27" s="356"/>
      <c r="O27" s="356"/>
      <c r="P27" s="356"/>
      <c r="Q27" s="356"/>
      <c r="R27" s="356"/>
    </row>
    <row r="28" spans="2:18" ht="15.75">
      <c r="B28" t="s">
        <v>819</v>
      </c>
      <c r="C28" t="s">
        <v>780</v>
      </c>
      <c r="D28" t="s">
        <v>786</v>
      </c>
      <c r="E28" s="44">
        <v>6.1152971836515406E-2</v>
      </c>
      <c r="I28" s="367">
        <v>0.8</v>
      </c>
      <c r="J28" s="367">
        <v>1.2499990000000001</v>
      </c>
      <c r="K28" s="367" t="s">
        <v>978</v>
      </c>
      <c r="L28" s="371">
        <v>0.1178</v>
      </c>
      <c r="M28" s="358"/>
      <c r="N28" s="356"/>
      <c r="O28" s="356"/>
      <c r="P28" s="356"/>
      <c r="Q28" s="356"/>
      <c r="R28" s="356"/>
    </row>
    <row r="29" spans="2:18" ht="15.75">
      <c r="B29" t="s">
        <v>820</v>
      </c>
      <c r="C29" t="s">
        <v>773</v>
      </c>
      <c r="D29" t="s">
        <v>821</v>
      </c>
      <c r="E29" s="44">
        <v>1.1279571658814777E-2</v>
      </c>
      <c r="I29" s="367">
        <v>1.25</v>
      </c>
      <c r="J29" s="367">
        <v>1.4999990000000001</v>
      </c>
      <c r="K29" s="367" t="s">
        <v>979</v>
      </c>
      <c r="L29" s="371">
        <v>8.5099999999999995E-2</v>
      </c>
      <c r="M29" s="358"/>
      <c r="N29" s="356"/>
      <c r="O29" s="356"/>
      <c r="P29" s="356"/>
      <c r="Q29" s="356"/>
      <c r="R29" s="356"/>
    </row>
    <row r="30" spans="2:18" ht="15.75">
      <c r="B30" t="s">
        <v>822</v>
      </c>
      <c r="C30" t="s">
        <v>788</v>
      </c>
      <c r="D30" t="s">
        <v>823</v>
      </c>
      <c r="E30" s="44">
        <v>2.8309513182907677E-2</v>
      </c>
      <c r="I30" s="367">
        <v>1.5</v>
      </c>
      <c r="J30" s="367">
        <v>1.9999990000000001</v>
      </c>
      <c r="K30" s="367" t="s">
        <v>980</v>
      </c>
      <c r="L30" s="371">
        <v>5.2400000000000002E-2</v>
      </c>
      <c r="M30" s="358"/>
      <c r="N30" s="356"/>
      <c r="O30" s="356"/>
      <c r="P30" s="356"/>
      <c r="Q30" s="356"/>
      <c r="R30" s="356"/>
    </row>
    <row r="31" spans="2:18" ht="15.75">
      <c r="B31" t="s">
        <v>824</v>
      </c>
      <c r="C31" t="s">
        <v>780</v>
      </c>
      <c r="D31" t="s">
        <v>784</v>
      </c>
      <c r="E31" s="44">
        <v>1.5039428878419702E-2</v>
      </c>
      <c r="I31" s="367">
        <v>2</v>
      </c>
      <c r="J31" s="367">
        <v>2.4999989999999999</v>
      </c>
      <c r="K31" s="367" t="s">
        <v>981</v>
      </c>
      <c r="L31" s="371">
        <v>3.61E-2</v>
      </c>
      <c r="M31" s="358"/>
      <c r="N31" s="356"/>
      <c r="O31" s="356"/>
      <c r="P31" s="356"/>
      <c r="Q31" s="356"/>
      <c r="R31" s="356"/>
    </row>
    <row r="32" spans="2:18" ht="15.75">
      <c r="B32" t="s">
        <v>825</v>
      </c>
      <c r="C32" t="s">
        <v>773</v>
      </c>
      <c r="D32" t="s">
        <v>826</v>
      </c>
      <c r="E32" s="44">
        <v>7.055261488552772E-2</v>
      </c>
      <c r="I32" s="367">
        <v>2.5</v>
      </c>
      <c r="J32" s="367">
        <v>2.9999989999999999</v>
      </c>
      <c r="K32" s="367" t="s">
        <v>982</v>
      </c>
      <c r="L32" s="371">
        <v>3.1399999999999997E-2</v>
      </c>
      <c r="M32" s="358"/>
      <c r="N32" s="356"/>
      <c r="O32" s="356"/>
      <c r="P32" s="356"/>
      <c r="Q32" s="356"/>
      <c r="R32" s="356"/>
    </row>
    <row r="33" spans="2:18" ht="15.75">
      <c r="B33" t="s">
        <v>827</v>
      </c>
      <c r="C33" t="s">
        <v>806</v>
      </c>
      <c r="D33" t="s">
        <v>804</v>
      </c>
      <c r="E33" s="44">
        <v>5.1753328787503099E-2</v>
      </c>
      <c r="I33" s="367">
        <v>3</v>
      </c>
      <c r="J33" s="367">
        <v>3.4999989999999999</v>
      </c>
      <c r="K33" s="367" t="s">
        <v>983</v>
      </c>
      <c r="L33" s="371">
        <v>2.2100000000000002E-2</v>
      </c>
      <c r="M33" s="358"/>
      <c r="N33" s="356"/>
      <c r="O33" s="356"/>
      <c r="P33" s="356"/>
      <c r="Q33" s="356"/>
      <c r="R33" s="356"/>
    </row>
    <row r="34" spans="2:18" ht="15.75">
      <c r="B34" t="s">
        <v>828</v>
      </c>
      <c r="C34" t="s">
        <v>773</v>
      </c>
      <c r="D34" t="s">
        <v>826</v>
      </c>
      <c r="E34" s="44">
        <v>7.055261488552772E-2</v>
      </c>
      <c r="I34" s="367">
        <v>3.5</v>
      </c>
      <c r="J34" s="367">
        <v>3.9999999000000002</v>
      </c>
      <c r="K34" s="367" t="s">
        <v>984</v>
      </c>
      <c r="L34" s="371">
        <v>1.7399999999999999E-2</v>
      </c>
      <c r="M34" s="358"/>
      <c r="N34" s="356"/>
      <c r="O34" s="356"/>
      <c r="P34" s="356"/>
      <c r="Q34" s="356"/>
      <c r="R34" s="356"/>
    </row>
    <row r="35" spans="2:18" ht="15.75">
      <c r="B35" t="s">
        <v>829</v>
      </c>
      <c r="C35" t="s">
        <v>830</v>
      </c>
      <c r="D35" t="s">
        <v>797</v>
      </c>
      <c r="E35" s="44">
        <v>0</v>
      </c>
      <c r="I35" s="367">
        <v>4</v>
      </c>
      <c r="J35" s="367">
        <v>4.4999989999999999</v>
      </c>
      <c r="K35" s="367" t="s">
        <v>985</v>
      </c>
      <c r="L35" s="371">
        <v>1.47E-2</v>
      </c>
      <c r="M35" s="358"/>
      <c r="N35" s="356"/>
      <c r="O35" s="356"/>
      <c r="P35" s="356"/>
      <c r="Q35" s="356"/>
      <c r="R35" s="356"/>
    </row>
    <row r="36" spans="2:18" ht="15.75">
      <c r="B36" t="s">
        <v>831</v>
      </c>
      <c r="C36" t="s">
        <v>773</v>
      </c>
      <c r="D36" t="s">
        <v>786</v>
      </c>
      <c r="E36" s="44">
        <v>6.1152971836515406E-2</v>
      </c>
      <c r="I36" s="367">
        <v>4.5</v>
      </c>
      <c r="J36" s="367">
        <v>5.9999989999999999</v>
      </c>
      <c r="K36" s="367" t="s">
        <v>986</v>
      </c>
      <c r="L36" s="371">
        <v>1.21E-2</v>
      </c>
      <c r="M36" s="358"/>
      <c r="N36" s="356"/>
      <c r="O36" s="356"/>
      <c r="P36" s="356"/>
      <c r="Q36" s="356"/>
      <c r="R36" s="356"/>
    </row>
    <row r="37" spans="2:18" ht="15.75">
      <c r="B37" t="s">
        <v>832</v>
      </c>
      <c r="C37" t="s">
        <v>793</v>
      </c>
      <c r="D37" t="s">
        <v>811</v>
      </c>
      <c r="E37" s="44">
        <v>5.6397858294073887E-3</v>
      </c>
      <c r="I37" s="367">
        <v>6</v>
      </c>
      <c r="J37" s="367">
        <v>7.4999989999999999</v>
      </c>
      <c r="K37" s="367" t="s">
        <v>987</v>
      </c>
      <c r="L37" s="371">
        <v>1.0699999999999999E-2</v>
      </c>
      <c r="M37" s="358"/>
      <c r="N37" s="356"/>
      <c r="O37" s="356"/>
      <c r="P37" s="356"/>
      <c r="Q37" s="356"/>
      <c r="R37" s="356"/>
    </row>
    <row r="38" spans="2:18" ht="15.75">
      <c r="B38" t="s">
        <v>833</v>
      </c>
      <c r="C38" t="s">
        <v>788</v>
      </c>
      <c r="D38" t="s">
        <v>816</v>
      </c>
      <c r="E38" s="44">
        <v>7.9620505826927847E-3</v>
      </c>
      <c r="I38" s="367">
        <v>7.5</v>
      </c>
      <c r="J38" s="367">
        <v>9.4999990000000007</v>
      </c>
      <c r="K38" s="367" t="s">
        <v>988</v>
      </c>
      <c r="L38" s="371">
        <v>9.1999999999999998E-3</v>
      </c>
      <c r="M38" s="358"/>
      <c r="N38" s="356"/>
      <c r="O38" s="356"/>
      <c r="P38" s="356"/>
      <c r="Q38" s="356"/>
      <c r="R38" s="356"/>
    </row>
    <row r="39" spans="2:18" ht="15.75">
      <c r="B39" t="s">
        <v>834</v>
      </c>
      <c r="C39" t="s">
        <v>806</v>
      </c>
      <c r="D39" t="s">
        <v>835</v>
      </c>
      <c r="E39" s="44">
        <v>6.6350421522439872E-3</v>
      </c>
      <c r="I39" s="367">
        <v>9.5</v>
      </c>
      <c r="J39" s="367">
        <v>12.499999000000001</v>
      </c>
      <c r="K39" s="367" t="s">
        <v>989</v>
      </c>
      <c r="L39" s="371">
        <v>7.0000000000000001E-3</v>
      </c>
      <c r="M39" s="356"/>
      <c r="N39" s="356"/>
      <c r="O39" s="356"/>
      <c r="P39" s="356"/>
      <c r="Q39" s="356"/>
      <c r="R39" s="356"/>
    </row>
    <row r="40" spans="2:18" ht="15.75">
      <c r="B40" t="s">
        <v>836</v>
      </c>
      <c r="C40" t="s">
        <v>788</v>
      </c>
      <c r="D40" t="s">
        <v>837</v>
      </c>
      <c r="E40" s="44">
        <v>1.7914613811058765E-2</v>
      </c>
      <c r="I40" s="367">
        <v>12.5</v>
      </c>
      <c r="J40" s="367">
        <v>100000</v>
      </c>
      <c r="K40" s="367" t="s">
        <v>990</v>
      </c>
      <c r="L40" s="371">
        <v>5.8999999999999999E-3</v>
      </c>
      <c r="M40" s="356"/>
      <c r="N40" s="357"/>
      <c r="O40" s="357"/>
      <c r="P40" s="358"/>
      <c r="Q40" s="358"/>
      <c r="R40" s="356"/>
    </row>
    <row r="41" spans="2:18">
      <c r="B41" t="s">
        <v>838</v>
      </c>
      <c r="C41" t="s">
        <v>773</v>
      </c>
      <c r="D41" t="s">
        <v>786</v>
      </c>
      <c r="E41" s="44">
        <v>6.1152971836515406E-2</v>
      </c>
    </row>
    <row r="42" spans="2:18">
      <c r="B42" t="s">
        <v>839</v>
      </c>
      <c r="C42" t="s">
        <v>773</v>
      </c>
      <c r="D42" t="s">
        <v>813</v>
      </c>
      <c r="E42" s="44">
        <v>8.4707371476981555E-2</v>
      </c>
    </row>
    <row r="43" spans="2:18">
      <c r="B43" t="s">
        <v>840</v>
      </c>
      <c r="C43" t="s">
        <v>796</v>
      </c>
      <c r="D43" t="s">
        <v>781</v>
      </c>
      <c r="E43" s="44">
        <v>4.2353685738490778E-2</v>
      </c>
    </row>
    <row r="44" spans="2:18">
      <c r="B44" t="s">
        <v>841</v>
      </c>
      <c r="C44" t="s">
        <v>788</v>
      </c>
      <c r="D44" t="s">
        <v>781</v>
      </c>
      <c r="E44" s="44">
        <v>4.2353685738490778E-2</v>
      </c>
    </row>
    <row r="45" spans="2:18">
      <c r="B45" t="s">
        <v>842</v>
      </c>
      <c r="C45" t="s">
        <v>773</v>
      </c>
      <c r="D45" t="s">
        <v>823</v>
      </c>
      <c r="E45" s="44">
        <v>2.8309513182907677E-2</v>
      </c>
    </row>
    <row r="46" spans="2:18">
      <c r="B46" t="s">
        <v>843</v>
      </c>
      <c r="C46" t="s">
        <v>780</v>
      </c>
      <c r="D46" t="s">
        <v>837</v>
      </c>
      <c r="E46" s="44">
        <v>1.7914613811058765E-2</v>
      </c>
    </row>
    <row r="47" spans="2:18">
      <c r="B47" t="s">
        <v>844</v>
      </c>
      <c r="C47" t="s">
        <v>793</v>
      </c>
      <c r="D47" t="s">
        <v>789</v>
      </c>
      <c r="E47" s="44">
        <v>0.11290630062401852</v>
      </c>
    </row>
    <row r="48" spans="2:18">
      <c r="B48" t="s">
        <v>845</v>
      </c>
      <c r="C48" t="s">
        <v>793</v>
      </c>
      <c r="D48" t="s">
        <v>794</v>
      </c>
      <c r="E48" s="44">
        <v>2.0679214707827093E-2</v>
      </c>
    </row>
    <row r="49" spans="2:5">
      <c r="B49" t="s">
        <v>846</v>
      </c>
      <c r="C49" t="s">
        <v>783</v>
      </c>
      <c r="D49" t="s">
        <v>837</v>
      </c>
      <c r="E49" s="44">
        <v>1.7914613811058765E-2</v>
      </c>
    </row>
    <row r="50" spans="2:5">
      <c r="B50" t="s">
        <v>847</v>
      </c>
      <c r="C50" t="s">
        <v>780</v>
      </c>
      <c r="D50" t="s">
        <v>811</v>
      </c>
      <c r="E50" s="44">
        <v>5.6397858294073887E-3</v>
      </c>
    </row>
    <row r="51" spans="2:5">
      <c r="B51" t="s">
        <v>848</v>
      </c>
      <c r="C51" t="s">
        <v>783</v>
      </c>
      <c r="D51" t="s">
        <v>797</v>
      </c>
      <c r="E51" s="44">
        <v>0</v>
      </c>
    </row>
    <row r="52" spans="2:5">
      <c r="B52" t="s">
        <v>849</v>
      </c>
      <c r="C52" t="s">
        <v>793</v>
      </c>
      <c r="D52" t="s">
        <v>791</v>
      </c>
      <c r="E52" s="44">
        <v>3.3838714976444327E-2</v>
      </c>
    </row>
    <row r="53" spans="2:5">
      <c r="B53" t="s">
        <v>850</v>
      </c>
      <c r="C53" t="s">
        <v>788</v>
      </c>
      <c r="D53" t="s">
        <v>818</v>
      </c>
      <c r="E53" s="44">
        <v>9.410701452599389E-2</v>
      </c>
    </row>
    <row r="54" spans="2:5">
      <c r="B54" t="s">
        <v>851</v>
      </c>
      <c r="C54" t="s">
        <v>773</v>
      </c>
      <c r="D54" t="s">
        <v>826</v>
      </c>
      <c r="E54" s="44">
        <v>7.055261488552772E-2</v>
      </c>
    </row>
    <row r="55" spans="2:5">
      <c r="B55" t="s">
        <v>852</v>
      </c>
      <c r="C55" t="s">
        <v>788</v>
      </c>
      <c r="D55" t="s">
        <v>826</v>
      </c>
      <c r="E55" s="44">
        <v>7.055261488552772E-2</v>
      </c>
    </row>
    <row r="56" spans="2:5">
      <c r="B56" t="s">
        <v>853</v>
      </c>
      <c r="C56" t="s">
        <v>780</v>
      </c>
      <c r="D56" t="s">
        <v>835</v>
      </c>
      <c r="E56" s="44">
        <v>6.6350421522439872E-3</v>
      </c>
    </row>
    <row r="57" spans="2:5">
      <c r="B57" t="s">
        <v>854</v>
      </c>
      <c r="C57" t="s">
        <v>773</v>
      </c>
      <c r="D57" t="s">
        <v>813</v>
      </c>
      <c r="E57" s="44">
        <v>8.4707371476981555E-2</v>
      </c>
    </row>
    <row r="58" spans="2:5">
      <c r="B58" t="s">
        <v>855</v>
      </c>
      <c r="C58" t="s">
        <v>806</v>
      </c>
      <c r="D58" t="s">
        <v>781</v>
      </c>
      <c r="E58" s="44">
        <v>4.2353685738490778E-2</v>
      </c>
    </row>
    <row r="59" spans="2:5">
      <c r="B59" t="s">
        <v>856</v>
      </c>
      <c r="C59" t="s">
        <v>783</v>
      </c>
      <c r="D59" t="s">
        <v>799</v>
      </c>
      <c r="E59" s="44">
        <v>3.7598572196049255E-3</v>
      </c>
    </row>
    <row r="60" spans="2:5">
      <c r="B60" t="s">
        <v>857</v>
      </c>
      <c r="C60" t="s">
        <v>783</v>
      </c>
      <c r="D60" t="s">
        <v>778</v>
      </c>
      <c r="E60" s="44">
        <v>4.6445295065707902E-3</v>
      </c>
    </row>
    <row r="61" spans="2:5">
      <c r="B61" t="s">
        <v>858</v>
      </c>
      <c r="C61" t="s">
        <v>773</v>
      </c>
      <c r="D61" t="s">
        <v>813</v>
      </c>
      <c r="E61" s="44">
        <v>8.4707371476981555E-2</v>
      </c>
    </row>
    <row r="62" spans="2:5">
      <c r="B62" t="s">
        <v>859</v>
      </c>
      <c r="C62" t="s">
        <v>780</v>
      </c>
      <c r="D62" t="s">
        <v>823</v>
      </c>
      <c r="E62" s="44">
        <v>2.8309513182907677E-2</v>
      </c>
    </row>
    <row r="63" spans="2:5">
      <c r="B63" t="s">
        <v>860</v>
      </c>
      <c r="C63" t="s">
        <v>783</v>
      </c>
      <c r="D63" t="s">
        <v>797</v>
      </c>
      <c r="E63" s="44">
        <v>0</v>
      </c>
    </row>
    <row r="64" spans="2:5">
      <c r="B64" t="s">
        <v>861</v>
      </c>
      <c r="C64" t="s">
        <v>773</v>
      </c>
      <c r="D64" t="s">
        <v>818</v>
      </c>
      <c r="E64" s="44">
        <v>9.410701452599389E-2</v>
      </c>
    </row>
    <row r="65" spans="2:5">
      <c r="B65" t="s">
        <v>862</v>
      </c>
      <c r="C65" t="s">
        <v>783</v>
      </c>
      <c r="D65" t="s">
        <v>801</v>
      </c>
      <c r="E65" s="44">
        <v>2.3554399640466156E-2</v>
      </c>
    </row>
    <row r="66" spans="2:5">
      <c r="B66" t="s">
        <v>863</v>
      </c>
      <c r="C66" t="s">
        <v>788</v>
      </c>
      <c r="D66" t="s">
        <v>801</v>
      </c>
      <c r="E66" s="44">
        <v>2.3554399640466156E-2</v>
      </c>
    </row>
    <row r="67" spans="2:5">
      <c r="B67" t="s">
        <v>864</v>
      </c>
      <c r="C67" t="s">
        <v>783</v>
      </c>
      <c r="D67" t="s">
        <v>835</v>
      </c>
      <c r="E67" s="44">
        <v>6.6350421522439872E-3</v>
      </c>
    </row>
    <row r="68" spans="2:5">
      <c r="B68" t="s">
        <v>865</v>
      </c>
      <c r="C68" t="s">
        <v>788</v>
      </c>
      <c r="D68" t="s">
        <v>781</v>
      </c>
      <c r="E68" s="44">
        <v>4.2353685738490778E-2</v>
      </c>
    </row>
    <row r="69" spans="2:5">
      <c r="B69" t="s">
        <v>866</v>
      </c>
      <c r="C69" t="s">
        <v>806</v>
      </c>
      <c r="D69" t="s">
        <v>811</v>
      </c>
      <c r="E69" s="44">
        <v>5.6397858294073887E-3</v>
      </c>
    </row>
    <row r="70" spans="2:5">
      <c r="B70" t="s">
        <v>867</v>
      </c>
      <c r="C70" t="s">
        <v>780</v>
      </c>
      <c r="D70" t="s">
        <v>837</v>
      </c>
      <c r="E70" s="44">
        <v>1.7914613811058765E-2</v>
      </c>
    </row>
    <row r="71" spans="2:5">
      <c r="B71" t="s">
        <v>868</v>
      </c>
      <c r="C71" t="s">
        <v>783</v>
      </c>
      <c r="D71" t="s">
        <v>816</v>
      </c>
      <c r="E71" s="44">
        <v>7.9620505826927847E-3</v>
      </c>
    </row>
    <row r="72" spans="2:5">
      <c r="B72" t="s">
        <v>870</v>
      </c>
      <c r="C72" t="s">
        <v>806</v>
      </c>
      <c r="D72" t="s">
        <v>837</v>
      </c>
      <c r="E72" s="44">
        <v>1.7914613811058765E-2</v>
      </c>
    </row>
    <row r="73" spans="2:5">
      <c r="B73" t="s">
        <v>871</v>
      </c>
      <c r="C73" t="s">
        <v>777</v>
      </c>
      <c r="D73" t="s">
        <v>826</v>
      </c>
      <c r="E73" s="44">
        <v>7.055261488552772E-2</v>
      </c>
    </row>
    <row r="74" spans="2:5">
      <c r="B74" t="s">
        <v>872</v>
      </c>
      <c r="C74" t="s">
        <v>783</v>
      </c>
      <c r="D74" t="s">
        <v>811</v>
      </c>
      <c r="E74" s="44">
        <v>5.6397858294073887E-3</v>
      </c>
    </row>
    <row r="75" spans="2:5">
      <c r="B75" t="s">
        <v>873</v>
      </c>
      <c r="C75" t="s">
        <v>783</v>
      </c>
      <c r="D75" t="s">
        <v>811</v>
      </c>
      <c r="E75" s="44">
        <v>5.6397858294073887E-3</v>
      </c>
    </row>
    <row r="76" spans="2:5">
      <c r="B76" t="s">
        <v>874</v>
      </c>
      <c r="C76" t="s">
        <v>777</v>
      </c>
      <c r="D76" t="s">
        <v>816</v>
      </c>
      <c r="E76" s="44">
        <v>7.9620505826927847E-3</v>
      </c>
    </row>
    <row r="77" spans="2:5">
      <c r="B77" t="s">
        <v>875</v>
      </c>
      <c r="C77" t="s">
        <v>783</v>
      </c>
      <c r="D77" t="s">
        <v>794</v>
      </c>
      <c r="E77" s="44">
        <v>2.0679214707827093E-2</v>
      </c>
    </row>
    <row r="78" spans="2:5">
      <c r="B78" t="s">
        <v>876</v>
      </c>
      <c r="C78" t="s">
        <v>793</v>
      </c>
      <c r="D78" t="s">
        <v>781</v>
      </c>
      <c r="E78" s="44">
        <v>4.2353685738490778E-2</v>
      </c>
    </row>
    <row r="79" spans="2:5">
      <c r="B79" t="s">
        <v>877</v>
      </c>
      <c r="C79" t="s">
        <v>806</v>
      </c>
      <c r="D79" t="s">
        <v>835</v>
      </c>
      <c r="E79" s="44">
        <v>6.6350421522439872E-3</v>
      </c>
    </row>
    <row r="80" spans="2:5">
      <c r="B80" t="s">
        <v>878</v>
      </c>
      <c r="C80" t="s">
        <v>783</v>
      </c>
      <c r="D80" t="s">
        <v>811</v>
      </c>
      <c r="E80" s="44">
        <v>5.6397858294073887E-3</v>
      </c>
    </row>
    <row r="81" spans="2:5">
      <c r="B81" t="s">
        <v>879</v>
      </c>
      <c r="C81" t="s">
        <v>777</v>
      </c>
      <c r="D81" t="s">
        <v>791</v>
      </c>
      <c r="E81" s="44">
        <v>3.3838714976444327E-2</v>
      </c>
    </row>
    <row r="82" spans="2:5">
      <c r="B82" t="s">
        <v>880</v>
      </c>
      <c r="C82" t="s">
        <v>780</v>
      </c>
      <c r="D82" t="s">
        <v>837</v>
      </c>
      <c r="E82" s="44">
        <v>1.7914613811058765E-2</v>
      </c>
    </row>
    <row r="83" spans="2:5">
      <c r="B83" t="s">
        <v>881</v>
      </c>
      <c r="C83" t="s">
        <v>773</v>
      </c>
      <c r="D83" t="s">
        <v>786</v>
      </c>
      <c r="E83" s="44">
        <v>6.1152971836515406E-2</v>
      </c>
    </row>
    <row r="84" spans="2:5">
      <c r="B84" t="s">
        <v>882</v>
      </c>
      <c r="C84" t="s">
        <v>806</v>
      </c>
      <c r="D84" t="s">
        <v>778</v>
      </c>
      <c r="E84" s="44">
        <v>4.6445295065707902E-3</v>
      </c>
    </row>
    <row r="85" spans="2:5">
      <c r="B85" t="s">
        <v>883</v>
      </c>
      <c r="C85" t="s">
        <v>777</v>
      </c>
      <c r="D85" t="s">
        <v>835</v>
      </c>
      <c r="E85" s="44">
        <v>6.6350421522439872E-3</v>
      </c>
    </row>
    <row r="86" spans="2:5">
      <c r="B86" t="s">
        <v>884</v>
      </c>
      <c r="C86" t="s">
        <v>780</v>
      </c>
      <c r="D86" t="s">
        <v>786</v>
      </c>
      <c r="E86" s="44">
        <v>6.1152971836515406E-2</v>
      </c>
    </row>
    <row r="87" spans="2:5">
      <c r="B87" t="s">
        <v>885</v>
      </c>
      <c r="C87" t="s">
        <v>806</v>
      </c>
      <c r="D87" t="s">
        <v>818</v>
      </c>
      <c r="E87" s="44">
        <v>9.410701452599389E-2</v>
      </c>
    </row>
    <row r="88" spans="2:5">
      <c r="B88" t="s">
        <v>886</v>
      </c>
      <c r="C88" t="s">
        <v>780</v>
      </c>
      <c r="D88" t="s">
        <v>821</v>
      </c>
      <c r="E88" s="44">
        <v>1.1279571658814777E-2</v>
      </c>
    </row>
    <row r="89" spans="2:5">
      <c r="B89" t="s">
        <v>887</v>
      </c>
      <c r="C89" t="s">
        <v>777</v>
      </c>
      <c r="D89" t="s">
        <v>809</v>
      </c>
      <c r="E89" s="44">
        <v>0.17499999999999999</v>
      </c>
    </row>
    <row r="90" spans="2:5">
      <c r="B90" t="s">
        <v>888</v>
      </c>
      <c r="C90" t="s">
        <v>783</v>
      </c>
      <c r="D90" t="s">
        <v>797</v>
      </c>
      <c r="E90" s="44">
        <v>0</v>
      </c>
    </row>
    <row r="91" spans="2:5">
      <c r="B91" t="s">
        <v>889</v>
      </c>
      <c r="C91" t="s">
        <v>780</v>
      </c>
      <c r="D91" t="s">
        <v>816</v>
      </c>
      <c r="E91" s="44">
        <v>7.9620505826927847E-3</v>
      </c>
    </row>
    <row r="92" spans="2:5">
      <c r="B92" t="s">
        <v>890</v>
      </c>
      <c r="C92" t="s">
        <v>783</v>
      </c>
      <c r="D92" t="s">
        <v>797</v>
      </c>
      <c r="E92" s="44">
        <v>0</v>
      </c>
    </row>
    <row r="93" spans="2:5">
      <c r="B93" t="s">
        <v>891</v>
      </c>
      <c r="C93" t="s">
        <v>806</v>
      </c>
      <c r="D93" t="s">
        <v>811</v>
      </c>
      <c r="E93" s="44">
        <v>5.6397858294073887E-3</v>
      </c>
    </row>
    <row r="94" spans="2:5">
      <c r="B94" t="s">
        <v>892</v>
      </c>
      <c r="C94" t="s">
        <v>780</v>
      </c>
      <c r="D94" t="s">
        <v>791</v>
      </c>
      <c r="E94" s="44">
        <v>3.3838714976444327E-2</v>
      </c>
    </row>
    <row r="95" spans="2:5">
      <c r="B95" t="s">
        <v>893</v>
      </c>
      <c r="C95" t="s">
        <v>806</v>
      </c>
      <c r="D95" t="s">
        <v>821</v>
      </c>
      <c r="E95" s="44">
        <v>1.1279571658814777E-2</v>
      </c>
    </row>
    <row r="96" spans="2:5">
      <c r="B96" t="s">
        <v>894</v>
      </c>
      <c r="C96" t="s">
        <v>806</v>
      </c>
      <c r="D96" t="s">
        <v>826</v>
      </c>
      <c r="E96" s="44">
        <v>7.055261488552772E-2</v>
      </c>
    </row>
    <row r="97" spans="2:5">
      <c r="B97" t="s">
        <v>895</v>
      </c>
      <c r="C97" t="s">
        <v>773</v>
      </c>
      <c r="D97" t="s">
        <v>813</v>
      </c>
      <c r="E97" s="44">
        <v>8.4707371476981555E-2</v>
      </c>
    </row>
    <row r="98" spans="2:5">
      <c r="B98" t="s">
        <v>896</v>
      </c>
      <c r="C98" t="s">
        <v>783</v>
      </c>
      <c r="D98" t="s">
        <v>816</v>
      </c>
      <c r="E98" s="44">
        <v>7.9620505826927847E-3</v>
      </c>
    </row>
    <row r="99" spans="2:5">
      <c r="B99" t="s">
        <v>897</v>
      </c>
      <c r="C99" t="s">
        <v>773</v>
      </c>
      <c r="D99" t="s">
        <v>794</v>
      </c>
      <c r="E99" s="44">
        <v>2.0679214707827093E-2</v>
      </c>
    </row>
    <row r="100" spans="2:5">
      <c r="B100" t="s">
        <v>898</v>
      </c>
      <c r="C100" t="s">
        <v>788</v>
      </c>
      <c r="D100" t="s">
        <v>837</v>
      </c>
      <c r="E100" s="44">
        <v>1.7914613811058765E-2</v>
      </c>
    </row>
    <row r="101" spans="2:5">
      <c r="B101" t="s">
        <v>899</v>
      </c>
      <c r="C101" t="s">
        <v>780</v>
      </c>
      <c r="D101" t="s">
        <v>786</v>
      </c>
      <c r="E101" s="44">
        <v>6.1152971836515406E-2</v>
      </c>
    </row>
    <row r="102" spans="2:5">
      <c r="B102" t="s">
        <v>900</v>
      </c>
      <c r="C102" t="s">
        <v>806</v>
      </c>
      <c r="D102" t="s">
        <v>786</v>
      </c>
      <c r="E102" s="44">
        <v>6.1152971836515406E-2</v>
      </c>
    </row>
    <row r="103" spans="2:5">
      <c r="B103" t="s">
        <v>901</v>
      </c>
      <c r="C103" t="s">
        <v>780</v>
      </c>
      <c r="D103" t="s">
        <v>781</v>
      </c>
      <c r="E103" s="44">
        <v>4.2353685738490778E-2</v>
      </c>
    </row>
    <row r="104" spans="2:5">
      <c r="B104" t="s">
        <v>902</v>
      </c>
      <c r="C104" t="s">
        <v>793</v>
      </c>
      <c r="D104" t="s">
        <v>794</v>
      </c>
      <c r="E104" s="44">
        <v>2.0679214707827093E-2</v>
      </c>
    </row>
    <row r="105" spans="2:5">
      <c r="B105" t="s">
        <v>903</v>
      </c>
      <c r="C105" t="s">
        <v>773</v>
      </c>
      <c r="D105" t="s">
        <v>801</v>
      </c>
      <c r="E105" s="44">
        <v>2.3554399640466156E-2</v>
      </c>
    </row>
    <row r="106" spans="2:5">
      <c r="B106" t="s">
        <v>904</v>
      </c>
      <c r="C106" t="s">
        <v>773</v>
      </c>
      <c r="D106" t="s">
        <v>813</v>
      </c>
      <c r="E106" s="44">
        <v>8.4707371476981555E-2</v>
      </c>
    </row>
    <row r="107" spans="2:5">
      <c r="B107" t="s">
        <v>905</v>
      </c>
      <c r="C107" t="s">
        <v>773</v>
      </c>
      <c r="D107" t="s">
        <v>781</v>
      </c>
      <c r="E107" s="44">
        <v>4.2353685738490778E-2</v>
      </c>
    </row>
    <row r="108" spans="2:5">
      <c r="B108" t="s">
        <v>906</v>
      </c>
      <c r="C108" t="s">
        <v>783</v>
      </c>
      <c r="D108" t="s">
        <v>797</v>
      </c>
      <c r="E108" s="44">
        <v>0</v>
      </c>
    </row>
    <row r="109" spans="2:5">
      <c r="B109" t="s">
        <v>907</v>
      </c>
      <c r="C109" t="s">
        <v>796</v>
      </c>
      <c r="D109" t="s">
        <v>797</v>
      </c>
      <c r="E109" s="44">
        <v>0</v>
      </c>
    </row>
    <row r="110" spans="2:5">
      <c r="B110" t="s">
        <v>908</v>
      </c>
      <c r="C110" t="s">
        <v>788</v>
      </c>
      <c r="D110" t="s">
        <v>804</v>
      </c>
      <c r="E110" s="44">
        <v>5.1753328787503099E-2</v>
      </c>
    </row>
    <row r="111" spans="2:5">
      <c r="B111" t="s">
        <v>909</v>
      </c>
      <c r="C111" t="s">
        <v>773</v>
      </c>
      <c r="D111" t="s">
        <v>818</v>
      </c>
      <c r="E111" s="44">
        <v>9.410701452599389E-2</v>
      </c>
    </row>
    <row r="112" spans="2:5">
      <c r="B112" t="s">
        <v>910</v>
      </c>
      <c r="C112" t="s">
        <v>773</v>
      </c>
      <c r="D112" t="s">
        <v>826</v>
      </c>
      <c r="E112" s="44">
        <v>7.055261488552772E-2</v>
      </c>
    </row>
    <row r="113" spans="2:5">
      <c r="B113" t="s">
        <v>911</v>
      </c>
      <c r="C113" t="s">
        <v>783</v>
      </c>
      <c r="D113" t="s">
        <v>797</v>
      </c>
      <c r="E113" s="44">
        <v>0</v>
      </c>
    </row>
    <row r="114" spans="2:5">
      <c r="B114" t="s">
        <v>912</v>
      </c>
      <c r="C114" t="s">
        <v>777</v>
      </c>
      <c r="D114" t="s">
        <v>801</v>
      </c>
      <c r="E114" s="44">
        <v>2.3554399640466156E-2</v>
      </c>
    </row>
    <row r="115" spans="2:5">
      <c r="B115" t="s">
        <v>913</v>
      </c>
      <c r="C115" t="s">
        <v>806</v>
      </c>
      <c r="D115" t="s">
        <v>818</v>
      </c>
      <c r="E115" s="44">
        <v>9.410701452599389E-2</v>
      </c>
    </row>
    <row r="116" spans="2:5">
      <c r="B116" t="s">
        <v>914</v>
      </c>
      <c r="C116" t="s">
        <v>788</v>
      </c>
      <c r="D116" t="s">
        <v>794</v>
      </c>
      <c r="E116" s="44">
        <v>2.0679214707827093E-2</v>
      </c>
    </row>
    <row r="117" spans="2:5">
      <c r="B117" t="s">
        <v>915</v>
      </c>
      <c r="C117" t="s">
        <v>806</v>
      </c>
      <c r="D117" t="s">
        <v>804</v>
      </c>
      <c r="E117" s="44">
        <v>5.1753328787503099E-2</v>
      </c>
    </row>
    <row r="118" spans="2:5">
      <c r="B118" t="s">
        <v>916</v>
      </c>
      <c r="C118" t="s">
        <v>788</v>
      </c>
      <c r="D118" t="s">
        <v>801</v>
      </c>
      <c r="E118" s="44">
        <v>2.3554399640466156E-2</v>
      </c>
    </row>
    <row r="119" spans="2:5">
      <c r="B119" t="s">
        <v>917</v>
      </c>
      <c r="C119" t="s">
        <v>788</v>
      </c>
      <c r="D119" t="s">
        <v>784</v>
      </c>
      <c r="E119" s="44">
        <v>1.5039428878419702E-2</v>
      </c>
    </row>
    <row r="120" spans="2:5">
      <c r="B120" t="s">
        <v>918</v>
      </c>
      <c r="C120" t="s">
        <v>806</v>
      </c>
      <c r="D120" t="s">
        <v>837</v>
      </c>
      <c r="E120" s="44">
        <v>1.7914613811058765E-2</v>
      </c>
    </row>
    <row r="121" spans="2:5">
      <c r="B121" t="s">
        <v>919</v>
      </c>
      <c r="C121" t="s">
        <v>780</v>
      </c>
      <c r="D121" t="s">
        <v>816</v>
      </c>
      <c r="E121" s="44">
        <v>7.9620505826927847E-3</v>
      </c>
    </row>
    <row r="122" spans="2:5">
      <c r="B122" t="s">
        <v>920</v>
      </c>
      <c r="C122" t="s">
        <v>783</v>
      </c>
      <c r="D122" t="s">
        <v>821</v>
      </c>
      <c r="E122" s="44">
        <v>1.1279571658814777E-2</v>
      </c>
    </row>
    <row r="123" spans="2:5">
      <c r="B123" t="s">
        <v>921</v>
      </c>
      <c r="C123" t="s">
        <v>777</v>
      </c>
      <c r="D123" t="s">
        <v>778</v>
      </c>
      <c r="E123" s="44">
        <v>4.6445295065707902E-3</v>
      </c>
    </row>
    <row r="124" spans="2:5">
      <c r="B124" t="s">
        <v>922</v>
      </c>
      <c r="C124" t="s">
        <v>777</v>
      </c>
      <c r="D124" t="s">
        <v>821</v>
      </c>
      <c r="E124" s="44">
        <v>1.1279571658814777E-2</v>
      </c>
    </row>
    <row r="125" spans="2:5">
      <c r="B125" t="s">
        <v>923</v>
      </c>
      <c r="C125" t="s">
        <v>780</v>
      </c>
      <c r="D125" t="s">
        <v>794</v>
      </c>
      <c r="E125" s="44">
        <v>2.0679214707827093E-2</v>
      </c>
    </row>
    <row r="126" spans="2:5">
      <c r="B126" t="s">
        <v>924</v>
      </c>
      <c r="C126" t="s">
        <v>773</v>
      </c>
      <c r="D126" t="s">
        <v>804</v>
      </c>
      <c r="E126" s="44">
        <v>5.1753328787503099E-2</v>
      </c>
    </row>
    <row r="127" spans="2:5">
      <c r="B127" t="s">
        <v>925</v>
      </c>
      <c r="C127" t="s">
        <v>777</v>
      </c>
      <c r="D127" t="s">
        <v>835</v>
      </c>
      <c r="E127" s="44">
        <v>6.6350421522439872E-3</v>
      </c>
    </row>
    <row r="128" spans="2:5">
      <c r="B128" t="s">
        <v>926</v>
      </c>
      <c r="C128" t="s">
        <v>773</v>
      </c>
      <c r="D128" t="s">
        <v>791</v>
      </c>
      <c r="E128" s="44">
        <v>3.3838714976444327E-2</v>
      </c>
    </row>
    <row r="129" spans="2:5">
      <c r="B129" t="s">
        <v>927</v>
      </c>
      <c r="C129" t="s">
        <v>780</v>
      </c>
      <c r="D129" t="s">
        <v>823</v>
      </c>
      <c r="E129" s="44">
        <v>2.8309513182907677E-2</v>
      </c>
    </row>
    <row r="130" spans="2:5">
      <c r="B130" t="s">
        <v>928</v>
      </c>
      <c r="C130" t="s">
        <v>777</v>
      </c>
      <c r="D130" t="s">
        <v>801</v>
      </c>
      <c r="E130" s="44">
        <v>2.3554399640466156E-2</v>
      </c>
    </row>
    <row r="131" spans="2:5">
      <c r="B131" t="s">
        <v>929</v>
      </c>
      <c r="C131" t="s">
        <v>806</v>
      </c>
      <c r="D131" t="s">
        <v>797</v>
      </c>
      <c r="E131" s="44">
        <v>0</v>
      </c>
    </row>
    <row r="132" spans="2:5">
      <c r="B132" t="s">
        <v>930</v>
      </c>
      <c r="C132" t="s">
        <v>780</v>
      </c>
      <c r="D132" t="s">
        <v>816</v>
      </c>
      <c r="E132" s="44">
        <v>7.9620505826927847E-3</v>
      </c>
    </row>
    <row r="133" spans="2:5">
      <c r="B133" t="s">
        <v>931</v>
      </c>
      <c r="C133" t="s">
        <v>780</v>
      </c>
      <c r="D133" t="s">
        <v>821</v>
      </c>
      <c r="E133" s="44">
        <v>1.1279571658814777E-2</v>
      </c>
    </row>
    <row r="134" spans="2:5">
      <c r="B134" t="s">
        <v>932</v>
      </c>
      <c r="C134" t="s">
        <v>806</v>
      </c>
      <c r="D134" t="s">
        <v>826</v>
      </c>
      <c r="E134" s="44">
        <v>7.055261488552772E-2</v>
      </c>
    </row>
    <row r="135" spans="2:5">
      <c r="B135" t="s">
        <v>933</v>
      </c>
      <c r="C135" t="s">
        <v>773</v>
      </c>
      <c r="D135" t="s">
        <v>823</v>
      </c>
      <c r="E135" s="44">
        <v>2.8309513182907677E-2</v>
      </c>
    </row>
    <row r="136" spans="2:5">
      <c r="B136" t="s">
        <v>934</v>
      </c>
      <c r="C136" t="s">
        <v>783</v>
      </c>
      <c r="D136" t="s">
        <v>784</v>
      </c>
      <c r="E136" s="44">
        <v>1.5039428878419702E-2</v>
      </c>
    </row>
    <row r="137" spans="2:5">
      <c r="B137" t="s">
        <v>935</v>
      </c>
      <c r="C137" t="s">
        <v>806</v>
      </c>
      <c r="D137" t="s">
        <v>789</v>
      </c>
      <c r="E137" s="44">
        <v>0.11290630062401852</v>
      </c>
    </row>
    <row r="138" spans="2:5">
      <c r="B138" t="s">
        <v>936</v>
      </c>
      <c r="C138" t="s">
        <v>793</v>
      </c>
      <c r="D138" t="s">
        <v>823</v>
      </c>
      <c r="E138" s="44">
        <v>2.8309513182907677E-2</v>
      </c>
    </row>
    <row r="139" spans="2:5">
      <c r="B139" t="s">
        <v>937</v>
      </c>
      <c r="C139" t="s">
        <v>793</v>
      </c>
      <c r="D139" t="s">
        <v>786</v>
      </c>
      <c r="E139" s="44">
        <v>6.1152971836515406E-2</v>
      </c>
    </row>
    <row r="140" spans="2:5">
      <c r="B140" t="s">
        <v>938</v>
      </c>
      <c r="C140" t="s">
        <v>788</v>
      </c>
      <c r="D140" t="s">
        <v>818</v>
      </c>
      <c r="E140" s="44">
        <v>9.410701452599389E-2</v>
      </c>
    </row>
    <row r="141" spans="2:5">
      <c r="B141" t="s">
        <v>939</v>
      </c>
      <c r="C141" t="s">
        <v>773</v>
      </c>
      <c r="D141" t="s">
        <v>786</v>
      </c>
      <c r="E141" s="44">
        <v>6.1152971836515406E-2</v>
      </c>
    </row>
    <row r="142" spans="2:5">
      <c r="B142" t="s">
        <v>940</v>
      </c>
      <c r="C142" t="s">
        <v>783</v>
      </c>
      <c r="D142" t="s">
        <v>797</v>
      </c>
      <c r="E142" s="44">
        <v>0</v>
      </c>
    </row>
    <row r="143" spans="2:5">
      <c r="B143" t="s">
        <v>941</v>
      </c>
      <c r="C143" t="s">
        <v>783</v>
      </c>
      <c r="D143" t="s">
        <v>797</v>
      </c>
      <c r="E143" s="44">
        <v>0</v>
      </c>
    </row>
    <row r="144" spans="2:5">
      <c r="B144" t="s">
        <v>942</v>
      </c>
      <c r="C144" t="s">
        <v>806</v>
      </c>
      <c r="D144" t="s">
        <v>811</v>
      </c>
      <c r="E144" s="44">
        <v>5.6397858294073887E-3</v>
      </c>
    </row>
    <row r="145" spans="2:5">
      <c r="B145" t="s">
        <v>943</v>
      </c>
      <c r="C145" t="s">
        <v>780</v>
      </c>
      <c r="D145" t="s">
        <v>786</v>
      </c>
      <c r="E145" s="44">
        <v>6.1152971836515406E-2</v>
      </c>
    </row>
    <row r="146" spans="2:5">
      <c r="B146" t="s">
        <v>944</v>
      </c>
      <c r="C146" t="s">
        <v>773</v>
      </c>
      <c r="D146" t="s">
        <v>781</v>
      </c>
      <c r="E146" s="44">
        <v>4.2353685738490778E-2</v>
      </c>
    </row>
    <row r="147" spans="2:5">
      <c r="B147" t="s">
        <v>945</v>
      </c>
      <c r="C147" t="s">
        <v>806</v>
      </c>
      <c r="D147" t="s">
        <v>784</v>
      </c>
      <c r="E147" s="44">
        <v>1.5039428878419702E-2</v>
      </c>
    </row>
    <row r="148" spans="2:5">
      <c r="B148" t="s">
        <v>946</v>
      </c>
      <c r="C148" t="s">
        <v>773</v>
      </c>
      <c r="D148" t="s">
        <v>786</v>
      </c>
      <c r="E148" s="44">
        <v>6.1152971836515406E-2</v>
      </c>
    </row>
    <row r="149" spans="2:5">
      <c r="B149" t="s">
        <v>947</v>
      </c>
      <c r="C149" t="s">
        <v>793</v>
      </c>
      <c r="D149" t="s">
        <v>823</v>
      </c>
      <c r="E149" s="44">
        <v>2.8309513182907677E-2</v>
      </c>
    </row>
    <row r="150" spans="2:5">
      <c r="B150" t="s">
        <v>948</v>
      </c>
      <c r="C150" t="s">
        <v>773</v>
      </c>
      <c r="D150" t="s">
        <v>813</v>
      </c>
      <c r="E150" s="44">
        <v>8.4707371476981555E-2</v>
      </c>
    </row>
    <row r="151" spans="2:5">
      <c r="B151" t="s">
        <v>949</v>
      </c>
      <c r="C151" t="s">
        <v>783</v>
      </c>
      <c r="D151" t="s">
        <v>786</v>
      </c>
      <c r="E151" s="44">
        <v>6.1152971836515406E-2</v>
      </c>
    </row>
    <row r="152" spans="2:5">
      <c r="B152" t="s">
        <v>950</v>
      </c>
      <c r="C152" t="s">
        <v>793</v>
      </c>
      <c r="D152" t="s">
        <v>784</v>
      </c>
      <c r="E152" s="44">
        <v>1.5039428878419702E-2</v>
      </c>
    </row>
    <row r="153" spans="2:5">
      <c r="B153" t="s">
        <v>951</v>
      </c>
      <c r="C153" t="s">
        <v>773</v>
      </c>
      <c r="D153" t="s">
        <v>786</v>
      </c>
      <c r="E153" s="44">
        <v>6.1152971836515406E-2</v>
      </c>
    </row>
    <row r="154" spans="2:5">
      <c r="B154" t="s">
        <v>952</v>
      </c>
      <c r="C154" t="s">
        <v>780</v>
      </c>
      <c r="D154" t="s">
        <v>789</v>
      </c>
      <c r="E154" s="44">
        <v>0.11290630062401852</v>
      </c>
    </row>
    <row r="155" spans="2:5">
      <c r="B155" t="s">
        <v>953</v>
      </c>
      <c r="C155" t="s">
        <v>777</v>
      </c>
      <c r="D155" t="s">
        <v>778</v>
      </c>
      <c r="E155" s="44">
        <v>4.6445295065707902E-3</v>
      </c>
    </row>
    <row r="156" spans="2:5">
      <c r="B156" t="s">
        <v>956</v>
      </c>
      <c r="C156" t="s">
        <v>788</v>
      </c>
      <c r="D156" t="s">
        <v>784</v>
      </c>
      <c r="E156" s="44">
        <v>1.5039428878419702E-2</v>
      </c>
    </row>
    <row r="157" spans="2:5">
      <c r="B157" t="s">
        <v>957</v>
      </c>
      <c r="C157" t="s">
        <v>780</v>
      </c>
      <c r="D157" t="s">
        <v>791</v>
      </c>
      <c r="E157" s="44">
        <v>3.3838714976444327E-2</v>
      </c>
    </row>
    <row r="158" spans="2:5">
      <c r="B158" t="s">
        <v>958</v>
      </c>
      <c r="C158" t="s">
        <v>788</v>
      </c>
      <c r="D158" t="s">
        <v>809</v>
      </c>
      <c r="E158" s="44">
        <v>0.17499999999999999</v>
      </c>
    </row>
    <row r="159" spans="2:5">
      <c r="B159" t="s">
        <v>959</v>
      </c>
      <c r="C159" t="s">
        <v>806</v>
      </c>
      <c r="D159" t="s">
        <v>823</v>
      </c>
      <c r="E159" s="44">
        <v>2.8309513182907677E-2</v>
      </c>
    </row>
    <row r="160" spans="2:5">
      <c r="B160" t="s">
        <v>960</v>
      </c>
      <c r="C160" t="s">
        <v>773</v>
      </c>
      <c r="D160" t="s">
        <v>813</v>
      </c>
      <c r="E160" s="44">
        <v>8.4707371476981555E-2</v>
      </c>
    </row>
  </sheetData>
  <mergeCells count="1">
    <mergeCell ref="I24:J2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D954D-9B4B-4E45-A9CF-1CC113B742E2}">
  <sheetPr codeName="Sheet7"/>
  <dimension ref="C4:G25"/>
  <sheetViews>
    <sheetView showGridLines="0" topLeftCell="C10" workbookViewId="0">
      <selection activeCell="A45" sqref="A45"/>
    </sheetView>
  </sheetViews>
  <sheetFormatPr defaultRowHeight="15"/>
  <cols>
    <col min="3" max="3" width="50.42578125" customWidth="1"/>
    <col min="4" max="4" width="26" customWidth="1"/>
    <col min="5" max="5" width="30.28515625" customWidth="1"/>
  </cols>
  <sheetData>
    <row r="4" spans="3:4">
      <c r="C4" s="346" t="s">
        <v>750</v>
      </c>
    </row>
    <row r="6" spans="3:4">
      <c r="C6" s="347" t="s">
        <v>751</v>
      </c>
      <c r="D6" s="348" t="s">
        <v>752</v>
      </c>
    </row>
    <row r="8" spans="3:4">
      <c r="C8" s="1" t="s">
        <v>762</v>
      </c>
    </row>
    <row r="9" spans="3:4">
      <c r="C9" s="349" t="s">
        <v>763</v>
      </c>
      <c r="D9" s="352" t="s">
        <v>869</v>
      </c>
    </row>
    <row r="10" spans="3:4">
      <c r="C10" s="349" t="s">
        <v>764</v>
      </c>
      <c r="D10" s="351">
        <v>6.9000000000000006E-2</v>
      </c>
    </row>
    <row r="11" spans="3:4">
      <c r="C11" s="349" t="str">
        <f>D9&amp;"'s"&amp;" Moody Sovereign Ratings "</f>
        <v xml:space="preserve">India's Moody Sovereign Ratings </v>
      </c>
      <c r="D11" s="352" t="str">
        <f>VLOOKUP(D9,'Damodaran Data'!B5:D160,3,FALSE)</f>
        <v>Baa3</v>
      </c>
    </row>
    <row r="12" spans="3:4">
      <c r="C12" s="349" t="s">
        <v>961</v>
      </c>
      <c r="D12" s="353">
        <f>VLOOKUP(D9,'Damodaran Data'!B4:E160,4,FALSE)</f>
        <v>2.0679214707827093E-2</v>
      </c>
    </row>
    <row r="13" spans="3:4">
      <c r="C13" s="349" t="s">
        <v>962</v>
      </c>
      <c r="D13" s="353">
        <v>4.0500000000000001E-2</v>
      </c>
    </row>
    <row r="14" spans="3:4">
      <c r="C14" s="349" t="s">
        <v>765</v>
      </c>
      <c r="D14" s="350">
        <v>0.7</v>
      </c>
    </row>
    <row r="15" spans="3:4">
      <c r="C15" s="349" t="s">
        <v>770</v>
      </c>
      <c r="D15" s="350">
        <v>0.05</v>
      </c>
    </row>
    <row r="16" spans="3:4">
      <c r="C16" s="349" t="s">
        <v>771</v>
      </c>
      <c r="D16" s="353">
        <f>'Company Information'!K746</f>
        <v>7.6941365270884715E-2</v>
      </c>
    </row>
    <row r="17" spans="3:7">
      <c r="C17" s="349" t="s">
        <v>689</v>
      </c>
      <c r="D17" s="353">
        <f>'Company Information'!K745</f>
        <v>8.3354797166773992E-2</v>
      </c>
    </row>
    <row r="18" spans="3:7">
      <c r="C18" s="349" t="s">
        <v>772</v>
      </c>
      <c r="D18" s="354">
        <v>0.25</v>
      </c>
    </row>
    <row r="19" spans="3:7">
      <c r="C19" s="349" t="s">
        <v>767</v>
      </c>
      <c r="D19" s="352" t="s">
        <v>964</v>
      </c>
      <c r="F19" s="355" t="s">
        <v>964</v>
      </c>
      <c r="G19" s="355" t="s">
        <v>966</v>
      </c>
    </row>
    <row r="20" spans="3:7">
      <c r="C20" s="349" t="s">
        <v>963</v>
      </c>
      <c r="D20" s="352" t="s">
        <v>966</v>
      </c>
      <c r="F20" s="355" t="s">
        <v>965</v>
      </c>
      <c r="G20" s="355" t="s">
        <v>967</v>
      </c>
    </row>
    <row r="21" spans="3:7">
      <c r="C21" s="349" t="s">
        <v>766</v>
      </c>
      <c r="D21" s="352" t="s">
        <v>988</v>
      </c>
    </row>
    <row r="22" spans="3:7">
      <c r="C22" s="349" t="s">
        <v>1010</v>
      </c>
      <c r="D22" s="372">
        <f>'3 Statment Model'!K28/'3 Statment Model'!K32</f>
        <v>4.9103684010634376</v>
      </c>
    </row>
    <row r="23" spans="3:7">
      <c r="C23" s="349" t="s">
        <v>1011</v>
      </c>
      <c r="D23" s="353">
        <f>IF(D20="L",VLOOKUP(D22,'Damodaran Data'!I6:L21,4,TRUE),VLOOKUP('Input Sheet'!D22,'Damodaran Data'!I25:L40,4,TRUE))</f>
        <v>1.0699999999999999E-2</v>
      </c>
    </row>
    <row r="24" spans="3:7">
      <c r="C24" s="349" t="s">
        <v>768</v>
      </c>
      <c r="D24" s="351">
        <v>2.9000000000000001E-2</v>
      </c>
    </row>
    <row r="25" spans="3:7">
      <c r="C25" s="349" t="s">
        <v>769</v>
      </c>
      <c r="D25" s="350"/>
    </row>
  </sheetData>
  <dataValidations count="2">
    <dataValidation type="list" allowBlank="1" showInputMessage="1" showErrorMessage="1" sqref="D19" xr:uid="{277F006A-B7A9-4120-AB20-A8B58A2451B8}">
      <formula1>$F$19:$F$20</formula1>
    </dataValidation>
    <dataValidation type="list" allowBlank="1" showInputMessage="1" showErrorMessage="1" sqref="D20" xr:uid="{04A65C90-DE0E-4686-BB79-C88AA53E79F2}">
      <formula1>$G$19:$G$20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C6DFDEBA-50EC-4CBE-A7AF-0E6F215E3FE1}">
          <x14:formula1>
            <xm:f>'Damodaran Data'!$B$5:$B$160</xm:f>
          </x14:formula1>
          <xm:sqref>D9</xm:sqref>
        </x14:dataValidation>
        <x14:dataValidation type="list" allowBlank="1" showInputMessage="1" showErrorMessage="1" xr:uid="{6039995A-4C23-4B36-89BE-FA2AD87B9034}">
          <x14:formula1>
            <xm:f>'Damodaran Data'!$K$7:$K$21</xm:f>
          </x14:formula1>
          <xm:sqref>D21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3BA4E-5C6F-406B-910D-75495A1A799F}">
  <sheetPr codeName="Sheet8"/>
  <dimension ref="B2:Q91"/>
  <sheetViews>
    <sheetView showGridLines="0" topLeftCell="A79" workbookViewId="0">
      <selection activeCell="H83" sqref="H83"/>
    </sheetView>
  </sheetViews>
  <sheetFormatPr defaultRowHeight="15"/>
  <cols>
    <col min="1" max="1" width="1.85546875" customWidth="1"/>
    <col min="2" max="2" width="44.28515625" customWidth="1"/>
    <col min="3" max="3" width="3.28515625" customWidth="1"/>
    <col min="4" max="4" width="20.28515625" bestFit="1" customWidth="1"/>
    <col min="5" max="6" width="10.5703125" bestFit="1" customWidth="1"/>
    <col min="8" max="8" width="79.85546875" customWidth="1"/>
    <col min="11" max="11" width="8.85546875" customWidth="1"/>
    <col min="12" max="12" width="9.5703125" customWidth="1"/>
    <col min="13" max="13" width="8.85546875" hidden="1" customWidth="1"/>
    <col min="14" max="14" width="10.28515625" customWidth="1"/>
  </cols>
  <sheetData>
    <row r="2" spans="2:8" ht="18.75">
      <c r="B2" s="4" t="str">
        <f>'Input Sheet'!D6</f>
        <v>Shree Cement Ltd</v>
      </c>
    </row>
    <row r="3" spans="2:8" ht="15.75">
      <c r="B3" s="5" t="s">
        <v>996</v>
      </c>
    </row>
    <row r="5" spans="2:8">
      <c r="B5" s="373" t="s">
        <v>202</v>
      </c>
      <c r="C5" s="374"/>
      <c r="D5" s="381" t="s">
        <v>997</v>
      </c>
      <c r="E5" s="381" t="s">
        <v>998</v>
      </c>
      <c r="F5" s="381" t="s">
        <v>999</v>
      </c>
      <c r="H5" s="382" t="s">
        <v>1000</v>
      </c>
    </row>
    <row r="6" spans="2:8" ht="6" customHeight="1"/>
    <row r="7" spans="2:8" ht="45">
      <c r="B7" t="s">
        <v>1000</v>
      </c>
      <c r="D7" s="2">
        <f>'Input Sheet'!D10-'Input Sheet'!D12</f>
        <v>4.8320785292172916E-2</v>
      </c>
      <c r="E7" s="2">
        <f>D7</f>
        <v>4.8320785292172916E-2</v>
      </c>
      <c r="F7" s="2">
        <f>E7</f>
        <v>4.8320785292172916E-2</v>
      </c>
      <c r="H7" s="150" t="str">
        <f>"we have Considered "&amp;TEXT(E7,"0.00%")&amp;" as the risk Free rate in estimation ofcost of Equity of "&amp;TEXT(E12,"0.00%")&amp;".The Risk Free Rate of India is calculated by considering local currency 10y Govt.Bond yield adjusted for default spread of India."</f>
        <v>we have Considered 4.83% as the risk Free rate in estimation ofcost of Equity of 8.30%.The Risk Free Rate of India is calculated by considering local currency 10y Govt.Bond yield adjusted for default spread of India.</v>
      </c>
    </row>
    <row r="8" spans="2:8">
      <c r="B8" t="s">
        <v>1001</v>
      </c>
      <c r="D8" s="2">
        <f>'Input Sheet'!D13+'Input Sheet'!D12</f>
        <v>6.1179214707827098E-2</v>
      </c>
      <c r="E8" s="2">
        <f>D8</f>
        <v>6.1179214707827098E-2</v>
      </c>
      <c r="F8" s="2">
        <f>E8</f>
        <v>6.1179214707827098E-2</v>
      </c>
    </row>
    <row r="9" spans="2:8">
      <c r="B9" t="s">
        <v>765</v>
      </c>
      <c r="D9">
        <f>'Input Sheet'!D14-'Input Sheet'!D15</f>
        <v>0.64999999999999991</v>
      </c>
      <c r="E9" s="149">
        <f>'Input Sheet'!D14</f>
        <v>0.7</v>
      </c>
      <c r="F9">
        <f>'Input Sheet'!D14+'Input Sheet'!D15</f>
        <v>0.75</v>
      </c>
      <c r="H9" s="1" t="s">
        <v>765</v>
      </c>
    </row>
    <row r="10" spans="2:8" ht="15" customHeight="1">
      <c r="B10" t="s">
        <v>1002</v>
      </c>
      <c r="D10" s="2">
        <f>'Input Sheet'!D17</f>
        <v>8.3354797166773992E-2</v>
      </c>
      <c r="E10" s="2">
        <f>D10</f>
        <v>8.3354797166773992E-2</v>
      </c>
      <c r="F10" s="2">
        <f>E10</f>
        <v>8.3354797166773992E-2</v>
      </c>
    </row>
    <row r="11" spans="2:8" ht="16.899999999999999" customHeight="1">
      <c r="B11" t="s">
        <v>1003</v>
      </c>
      <c r="D11" s="149">
        <f>D9*(1+(D10*(1-'Input Sheet'!D18)))</f>
        <v>0.69063546361880224</v>
      </c>
      <c r="E11" s="149">
        <f>E9*(1+(E10*(1-'Input Sheet'!E18)))</f>
        <v>0.75834835801674183</v>
      </c>
      <c r="F11" s="149">
        <f>F9*(1+(F10*(1-'Input Sheet'!F18)))</f>
        <v>0.8125160978750805</v>
      </c>
      <c r="H11" s="555" t="str">
        <f>"We have estimated an asset beta range of "&amp;TEXT(D9,"0.00")&amp;" to "&amp;TEXT(F9,"0.00")&amp;",with a mid point of "&amp;TEXT(E9,"0.00")&amp;" based on observed of median 5 year monthly asset beta of beanchmark listed company adjusted for blum effect."</f>
        <v>We have estimated an asset beta range of 0.65 to 0.75,with a mid point of 0.70 based on observed of median 5 year monthly asset beta of beanchmark listed company adjusted for blum effect.</v>
      </c>
    </row>
    <row r="12" spans="2:8">
      <c r="B12" s="375" t="s">
        <v>1004</v>
      </c>
      <c r="C12" s="222"/>
      <c r="D12" s="376">
        <f>(D7+D8)*D11</f>
        <v>7.5624583266258857E-2</v>
      </c>
      <c r="E12" s="376">
        <f>(E7+E8)*E11</f>
        <v>8.3039145202833245E-2</v>
      </c>
      <c r="F12" s="376">
        <f>(F7+F8)*F11</f>
        <v>8.8970512717321329E-2</v>
      </c>
      <c r="H12" s="555"/>
    </row>
    <row r="13" spans="2:8">
      <c r="H13" s="555"/>
    </row>
    <row r="14" spans="2:8">
      <c r="B14" t="s">
        <v>768</v>
      </c>
      <c r="D14" s="2">
        <v>2.8000000000000001E-2</v>
      </c>
      <c r="E14" s="2">
        <v>2.8000000000000001E-2</v>
      </c>
      <c r="F14" s="2">
        <v>2.8000000000000001E-2</v>
      </c>
    </row>
    <row r="15" spans="2:8">
      <c r="B15" t="s">
        <v>769</v>
      </c>
      <c r="D15" s="2">
        <v>0</v>
      </c>
      <c r="E15" s="2">
        <v>0</v>
      </c>
      <c r="F15" s="2">
        <v>0</v>
      </c>
      <c r="H15" s="1" t="s">
        <v>1035</v>
      </c>
    </row>
    <row r="16" spans="2:8">
      <c r="B16" s="375" t="s">
        <v>1005</v>
      </c>
      <c r="C16" s="222"/>
      <c r="D16" s="223">
        <f>D12+D14+D15</f>
        <v>0.10362458326625885</v>
      </c>
      <c r="E16" s="223">
        <f>E12+E14+E15</f>
        <v>0.11103914520283324</v>
      </c>
      <c r="F16" s="223">
        <f>F12+F14+F15</f>
        <v>0.11697051271732133</v>
      </c>
    </row>
    <row r="17" spans="2:8">
      <c r="H17" s="555" t="str">
        <f>"An ERP of "&amp;TEXT(E10,"0.00%")&amp;"has been adopted based on US implied equity risk premium, relative equity volatility of ICE BoFA public sector issues Emerging markets index, S&amp;P Emerging BMI index and country risk premium of India."</f>
        <v>An ERP of 8.34%has been adopted based on US implied equity risk premium, relative equity volatility of ICE BoFA public sector issues Emerging markets index, S&amp;P Emerging BMI index and country risk premium of India.</v>
      </c>
    </row>
    <row r="18" spans="2:8">
      <c r="B18" t="s">
        <v>1006</v>
      </c>
      <c r="D18" s="2">
        <f>'Input Sheet'!D10+IF('Input Sheet'!D19="no",'Input Sheet'!D23,VLOOKUP('Input Sheet'!D21,'Damodaran Data'!K7:L21,2,FALSE))</f>
        <v>7.8200000000000006E-2</v>
      </c>
      <c r="E18" s="2">
        <f>D18</f>
        <v>7.8200000000000006E-2</v>
      </c>
      <c r="F18" s="2">
        <f>E18</f>
        <v>7.8200000000000006E-2</v>
      </c>
      <c r="H18" s="555"/>
    </row>
    <row r="19" spans="2:8">
      <c r="B19" t="s">
        <v>25</v>
      </c>
      <c r="D19" s="315">
        <f>'Input Sheet'!D18</f>
        <v>0.25</v>
      </c>
      <c r="E19" s="315">
        <f>D19</f>
        <v>0.25</v>
      </c>
      <c r="F19" s="315">
        <f>E19</f>
        <v>0.25</v>
      </c>
      <c r="H19" s="555"/>
    </row>
    <row r="20" spans="2:8">
      <c r="B20" s="375" t="s">
        <v>1009</v>
      </c>
      <c r="C20" s="222"/>
      <c r="D20" s="223">
        <f>D18*(1-D19)</f>
        <v>5.8650000000000008E-2</v>
      </c>
      <c r="E20" s="223">
        <f>E18*(1-E19)</f>
        <v>5.8650000000000008E-2</v>
      </c>
      <c r="F20" s="223">
        <f>F18*(1-F19)</f>
        <v>5.8650000000000008E-2</v>
      </c>
    </row>
    <row r="21" spans="2:8">
      <c r="H21" s="1" t="s">
        <v>1036</v>
      </c>
    </row>
    <row r="22" spans="2:8">
      <c r="B22" t="s">
        <v>1007</v>
      </c>
      <c r="D22" s="2">
        <f>'Input Sheet'!D16</f>
        <v>7.6941365270884715E-2</v>
      </c>
      <c r="E22" s="2">
        <f>D22</f>
        <v>7.6941365270884715E-2</v>
      </c>
      <c r="F22" s="2">
        <f>E22</f>
        <v>7.6941365270884715E-2</v>
      </c>
    </row>
    <row r="23" spans="2:8">
      <c r="B23" t="s">
        <v>996</v>
      </c>
      <c r="D23" s="2">
        <f>(D20*D22)+(D16*(1-D22))+'Input Sheet'!D24</f>
        <v>0.12916417742726383</v>
      </c>
      <c r="E23" s="2">
        <f>(E20*E22)+(E16*(1-E22))+'Input Sheet'!D24</f>
        <v>0.13600825284555262</v>
      </c>
      <c r="F23" s="2">
        <f>(F20*F22)+(F16*(1-F22))+'Input Sheet'!D24</f>
        <v>0.14148325284555263</v>
      </c>
      <c r="H23" s="555" t="s">
        <v>1037</v>
      </c>
    </row>
    <row r="24" spans="2:8">
      <c r="B24" s="375" t="s">
        <v>1008</v>
      </c>
      <c r="C24" s="222"/>
      <c r="D24" s="223">
        <f>ROUNDUP(D23,2)</f>
        <v>0.13</v>
      </c>
      <c r="E24" s="223">
        <f>ROUNDUP(E23,2)</f>
        <v>0.14000000000000001</v>
      </c>
      <c r="F24" s="223">
        <f>ROUNDUP(F23,2)</f>
        <v>0.15000000000000002</v>
      </c>
      <c r="H24" s="555"/>
    </row>
    <row r="25" spans="2:8">
      <c r="H25" s="555"/>
    </row>
    <row r="26" spans="2:8">
      <c r="H26" s="150"/>
    </row>
    <row r="27" spans="2:8">
      <c r="H27" s="198" t="s">
        <v>1038</v>
      </c>
    </row>
    <row r="28" spans="2:8" ht="13.15" customHeight="1">
      <c r="H28" s="150"/>
    </row>
    <row r="29" spans="2:8" ht="25.15" customHeight="1">
      <c r="B29" s="556" t="s">
        <v>1034</v>
      </c>
      <c r="H29" s="555" t="s">
        <v>1039</v>
      </c>
    </row>
    <row r="30" spans="2:8">
      <c r="B30" s="556"/>
      <c r="H30" s="555"/>
    </row>
    <row r="31" spans="2:8">
      <c r="B31" s="556"/>
      <c r="H31" s="555"/>
    </row>
    <row r="35" spans="2:17" ht="18.75">
      <c r="B35" s="4" t="s">
        <v>995</v>
      </c>
    </row>
    <row r="36" spans="2:17" ht="15.75">
      <c r="B36" s="5" t="s">
        <v>1012</v>
      </c>
    </row>
    <row r="38" spans="2:17" ht="60">
      <c r="B38" s="379" t="s">
        <v>1013</v>
      </c>
      <c r="C38" s="373"/>
      <c r="D38" s="377" t="s">
        <v>1014</v>
      </c>
      <c r="E38" s="378" t="s">
        <v>1015</v>
      </c>
      <c r="F38" s="378" t="s">
        <v>1016</v>
      </c>
      <c r="G38" s="378" t="s">
        <v>765</v>
      </c>
      <c r="H38" s="378" t="s">
        <v>1017</v>
      </c>
      <c r="I38" s="378" t="s">
        <v>1003</v>
      </c>
      <c r="J38" s="378" t="s">
        <v>1018</v>
      </c>
      <c r="L38" s="378" t="s">
        <v>1020</v>
      </c>
      <c r="N38" s="378" t="s">
        <v>1023</v>
      </c>
    </row>
    <row r="39" spans="2:17">
      <c r="P39" t="s">
        <v>1022</v>
      </c>
      <c r="Q39" s="315">
        <v>0.25</v>
      </c>
    </row>
    <row r="40" spans="2:17">
      <c r="B40" t="s">
        <v>1019</v>
      </c>
      <c r="E40">
        <v>104</v>
      </c>
      <c r="F40">
        <v>330063</v>
      </c>
      <c r="G40" s="149">
        <f>I40/(1+(H40*(1-$Q$39)))</f>
        <v>1.2150349650349648</v>
      </c>
      <c r="H40" s="154">
        <v>0.192</v>
      </c>
      <c r="I40">
        <v>1.39</v>
      </c>
      <c r="J40" s="154">
        <v>0.161</v>
      </c>
      <c r="L40" t="s">
        <v>1022</v>
      </c>
      <c r="N40" s="200" t="str">
        <f>IF(L40="y","TRUE","FALSE")</f>
        <v>TRUE</v>
      </c>
      <c r="P40" t="s">
        <v>1021</v>
      </c>
    </row>
    <row r="41" spans="2:17">
      <c r="B41" t="s">
        <v>540</v>
      </c>
      <c r="E41">
        <v>104</v>
      </c>
      <c r="F41">
        <v>153514</v>
      </c>
      <c r="G41" s="149">
        <f>I41/(1+(H41*(1-$Q$39)))</f>
        <v>1.6157586335868346</v>
      </c>
      <c r="H41" s="154">
        <v>3.5000000000000001E-3</v>
      </c>
      <c r="I41">
        <v>1.62</v>
      </c>
      <c r="J41" s="154">
        <v>2.9499999999999999E-3</v>
      </c>
      <c r="L41" t="s">
        <v>1021</v>
      </c>
      <c r="N41" s="200" t="str">
        <f>IF(L41="y","TRUE","FALSE")</f>
        <v>FALSE</v>
      </c>
    </row>
    <row r="42" spans="2:17">
      <c r="B42" t="s">
        <v>541</v>
      </c>
      <c r="E42">
        <v>104</v>
      </c>
      <c r="F42">
        <v>45621</v>
      </c>
      <c r="G42" s="149">
        <f>I42/(1+(H42*(1-$Q$39)))</f>
        <v>1.6550348953140579</v>
      </c>
      <c r="H42" s="154">
        <v>4.0000000000000001E-3</v>
      </c>
      <c r="I42">
        <v>1.66</v>
      </c>
      <c r="J42" s="154">
        <v>4.0000000000000001E-3</v>
      </c>
      <c r="L42" t="s">
        <v>1021</v>
      </c>
      <c r="N42" s="200" t="str">
        <f>IF(L42="y","TRUE","FALSE")</f>
        <v>FALSE</v>
      </c>
    </row>
    <row r="43" spans="2:17">
      <c r="B43" t="s">
        <v>542</v>
      </c>
      <c r="E43">
        <v>104</v>
      </c>
      <c r="F43">
        <v>36300</v>
      </c>
      <c r="G43" s="149">
        <f>I43/(1+(H43*(1-$Q$39)))</f>
        <v>0.79753281216380967</v>
      </c>
      <c r="H43" s="154">
        <v>0.99050000000000005</v>
      </c>
      <c r="I43">
        <v>1.39</v>
      </c>
      <c r="J43" s="154">
        <v>0.496</v>
      </c>
      <c r="L43" t="s">
        <v>1022</v>
      </c>
      <c r="N43" s="200" t="str">
        <f>IF(L43="y","TRUE","FALSE")</f>
        <v>TRUE</v>
      </c>
    </row>
    <row r="44" spans="2:17">
      <c r="B44" t="s">
        <v>543</v>
      </c>
      <c r="E44">
        <v>104</v>
      </c>
      <c r="F44">
        <v>19610</v>
      </c>
      <c r="G44" s="149">
        <f>I44/(1+(H44*(1-$Q$39)))</f>
        <v>0.66757493188010897</v>
      </c>
      <c r="H44" s="154">
        <v>0.624</v>
      </c>
      <c r="I44">
        <v>0.98</v>
      </c>
      <c r="J44" s="154">
        <v>0.38400000000000001</v>
      </c>
      <c r="L44" t="s">
        <v>1022</v>
      </c>
      <c r="N44" s="200" t="str">
        <f>IF(L44="y","TRUE","FALSE")</f>
        <v>TRUE</v>
      </c>
    </row>
    <row r="46" spans="2:17">
      <c r="B46" t="s">
        <v>1025</v>
      </c>
      <c r="G46" s="149">
        <f>MEDIAN(G40:G44)</f>
        <v>1.2150349650349648</v>
      </c>
      <c r="H46" s="2">
        <f>MEDIAN(H40:H44)</f>
        <v>0.192</v>
      </c>
      <c r="I46" s="149">
        <f>MEDIAN(I40:I44)</f>
        <v>1.39</v>
      </c>
      <c r="J46" s="2">
        <f>MEDIAN(J40:J44)</f>
        <v>0.161</v>
      </c>
    </row>
    <row r="47" spans="2:17">
      <c r="B47" t="s">
        <v>1024</v>
      </c>
      <c r="G47" s="149">
        <f>AVERAGE(G40:G44)</f>
        <v>1.1901872475959552</v>
      </c>
      <c r="H47" s="2">
        <f>AVERAGE(H40:H44)</f>
        <v>0.36280000000000001</v>
      </c>
      <c r="I47" s="149">
        <f>AVERAGE(I40:I44)</f>
        <v>1.4079999999999999</v>
      </c>
      <c r="J47" s="2">
        <f>AVERAGE(J40:J44)</f>
        <v>0.20959000000000003</v>
      </c>
    </row>
    <row r="49" spans="2:17">
      <c r="B49" t="s">
        <v>1026</v>
      </c>
      <c r="G49" s="149" cm="1">
        <f t="array" ref="G49">MEDIAN(IF($N$40:$N$44,G40:G44))</f>
        <v>0.79753281216380967</v>
      </c>
      <c r="H49" s="2" cm="1">
        <f t="array" ref="H49">MEDIAN(IF($N$40:$N$44,H40:H44))</f>
        <v>0.624</v>
      </c>
      <c r="I49" s="149" cm="1">
        <f t="array" ref="I49">MEDIAN(IF($N$40:$N$44,I40:I44))</f>
        <v>1.39</v>
      </c>
      <c r="J49" s="2" cm="1">
        <f t="array" ref="J49">MEDIAN(IF($N$40:$N$44,J40:J44))</f>
        <v>0.38400000000000001</v>
      </c>
    </row>
    <row r="50" spans="2:17">
      <c r="B50" t="s">
        <v>1027</v>
      </c>
      <c r="G50" s="149" cm="1">
        <f t="array" ref="G50">+AVERAGE(IF($N$40:$N$44,G40:G44))</f>
        <v>0.89338090302629458</v>
      </c>
      <c r="H50" s="154" cm="1">
        <f t="array" ref="H50">+AVERAGE(IF($N$40:$N$44,H40:H44))</f>
        <v>0.60216666666666674</v>
      </c>
      <c r="I50" s="380" cm="1">
        <f t="array" ref="I50">+AVERAGE(IF($N$40:$N$44,I40:I44))</f>
        <v>1.2533333333333332</v>
      </c>
      <c r="J50" s="154" cm="1">
        <f t="array" ref="J50">+AVERAGE(IF($N$40:$N$44,J40:J44))</f>
        <v>0.34699999999999998</v>
      </c>
    </row>
    <row r="55" spans="2:17" ht="18.75">
      <c r="B55" s="4" t="s">
        <v>995</v>
      </c>
    </row>
    <row r="56" spans="2:17" ht="15.75">
      <c r="B56" s="5" t="s">
        <v>1028</v>
      </c>
    </row>
    <row r="58" spans="2:17" ht="60">
      <c r="B58" s="379" t="s">
        <v>1013</v>
      </c>
      <c r="C58" s="373"/>
      <c r="D58" s="377" t="s">
        <v>1014</v>
      </c>
      <c r="E58" s="378" t="s">
        <v>1015</v>
      </c>
      <c r="F58" s="378" t="s">
        <v>1016</v>
      </c>
      <c r="G58" s="378" t="s">
        <v>765</v>
      </c>
      <c r="H58" s="378" t="s">
        <v>1029</v>
      </c>
      <c r="I58" s="378" t="s">
        <v>1003</v>
      </c>
      <c r="J58" s="378" t="s">
        <v>1030</v>
      </c>
      <c r="L58" s="378" t="s">
        <v>1020</v>
      </c>
      <c r="N58" s="378" t="s">
        <v>1023</v>
      </c>
    </row>
    <row r="59" spans="2:17">
      <c r="P59" t="s">
        <v>1022</v>
      </c>
      <c r="Q59" s="315">
        <v>0.25</v>
      </c>
    </row>
    <row r="60" spans="2:17">
      <c r="B60" t="s">
        <v>1019</v>
      </c>
      <c r="E60">
        <v>60</v>
      </c>
      <c r="F60">
        <v>330063</v>
      </c>
      <c r="G60" s="149">
        <f>I60/(1+(H60*(1-$Q$39)))</f>
        <v>1.1249140128677215</v>
      </c>
      <c r="H60" s="154">
        <v>0.31419999999999998</v>
      </c>
      <c r="I60">
        <v>1.39</v>
      </c>
      <c r="J60" s="154">
        <v>0.22839999999999999</v>
      </c>
      <c r="L60" t="s">
        <v>1022</v>
      </c>
      <c r="N60" s="200" t="str">
        <f>IF(L60="y","TRUE","FALSE")</f>
        <v>TRUE</v>
      </c>
      <c r="P60" t="s">
        <v>1021</v>
      </c>
    </row>
    <row r="61" spans="2:17">
      <c r="B61" t="s">
        <v>540</v>
      </c>
      <c r="E61">
        <v>60</v>
      </c>
      <c r="F61">
        <v>153514</v>
      </c>
      <c r="G61" s="149">
        <f>I61/(1+(H61*(1-$Q$39)))</f>
        <v>1.6169681846537742</v>
      </c>
      <c r="H61" s="154">
        <v>2.5000000000000001E-3</v>
      </c>
      <c r="I61">
        <v>1.62</v>
      </c>
      <c r="J61" s="154">
        <v>2.48E-3</v>
      </c>
      <c r="L61" t="s">
        <v>1021</v>
      </c>
      <c r="N61" s="200" t="str">
        <f>IF(L61="y","TRUE","FALSE")</f>
        <v>FALSE</v>
      </c>
    </row>
    <row r="62" spans="2:17">
      <c r="B62" t="s">
        <v>541</v>
      </c>
      <c r="E62">
        <v>60</v>
      </c>
      <c r="F62">
        <v>45621</v>
      </c>
      <c r="G62" s="149">
        <f>I62/(1+(H62*(1-$Q$39)))</f>
        <v>1.6575882091556784</v>
      </c>
      <c r="H62" s="154">
        <v>1.9400000000000001E-3</v>
      </c>
      <c r="I62">
        <v>1.66</v>
      </c>
      <c r="J62" s="154">
        <v>1.9400000000000001E-3</v>
      </c>
      <c r="L62" t="s">
        <v>1021</v>
      </c>
      <c r="N62" s="200" t="str">
        <f>IF(L62="y","TRUE","FALSE")</f>
        <v>FALSE</v>
      </c>
    </row>
    <row r="63" spans="2:17">
      <c r="B63" t="s">
        <v>542</v>
      </c>
      <c r="E63">
        <v>60</v>
      </c>
      <c r="F63">
        <v>36300</v>
      </c>
      <c r="G63" s="149">
        <f>I63/(1+(H63*(1-$Q$39)))</f>
        <v>0.80386316976549166</v>
      </c>
      <c r="H63" s="154">
        <v>0.97219999999999995</v>
      </c>
      <c r="I63">
        <v>1.39</v>
      </c>
      <c r="J63" s="154">
        <v>0.49220000000000003</v>
      </c>
      <c r="L63" t="s">
        <v>1022</v>
      </c>
      <c r="N63" s="200" t="str">
        <f>IF(L63="y","TRUE","FALSE")</f>
        <v>TRUE</v>
      </c>
    </row>
    <row r="64" spans="2:17">
      <c r="B64" t="s">
        <v>543</v>
      </c>
      <c r="E64">
        <v>60</v>
      </c>
      <c r="F64">
        <v>19610</v>
      </c>
      <c r="G64" s="149">
        <f>I64/(1+(H64*(1-$Q$39)))</f>
        <v>0.67628183010144227</v>
      </c>
      <c r="H64" s="154">
        <v>0.5988</v>
      </c>
      <c r="I64">
        <v>0.98</v>
      </c>
      <c r="J64" s="154">
        <v>0.37380000000000002</v>
      </c>
      <c r="L64" t="s">
        <v>1022</v>
      </c>
      <c r="N64" s="200" t="str">
        <f>IF(L64="y","TRUE","FALSE")</f>
        <v>TRUE</v>
      </c>
    </row>
    <row r="66" spans="2:17">
      <c r="B66" t="s">
        <v>1025</v>
      </c>
      <c r="G66" s="149">
        <f>MEDIAN(G60:G64)</f>
        <v>1.1249140128677215</v>
      </c>
      <c r="H66" s="2">
        <f>MEDIAN(H60:H64)</f>
        <v>0.31419999999999998</v>
      </c>
      <c r="I66" s="149">
        <f>MEDIAN(I60:I64)</f>
        <v>1.39</v>
      </c>
      <c r="J66" s="2">
        <f>MEDIAN(J60:J64)</f>
        <v>0.22839999999999999</v>
      </c>
    </row>
    <row r="67" spans="2:17">
      <c r="B67" t="s">
        <v>1024</v>
      </c>
      <c r="G67" s="149">
        <f>AVERAGE(G60:G64)</f>
        <v>1.1759230813088215</v>
      </c>
      <c r="H67" s="2">
        <f>AVERAGE(H60:H64)</f>
        <v>0.37792799999999999</v>
      </c>
      <c r="I67" s="149">
        <f>AVERAGE(I60:I64)</f>
        <v>1.4079999999999999</v>
      </c>
      <c r="J67" s="2">
        <f>AVERAGE(J60:J64)</f>
        <v>0.21976399999999999</v>
      </c>
    </row>
    <row r="69" spans="2:17">
      <c r="B69" t="s">
        <v>1026</v>
      </c>
      <c r="G69" s="149" cm="1">
        <f t="array" ref="G69">MEDIAN(IF($N$40:$N$44,G60:G64))</f>
        <v>0.80386316976549166</v>
      </c>
      <c r="H69" s="2" cm="1">
        <f t="array" ref="H69">MEDIAN(IF($N$40:$N$44,H60:H64))</f>
        <v>0.5988</v>
      </c>
      <c r="I69" s="149" cm="1">
        <f t="array" ref="I69">MEDIAN(IF($N$40:$N$44,I60:I64))</f>
        <v>1.39</v>
      </c>
      <c r="J69" s="2" cm="1">
        <f t="array" ref="J69">MEDIAN(IF($N$40:$N$44,J60:J64))</f>
        <v>0.37380000000000002</v>
      </c>
    </row>
    <row r="70" spans="2:17">
      <c r="B70" t="s">
        <v>1027</v>
      </c>
      <c r="G70" s="149" cm="1">
        <f t="array" ref="G70">+AVERAGE(IF($N$40:$N$44,G60:G64))</f>
        <v>0.86835300424488515</v>
      </c>
      <c r="H70" s="154" cm="1">
        <f t="array" ref="H70">+AVERAGE(IF($N$40:$N$44,H60:H64))</f>
        <v>0.62839999999999996</v>
      </c>
      <c r="I70" s="380" cm="1">
        <f t="array" ref="I70">+AVERAGE(IF($N$40:$N$44,I60:I64))</f>
        <v>1.2533333333333332</v>
      </c>
      <c r="J70" s="154" cm="1">
        <f t="array" ref="J70">+AVERAGE(IF($N$40:$N$44,J60:J64))</f>
        <v>0.36480000000000001</v>
      </c>
    </row>
    <row r="73" spans="2:17">
      <c r="E73" t="s">
        <v>1032</v>
      </c>
    </row>
    <row r="74" spans="2:17" ht="18.75">
      <c r="B74" s="4" t="s">
        <v>995</v>
      </c>
    </row>
    <row r="75" spans="2:17" ht="15.75">
      <c r="B75" s="5" t="s">
        <v>1031</v>
      </c>
    </row>
    <row r="77" spans="2:17" ht="60">
      <c r="B77" s="379" t="s">
        <v>1013</v>
      </c>
      <c r="C77" s="373"/>
      <c r="D77" s="377" t="s">
        <v>1014</v>
      </c>
      <c r="E77" s="378" t="s">
        <v>1015</v>
      </c>
      <c r="F77" s="378" t="s">
        <v>1016</v>
      </c>
      <c r="G77" s="378" t="s">
        <v>765</v>
      </c>
      <c r="H77" s="378" t="s">
        <v>1029</v>
      </c>
      <c r="I77" s="378" t="s">
        <v>1003</v>
      </c>
      <c r="J77" s="378" t="s">
        <v>1030</v>
      </c>
      <c r="L77" s="378" t="s">
        <v>1020</v>
      </c>
      <c r="N77" s="378" t="s">
        <v>1023</v>
      </c>
    </row>
    <row r="78" spans="2:17">
      <c r="P78" t="s">
        <v>1022</v>
      </c>
      <c r="Q78" s="315">
        <v>0.25</v>
      </c>
    </row>
    <row r="79" spans="2:17">
      <c r="B79" t="s">
        <v>1019</v>
      </c>
      <c r="E79">
        <v>60</v>
      </c>
      <c r="F79">
        <v>330063</v>
      </c>
      <c r="G79" s="149">
        <f>I79/(1+(H79*(1-$Q$39)))</f>
        <v>0.98190183304333756</v>
      </c>
      <c r="H79" s="154">
        <v>0.31419999999999998</v>
      </c>
      <c r="I79" s="149">
        <f>0.333+0.6333*(I40)</f>
        <v>1.213287</v>
      </c>
      <c r="J79" s="154">
        <v>0.22839999999999999</v>
      </c>
      <c r="L79" t="s">
        <v>1022</v>
      </c>
      <c r="N79" s="200" t="str">
        <f>IF(L79="y","TRUE","FALSE")</f>
        <v>TRUE</v>
      </c>
      <c r="P79" t="s">
        <v>1021</v>
      </c>
    </row>
    <row r="80" spans="2:17">
      <c r="B80" t="s">
        <v>540</v>
      </c>
      <c r="E80">
        <v>60</v>
      </c>
      <c r="F80">
        <v>153514</v>
      </c>
      <c r="G80" s="149">
        <f>I80/(1+(H80*(1-$Q$39)))</f>
        <v>1.3564027448533997</v>
      </c>
      <c r="H80" s="154">
        <v>2.5000000000000001E-3</v>
      </c>
      <c r="I80" s="149">
        <f>0.333+0.6333*(I41)</f>
        <v>1.358946</v>
      </c>
      <c r="J80" s="154">
        <v>2.48E-3</v>
      </c>
      <c r="L80" t="s">
        <v>1021</v>
      </c>
      <c r="N80" s="200" t="str">
        <f>IF(L80="y","TRUE","FALSE")</f>
        <v>FALSE</v>
      </c>
    </row>
    <row r="81" spans="2:14">
      <c r="B81" t="s">
        <v>541</v>
      </c>
      <c r="E81">
        <v>60</v>
      </c>
      <c r="F81">
        <v>45621</v>
      </c>
      <c r="G81" s="149">
        <f>I81/(1+(H81*(1-$Q$39)))</f>
        <v>1.3822668018033759</v>
      </c>
      <c r="H81" s="154">
        <v>1.9400000000000001E-3</v>
      </c>
      <c r="I81" s="149">
        <f>0.333+0.6333*(I42)</f>
        <v>1.3842779999999999</v>
      </c>
      <c r="J81" s="154">
        <v>1.9400000000000001E-3</v>
      </c>
      <c r="L81" t="s">
        <v>1021</v>
      </c>
      <c r="N81" s="200" t="str">
        <f>IF(L81="y","TRUE","FALSE")</f>
        <v>FALSE</v>
      </c>
    </row>
    <row r="82" spans="2:14">
      <c r="B82" t="s">
        <v>542</v>
      </c>
      <c r="E82">
        <v>60</v>
      </c>
      <c r="F82">
        <v>36300</v>
      </c>
      <c r="G82" s="149">
        <f>I82/(1+(H82*(1-$Q$39)))</f>
        <v>0.70166671485990229</v>
      </c>
      <c r="H82" s="154">
        <v>0.97219999999999995</v>
      </c>
      <c r="I82" s="149">
        <f>0.333+0.6333*(I43)</f>
        <v>1.213287</v>
      </c>
      <c r="J82" s="154">
        <v>0.49220000000000003</v>
      </c>
      <c r="L82" t="s">
        <v>1022</v>
      </c>
      <c r="N82" s="200" t="str">
        <f>IF(L82="y","TRUE","FALSE")</f>
        <v>TRUE</v>
      </c>
    </row>
    <row r="83" spans="2:14">
      <c r="B83" t="s">
        <v>543</v>
      </c>
      <c r="E83">
        <v>60</v>
      </c>
      <c r="F83">
        <v>19610</v>
      </c>
      <c r="G83" s="149">
        <f>I83/(1+(H83*(1-$Q$39)))</f>
        <v>0.65808708853771292</v>
      </c>
      <c r="H83" s="154">
        <v>0.5988</v>
      </c>
      <c r="I83" s="149">
        <f>0.333+0.6333*(I44)</f>
        <v>0.95363399999999987</v>
      </c>
      <c r="J83" s="154">
        <v>0.37380000000000002</v>
      </c>
      <c r="L83" t="s">
        <v>1022</v>
      </c>
      <c r="N83" s="200" t="str">
        <f>IF(L83="y","TRUE","FALSE")</f>
        <v>TRUE</v>
      </c>
    </row>
    <row r="85" spans="2:14">
      <c r="B85" t="s">
        <v>1025</v>
      </c>
      <c r="G85" s="149">
        <f>MEDIAN(G79:G83)</f>
        <v>0.98190183304333756</v>
      </c>
      <c r="H85" s="2">
        <f>MEDIAN(H79:H83)</f>
        <v>0.31419999999999998</v>
      </c>
      <c r="I85" s="149">
        <f>MEDIAN(I79:I83)</f>
        <v>1.213287</v>
      </c>
      <c r="J85" s="2">
        <f>MEDIAN(J79:J83)</f>
        <v>0.22839999999999999</v>
      </c>
    </row>
    <row r="86" spans="2:14">
      <c r="B86" t="s">
        <v>1024</v>
      </c>
      <c r="G86" s="149">
        <f>AVERAGE(G79:G83)</f>
        <v>1.0160650366195458</v>
      </c>
      <c r="H86" s="2">
        <f>AVERAGE(H79:H83)</f>
        <v>0.37792799999999999</v>
      </c>
      <c r="I86" s="149">
        <f>AVERAGE(I79:I83)</f>
        <v>1.2246864</v>
      </c>
      <c r="J86" s="2">
        <f>AVERAGE(J79:J83)</f>
        <v>0.21976399999999999</v>
      </c>
    </row>
    <row r="88" spans="2:14">
      <c r="B88" t="s">
        <v>1026</v>
      </c>
      <c r="G88" s="149" cm="1">
        <f t="array" ref="G88">MEDIAN(IF($N$40:$N$44,G79:G83))</f>
        <v>0.70166671485990229</v>
      </c>
      <c r="H88" s="2" cm="1">
        <f t="array" ref="H88">MEDIAN(IF($N$40:$N$44,H79:H83))</f>
        <v>0.5988</v>
      </c>
      <c r="I88" s="149" cm="1">
        <f t="array" ref="I88">MEDIAN(IF($N$40:$N$44,I79:I83))</f>
        <v>1.213287</v>
      </c>
      <c r="J88" s="2" cm="1">
        <f t="array" ref="J88">MEDIAN(IF($N$40:$N$44,J79:J83))</f>
        <v>0.37380000000000002</v>
      </c>
    </row>
    <row r="89" spans="2:14">
      <c r="B89" t="s">
        <v>1027</v>
      </c>
      <c r="G89" s="149" cm="1">
        <f t="array" ref="G89">+AVERAGE(IF($N$40:$N$44,G79:G83))</f>
        <v>0.78055187881365085</v>
      </c>
      <c r="H89" s="154" cm="1">
        <f t="array" ref="H89">+AVERAGE(IF($N$40:$N$44,H79:H83))</f>
        <v>0.62839999999999996</v>
      </c>
      <c r="I89" s="380" cm="1">
        <f t="array" ref="I89">+AVERAGE(IF($N$40:$N$44,I79:I83))</f>
        <v>1.126736</v>
      </c>
      <c r="J89" s="154" cm="1">
        <f t="array" ref="J89">+AVERAGE(IF($N$40:$N$44,J79:J83))</f>
        <v>0.36480000000000001</v>
      </c>
    </row>
    <row r="91" spans="2:14">
      <c r="B91" t="s">
        <v>1033</v>
      </c>
    </row>
  </sheetData>
  <mergeCells count="5">
    <mergeCell ref="H11:H13"/>
    <mergeCell ref="H23:H25"/>
    <mergeCell ref="H17:H19"/>
    <mergeCell ref="B29:B31"/>
    <mergeCell ref="H29:H31"/>
  </mergeCells>
  <dataValidations disablePrompts="1" count="1">
    <dataValidation type="list" allowBlank="1" showInputMessage="1" showErrorMessage="1" sqref="L40:L44 L60:L64 L79:L83" xr:uid="{AE402BE6-A2F5-4CEB-8879-BD17CB741DDF}">
      <formula1>$P$39:$P$40</formula1>
    </dataValidation>
  </dataValidations>
  <pageMargins left="0.7" right="0.7" top="0.75" bottom="0.75" header="0.3" footer="0.3"/>
  <pageSetup orientation="portrait" r:id="rId1"/>
  <ignoredErrors>
    <ignoredError sqref="E9:F9" formula="1"/>
  </ignoredError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C8929-7580-474A-979B-CD806A002EF3}">
  <sheetPr codeName="Sheet1"/>
  <dimension ref="A2:V207"/>
  <sheetViews>
    <sheetView showGridLines="0" topLeftCell="I1" zoomScale="70" zoomScaleNormal="70" workbookViewId="0">
      <pane ySplit="12" topLeftCell="A161" activePane="bottomLeft" state="frozen"/>
      <selection pane="bottomLeft" activeCell="K188" sqref="K188"/>
    </sheetView>
  </sheetViews>
  <sheetFormatPr defaultColWidth="8.85546875" defaultRowHeight="15" outlineLevelRow="1"/>
  <cols>
    <col min="1" max="1" width="1.85546875" style="3" customWidth="1"/>
    <col min="2" max="2" width="51.140625" style="3" bestFit="1" customWidth="1"/>
    <col min="3" max="19" width="11.7109375" style="3" customWidth="1"/>
    <col min="20" max="21" width="8.85546875" style="3"/>
    <col min="22" max="22" width="19.5703125" style="3" customWidth="1"/>
    <col min="23" max="16384" width="8.85546875" style="3"/>
  </cols>
  <sheetData>
    <row r="2" spans="1:22" ht="18.75">
      <c r="B2" s="4" t="s">
        <v>995</v>
      </c>
    </row>
    <row r="3" spans="1:22" ht="15.75">
      <c r="B3" s="5" t="s">
        <v>17</v>
      </c>
      <c r="V3" s="158"/>
    </row>
    <row r="4" spans="1:22" ht="15.75">
      <c r="B4" s="5"/>
      <c r="I4" s="3" t="s">
        <v>18</v>
      </c>
      <c r="J4" s="3">
        <v>3</v>
      </c>
      <c r="V4" s="158"/>
    </row>
    <row r="5" spans="1:22" ht="15.75">
      <c r="B5" s="5"/>
      <c r="V5" s="158"/>
    </row>
    <row r="6" spans="1:22" ht="15.75">
      <c r="B6" s="5"/>
      <c r="V6" s="158"/>
    </row>
    <row r="7" spans="1:22" ht="15.75">
      <c r="B7" s="5"/>
      <c r="V7" s="158"/>
    </row>
    <row r="8" spans="1:22" ht="15.75">
      <c r="B8" s="5"/>
      <c r="V8" s="158"/>
    </row>
    <row r="9" spans="1:22">
      <c r="V9" s="504" t="s">
        <v>1223</v>
      </c>
    </row>
    <row r="10" spans="1:22">
      <c r="C10" s="6"/>
      <c r="D10" s="6"/>
      <c r="E10" s="6"/>
      <c r="F10" s="6" t="s">
        <v>19</v>
      </c>
      <c r="G10" s="6"/>
      <c r="H10" s="6"/>
      <c r="I10" s="6"/>
      <c r="J10" s="6"/>
      <c r="K10" s="557" t="s">
        <v>1133</v>
      </c>
      <c r="L10" s="557"/>
      <c r="M10" s="557"/>
      <c r="N10" s="557"/>
      <c r="O10" s="456"/>
      <c r="P10" s="457" t="s">
        <v>1128</v>
      </c>
      <c r="Q10" s="456"/>
      <c r="R10" s="456"/>
      <c r="S10" s="456"/>
      <c r="V10" s="160" t="s">
        <v>228</v>
      </c>
    </row>
    <row r="11" spans="1:22">
      <c r="C11" s="7">
        <v>2017</v>
      </c>
      <c r="D11" s="7">
        <f>C11+1</f>
        <v>2018</v>
      </c>
      <c r="E11" s="7">
        <f>D11+1</f>
        <v>2019</v>
      </c>
      <c r="F11" s="7">
        <f>E11+1</f>
        <v>2020</v>
      </c>
      <c r="G11" s="7">
        <f>F11+1</f>
        <v>2021</v>
      </c>
      <c r="H11" s="7">
        <f>G11+1</f>
        <v>2022</v>
      </c>
      <c r="I11" s="7">
        <v>2023</v>
      </c>
      <c r="J11" s="7">
        <f t="shared" ref="J11:S11" si="0">I11+1</f>
        <v>2024</v>
      </c>
      <c r="K11" s="7">
        <f t="shared" si="0"/>
        <v>2025</v>
      </c>
      <c r="L11" s="7">
        <f t="shared" si="0"/>
        <v>2026</v>
      </c>
      <c r="M11" s="7">
        <f t="shared" si="0"/>
        <v>2027</v>
      </c>
      <c r="N11" s="7">
        <f t="shared" si="0"/>
        <v>2028</v>
      </c>
      <c r="O11" s="7">
        <f t="shared" si="0"/>
        <v>2029</v>
      </c>
      <c r="P11" s="7">
        <f t="shared" si="0"/>
        <v>2030</v>
      </c>
      <c r="Q11" s="7">
        <f t="shared" si="0"/>
        <v>2031</v>
      </c>
      <c r="R11" s="7">
        <f t="shared" si="0"/>
        <v>2032</v>
      </c>
      <c r="S11" s="7">
        <f t="shared" si="0"/>
        <v>2033</v>
      </c>
      <c r="V11" s="158" t="s">
        <v>0</v>
      </c>
    </row>
    <row r="12" spans="1:22">
      <c r="B12" s="8" t="s">
        <v>20</v>
      </c>
      <c r="C12" s="9"/>
      <c r="D12" s="9"/>
      <c r="E12" s="9"/>
      <c r="F12" s="9"/>
      <c r="G12" s="9"/>
      <c r="H12" s="9"/>
      <c r="I12" s="9"/>
      <c r="J12" s="9"/>
      <c r="K12" s="9"/>
      <c r="L12" s="9"/>
      <c r="M12" s="9"/>
    </row>
    <row r="14" spans="1:22">
      <c r="A14" s="3" t="s">
        <v>21</v>
      </c>
      <c r="B14" s="10" t="s">
        <v>753</v>
      </c>
      <c r="C14" s="11"/>
      <c r="D14" s="11"/>
      <c r="E14" s="11"/>
      <c r="F14" s="11"/>
      <c r="G14" s="11"/>
      <c r="H14" s="11"/>
      <c r="I14" s="11"/>
      <c r="J14" s="11"/>
      <c r="K14" s="11"/>
      <c r="L14" s="11"/>
      <c r="M14" s="11"/>
      <c r="N14" s="11"/>
      <c r="O14" s="11"/>
      <c r="P14" s="11"/>
      <c r="Q14" s="11"/>
      <c r="R14" s="11"/>
      <c r="S14" s="11"/>
    </row>
    <row r="16" spans="1:22">
      <c r="B16" s="12"/>
      <c r="C16" s="13"/>
      <c r="D16" s="13"/>
      <c r="E16" s="13"/>
      <c r="F16" s="13"/>
      <c r="G16" s="13"/>
      <c r="H16" s="13"/>
      <c r="I16" s="13"/>
      <c r="J16" s="13"/>
      <c r="K16" s="13"/>
      <c r="L16" s="13"/>
      <c r="M16" s="13"/>
      <c r="N16" s="13"/>
      <c r="O16" s="13"/>
      <c r="P16" s="13"/>
      <c r="Q16" s="13"/>
      <c r="R16" s="13"/>
      <c r="S16" s="13"/>
    </row>
    <row r="17" spans="1:19">
      <c r="B17" s="9"/>
      <c r="C17" s="9"/>
      <c r="D17" s="9"/>
      <c r="E17" s="9"/>
      <c r="F17" s="9"/>
      <c r="G17" s="9"/>
      <c r="H17" s="9"/>
      <c r="I17" s="9"/>
      <c r="J17" s="9"/>
      <c r="K17" s="9"/>
      <c r="L17" s="9"/>
      <c r="M17" s="9"/>
    </row>
    <row r="18" spans="1:19">
      <c r="B18" s="14" t="s">
        <v>475</v>
      </c>
      <c r="C18" s="202"/>
      <c r="N18" s="21"/>
      <c r="O18" s="21"/>
      <c r="P18" s="21"/>
      <c r="Q18" s="21"/>
      <c r="R18" s="21"/>
      <c r="S18" s="21"/>
    </row>
    <row r="19" spans="1:19">
      <c r="B19" s="15" t="s">
        <v>22</v>
      </c>
      <c r="C19" s="159">
        <f>'Company Information'!G9</f>
        <v>0.49156414762741663</v>
      </c>
      <c r="D19" s="159">
        <f>'Company Information'!H9</f>
        <v>0.1587133262636975</v>
      </c>
      <c r="E19" s="159">
        <f>'Company Information'!I9</f>
        <v>0.27668293675005073</v>
      </c>
      <c r="F19" s="159">
        <f>'Company Information'!J9</f>
        <v>2.4930505221069099E-2</v>
      </c>
      <c r="G19" s="159">
        <f>'Company Information'!K9</f>
        <v>5.3761686055999958E-2</v>
      </c>
      <c r="H19" s="159">
        <f>'Company Information'!L9</f>
        <v>0.10689027043371158</v>
      </c>
      <c r="I19" s="159">
        <f>'Company Information'!M9</f>
        <v>0.18945839524022112</v>
      </c>
      <c r="J19" s="159">
        <f>'Company Information'!N9</f>
        <v>0.14946198614215223</v>
      </c>
      <c r="K19" s="17">
        <v>0.14949999999999999</v>
      </c>
      <c r="L19" s="17">
        <f>K19-($K$19-$S$19)/8</f>
        <v>0.14203749999999998</v>
      </c>
      <c r="M19" s="17">
        <f t="shared" ref="M19:R19" si="1">L19-($K$19-$S$19)/8</f>
        <v>0.13457499999999997</v>
      </c>
      <c r="N19" s="17">
        <f t="shared" si="1"/>
        <v>0.12711249999999996</v>
      </c>
      <c r="O19" s="17">
        <f t="shared" si="1"/>
        <v>0.11964999999999996</v>
      </c>
      <c r="P19" s="17">
        <f t="shared" si="1"/>
        <v>0.11218749999999997</v>
      </c>
      <c r="Q19" s="17">
        <f t="shared" si="1"/>
        <v>0.10472499999999997</v>
      </c>
      <c r="R19" s="17">
        <f t="shared" si="1"/>
        <v>9.7262499999999974E-2</v>
      </c>
      <c r="S19" s="17">
        <v>8.9800000000000005E-2</v>
      </c>
    </row>
    <row r="20" spans="1:19">
      <c r="B20" s="15" t="s">
        <v>480</v>
      </c>
      <c r="C20" s="159">
        <f>'Company Information'!G9</f>
        <v>0.49156414762741663</v>
      </c>
      <c r="D20" s="159">
        <f>'Company Information'!H9</f>
        <v>0.1587133262636975</v>
      </c>
      <c r="E20" s="159">
        <f>'Company Information'!I9</f>
        <v>0.27668293675005073</v>
      </c>
      <c r="F20" s="159">
        <f>'Company Information'!J9</f>
        <v>2.4930505221069099E-2</v>
      </c>
      <c r="G20" s="159">
        <f>'Company Information'!K9</f>
        <v>5.3761686055999958E-2</v>
      </c>
      <c r="H20" s="159">
        <f>'Company Information'!L9</f>
        <v>0.10689027043371158</v>
      </c>
      <c r="I20" s="159">
        <f>'Company Information'!M9</f>
        <v>0.18945839524022112</v>
      </c>
      <c r="J20" s="159">
        <f>'Company Information'!N9</f>
        <v>0.14946198614215223</v>
      </c>
      <c r="K20" s="17">
        <v>0.13500000000000001</v>
      </c>
      <c r="L20" s="17">
        <f>K20-($K$20-$S$20)/8</f>
        <v>0.12935000000000002</v>
      </c>
      <c r="M20" s="17">
        <f t="shared" ref="M20:R20" si="2">L20-($K$20-$S$20)/8</f>
        <v>0.12370000000000002</v>
      </c>
      <c r="N20" s="17">
        <f t="shared" si="2"/>
        <v>0.11805000000000002</v>
      </c>
      <c r="O20" s="17">
        <f t="shared" si="2"/>
        <v>0.11240000000000001</v>
      </c>
      <c r="P20" s="17">
        <f t="shared" si="2"/>
        <v>0.10675000000000001</v>
      </c>
      <c r="Q20" s="17">
        <f t="shared" si="2"/>
        <v>0.10110000000000001</v>
      </c>
      <c r="R20" s="17">
        <f t="shared" si="2"/>
        <v>9.5450000000000007E-2</v>
      </c>
      <c r="S20" s="17">
        <v>8.9800000000000005E-2</v>
      </c>
    </row>
    <row r="21" spans="1:19">
      <c r="B21" s="15" t="s">
        <v>24</v>
      </c>
      <c r="C21" s="159">
        <f>'Company Information'!G9</f>
        <v>0.49156414762741663</v>
      </c>
      <c r="D21" s="159">
        <f>'Company Information'!H9</f>
        <v>0.1587133262636975</v>
      </c>
      <c r="E21" s="159">
        <f>'Company Information'!I9</f>
        <v>0.27668293675005073</v>
      </c>
      <c r="F21" s="159">
        <f>'Company Information'!J9</f>
        <v>2.4930505221069099E-2</v>
      </c>
      <c r="G21" s="159">
        <f>'Company Information'!K9</f>
        <v>5.3761686055999958E-2</v>
      </c>
      <c r="H21" s="159">
        <f>'Company Information'!L9</f>
        <v>0.10689027043371158</v>
      </c>
      <c r="I21" s="159">
        <f>'Company Information'!M9</f>
        <v>0.18945839524022112</v>
      </c>
      <c r="J21" s="159">
        <f>'Company Information'!N9</f>
        <v>0.14946198614215223</v>
      </c>
      <c r="K21" s="17">
        <v>7.9000000000000001E-2</v>
      </c>
      <c r="L21" s="17">
        <v>0.14069999999999999</v>
      </c>
      <c r="M21" s="17">
        <f t="shared" ref="M21:R21" si="3">L21-($L$21-$S$21)/7</f>
        <v>0.13342857142857142</v>
      </c>
      <c r="N21" s="17">
        <f t="shared" si="3"/>
        <v>0.12615714285714286</v>
      </c>
      <c r="O21" s="17">
        <f t="shared" si="3"/>
        <v>0.11888571428571429</v>
      </c>
      <c r="P21" s="17">
        <f t="shared" si="3"/>
        <v>0.11161428571428572</v>
      </c>
      <c r="Q21" s="17">
        <f t="shared" si="3"/>
        <v>0.10434285714285715</v>
      </c>
      <c r="R21" s="17">
        <f t="shared" si="3"/>
        <v>9.7071428571428586E-2</v>
      </c>
      <c r="S21" s="17">
        <v>8.9800000000000005E-2</v>
      </c>
    </row>
    <row r="22" spans="1:19">
      <c r="A22" s="22"/>
      <c r="B22" s="18" t="str">
        <f>"current case - "&amp;CHOOSE($J$4,B27,B28,B29)</f>
        <v>current case - Down case</v>
      </c>
      <c r="C22" s="19"/>
      <c r="D22" s="19"/>
      <c r="E22" s="19"/>
      <c r="F22" s="19"/>
      <c r="G22" s="19"/>
      <c r="H22" s="19"/>
      <c r="I22" s="20"/>
      <c r="J22" s="20"/>
      <c r="K22" s="20">
        <f t="shared" ref="K22:S22" si="4">CHOOSE($J$4,K19,K20,K21)</f>
        <v>7.9000000000000001E-2</v>
      </c>
      <c r="L22" s="20">
        <f t="shared" si="4"/>
        <v>0.14069999999999999</v>
      </c>
      <c r="M22" s="20">
        <f t="shared" si="4"/>
        <v>0.13342857142857142</v>
      </c>
      <c r="N22" s="20">
        <f t="shared" si="4"/>
        <v>0.12615714285714286</v>
      </c>
      <c r="O22" s="20">
        <f t="shared" si="4"/>
        <v>0.11888571428571429</v>
      </c>
      <c r="P22" s="20">
        <f t="shared" si="4"/>
        <v>0.11161428571428572</v>
      </c>
      <c r="Q22" s="20">
        <f t="shared" si="4"/>
        <v>0.10434285714285715</v>
      </c>
      <c r="R22" s="20">
        <f t="shared" si="4"/>
        <v>9.7071428571428586E-2</v>
      </c>
      <c r="S22" s="20">
        <f t="shared" si="4"/>
        <v>8.9800000000000005E-2</v>
      </c>
    </row>
    <row r="23" spans="1:19">
      <c r="A23" s="22"/>
      <c r="B23" s="14"/>
      <c r="I23" s="23"/>
      <c r="J23" s="23"/>
      <c r="K23" s="23"/>
      <c r="L23" s="23"/>
      <c r="M23" s="23"/>
      <c r="N23" s="23"/>
      <c r="O23" s="23"/>
      <c r="P23" s="23"/>
      <c r="Q23" s="23"/>
      <c r="R23" s="23"/>
      <c r="S23" s="23"/>
    </row>
    <row r="24" spans="1:19">
      <c r="A24" s="22"/>
      <c r="B24" s="203" t="s">
        <v>479</v>
      </c>
      <c r="C24" s="11"/>
      <c r="D24" s="11"/>
      <c r="E24" s="11"/>
      <c r="F24" s="11"/>
      <c r="G24" s="11"/>
      <c r="H24" s="11"/>
      <c r="I24" s="11"/>
      <c r="J24" s="11"/>
      <c r="K24" s="11"/>
      <c r="L24" s="11"/>
      <c r="M24" s="11"/>
      <c r="N24" s="11"/>
      <c r="O24" s="11"/>
      <c r="P24" s="11"/>
      <c r="Q24" s="11"/>
      <c r="R24" s="11"/>
      <c r="S24" s="11"/>
    </row>
    <row r="25" spans="1:19">
      <c r="A25" s="22"/>
      <c r="B25" s="14"/>
      <c r="I25" s="23"/>
      <c r="J25" s="23"/>
      <c r="K25" s="23"/>
      <c r="L25" s="23"/>
      <c r="M25" s="23"/>
      <c r="N25" s="23"/>
      <c r="O25" s="23"/>
      <c r="P25" s="23"/>
      <c r="Q25" s="23"/>
      <c r="R25" s="23"/>
      <c r="S25" s="23"/>
    </row>
    <row r="26" spans="1:19">
      <c r="A26" s="22"/>
      <c r="B26" s="14" t="s">
        <v>477</v>
      </c>
      <c r="C26" s="202"/>
      <c r="N26" s="21"/>
      <c r="O26" s="21"/>
      <c r="P26" s="21"/>
      <c r="Q26" s="21"/>
      <c r="R26" s="21"/>
      <c r="S26" s="21"/>
    </row>
    <row r="27" spans="1:19">
      <c r="A27" s="22"/>
      <c r="B27" s="15" t="s">
        <v>22</v>
      </c>
      <c r="C27" s="159">
        <f>'Income Statement'!F21</f>
        <v>0.91869918699186992</v>
      </c>
      <c r="D27" s="159">
        <f>'Income Statement'!G21</f>
        <v>0.92854382753711606</v>
      </c>
      <c r="E27" s="159">
        <f>'Income Statement'!H21</f>
        <v>0.92217381261499487</v>
      </c>
      <c r="F27" s="159">
        <f>'Income Statement'!I21</f>
        <v>0.92500718843012453</v>
      </c>
      <c r="G27" s="159">
        <f>'Income Statement'!J21</f>
        <v>0.92226966673303978</v>
      </c>
      <c r="H27" s="159">
        <f>'Income Statement'!K21</f>
        <v>0.93267417766554961</v>
      </c>
      <c r="I27" s="159">
        <f>'Income Statement'!L21</f>
        <v>0.92328331288824672</v>
      </c>
      <c r="J27" s="159">
        <f>'Income Statement'!M21</f>
        <v>0.92519638993391939</v>
      </c>
      <c r="K27" s="17">
        <v>0.91900000000000004</v>
      </c>
      <c r="L27" s="17">
        <f>K27-($K$27-$S$27)/8</f>
        <v>0.91965000000000008</v>
      </c>
      <c r="M27" s="17">
        <f t="shared" ref="M27:R27" si="5">L27-($K$27-$S$27)/8</f>
        <v>0.92030000000000012</v>
      </c>
      <c r="N27" s="17">
        <f t="shared" si="5"/>
        <v>0.92095000000000016</v>
      </c>
      <c r="O27" s="17">
        <f t="shared" si="5"/>
        <v>0.9216000000000002</v>
      </c>
      <c r="P27" s="17">
        <f t="shared" si="5"/>
        <v>0.92225000000000024</v>
      </c>
      <c r="Q27" s="17">
        <f t="shared" si="5"/>
        <v>0.92290000000000028</v>
      </c>
      <c r="R27" s="17">
        <f t="shared" si="5"/>
        <v>0.92355000000000032</v>
      </c>
      <c r="S27" s="17">
        <v>0.92420000000000002</v>
      </c>
    </row>
    <row r="28" spans="1:19">
      <c r="A28" s="22"/>
      <c r="B28" s="15" t="s">
        <v>480</v>
      </c>
      <c r="C28" s="159">
        <f>'Income Statement'!F21</f>
        <v>0.91869918699186992</v>
      </c>
      <c r="D28" s="159">
        <f>'Income Statement'!G21</f>
        <v>0.92854382753711606</v>
      </c>
      <c r="E28" s="159">
        <f>'Income Statement'!H21</f>
        <v>0.92217381261499487</v>
      </c>
      <c r="F28" s="159">
        <f>'Income Statement'!I21</f>
        <v>0.92500718843012453</v>
      </c>
      <c r="G28" s="159">
        <f>'Income Statement'!J21</f>
        <v>0.92226966673303978</v>
      </c>
      <c r="H28" s="159">
        <f>'Income Statement'!K21</f>
        <v>0.93267417766554961</v>
      </c>
      <c r="I28" s="159">
        <f>'Income Statement'!L21</f>
        <v>0.92328331288824672</v>
      </c>
      <c r="J28" s="159">
        <f>'Income Statement'!M21</f>
        <v>0.92519638993391939</v>
      </c>
      <c r="K28" s="17">
        <v>0.91749999999999998</v>
      </c>
      <c r="L28" s="17">
        <f>K28-($K$28-$S$28)/8</f>
        <v>0.91656249999999995</v>
      </c>
      <c r="M28" s="17">
        <f t="shared" ref="M28:R28" si="6">L28-($K$28-$S$28)/8</f>
        <v>0.91562499999999991</v>
      </c>
      <c r="N28" s="17">
        <f t="shared" si="6"/>
        <v>0.91468749999999988</v>
      </c>
      <c r="O28" s="17">
        <f t="shared" si="6"/>
        <v>0.91374999999999984</v>
      </c>
      <c r="P28" s="17">
        <f t="shared" si="6"/>
        <v>0.9128124999999998</v>
      </c>
      <c r="Q28" s="17">
        <f t="shared" si="6"/>
        <v>0.91187499999999977</v>
      </c>
      <c r="R28" s="17">
        <f t="shared" si="6"/>
        <v>0.91093749999999973</v>
      </c>
      <c r="S28" s="17">
        <v>0.91</v>
      </c>
    </row>
    <row r="29" spans="1:19">
      <c r="A29" s="22"/>
      <c r="B29" s="15" t="s">
        <v>24</v>
      </c>
      <c r="C29" s="159">
        <f>'Income Statement'!F21</f>
        <v>0.91869918699186992</v>
      </c>
      <c r="D29" s="159">
        <f>'Income Statement'!G21</f>
        <v>0.92854382753711606</v>
      </c>
      <c r="E29" s="159">
        <f>'Income Statement'!H21</f>
        <v>0.92217381261499487</v>
      </c>
      <c r="F29" s="159">
        <f>'Income Statement'!I21</f>
        <v>0.92500718843012453</v>
      </c>
      <c r="G29" s="159">
        <f>'Income Statement'!J21</f>
        <v>0.92226966673303978</v>
      </c>
      <c r="H29" s="159">
        <f>'Income Statement'!K21</f>
        <v>0.93267417766554961</v>
      </c>
      <c r="I29" s="159">
        <f>'Income Statement'!L21</f>
        <v>0.92328331288824672</v>
      </c>
      <c r="J29" s="159">
        <f>'Income Statement'!M21</f>
        <v>0.92519638993391939</v>
      </c>
      <c r="K29" s="17">
        <v>0.91749999999999998</v>
      </c>
      <c r="L29" s="17">
        <f>K29-($K$29-$S$29)/8</f>
        <v>0.86606249999999996</v>
      </c>
      <c r="M29" s="17">
        <f t="shared" ref="M29:R29" si="7">L29-($K$29-$S$29)/8</f>
        <v>0.81462499999999993</v>
      </c>
      <c r="N29" s="17">
        <f t="shared" si="7"/>
        <v>0.76318749999999991</v>
      </c>
      <c r="O29" s="17">
        <f t="shared" si="7"/>
        <v>0.71174999999999988</v>
      </c>
      <c r="P29" s="17">
        <f t="shared" si="7"/>
        <v>0.66031249999999986</v>
      </c>
      <c r="Q29" s="17">
        <f t="shared" si="7"/>
        <v>0.60887499999999983</v>
      </c>
      <c r="R29" s="17">
        <f t="shared" si="7"/>
        <v>0.55743749999999981</v>
      </c>
      <c r="S29" s="17">
        <v>0.50600000000000001</v>
      </c>
    </row>
    <row r="30" spans="1:19">
      <c r="A30" s="22"/>
      <c r="B30" s="18" t="str">
        <f>"current case - "&amp;CHOOSE($J$4,B27,B28,B29)</f>
        <v>current case - Down case</v>
      </c>
      <c r="C30" s="19"/>
      <c r="D30" s="19"/>
      <c r="E30" s="19"/>
      <c r="F30" s="19"/>
      <c r="G30" s="19"/>
      <c r="H30" s="19"/>
      <c r="I30" s="20"/>
      <c r="J30" s="20">
        <f t="shared" ref="J30:S30" si="8">CHOOSE($J$4,J27,J28,J29)</f>
        <v>0.92519638993391939</v>
      </c>
      <c r="K30" s="20">
        <f t="shared" si="8"/>
        <v>0.91749999999999998</v>
      </c>
      <c r="L30" s="20">
        <f t="shared" si="8"/>
        <v>0.86606249999999996</v>
      </c>
      <c r="M30" s="20">
        <f t="shared" si="8"/>
        <v>0.81462499999999993</v>
      </c>
      <c r="N30" s="20">
        <f t="shared" si="8"/>
        <v>0.76318749999999991</v>
      </c>
      <c r="O30" s="20">
        <f t="shared" si="8"/>
        <v>0.71174999999999988</v>
      </c>
      <c r="P30" s="20">
        <f t="shared" si="8"/>
        <v>0.66031249999999986</v>
      </c>
      <c r="Q30" s="20">
        <f t="shared" si="8"/>
        <v>0.60887499999999983</v>
      </c>
      <c r="R30" s="20">
        <f t="shared" si="8"/>
        <v>0.55743749999999981</v>
      </c>
      <c r="S30" s="20">
        <f t="shared" si="8"/>
        <v>0.50600000000000001</v>
      </c>
    </row>
    <row r="31" spans="1:19">
      <c r="A31" s="22"/>
      <c r="B31" s="14"/>
      <c r="I31" s="23"/>
      <c r="J31" s="23"/>
      <c r="K31" s="23"/>
      <c r="L31" s="23"/>
      <c r="M31" s="23"/>
      <c r="N31" s="23"/>
      <c r="O31" s="23"/>
      <c r="P31" s="23"/>
      <c r="Q31" s="23"/>
      <c r="R31" s="23"/>
      <c r="S31" s="23"/>
    </row>
    <row r="32" spans="1:19">
      <c r="A32" s="22"/>
      <c r="B32" s="14" t="s">
        <v>476</v>
      </c>
      <c r="C32" s="121">
        <f>1-C29</f>
        <v>8.1300813008130079E-2</v>
      </c>
      <c r="D32" s="121">
        <f t="shared" ref="D32:I32" si="9">1-D29</f>
        <v>7.1456172462883938E-2</v>
      </c>
      <c r="E32" s="121">
        <f t="shared" si="9"/>
        <v>7.782618738500513E-2</v>
      </c>
      <c r="F32" s="121">
        <f t="shared" si="9"/>
        <v>7.4992811569875473E-2</v>
      </c>
      <c r="G32" s="121">
        <f t="shared" si="9"/>
        <v>7.7730333266960216E-2</v>
      </c>
      <c r="H32" s="121">
        <f t="shared" si="9"/>
        <v>6.7325822334450391E-2</v>
      </c>
      <c r="I32" s="121">
        <f t="shared" si="9"/>
        <v>7.6716687111753279E-2</v>
      </c>
      <c r="J32" s="23">
        <f t="shared" ref="J32:S32" si="10">1-J30</f>
        <v>7.4803610066080606E-2</v>
      </c>
      <c r="K32" s="23">
        <f t="shared" si="10"/>
        <v>8.2500000000000018E-2</v>
      </c>
      <c r="L32" s="23">
        <f t="shared" si="10"/>
        <v>0.13393750000000004</v>
      </c>
      <c r="M32" s="23">
        <f t="shared" si="10"/>
        <v>0.18537500000000007</v>
      </c>
      <c r="N32" s="23">
        <f t="shared" si="10"/>
        <v>0.23681250000000009</v>
      </c>
      <c r="O32" s="23">
        <f t="shared" si="10"/>
        <v>0.28825000000000012</v>
      </c>
      <c r="P32" s="23">
        <f t="shared" si="10"/>
        <v>0.33968750000000014</v>
      </c>
      <c r="Q32" s="23">
        <f t="shared" si="10"/>
        <v>0.39112500000000017</v>
      </c>
      <c r="R32" s="23">
        <f t="shared" si="10"/>
        <v>0.44256250000000019</v>
      </c>
      <c r="S32" s="23">
        <f t="shared" si="10"/>
        <v>0.49399999999999999</v>
      </c>
    </row>
    <row r="33" spans="1:19">
      <c r="A33" s="22"/>
      <c r="B33" s="14"/>
      <c r="I33" s="23"/>
      <c r="J33" s="23"/>
      <c r="K33" s="23"/>
      <c r="L33" s="23"/>
      <c r="M33" s="23"/>
      <c r="N33" s="23"/>
      <c r="O33" s="23"/>
      <c r="P33" s="23"/>
      <c r="Q33" s="23"/>
      <c r="R33" s="23"/>
      <c r="S33" s="23"/>
    </row>
    <row r="34" spans="1:19">
      <c r="A34" s="22"/>
      <c r="B34" s="14"/>
      <c r="I34" s="23"/>
      <c r="J34" s="23"/>
      <c r="K34" s="23"/>
      <c r="L34" s="23"/>
      <c r="M34" s="23"/>
      <c r="N34" s="23"/>
      <c r="O34" s="23"/>
      <c r="P34" s="23"/>
      <c r="Q34" s="23"/>
      <c r="R34" s="23"/>
      <c r="S34" s="23"/>
    </row>
    <row r="36" spans="1:19">
      <c r="A36" s="3" t="s">
        <v>21</v>
      </c>
      <c r="B36" s="10" t="s">
        <v>761</v>
      </c>
      <c r="C36" s="11"/>
      <c r="D36" s="11"/>
      <c r="E36" s="11"/>
      <c r="F36" s="11"/>
      <c r="G36" s="11"/>
      <c r="H36" s="11"/>
      <c r="I36" s="11"/>
      <c r="J36" s="11"/>
      <c r="K36" s="11"/>
      <c r="L36" s="11"/>
      <c r="M36" s="11"/>
      <c r="N36" s="11"/>
      <c r="O36" s="11"/>
      <c r="P36" s="11"/>
      <c r="Q36" s="11"/>
      <c r="R36" s="11"/>
      <c r="S36" s="11"/>
    </row>
    <row r="38" spans="1:19">
      <c r="B38" s="14" t="s">
        <v>485</v>
      </c>
      <c r="C38" s="202"/>
      <c r="N38" s="21"/>
      <c r="O38" s="21"/>
      <c r="P38" s="21"/>
      <c r="Q38" s="21"/>
      <c r="R38" s="21"/>
      <c r="S38" s="21"/>
    </row>
    <row r="39" spans="1:19">
      <c r="B39" s="15" t="s">
        <v>22</v>
      </c>
      <c r="C39" s="159">
        <f>'Company Information'!E233</f>
        <v>6.3296806881112291E-2</v>
      </c>
      <c r="D39" s="159">
        <f>'Company Information'!F233</f>
        <v>5.9792556436851739E-2</v>
      </c>
      <c r="E39" s="159">
        <f>'Company Information'!G233</f>
        <v>6.1107615353368012E-2</v>
      </c>
      <c r="F39" s="159">
        <f>'Company Information'!H233</f>
        <v>6.6366695420387173E-2</v>
      </c>
      <c r="G39" s="159">
        <f>'Company Information'!I233</f>
        <v>6.4101713164745527E-2</v>
      </c>
      <c r="H39" s="159">
        <f>'Company Information'!J233</f>
        <v>6.086307640031715E-2</v>
      </c>
      <c r="I39" s="159">
        <f>'Company Information'!K233</f>
        <v>5.477042688220829E-2</v>
      </c>
      <c r="J39" s="159">
        <f>'Company Information'!L233</f>
        <v>5.187134502923977E-2</v>
      </c>
      <c r="K39" s="227">
        <v>6.0299999999999999E-2</v>
      </c>
      <c r="L39" s="227">
        <v>6.0299999999999999E-2</v>
      </c>
      <c r="M39" s="227">
        <v>6.0299999999999999E-2</v>
      </c>
      <c r="N39" s="227">
        <v>6.0299999999999999E-2</v>
      </c>
      <c r="O39" s="227">
        <v>6.0299999999999999E-2</v>
      </c>
      <c r="P39" s="227">
        <v>6.0299999999999999E-2</v>
      </c>
      <c r="Q39" s="227">
        <v>6.0299999999999999E-2</v>
      </c>
      <c r="R39" s="227">
        <v>6.0299999999999999E-2</v>
      </c>
      <c r="S39" s="227">
        <v>6.0299999999999999E-2</v>
      </c>
    </row>
    <row r="40" spans="1:19">
      <c r="B40" s="15" t="s">
        <v>480</v>
      </c>
      <c r="C40" s="159">
        <f>'Company Information'!E233</f>
        <v>6.3296806881112291E-2</v>
      </c>
      <c r="D40" s="159">
        <f>'Company Information'!F233</f>
        <v>5.9792556436851739E-2</v>
      </c>
      <c r="E40" s="159">
        <f>'Company Information'!G233</f>
        <v>6.1107615353368012E-2</v>
      </c>
      <c r="F40" s="159">
        <f>'Company Information'!H233</f>
        <v>6.6366695420387173E-2</v>
      </c>
      <c r="G40" s="159">
        <f>'Company Information'!I233</f>
        <v>6.4101713164745527E-2</v>
      </c>
      <c r="H40" s="159">
        <f>'Company Information'!J233</f>
        <v>6.086307640031715E-2</v>
      </c>
      <c r="I40" s="159">
        <f>'Company Information'!K233</f>
        <v>5.477042688220829E-2</v>
      </c>
      <c r="J40" s="159">
        <f>'Company Information'!L233</f>
        <v>5.187134502923977E-2</v>
      </c>
      <c r="K40" s="227">
        <v>6.0299999999999999E-2</v>
      </c>
      <c r="L40" s="227">
        <v>6.0299999999999999E-2</v>
      </c>
      <c r="M40" s="227">
        <v>6.0299999999999999E-2</v>
      </c>
      <c r="N40" s="227">
        <v>6.0299999999999999E-2</v>
      </c>
      <c r="O40" s="227">
        <v>6.0299999999999999E-2</v>
      </c>
      <c r="P40" s="227">
        <v>6.0299999999999999E-2</v>
      </c>
      <c r="Q40" s="227">
        <v>6.0299999999999999E-2</v>
      </c>
      <c r="R40" s="227">
        <v>6.0299999999999999E-2</v>
      </c>
      <c r="S40" s="227">
        <v>6.0299999999999999E-2</v>
      </c>
    </row>
    <row r="41" spans="1:19">
      <c r="B41" s="15" t="s">
        <v>24</v>
      </c>
      <c r="C41" s="159">
        <f>'Company Information'!E233</f>
        <v>6.3296806881112291E-2</v>
      </c>
      <c r="D41" s="159">
        <f>'Company Information'!F233</f>
        <v>5.9792556436851739E-2</v>
      </c>
      <c r="E41" s="159">
        <f>'Company Information'!G233</f>
        <v>6.1107615353368012E-2</v>
      </c>
      <c r="F41" s="159">
        <f>'Company Information'!H233</f>
        <v>6.6366695420387173E-2</v>
      </c>
      <c r="G41" s="159">
        <f>'Company Information'!I233</f>
        <v>6.4101713164745527E-2</v>
      </c>
      <c r="H41" s="159">
        <f>'Company Information'!J233</f>
        <v>6.086307640031715E-2</v>
      </c>
      <c r="I41" s="159">
        <f>'Company Information'!K233</f>
        <v>5.477042688220829E-2</v>
      </c>
      <c r="J41" s="159">
        <f>'Company Information'!L233</f>
        <v>5.187134502923977E-2</v>
      </c>
      <c r="K41" s="227">
        <v>6.0299999999999999E-2</v>
      </c>
      <c r="L41" s="227">
        <v>6.0299999999999999E-2</v>
      </c>
      <c r="M41" s="227">
        <v>6.0299999999999999E-2</v>
      </c>
      <c r="N41" s="227">
        <v>6.0299999999999999E-2</v>
      </c>
      <c r="O41" s="227">
        <v>6.0299999999999999E-2</v>
      </c>
      <c r="P41" s="227">
        <v>6.0299999999999999E-2</v>
      </c>
      <c r="Q41" s="227">
        <v>6.0299999999999999E-2</v>
      </c>
      <c r="R41" s="227">
        <v>6.0299999999999999E-2</v>
      </c>
      <c r="S41" s="227">
        <v>6.0299999999999999E-2</v>
      </c>
    </row>
    <row r="42" spans="1:19">
      <c r="B42" s="18" t="str">
        <f>"current case - "&amp;CHOOSE($J$4,B39,B40,B41)</f>
        <v>current case - Down case</v>
      </c>
      <c r="C42" s="19"/>
      <c r="D42" s="19"/>
      <c r="E42" s="19"/>
      <c r="F42" s="19"/>
      <c r="G42" s="19"/>
      <c r="H42" s="19"/>
      <c r="I42" s="20"/>
      <c r="J42" s="228">
        <f t="shared" ref="J42:S42" si="11">CHOOSE($J$4,J39,J40,J41)</f>
        <v>5.187134502923977E-2</v>
      </c>
      <c r="K42" s="228">
        <f t="shared" si="11"/>
        <v>6.0299999999999999E-2</v>
      </c>
      <c r="L42" s="228">
        <f t="shared" si="11"/>
        <v>6.0299999999999999E-2</v>
      </c>
      <c r="M42" s="228">
        <f t="shared" si="11"/>
        <v>6.0299999999999999E-2</v>
      </c>
      <c r="N42" s="228">
        <f t="shared" si="11"/>
        <v>6.0299999999999999E-2</v>
      </c>
      <c r="O42" s="228">
        <f t="shared" si="11"/>
        <v>6.0299999999999999E-2</v>
      </c>
      <c r="P42" s="228">
        <f t="shared" si="11"/>
        <v>6.0299999999999999E-2</v>
      </c>
      <c r="Q42" s="228">
        <f t="shared" si="11"/>
        <v>6.0299999999999999E-2</v>
      </c>
      <c r="R42" s="228">
        <f t="shared" si="11"/>
        <v>6.0299999999999999E-2</v>
      </c>
      <c r="S42" s="228">
        <f t="shared" si="11"/>
        <v>6.0299999999999999E-2</v>
      </c>
    </row>
    <row r="43" spans="1:19">
      <c r="B43" s="14"/>
      <c r="I43" s="23"/>
      <c r="J43" s="23"/>
      <c r="K43" s="23"/>
      <c r="L43" s="23"/>
      <c r="M43" s="23"/>
      <c r="N43" s="23"/>
      <c r="O43" s="23"/>
      <c r="P43" s="23"/>
      <c r="Q43" s="23"/>
      <c r="R43" s="23"/>
      <c r="S43" s="23"/>
    </row>
    <row r="44" spans="1:19">
      <c r="B44" s="14" t="s">
        <v>516</v>
      </c>
      <c r="C44" s="202"/>
      <c r="N44" s="21"/>
      <c r="O44" s="21"/>
      <c r="P44" s="21"/>
      <c r="Q44" s="21"/>
      <c r="R44" s="21"/>
      <c r="S44" s="21"/>
    </row>
    <row r="45" spans="1:19">
      <c r="B45" s="15" t="s">
        <v>22</v>
      </c>
      <c r="C45" s="159">
        <f>'Company Information'!E236</f>
        <v>0.17017791917049604</v>
      </c>
      <c r="D45" s="159">
        <f>'Company Information'!F236</f>
        <v>0.20131177547284931</v>
      </c>
      <c r="E45" s="159">
        <f>'Company Information'!G236</f>
        <v>0.24632613561239039</v>
      </c>
      <c r="F45" s="159">
        <f>'Company Information'!H236</f>
        <v>0.21003427132632363</v>
      </c>
      <c r="G45" s="159">
        <f>'Company Information'!I236</f>
        <v>0.17684019557954822</v>
      </c>
      <c r="H45" s="159">
        <f>'Company Information'!J236</f>
        <v>0.24120033846133346</v>
      </c>
      <c r="I45" s="159">
        <f>'Company Information'!K236</f>
        <v>0.34060394226083446</v>
      </c>
      <c r="J45" s="159">
        <f>'Company Information'!L236</f>
        <v>0.3092202729044834</v>
      </c>
      <c r="K45" s="227">
        <v>0.23699999999999999</v>
      </c>
      <c r="L45" s="227">
        <v>0.23699999999999999</v>
      </c>
      <c r="M45" s="227">
        <v>0.23699999999999999</v>
      </c>
      <c r="N45" s="227">
        <v>0.23699999999999999</v>
      </c>
      <c r="O45" s="227">
        <v>0.23699999999999999</v>
      </c>
      <c r="P45" s="227">
        <v>0.23699999999999999</v>
      </c>
      <c r="Q45" s="227">
        <v>0.23699999999999999</v>
      </c>
      <c r="R45" s="227">
        <v>0.23699999999999999</v>
      </c>
      <c r="S45" s="227">
        <v>0.23699999999999999</v>
      </c>
    </row>
    <row r="46" spans="1:19">
      <c r="B46" s="15" t="s">
        <v>480</v>
      </c>
      <c r="C46" s="159">
        <f>'Company Information'!E236</f>
        <v>0.17017791917049604</v>
      </c>
      <c r="D46" s="159">
        <f>'Company Information'!F236</f>
        <v>0.20131177547284931</v>
      </c>
      <c r="E46" s="159">
        <f>'Company Information'!G236</f>
        <v>0.24632613561239039</v>
      </c>
      <c r="F46" s="159">
        <f>'Company Information'!H236</f>
        <v>0.21003427132632363</v>
      </c>
      <c r="G46" s="159">
        <f>'Company Information'!I236</f>
        <v>0.17684019557954822</v>
      </c>
      <c r="H46" s="159">
        <f>'Company Information'!J236</f>
        <v>0.24120033846133346</v>
      </c>
      <c r="I46" s="159">
        <f>'Company Information'!K236</f>
        <v>0.34060394226083446</v>
      </c>
      <c r="J46" s="159">
        <f>'Company Information'!L236</f>
        <v>0.3092202729044834</v>
      </c>
      <c r="K46" s="227">
        <v>0.23699999999999999</v>
      </c>
      <c r="L46" s="227">
        <v>0.23699999999999999</v>
      </c>
      <c r="M46" s="227">
        <v>0.23699999999999999</v>
      </c>
      <c r="N46" s="227">
        <v>0.23699999999999999</v>
      </c>
      <c r="O46" s="227">
        <v>0.23699999999999999</v>
      </c>
      <c r="P46" s="227">
        <v>0.23699999999999999</v>
      </c>
      <c r="Q46" s="227">
        <v>0.23699999999999999</v>
      </c>
      <c r="R46" s="227">
        <v>0.23699999999999999</v>
      </c>
      <c r="S46" s="227">
        <v>0.23699999999999999</v>
      </c>
    </row>
    <row r="47" spans="1:19">
      <c r="B47" s="15" t="s">
        <v>24</v>
      </c>
      <c r="C47" s="159">
        <f>'Company Information'!E236</f>
        <v>0.17017791917049604</v>
      </c>
      <c r="D47" s="159">
        <f>'Company Information'!F236</f>
        <v>0.20131177547284931</v>
      </c>
      <c r="E47" s="159">
        <f>'Company Information'!G236</f>
        <v>0.24632613561239039</v>
      </c>
      <c r="F47" s="159">
        <f>'Company Information'!H236</f>
        <v>0.21003427132632363</v>
      </c>
      <c r="G47" s="159">
        <f>'Company Information'!I236</f>
        <v>0.17684019557954822</v>
      </c>
      <c r="H47" s="159">
        <f>'Company Information'!J236</f>
        <v>0.24120033846133346</v>
      </c>
      <c r="I47" s="159">
        <f>'Company Information'!K236</f>
        <v>0.34060394226083446</v>
      </c>
      <c r="J47" s="159">
        <f>'Company Information'!L236</f>
        <v>0.3092202729044834</v>
      </c>
      <c r="K47" s="227">
        <v>0.23699999999999999</v>
      </c>
      <c r="L47" s="227">
        <v>0.23699999999999999</v>
      </c>
      <c r="M47" s="227">
        <v>0.23699999999999999</v>
      </c>
      <c r="N47" s="227">
        <v>0.23699999999999999</v>
      </c>
      <c r="O47" s="227">
        <v>0.23699999999999999</v>
      </c>
      <c r="P47" s="227">
        <v>0.23699999999999999</v>
      </c>
      <c r="Q47" s="227">
        <v>0.23699999999999999</v>
      </c>
      <c r="R47" s="227">
        <v>0.23699999999999999</v>
      </c>
      <c r="S47" s="227">
        <v>0.23699999999999999</v>
      </c>
    </row>
    <row r="48" spans="1:19">
      <c r="B48" s="18" t="str">
        <f>"current case - "&amp;CHOOSE($J$4,B45,B46,B47)</f>
        <v>current case - Down case</v>
      </c>
      <c r="C48" s="19"/>
      <c r="D48" s="19"/>
      <c r="E48" s="19"/>
      <c r="F48" s="19"/>
      <c r="G48" s="19"/>
      <c r="H48" s="19"/>
      <c r="I48" s="20"/>
      <c r="J48" s="228"/>
      <c r="K48" s="228">
        <f t="shared" ref="K48:S48" si="12">CHOOSE($J$4,K45,K46,K47)</f>
        <v>0.23699999999999999</v>
      </c>
      <c r="L48" s="228">
        <f t="shared" si="12"/>
        <v>0.23699999999999999</v>
      </c>
      <c r="M48" s="228">
        <f t="shared" si="12"/>
        <v>0.23699999999999999</v>
      </c>
      <c r="N48" s="228">
        <f t="shared" si="12"/>
        <v>0.23699999999999999</v>
      </c>
      <c r="O48" s="228">
        <f t="shared" si="12"/>
        <v>0.23699999999999999</v>
      </c>
      <c r="P48" s="228">
        <f t="shared" si="12"/>
        <v>0.23699999999999999</v>
      </c>
      <c r="Q48" s="228">
        <f t="shared" si="12"/>
        <v>0.23699999999999999</v>
      </c>
      <c r="R48" s="228">
        <f t="shared" si="12"/>
        <v>0.23699999999999999</v>
      </c>
      <c r="S48" s="228">
        <f t="shared" si="12"/>
        <v>0.23699999999999999</v>
      </c>
    </row>
    <row r="50" spans="2:19">
      <c r="B50" s="14" t="s">
        <v>517</v>
      </c>
      <c r="C50" s="202"/>
      <c r="N50" s="21"/>
      <c r="O50" s="21"/>
      <c r="P50" s="21"/>
      <c r="Q50" s="21"/>
      <c r="R50" s="21"/>
      <c r="S50" s="21"/>
    </row>
    <row r="51" spans="2:19">
      <c r="B51" s="15" t="s">
        <v>22</v>
      </c>
      <c r="C51" s="159">
        <f>'Company Information'!E239</f>
        <v>0.12208082950394721</v>
      </c>
      <c r="D51" s="159">
        <f>'Company Information'!F239</f>
        <v>0.11108399430547082</v>
      </c>
      <c r="E51" s="159">
        <f>'Company Information'!G239</f>
        <v>0.10203187600060534</v>
      </c>
      <c r="F51" s="159">
        <f>'Company Information'!H239</f>
        <v>0.10129858018790945</v>
      </c>
      <c r="G51" s="159">
        <f>'Company Information'!I239</f>
        <v>9.8416631636393137E-2</v>
      </c>
      <c r="H51" s="159">
        <f>'Company Information'!J239</f>
        <v>0.11347116082909701</v>
      </c>
      <c r="I51" s="159">
        <f>'Company Information'!K239</f>
        <v>0.10609039529034824</v>
      </c>
      <c r="J51" s="159">
        <f>'Company Information'!L239</f>
        <v>9.9912280701754383E-2</v>
      </c>
      <c r="K51" s="227">
        <v>0.10680000000000001</v>
      </c>
      <c r="L51" s="227">
        <v>0.10680000000000001</v>
      </c>
      <c r="M51" s="227">
        <v>0.10680000000000001</v>
      </c>
      <c r="N51" s="227">
        <v>0.10680000000000001</v>
      </c>
      <c r="O51" s="227">
        <v>0.10680000000000001</v>
      </c>
      <c r="P51" s="227">
        <v>0.10680000000000001</v>
      </c>
      <c r="Q51" s="227">
        <v>0.10680000000000001</v>
      </c>
      <c r="R51" s="227">
        <v>0.10680000000000001</v>
      </c>
      <c r="S51" s="227">
        <v>0.10680000000000001</v>
      </c>
    </row>
    <row r="52" spans="2:19">
      <c r="B52" s="15" t="s">
        <v>480</v>
      </c>
      <c r="C52" s="159">
        <f>'Company Information'!E239</f>
        <v>0.12208082950394721</v>
      </c>
      <c r="D52" s="159">
        <f>'Company Information'!F239</f>
        <v>0.11108399430547082</v>
      </c>
      <c r="E52" s="159">
        <f>'Company Information'!G239</f>
        <v>0.10203187600060534</v>
      </c>
      <c r="F52" s="159">
        <f>'Company Information'!H239</f>
        <v>0.10129858018790945</v>
      </c>
      <c r="G52" s="159">
        <f>'Company Information'!I239</f>
        <v>9.8416631636393137E-2</v>
      </c>
      <c r="H52" s="159">
        <f>'Company Information'!J239</f>
        <v>0.11347116082909701</v>
      </c>
      <c r="I52" s="159">
        <f>'Company Information'!K239</f>
        <v>0.10609039529034824</v>
      </c>
      <c r="J52" s="159">
        <f>'Company Information'!L239</f>
        <v>9.9912280701754383E-2</v>
      </c>
      <c r="K52" s="227">
        <v>0.10680000000000001</v>
      </c>
      <c r="L52" s="227">
        <v>0.10680000000000001</v>
      </c>
      <c r="M52" s="227">
        <v>0.10680000000000001</v>
      </c>
      <c r="N52" s="227">
        <v>0.10680000000000001</v>
      </c>
      <c r="O52" s="227">
        <v>0.10680000000000001</v>
      </c>
      <c r="P52" s="227">
        <v>0.10680000000000001</v>
      </c>
      <c r="Q52" s="227">
        <v>0.10680000000000001</v>
      </c>
      <c r="R52" s="227">
        <v>0.10680000000000001</v>
      </c>
      <c r="S52" s="227">
        <v>0.10680000000000001</v>
      </c>
    </row>
    <row r="53" spans="2:19">
      <c r="B53" s="15" t="s">
        <v>24</v>
      </c>
      <c r="C53" s="159">
        <f>'Company Information'!E239</f>
        <v>0.12208082950394721</v>
      </c>
      <c r="D53" s="159">
        <f>'Company Information'!F239</f>
        <v>0.11108399430547082</v>
      </c>
      <c r="E53" s="159">
        <f>'Company Information'!G239</f>
        <v>0.10203187600060534</v>
      </c>
      <c r="F53" s="159">
        <f>'Company Information'!H239</f>
        <v>0.10129858018790945</v>
      </c>
      <c r="G53" s="159">
        <f>'Company Information'!I239</f>
        <v>9.8416631636393137E-2</v>
      </c>
      <c r="H53" s="159">
        <f>'Company Information'!J239</f>
        <v>0.11347116082909701</v>
      </c>
      <c r="I53" s="159">
        <f>'Company Information'!K239</f>
        <v>0.10609039529034824</v>
      </c>
      <c r="J53" s="159">
        <f>'Company Information'!L239</f>
        <v>9.9912280701754383E-2</v>
      </c>
      <c r="K53" s="227">
        <v>0.10680000000000001</v>
      </c>
      <c r="L53" s="227">
        <v>0.10680000000000001</v>
      </c>
      <c r="M53" s="227">
        <v>0.10680000000000001</v>
      </c>
      <c r="N53" s="227">
        <v>0.10680000000000001</v>
      </c>
      <c r="O53" s="227">
        <v>0.10680000000000001</v>
      </c>
      <c r="P53" s="227">
        <v>0.10680000000000001</v>
      </c>
      <c r="Q53" s="227">
        <v>0.10680000000000001</v>
      </c>
      <c r="R53" s="227">
        <v>0.10680000000000001</v>
      </c>
      <c r="S53" s="227">
        <v>0.10680000000000001</v>
      </c>
    </row>
    <row r="54" spans="2:19">
      <c r="B54" s="18" t="str">
        <f>"current case - "&amp;CHOOSE($J$4,B51,B52,B53)</f>
        <v>current case - Down case</v>
      </c>
      <c r="C54" s="19"/>
      <c r="D54" s="19"/>
      <c r="E54" s="19"/>
      <c r="F54" s="19"/>
      <c r="G54" s="19"/>
      <c r="H54" s="19"/>
      <c r="I54" s="20"/>
      <c r="J54" s="228"/>
      <c r="K54" s="228">
        <f t="shared" ref="K54:S54" si="13">CHOOSE($J$4,K51,K52,K53)</f>
        <v>0.10680000000000001</v>
      </c>
      <c r="L54" s="228">
        <f t="shared" si="13"/>
        <v>0.10680000000000001</v>
      </c>
      <c r="M54" s="228">
        <f t="shared" si="13"/>
        <v>0.10680000000000001</v>
      </c>
      <c r="N54" s="228">
        <f t="shared" si="13"/>
        <v>0.10680000000000001</v>
      </c>
      <c r="O54" s="228">
        <f t="shared" si="13"/>
        <v>0.10680000000000001</v>
      </c>
      <c r="P54" s="228">
        <f t="shared" si="13"/>
        <v>0.10680000000000001</v>
      </c>
      <c r="Q54" s="228">
        <f t="shared" si="13"/>
        <v>0.10680000000000001</v>
      </c>
      <c r="R54" s="228">
        <f t="shared" si="13"/>
        <v>0.10680000000000001</v>
      </c>
      <c r="S54" s="228">
        <f t="shared" si="13"/>
        <v>0.10680000000000001</v>
      </c>
    </row>
    <row r="56" spans="2:19">
      <c r="B56" s="14" t="s">
        <v>518</v>
      </c>
      <c r="C56" s="202"/>
      <c r="N56" s="21"/>
      <c r="O56" s="21"/>
      <c r="P56" s="21"/>
      <c r="Q56" s="21"/>
      <c r="R56" s="21"/>
      <c r="S56" s="21"/>
    </row>
    <row r="57" spans="2:19">
      <c r="B57" s="15" t="s">
        <v>22</v>
      </c>
      <c r="C57" s="159">
        <f>'Company Information'!E242</f>
        <v>0.24704842700600918</v>
      </c>
      <c r="D57" s="159">
        <f>'Company Information'!F242</f>
        <v>0.2775574537319504</v>
      </c>
      <c r="E57" s="159">
        <f>'Company Information'!G242</f>
        <v>0.25221228365020831</v>
      </c>
      <c r="F57" s="159">
        <f>'Company Information'!H242</f>
        <v>0.22859207796143893</v>
      </c>
      <c r="G57" s="159">
        <f>'Company Information'!I242</f>
        <v>0.2526309579120482</v>
      </c>
      <c r="H57" s="159">
        <f>'Company Information'!J242</f>
        <v>0.2461639938437348</v>
      </c>
      <c r="I57" s="159">
        <f>'Company Information'!K242</f>
        <v>0.2347320013219289</v>
      </c>
      <c r="J57" s="159">
        <f>'Company Information'!L242</f>
        <v>0.22453216374269003</v>
      </c>
      <c r="K57" s="227">
        <v>0.24540000000000001</v>
      </c>
      <c r="L57" s="227">
        <v>0.24540000000000001</v>
      </c>
      <c r="M57" s="227">
        <v>0.24540000000000001</v>
      </c>
      <c r="N57" s="227">
        <v>0.24540000000000001</v>
      </c>
      <c r="O57" s="227">
        <v>0.24540000000000001</v>
      </c>
      <c r="P57" s="227">
        <v>0.24540000000000001</v>
      </c>
      <c r="Q57" s="227">
        <v>0.24540000000000001</v>
      </c>
      <c r="R57" s="227">
        <v>0.24540000000000001</v>
      </c>
      <c r="S57" s="227">
        <v>0.24540000000000001</v>
      </c>
    </row>
    <row r="58" spans="2:19">
      <c r="B58" s="15" t="s">
        <v>480</v>
      </c>
      <c r="C58" s="159">
        <f>'Company Information'!E242</f>
        <v>0.24704842700600918</v>
      </c>
      <c r="D58" s="159">
        <f>'Company Information'!F242</f>
        <v>0.2775574537319504</v>
      </c>
      <c r="E58" s="159">
        <f>'Company Information'!G242</f>
        <v>0.25221228365020831</v>
      </c>
      <c r="F58" s="159">
        <f>'Company Information'!H242</f>
        <v>0.22859207796143893</v>
      </c>
      <c r="G58" s="159">
        <f>'Company Information'!I242</f>
        <v>0.2526309579120482</v>
      </c>
      <c r="H58" s="159">
        <f>'Company Information'!J242</f>
        <v>0.2461639938437348</v>
      </c>
      <c r="I58" s="159">
        <f>'Company Information'!K242</f>
        <v>0.2347320013219289</v>
      </c>
      <c r="J58" s="159">
        <f>'Company Information'!L242</f>
        <v>0.22453216374269003</v>
      </c>
      <c r="K58" s="227">
        <v>0.24540000000000001</v>
      </c>
      <c r="L58" s="227">
        <v>0.24540000000000001</v>
      </c>
      <c r="M58" s="227">
        <v>0.24540000000000001</v>
      </c>
      <c r="N58" s="227">
        <v>0.24540000000000001</v>
      </c>
      <c r="O58" s="227">
        <v>0.24540000000000001</v>
      </c>
      <c r="P58" s="227">
        <v>0.24540000000000001</v>
      </c>
      <c r="Q58" s="227">
        <v>0.24540000000000001</v>
      </c>
      <c r="R58" s="227">
        <v>0.24540000000000001</v>
      </c>
      <c r="S58" s="227">
        <v>0.24540000000000001</v>
      </c>
    </row>
    <row r="59" spans="2:19">
      <c r="B59" s="15" t="s">
        <v>24</v>
      </c>
      <c r="C59" s="159">
        <f>'Company Information'!E242</f>
        <v>0.24704842700600918</v>
      </c>
      <c r="D59" s="159">
        <f>'Company Information'!F242</f>
        <v>0.2775574537319504</v>
      </c>
      <c r="E59" s="159">
        <f>'Company Information'!G242</f>
        <v>0.25221228365020831</v>
      </c>
      <c r="F59" s="159">
        <f>'Company Information'!H242</f>
        <v>0.22859207796143893</v>
      </c>
      <c r="G59" s="159">
        <f>'Company Information'!I242</f>
        <v>0.2526309579120482</v>
      </c>
      <c r="H59" s="159">
        <f>'Company Information'!J242</f>
        <v>0.2461639938437348</v>
      </c>
      <c r="I59" s="159">
        <f>'Company Information'!K242</f>
        <v>0.2347320013219289</v>
      </c>
      <c r="J59" s="159">
        <f>'Company Information'!L242</f>
        <v>0.22453216374269003</v>
      </c>
      <c r="K59" s="227">
        <v>0.24540000000000001</v>
      </c>
      <c r="L59" s="227">
        <v>0.24540000000000001</v>
      </c>
      <c r="M59" s="227">
        <v>0.24540000000000001</v>
      </c>
      <c r="N59" s="227">
        <v>0.24540000000000001</v>
      </c>
      <c r="O59" s="227">
        <v>0.24540000000000001</v>
      </c>
      <c r="P59" s="227">
        <v>0.24540000000000001</v>
      </c>
      <c r="Q59" s="227">
        <v>0.24540000000000001</v>
      </c>
      <c r="R59" s="227">
        <v>0.24540000000000001</v>
      </c>
      <c r="S59" s="227">
        <v>0.24540000000000001</v>
      </c>
    </row>
    <row r="60" spans="2:19">
      <c r="B60" s="18" t="str">
        <f>"current case - "&amp;CHOOSE($J$4,B57,B58,B59)</f>
        <v>current case - Down case</v>
      </c>
      <c r="C60" s="19"/>
      <c r="D60" s="19"/>
      <c r="E60" s="19"/>
      <c r="F60" s="19"/>
      <c r="G60" s="19"/>
      <c r="H60" s="19"/>
      <c r="I60" s="20"/>
      <c r="J60" s="228"/>
      <c r="K60" s="228">
        <f t="shared" ref="K60:S60" si="14">CHOOSE($J$4,K57,K58,K59)</f>
        <v>0.24540000000000001</v>
      </c>
      <c r="L60" s="228">
        <f t="shared" si="14"/>
        <v>0.24540000000000001</v>
      </c>
      <c r="M60" s="228">
        <f t="shared" si="14"/>
        <v>0.24540000000000001</v>
      </c>
      <c r="N60" s="228">
        <f t="shared" si="14"/>
        <v>0.24540000000000001</v>
      </c>
      <c r="O60" s="228">
        <f t="shared" si="14"/>
        <v>0.24540000000000001</v>
      </c>
      <c r="P60" s="228">
        <f t="shared" si="14"/>
        <v>0.24540000000000001</v>
      </c>
      <c r="Q60" s="228">
        <f t="shared" si="14"/>
        <v>0.24540000000000001</v>
      </c>
      <c r="R60" s="228">
        <f t="shared" si="14"/>
        <v>0.24540000000000001</v>
      </c>
      <c r="S60" s="228">
        <f t="shared" si="14"/>
        <v>0.24540000000000001</v>
      </c>
    </row>
    <row r="62" spans="2:19">
      <c r="B62" s="14" t="s">
        <v>16</v>
      </c>
      <c r="C62" s="202"/>
      <c r="N62" s="21"/>
      <c r="O62" s="21"/>
      <c r="P62" s="21"/>
      <c r="Q62" s="21"/>
      <c r="R62" s="21"/>
      <c r="S62" s="21"/>
    </row>
    <row r="63" spans="2:19">
      <c r="B63" s="15" t="s">
        <v>22</v>
      </c>
      <c r="C63" s="159">
        <f>'Company Information'!E245</f>
        <v>3.7127371273712739E-2</v>
      </c>
      <c r="D63" s="159">
        <f>'Company Information'!F245</f>
        <v>2.7354077689648159E-2</v>
      </c>
      <c r="E63" s="159">
        <f>'Company Information'!G245</f>
        <v>3.7937379031294551E-2</v>
      </c>
      <c r="F63" s="159">
        <f>'Company Information'!H245</f>
        <v>2.6943013234482709E-2</v>
      </c>
      <c r="G63" s="159">
        <f>'Company Information'!I245</f>
        <v>2.9395930588434847E-2</v>
      </c>
      <c r="H63" s="159">
        <f>'Company Information'!J245</f>
        <v>2.4185327567942116E-2</v>
      </c>
      <c r="I63" s="159">
        <f>'Company Information'!K245</f>
        <v>2.1643784973701456E-2</v>
      </c>
      <c r="J63" s="159">
        <f>'Company Information'!L245</f>
        <v>2.1028265107212476E-2</v>
      </c>
      <c r="K63" s="227">
        <v>2.8199999999999999E-2</v>
      </c>
      <c r="L63" s="227">
        <v>2.8199999999999999E-2</v>
      </c>
      <c r="M63" s="227">
        <v>2.8199999999999999E-2</v>
      </c>
      <c r="N63" s="227">
        <v>2.8199999999999999E-2</v>
      </c>
      <c r="O63" s="227">
        <v>2.8199999999999999E-2</v>
      </c>
      <c r="P63" s="227">
        <v>2.8199999999999999E-2</v>
      </c>
      <c r="Q63" s="227">
        <v>2.8199999999999999E-2</v>
      </c>
      <c r="R63" s="227">
        <v>2.8199999999999999E-2</v>
      </c>
      <c r="S63" s="227">
        <v>2.8199999999999999E-2</v>
      </c>
    </row>
    <row r="64" spans="2:19">
      <c r="B64" s="15" t="s">
        <v>480</v>
      </c>
      <c r="C64" s="159">
        <f>'Company Information'!E245</f>
        <v>3.7127371273712739E-2</v>
      </c>
      <c r="D64" s="159">
        <f>'Company Information'!F245</f>
        <v>2.7354077689648159E-2</v>
      </c>
      <c r="E64" s="159">
        <f>'Company Information'!G245</f>
        <v>3.7937379031294551E-2</v>
      </c>
      <c r="F64" s="159">
        <f>'Company Information'!H245</f>
        <v>2.6943013234482709E-2</v>
      </c>
      <c r="G64" s="159">
        <f>'Company Information'!I245</f>
        <v>2.9395930588434847E-2</v>
      </c>
      <c r="H64" s="159">
        <f>'Company Information'!J245</f>
        <v>2.4185327567942116E-2</v>
      </c>
      <c r="I64" s="159">
        <f>'Company Information'!K245</f>
        <v>2.1643784973701456E-2</v>
      </c>
      <c r="J64" s="159">
        <f>'Company Information'!L245</f>
        <v>2.1028265107212476E-2</v>
      </c>
      <c r="K64" s="227">
        <v>2.8199999999999999E-2</v>
      </c>
      <c r="L64" s="227">
        <v>2.8199999999999999E-2</v>
      </c>
      <c r="M64" s="227">
        <v>2.8199999999999999E-2</v>
      </c>
      <c r="N64" s="227">
        <v>2.8199999999999999E-2</v>
      </c>
      <c r="O64" s="227">
        <v>2.8199999999999999E-2</v>
      </c>
      <c r="P64" s="227">
        <v>2.8199999999999999E-2</v>
      </c>
      <c r="Q64" s="227">
        <v>2.8199999999999999E-2</v>
      </c>
      <c r="R64" s="227">
        <v>2.8199999999999999E-2</v>
      </c>
      <c r="S64" s="227">
        <v>2.8199999999999999E-2</v>
      </c>
    </row>
    <row r="65" spans="1:19">
      <c r="B65" s="15" t="s">
        <v>24</v>
      </c>
      <c r="C65" s="159">
        <f>'Company Information'!E245</f>
        <v>3.7127371273712739E-2</v>
      </c>
      <c r="D65" s="159">
        <f>'Company Information'!F245</f>
        <v>2.7354077689648159E-2</v>
      </c>
      <c r="E65" s="159">
        <f>'Company Information'!G245</f>
        <v>3.7937379031294551E-2</v>
      </c>
      <c r="F65" s="159">
        <f>'Company Information'!H245</f>
        <v>2.6943013234482709E-2</v>
      </c>
      <c r="G65" s="159">
        <f>'Company Information'!I245</f>
        <v>2.9395930588434847E-2</v>
      </c>
      <c r="H65" s="159">
        <f>'Company Information'!J245</f>
        <v>2.4185327567942116E-2</v>
      </c>
      <c r="I65" s="159">
        <f>'Company Information'!K245</f>
        <v>2.1643784973701456E-2</v>
      </c>
      <c r="J65" s="159">
        <f>'Company Information'!L245</f>
        <v>2.1028265107212476E-2</v>
      </c>
      <c r="K65" s="227">
        <v>2.8199999999999999E-2</v>
      </c>
      <c r="L65" s="227">
        <v>2.8199999999999999E-2</v>
      </c>
      <c r="M65" s="227">
        <v>2.8199999999999999E-2</v>
      </c>
      <c r="N65" s="227">
        <v>2.8199999999999999E-2</v>
      </c>
      <c r="O65" s="227">
        <v>2.8199999999999999E-2</v>
      </c>
      <c r="P65" s="227">
        <v>2.8199999999999999E-2</v>
      </c>
      <c r="Q65" s="227">
        <v>2.8199999999999999E-2</v>
      </c>
      <c r="R65" s="227">
        <v>2.8199999999999999E-2</v>
      </c>
      <c r="S65" s="227">
        <v>2.8199999999999999E-2</v>
      </c>
    </row>
    <row r="66" spans="1:19">
      <c r="B66" s="18" t="str">
        <f>"current case - "&amp;CHOOSE($J$4,B63,B64,B65)</f>
        <v>current case - Down case</v>
      </c>
      <c r="C66" s="19"/>
      <c r="D66" s="19"/>
      <c r="E66" s="19"/>
      <c r="F66" s="19"/>
      <c r="G66" s="19"/>
      <c r="H66" s="19"/>
      <c r="I66" s="20"/>
      <c r="J66" s="228"/>
      <c r="K66" s="228">
        <f t="shared" ref="K66:S66" si="15">CHOOSE($J$4,K63,K64,K65)</f>
        <v>2.8199999999999999E-2</v>
      </c>
      <c r="L66" s="228">
        <f t="shared" si="15"/>
        <v>2.8199999999999999E-2</v>
      </c>
      <c r="M66" s="228">
        <f t="shared" si="15"/>
        <v>2.8199999999999999E-2</v>
      </c>
      <c r="N66" s="228">
        <f t="shared" si="15"/>
        <v>2.8199999999999999E-2</v>
      </c>
      <c r="O66" s="228">
        <f t="shared" si="15"/>
        <v>2.8199999999999999E-2</v>
      </c>
      <c r="P66" s="228">
        <f t="shared" si="15"/>
        <v>2.8199999999999999E-2</v>
      </c>
      <c r="Q66" s="228">
        <f t="shared" si="15"/>
        <v>2.8199999999999999E-2</v>
      </c>
      <c r="R66" s="228">
        <f t="shared" si="15"/>
        <v>2.8199999999999999E-2</v>
      </c>
      <c r="S66" s="228">
        <f t="shared" si="15"/>
        <v>2.8199999999999999E-2</v>
      </c>
    </row>
    <row r="68" spans="1:19">
      <c r="B68" s="229" t="s">
        <v>519</v>
      </c>
      <c r="C68" s="121">
        <f t="shared" ref="C68:J68" si="16">C63+C57+C51+C45+C39</f>
        <v>0.63973135383527746</v>
      </c>
      <c r="D68" s="121">
        <f t="shared" si="16"/>
        <v>0.6770998576367705</v>
      </c>
      <c r="E68" s="121">
        <f t="shared" si="16"/>
        <v>0.69961528964786668</v>
      </c>
      <c r="F68" s="121">
        <f t="shared" si="16"/>
        <v>0.63323463813054193</v>
      </c>
      <c r="G68" s="121">
        <f t="shared" si="16"/>
        <v>0.62138542888116999</v>
      </c>
      <c r="H68" s="121">
        <f t="shared" si="16"/>
        <v>0.68588389710242459</v>
      </c>
      <c r="I68" s="121">
        <f t="shared" si="16"/>
        <v>0.75784055072902134</v>
      </c>
      <c r="J68" s="121">
        <f t="shared" si="16"/>
        <v>0.70656432748538001</v>
      </c>
      <c r="K68" s="121">
        <f t="shared" ref="K68:S68" si="17">K66+K60+K54+K48+K42</f>
        <v>0.67769999999999997</v>
      </c>
      <c r="L68" s="121">
        <f t="shared" si="17"/>
        <v>0.67769999999999997</v>
      </c>
      <c r="M68" s="121">
        <f t="shared" si="17"/>
        <v>0.67769999999999997</v>
      </c>
      <c r="N68" s="121">
        <f t="shared" si="17"/>
        <v>0.67769999999999997</v>
      </c>
      <c r="O68" s="121">
        <f t="shared" si="17"/>
        <v>0.67769999999999997</v>
      </c>
      <c r="P68" s="121">
        <f t="shared" si="17"/>
        <v>0.67769999999999997</v>
      </c>
      <c r="Q68" s="121">
        <f t="shared" si="17"/>
        <v>0.67769999999999997</v>
      </c>
      <c r="R68" s="121">
        <f t="shared" si="17"/>
        <v>0.67769999999999997</v>
      </c>
      <c r="S68" s="121">
        <f t="shared" si="17"/>
        <v>0.67769999999999997</v>
      </c>
    </row>
    <row r="71" spans="1:19">
      <c r="B71" s="14"/>
      <c r="I71" s="23"/>
      <c r="J71" s="23"/>
      <c r="K71" s="23"/>
      <c r="L71" s="23"/>
      <c r="M71" s="23"/>
      <c r="N71" s="23"/>
      <c r="O71" s="23"/>
      <c r="P71" s="23"/>
      <c r="Q71" s="23"/>
      <c r="R71" s="23"/>
      <c r="S71" s="23"/>
    </row>
    <row r="72" spans="1:19">
      <c r="A72" s="3" t="s">
        <v>21</v>
      </c>
      <c r="B72" s="10" t="s">
        <v>760</v>
      </c>
      <c r="C72" s="11"/>
      <c r="D72" s="11"/>
      <c r="E72" s="11"/>
      <c r="F72" s="11"/>
      <c r="G72" s="11"/>
      <c r="H72" s="11"/>
      <c r="I72" s="11"/>
      <c r="J72" s="11"/>
      <c r="K72" s="11"/>
      <c r="L72" s="11"/>
      <c r="M72" s="11"/>
      <c r="N72" s="11"/>
      <c r="O72" s="11"/>
      <c r="P72" s="11"/>
      <c r="Q72" s="11"/>
      <c r="R72" s="11"/>
      <c r="S72" s="11"/>
    </row>
    <row r="74" spans="1:19" outlineLevel="1">
      <c r="B74" s="12" t="s">
        <v>632</v>
      </c>
      <c r="C74" s="13"/>
      <c r="D74" s="13"/>
      <c r="E74" s="13"/>
      <c r="F74" s="13"/>
      <c r="G74" s="13"/>
      <c r="H74" s="13"/>
      <c r="I74" s="13"/>
      <c r="J74" s="13"/>
      <c r="K74" s="13"/>
      <c r="L74" s="13"/>
      <c r="M74" s="13"/>
      <c r="N74" s="13"/>
      <c r="O74" s="13"/>
      <c r="P74" s="13"/>
      <c r="Q74" s="13"/>
      <c r="R74" s="13"/>
      <c r="S74" s="13"/>
    </row>
    <row r="75" spans="1:19" outlineLevel="1">
      <c r="B75" s="9"/>
      <c r="C75" s="9"/>
      <c r="D75" s="9"/>
      <c r="E75" s="9"/>
      <c r="F75" s="9"/>
      <c r="G75" s="9"/>
      <c r="H75" s="9"/>
      <c r="I75" s="9"/>
      <c r="J75" s="9"/>
      <c r="K75" s="9"/>
      <c r="L75" s="9"/>
      <c r="M75" s="9"/>
    </row>
    <row r="76" spans="1:19" outlineLevel="1">
      <c r="B76" s="14" t="s">
        <v>638</v>
      </c>
      <c r="N76" s="21"/>
      <c r="O76" s="21"/>
      <c r="P76" s="21"/>
      <c r="Q76" s="21"/>
      <c r="R76" s="21"/>
      <c r="S76" s="21"/>
    </row>
    <row r="77" spans="1:19" outlineLevel="1">
      <c r="B77" s="15" t="s">
        <v>22</v>
      </c>
      <c r="C77" s="16"/>
      <c r="D77" s="16"/>
      <c r="E77" s="16"/>
      <c r="F77" s="16"/>
      <c r="G77" s="16"/>
      <c r="H77" s="16"/>
      <c r="I77" s="17"/>
      <c r="J77" s="17"/>
      <c r="K77" s="17">
        <v>0.29464815239108155</v>
      </c>
      <c r="L77" s="17">
        <v>0.22758936615087033</v>
      </c>
      <c r="M77" s="17">
        <v>0.18539535485264191</v>
      </c>
      <c r="N77" s="17">
        <v>0.18539535485264191</v>
      </c>
      <c r="O77" s="17">
        <v>0.18539535485264191</v>
      </c>
      <c r="P77" s="17">
        <v>0.18539535485264191</v>
      </c>
      <c r="Q77" s="17">
        <v>0.18539535485264191</v>
      </c>
      <c r="R77" s="17">
        <v>0.18539535485264191</v>
      </c>
      <c r="S77" s="17">
        <v>0.18539535485264191</v>
      </c>
    </row>
    <row r="78" spans="1:19" outlineLevel="1">
      <c r="B78" s="15" t="s">
        <v>480</v>
      </c>
      <c r="C78" s="16"/>
      <c r="D78" s="16"/>
      <c r="E78" s="16"/>
      <c r="F78" s="16"/>
      <c r="G78" s="16"/>
      <c r="H78" s="16"/>
      <c r="I78" s="16"/>
      <c r="J78" s="17"/>
      <c r="K78" s="17">
        <v>0.28719944709863499</v>
      </c>
      <c r="L78" s="17">
        <v>0.22183590697457634</v>
      </c>
      <c r="M78" s="17">
        <v>0.18070856028196713</v>
      </c>
      <c r="N78" s="17">
        <v>0.18070856028196713</v>
      </c>
      <c r="O78" s="17">
        <v>0.18070856028196713</v>
      </c>
      <c r="P78" s="17">
        <v>0.18070856028196713</v>
      </c>
      <c r="Q78" s="17">
        <v>0.18070856028196713</v>
      </c>
      <c r="R78" s="17">
        <v>0.18070856028196713</v>
      </c>
      <c r="S78" s="17">
        <v>0.18070856028196713</v>
      </c>
    </row>
    <row r="79" spans="1:19" outlineLevel="1">
      <c r="B79" s="15" t="s">
        <v>24</v>
      </c>
      <c r="C79" s="16"/>
      <c r="D79" s="16"/>
      <c r="E79" s="16"/>
      <c r="F79" s="16"/>
      <c r="G79" s="16"/>
      <c r="H79" s="16"/>
      <c r="I79" s="16"/>
      <c r="J79" s="17"/>
      <c r="K79" s="17">
        <v>0.28719944709863499</v>
      </c>
      <c r="L79" s="17">
        <v>0.22183590697457634</v>
      </c>
      <c r="M79" s="17">
        <v>0.18070856028196713</v>
      </c>
      <c r="N79" s="17">
        <v>0.18070856028196713</v>
      </c>
      <c r="O79" s="17">
        <v>0.18070856028196713</v>
      </c>
      <c r="P79" s="17">
        <v>0.18070856028196713</v>
      </c>
      <c r="Q79" s="17">
        <v>0.18070856028196713</v>
      </c>
      <c r="R79" s="17">
        <v>0.18070856028196713</v>
      </c>
      <c r="S79" s="17">
        <v>0.18070856028196713</v>
      </c>
    </row>
    <row r="80" spans="1:19" outlineLevel="1">
      <c r="B80" s="18" t="str">
        <f>"current case - "&amp;CHOOSE($J$4,B77,B78,B79)</f>
        <v>current case - Down case</v>
      </c>
      <c r="C80" s="19"/>
      <c r="D80" s="19"/>
      <c r="E80" s="19"/>
      <c r="F80" s="19"/>
      <c r="G80" s="19"/>
      <c r="H80" s="19"/>
      <c r="I80" s="20"/>
      <c r="J80" s="20"/>
      <c r="K80" s="20">
        <f t="shared" ref="K80:S80" si="18">CHOOSE($J$4,K77,K78,K79)</f>
        <v>0.28719944709863499</v>
      </c>
      <c r="L80" s="20">
        <f t="shared" si="18"/>
        <v>0.22183590697457634</v>
      </c>
      <c r="M80" s="20">
        <f t="shared" si="18"/>
        <v>0.18070856028196713</v>
      </c>
      <c r="N80" s="20">
        <f t="shared" si="18"/>
        <v>0.18070856028196713</v>
      </c>
      <c r="O80" s="20">
        <f t="shared" si="18"/>
        <v>0.18070856028196713</v>
      </c>
      <c r="P80" s="20">
        <f t="shared" si="18"/>
        <v>0.18070856028196713</v>
      </c>
      <c r="Q80" s="20">
        <f t="shared" si="18"/>
        <v>0.18070856028196713</v>
      </c>
      <c r="R80" s="20">
        <f t="shared" si="18"/>
        <v>0.18070856028196713</v>
      </c>
      <c r="S80" s="20">
        <f t="shared" si="18"/>
        <v>0.18070856028196713</v>
      </c>
    </row>
    <row r="81" spans="2:19" outlineLevel="1"/>
    <row r="82" spans="2:19" outlineLevel="1">
      <c r="B82" s="12" t="s">
        <v>635</v>
      </c>
      <c r="C82" s="13"/>
      <c r="D82" s="13"/>
      <c r="E82" s="13"/>
      <c r="F82" s="13"/>
      <c r="G82" s="13"/>
      <c r="H82" s="13"/>
      <c r="I82" s="13"/>
      <c r="J82" s="13"/>
      <c r="K82" s="13"/>
      <c r="L82" s="13"/>
      <c r="M82" s="13"/>
      <c r="N82" s="13"/>
      <c r="O82" s="13"/>
      <c r="P82" s="13"/>
      <c r="Q82" s="13"/>
      <c r="R82" s="13"/>
      <c r="S82" s="13"/>
    </row>
    <row r="83" spans="2:19" outlineLevel="1">
      <c r="B83" s="9"/>
      <c r="C83" s="9"/>
      <c r="D83" s="9"/>
      <c r="E83" s="9"/>
      <c r="F83" s="9"/>
      <c r="G83" s="9"/>
      <c r="H83" s="9"/>
      <c r="I83" s="9"/>
      <c r="J83" s="9"/>
      <c r="K83" s="9"/>
      <c r="L83" s="9"/>
      <c r="M83" s="9"/>
    </row>
    <row r="84" spans="2:19" outlineLevel="1">
      <c r="B84" s="14" t="s">
        <v>639</v>
      </c>
      <c r="N84" s="21"/>
      <c r="O84" s="21"/>
      <c r="P84" s="21"/>
      <c r="Q84" s="21"/>
      <c r="R84" s="21"/>
      <c r="S84" s="21"/>
    </row>
    <row r="85" spans="2:19" outlineLevel="1">
      <c r="B85" s="15" t="s">
        <v>22</v>
      </c>
      <c r="C85" s="16"/>
      <c r="D85" s="16"/>
      <c r="E85" s="16"/>
      <c r="F85" s="16"/>
      <c r="G85" s="16"/>
      <c r="H85" s="16"/>
      <c r="I85" s="17"/>
      <c r="J85" s="17"/>
      <c r="K85" s="17">
        <v>0.01</v>
      </c>
      <c r="L85" s="17">
        <v>0</v>
      </c>
      <c r="M85" s="17">
        <v>0</v>
      </c>
      <c r="N85" s="17">
        <v>0</v>
      </c>
      <c r="O85" s="17">
        <v>0</v>
      </c>
      <c r="P85" s="17">
        <v>0</v>
      </c>
      <c r="Q85" s="17">
        <v>0</v>
      </c>
      <c r="R85" s="17">
        <v>0</v>
      </c>
      <c r="S85" s="17">
        <v>0</v>
      </c>
    </row>
    <row r="86" spans="2:19" outlineLevel="1">
      <c r="B86" s="15" t="s">
        <v>23</v>
      </c>
      <c r="C86" s="16"/>
      <c r="D86" s="16"/>
      <c r="E86" s="16"/>
      <c r="F86" s="16"/>
      <c r="G86" s="16"/>
      <c r="H86" s="16"/>
      <c r="I86" s="16"/>
      <c r="J86" s="17"/>
      <c r="K86" s="17">
        <v>0</v>
      </c>
      <c r="L86" s="17">
        <v>0</v>
      </c>
      <c r="M86" s="17">
        <v>0</v>
      </c>
      <c r="N86" s="17">
        <v>0</v>
      </c>
      <c r="O86" s="17">
        <v>0</v>
      </c>
      <c r="P86" s="17">
        <v>0</v>
      </c>
      <c r="Q86" s="17">
        <v>0</v>
      </c>
      <c r="R86" s="17">
        <v>0</v>
      </c>
      <c r="S86" s="17">
        <v>0</v>
      </c>
    </row>
    <row r="87" spans="2:19" outlineLevel="1">
      <c r="B87" s="15" t="s">
        <v>24</v>
      </c>
      <c r="C87" s="16"/>
      <c r="D87" s="16"/>
      <c r="E87" s="16"/>
      <c r="F87" s="16"/>
      <c r="G87" s="16"/>
      <c r="H87" s="16"/>
      <c r="I87" s="16"/>
      <c r="J87" s="17"/>
      <c r="K87" s="17">
        <v>0</v>
      </c>
      <c r="L87" s="17">
        <v>0</v>
      </c>
      <c r="M87" s="17">
        <v>0</v>
      </c>
      <c r="N87" s="17">
        <v>0</v>
      </c>
      <c r="O87" s="17">
        <v>0</v>
      </c>
      <c r="P87" s="17">
        <v>0</v>
      </c>
      <c r="Q87" s="17">
        <v>0</v>
      </c>
      <c r="R87" s="17">
        <v>0</v>
      </c>
      <c r="S87" s="17">
        <v>0</v>
      </c>
    </row>
    <row r="88" spans="2:19" outlineLevel="1">
      <c r="B88" s="18" t="str">
        <f>"current case - "&amp;CHOOSE($J$4,B85,B86,B87)</f>
        <v>current case - Down case</v>
      </c>
      <c r="C88" s="19"/>
      <c r="D88" s="19"/>
      <c r="E88" s="19"/>
      <c r="F88" s="19"/>
      <c r="G88" s="19"/>
      <c r="H88" s="19"/>
      <c r="I88" s="20"/>
      <c r="J88" s="20"/>
      <c r="K88" s="20">
        <f t="shared" ref="K88:S88" si="19">CHOOSE($J$4,K85,K86,K87)</f>
        <v>0</v>
      </c>
      <c r="L88" s="20">
        <f t="shared" si="19"/>
        <v>0</v>
      </c>
      <c r="M88" s="20">
        <f t="shared" si="19"/>
        <v>0</v>
      </c>
      <c r="N88" s="20">
        <f t="shared" si="19"/>
        <v>0</v>
      </c>
      <c r="O88" s="20">
        <f t="shared" si="19"/>
        <v>0</v>
      </c>
      <c r="P88" s="20">
        <f t="shared" si="19"/>
        <v>0</v>
      </c>
      <c r="Q88" s="20">
        <f t="shared" si="19"/>
        <v>0</v>
      </c>
      <c r="R88" s="20">
        <f t="shared" si="19"/>
        <v>0</v>
      </c>
      <c r="S88" s="20">
        <f t="shared" si="19"/>
        <v>0</v>
      </c>
    </row>
    <row r="89" spans="2:19" outlineLevel="1"/>
    <row r="90" spans="2:19" outlineLevel="1">
      <c r="B90" s="12" t="s">
        <v>575</v>
      </c>
      <c r="C90" s="13"/>
      <c r="D90" s="13"/>
      <c r="E90" s="13"/>
      <c r="F90" s="13"/>
      <c r="G90" s="13"/>
      <c r="H90" s="13"/>
      <c r="I90" s="13"/>
      <c r="J90" s="13"/>
      <c r="K90" s="13"/>
      <c r="L90" s="13"/>
      <c r="M90" s="13"/>
      <c r="N90" s="13"/>
      <c r="O90" s="13"/>
      <c r="P90" s="13"/>
      <c r="Q90" s="13"/>
      <c r="R90" s="13"/>
      <c r="S90" s="13"/>
    </row>
    <row r="91" spans="2:19" outlineLevel="1">
      <c r="B91" s="9"/>
      <c r="C91" s="9"/>
      <c r="D91" s="9"/>
      <c r="E91" s="9"/>
      <c r="F91" s="9"/>
      <c r="G91" s="9"/>
      <c r="H91" s="9"/>
      <c r="I91" s="9"/>
      <c r="J91" s="9"/>
      <c r="K91" s="9"/>
      <c r="L91" s="9"/>
      <c r="M91" s="9"/>
    </row>
    <row r="92" spans="2:19" outlineLevel="1">
      <c r="B92" s="14" t="s">
        <v>575</v>
      </c>
      <c r="N92" s="21"/>
      <c r="O92" s="21"/>
      <c r="P92" s="21"/>
      <c r="Q92" s="21"/>
      <c r="R92" s="21"/>
      <c r="S92" s="21"/>
    </row>
    <row r="93" spans="2:19" outlineLevel="1">
      <c r="B93" s="15" t="s">
        <v>22</v>
      </c>
      <c r="C93" s="16"/>
      <c r="D93" s="16"/>
      <c r="E93" s="16"/>
      <c r="F93" s="16"/>
      <c r="G93" s="16"/>
      <c r="H93" s="16"/>
      <c r="I93" s="17"/>
      <c r="J93" s="17"/>
      <c r="K93" s="17">
        <v>0</v>
      </c>
      <c r="L93" s="17">
        <v>0</v>
      </c>
      <c r="M93" s="17">
        <v>0</v>
      </c>
      <c r="N93" s="17">
        <v>0</v>
      </c>
      <c r="O93" s="17">
        <v>0</v>
      </c>
      <c r="P93" s="17">
        <v>0</v>
      </c>
      <c r="Q93" s="17">
        <v>0</v>
      </c>
      <c r="R93" s="17">
        <v>0</v>
      </c>
      <c r="S93" s="17">
        <v>0</v>
      </c>
    </row>
    <row r="94" spans="2:19" outlineLevel="1">
      <c r="B94" s="15" t="s">
        <v>23</v>
      </c>
      <c r="C94" s="16"/>
      <c r="D94" s="16"/>
      <c r="E94" s="16"/>
      <c r="F94" s="16"/>
      <c r="G94" s="16"/>
      <c r="H94" s="16"/>
      <c r="I94" s="16"/>
      <c r="J94" s="17"/>
      <c r="K94" s="17">
        <v>0</v>
      </c>
      <c r="L94" s="17">
        <v>0</v>
      </c>
      <c r="M94" s="17">
        <v>0</v>
      </c>
      <c r="N94" s="17">
        <v>0</v>
      </c>
      <c r="O94" s="17">
        <v>0</v>
      </c>
      <c r="P94" s="17">
        <v>0</v>
      </c>
      <c r="Q94" s="17">
        <v>0</v>
      </c>
      <c r="R94" s="17">
        <v>0</v>
      </c>
      <c r="S94" s="17">
        <v>0</v>
      </c>
    </row>
    <row r="95" spans="2:19" outlineLevel="1">
      <c r="B95" s="15" t="s">
        <v>24</v>
      </c>
      <c r="C95" s="16"/>
      <c r="D95" s="16"/>
      <c r="E95" s="16"/>
      <c r="F95" s="16"/>
      <c r="G95" s="16"/>
      <c r="H95" s="16"/>
      <c r="I95" s="16"/>
      <c r="J95" s="17"/>
      <c r="K95" s="17">
        <v>0</v>
      </c>
      <c r="L95" s="17">
        <v>0</v>
      </c>
      <c r="M95" s="17">
        <v>0</v>
      </c>
      <c r="N95" s="17">
        <v>0</v>
      </c>
      <c r="O95" s="17">
        <v>0</v>
      </c>
      <c r="P95" s="17">
        <v>0</v>
      </c>
      <c r="Q95" s="17">
        <v>0</v>
      </c>
      <c r="R95" s="17">
        <v>0</v>
      </c>
      <c r="S95" s="17">
        <v>0</v>
      </c>
    </row>
    <row r="96" spans="2:19" outlineLevel="1">
      <c r="B96" s="18" t="str">
        <f>"current case - "&amp;CHOOSE($J$4,B93,B94,B95)</f>
        <v>current case - Down case</v>
      </c>
      <c r="C96" s="19"/>
      <c r="D96" s="19"/>
      <c r="E96" s="19"/>
      <c r="F96" s="19"/>
      <c r="G96" s="19"/>
      <c r="H96" s="19"/>
      <c r="I96" s="20"/>
      <c r="J96" s="20"/>
      <c r="K96" s="20">
        <f t="shared" ref="K96:S96" si="20">CHOOSE($J$4,K93,K94,K95)</f>
        <v>0</v>
      </c>
      <c r="L96" s="20">
        <f t="shared" si="20"/>
        <v>0</v>
      </c>
      <c r="M96" s="20">
        <f t="shared" si="20"/>
        <v>0</v>
      </c>
      <c r="N96" s="20">
        <f t="shared" si="20"/>
        <v>0</v>
      </c>
      <c r="O96" s="20">
        <f t="shared" si="20"/>
        <v>0</v>
      </c>
      <c r="P96" s="20">
        <f t="shared" si="20"/>
        <v>0</v>
      </c>
      <c r="Q96" s="20">
        <f t="shared" si="20"/>
        <v>0</v>
      </c>
      <c r="R96" s="20">
        <f t="shared" si="20"/>
        <v>0</v>
      </c>
      <c r="S96" s="20">
        <f t="shared" si="20"/>
        <v>0</v>
      </c>
    </row>
    <row r="97" spans="1:19" outlineLevel="1"/>
    <row r="98" spans="1:19" outlineLevel="1">
      <c r="A98" s="3" t="s">
        <v>21</v>
      </c>
      <c r="B98" s="10" t="s">
        <v>117</v>
      </c>
      <c r="C98" s="11"/>
      <c r="D98" s="11"/>
      <c r="E98" s="11"/>
      <c r="F98" s="11"/>
      <c r="G98" s="11"/>
      <c r="H98" s="11"/>
      <c r="I98" s="11"/>
      <c r="J98" s="11"/>
      <c r="K98" s="11"/>
      <c r="L98" s="11"/>
      <c r="M98" s="11"/>
      <c r="N98" s="11"/>
      <c r="O98" s="11"/>
      <c r="P98" s="11"/>
      <c r="Q98" s="11"/>
      <c r="R98" s="11"/>
      <c r="S98" s="11"/>
    </row>
    <row r="99" spans="1:19" outlineLevel="1"/>
    <row r="100" spans="1:19" outlineLevel="1">
      <c r="B100" s="12" t="s">
        <v>725</v>
      </c>
      <c r="C100" s="13"/>
      <c r="D100" s="13"/>
      <c r="E100" s="13"/>
      <c r="F100" s="13"/>
      <c r="G100" s="13"/>
      <c r="H100" s="13"/>
      <c r="I100" s="13"/>
      <c r="J100" s="13"/>
      <c r="K100" s="13"/>
      <c r="L100" s="13"/>
      <c r="M100" s="13"/>
      <c r="N100" s="13"/>
      <c r="O100" s="13"/>
      <c r="P100" s="13"/>
      <c r="Q100" s="13"/>
      <c r="R100" s="13"/>
      <c r="S100" s="13"/>
    </row>
    <row r="101" spans="1:19" outlineLevel="1">
      <c r="B101" s="9"/>
      <c r="C101" s="9"/>
      <c r="D101" s="9"/>
      <c r="E101" s="9"/>
      <c r="F101" s="9"/>
      <c r="G101" s="9"/>
      <c r="H101" s="9"/>
      <c r="I101" s="9"/>
      <c r="J101" s="9"/>
      <c r="K101" s="9"/>
      <c r="L101" s="9"/>
      <c r="M101" s="9"/>
    </row>
    <row r="102" spans="1:19" outlineLevel="1">
      <c r="B102" s="14" t="s">
        <v>726</v>
      </c>
      <c r="N102" s="21"/>
      <c r="O102" s="21"/>
      <c r="P102" s="21"/>
      <c r="Q102" s="21"/>
      <c r="R102" s="21"/>
      <c r="S102" s="21"/>
    </row>
    <row r="103" spans="1:19" outlineLevel="1">
      <c r="B103" s="15" t="s">
        <v>22</v>
      </c>
      <c r="C103" s="16"/>
      <c r="D103" s="16"/>
      <c r="E103" s="16"/>
      <c r="F103" s="16"/>
      <c r="G103" s="16"/>
      <c r="H103" s="16"/>
      <c r="I103" s="17"/>
      <c r="J103" s="17"/>
      <c r="K103" s="17">
        <v>3.2000000000000001E-2</v>
      </c>
      <c r="L103" s="17">
        <v>3.2000000000000001E-2</v>
      </c>
      <c r="M103" s="17">
        <v>3.2000000000000001E-2</v>
      </c>
      <c r="N103" s="17">
        <v>3.2000000000000001E-2</v>
      </c>
      <c r="O103" s="17">
        <v>3.2000000000000001E-2</v>
      </c>
      <c r="P103" s="17">
        <v>3.2000000000000001E-2</v>
      </c>
      <c r="Q103" s="17">
        <v>3.2000000000000001E-2</v>
      </c>
      <c r="R103" s="17">
        <v>3.2000000000000001E-2</v>
      </c>
      <c r="S103" s="17">
        <v>3.2000000000000001E-2</v>
      </c>
    </row>
    <row r="104" spans="1:19" outlineLevel="1">
      <c r="B104" s="15" t="s">
        <v>23</v>
      </c>
      <c r="C104" s="16"/>
      <c r="D104" s="16"/>
      <c r="E104" s="16"/>
      <c r="F104" s="16"/>
      <c r="G104" s="16"/>
      <c r="H104" s="16"/>
      <c r="I104" s="16"/>
      <c r="J104" s="17"/>
      <c r="K104" s="17">
        <v>3.2000000000000001E-2</v>
      </c>
      <c r="L104" s="17">
        <v>3.2000000000000001E-2</v>
      </c>
      <c r="M104" s="17">
        <v>3.2000000000000001E-2</v>
      </c>
      <c r="N104" s="17">
        <v>3.2000000000000001E-2</v>
      </c>
      <c r="O104" s="17">
        <v>3.2000000000000001E-2</v>
      </c>
      <c r="P104" s="17">
        <v>3.2000000000000001E-2</v>
      </c>
      <c r="Q104" s="17">
        <v>3.2000000000000001E-2</v>
      </c>
      <c r="R104" s="17">
        <v>3.2000000000000001E-2</v>
      </c>
      <c r="S104" s="17">
        <v>3.2000000000000001E-2</v>
      </c>
    </row>
    <row r="105" spans="1:19" outlineLevel="1">
      <c r="B105" s="15" t="s">
        <v>24</v>
      </c>
      <c r="C105" s="16"/>
      <c r="D105" s="16"/>
      <c r="E105" s="16"/>
      <c r="F105" s="16"/>
      <c r="G105" s="16"/>
      <c r="H105" s="16"/>
      <c r="I105" s="16"/>
      <c r="J105" s="17"/>
      <c r="K105" s="17">
        <v>3.2000000000000001E-2</v>
      </c>
      <c r="L105" s="17">
        <v>3.2000000000000001E-2</v>
      </c>
      <c r="M105" s="17">
        <v>3.2000000000000001E-2</v>
      </c>
      <c r="N105" s="17">
        <v>3.2000000000000001E-2</v>
      </c>
      <c r="O105" s="17">
        <v>3.2000000000000001E-2</v>
      </c>
      <c r="P105" s="17">
        <v>3.2000000000000001E-2</v>
      </c>
      <c r="Q105" s="17">
        <v>3.2000000000000001E-2</v>
      </c>
      <c r="R105" s="17">
        <v>3.2000000000000001E-2</v>
      </c>
      <c r="S105" s="17">
        <v>3.2000000000000001E-2</v>
      </c>
    </row>
    <row r="106" spans="1:19" outlineLevel="1">
      <c r="B106" s="18" t="str">
        <f>"current case - "&amp;CHOOSE($J$4,B103,B104,B105)</f>
        <v>current case - Down case</v>
      </c>
      <c r="C106" s="19"/>
      <c r="D106" s="19"/>
      <c r="E106" s="19"/>
      <c r="F106" s="19"/>
      <c r="G106" s="19"/>
      <c r="H106" s="19"/>
      <c r="I106" s="20"/>
      <c r="J106" s="20"/>
      <c r="K106" s="20">
        <f t="shared" ref="K106:S106" si="21">CHOOSE($J$4,K103,K104,K105)</f>
        <v>3.2000000000000001E-2</v>
      </c>
      <c r="L106" s="20">
        <f t="shared" si="21"/>
        <v>3.2000000000000001E-2</v>
      </c>
      <c r="M106" s="20">
        <f t="shared" si="21"/>
        <v>3.2000000000000001E-2</v>
      </c>
      <c r="N106" s="20">
        <f t="shared" si="21"/>
        <v>3.2000000000000001E-2</v>
      </c>
      <c r="O106" s="20">
        <f t="shared" si="21"/>
        <v>3.2000000000000001E-2</v>
      </c>
      <c r="P106" s="20">
        <f t="shared" si="21"/>
        <v>3.2000000000000001E-2</v>
      </c>
      <c r="Q106" s="20">
        <f t="shared" si="21"/>
        <v>3.2000000000000001E-2</v>
      </c>
      <c r="R106" s="20">
        <f t="shared" si="21"/>
        <v>3.2000000000000001E-2</v>
      </c>
      <c r="S106" s="20">
        <f t="shared" si="21"/>
        <v>3.2000000000000001E-2</v>
      </c>
    </row>
    <row r="107" spans="1:19" outlineLevel="1"/>
    <row r="108" spans="1:19" outlineLevel="1">
      <c r="A108" s="3" t="s">
        <v>21</v>
      </c>
      <c r="B108" s="10" t="s">
        <v>759</v>
      </c>
      <c r="C108" s="11"/>
      <c r="D108" s="11"/>
      <c r="E108" s="11"/>
      <c r="F108" s="11"/>
      <c r="G108" s="11"/>
      <c r="H108" s="11"/>
      <c r="I108" s="11"/>
      <c r="J108" s="11"/>
      <c r="K108" s="11"/>
      <c r="L108" s="11"/>
      <c r="M108" s="11"/>
      <c r="N108" s="11"/>
      <c r="O108" s="11"/>
      <c r="P108" s="11"/>
      <c r="Q108" s="11"/>
      <c r="R108" s="11"/>
      <c r="S108" s="11"/>
    </row>
    <row r="109" spans="1:19" outlineLevel="1"/>
    <row r="110" spans="1:19" outlineLevel="1">
      <c r="B110" s="12" t="s">
        <v>1210</v>
      </c>
      <c r="C110" s="13"/>
      <c r="D110" s="13"/>
      <c r="E110" s="13"/>
      <c r="F110" s="13"/>
      <c r="G110" s="13"/>
      <c r="H110" s="13"/>
      <c r="I110" s="13"/>
      <c r="J110" s="13"/>
      <c r="K110" s="13"/>
      <c r="L110" s="13"/>
      <c r="M110" s="13"/>
      <c r="N110" s="13"/>
      <c r="O110" s="13"/>
      <c r="P110" s="13"/>
      <c r="Q110" s="13"/>
      <c r="R110" s="13"/>
      <c r="S110" s="13"/>
    </row>
    <row r="111" spans="1:19" outlineLevel="1">
      <c r="B111" s="9"/>
      <c r="C111" s="9"/>
      <c r="D111" s="9"/>
      <c r="E111" s="9"/>
      <c r="F111" s="9"/>
      <c r="G111" s="9"/>
      <c r="H111" s="9"/>
      <c r="I111" s="9"/>
      <c r="J111" s="9"/>
      <c r="K111" s="9"/>
      <c r="L111" s="9"/>
      <c r="M111" s="9"/>
    </row>
    <row r="112" spans="1:19" outlineLevel="1">
      <c r="B112" s="14" t="s">
        <v>730</v>
      </c>
      <c r="N112" s="21"/>
      <c r="O112" s="21"/>
      <c r="P112" s="21"/>
      <c r="Q112" s="21"/>
      <c r="R112" s="21"/>
      <c r="S112" s="21"/>
    </row>
    <row r="113" spans="2:19" outlineLevel="1">
      <c r="B113" s="15" t="s">
        <v>22</v>
      </c>
      <c r="C113" s="16"/>
      <c r="D113" s="16"/>
      <c r="E113" s="16"/>
      <c r="F113" s="16"/>
      <c r="G113" s="16"/>
      <c r="H113" s="16"/>
      <c r="I113" s="17"/>
      <c r="J113" s="17"/>
      <c r="K113" s="17">
        <v>0.02</v>
      </c>
      <c r="L113" s="17">
        <v>0.02</v>
      </c>
      <c r="M113" s="17">
        <v>0.02</v>
      </c>
      <c r="N113" s="17">
        <v>0.02</v>
      </c>
      <c r="O113" s="17">
        <v>0.02</v>
      </c>
      <c r="P113" s="17">
        <v>0.02</v>
      </c>
      <c r="Q113" s="17">
        <v>0.02</v>
      </c>
      <c r="R113" s="17">
        <v>0.02</v>
      </c>
      <c r="S113" s="17">
        <v>0.02</v>
      </c>
    </row>
    <row r="114" spans="2:19" outlineLevel="1">
      <c r="B114" s="15" t="s">
        <v>23</v>
      </c>
      <c r="C114" s="16"/>
      <c r="D114" s="16"/>
      <c r="E114" s="16"/>
      <c r="F114" s="16"/>
      <c r="G114" s="16"/>
      <c r="H114" s="16"/>
      <c r="I114" s="16"/>
      <c r="J114" s="17"/>
      <c r="K114" s="17">
        <v>0.02</v>
      </c>
      <c r="L114" s="17">
        <v>0.02</v>
      </c>
      <c r="M114" s="17">
        <v>0.02</v>
      </c>
      <c r="N114" s="17">
        <v>0.02</v>
      </c>
      <c r="O114" s="17">
        <v>0.02</v>
      </c>
      <c r="P114" s="17">
        <v>0.02</v>
      </c>
      <c r="Q114" s="17">
        <v>0.02</v>
      </c>
      <c r="R114" s="17">
        <v>0.02</v>
      </c>
      <c r="S114" s="17">
        <v>0.02</v>
      </c>
    </row>
    <row r="115" spans="2:19" outlineLevel="1">
      <c r="B115" s="15" t="s">
        <v>24</v>
      </c>
      <c r="C115" s="16"/>
      <c r="D115" s="16"/>
      <c r="E115" s="16"/>
      <c r="F115" s="16"/>
      <c r="G115" s="16"/>
      <c r="H115" s="16"/>
      <c r="I115" s="16"/>
      <c r="J115" s="17"/>
      <c r="K115" s="17">
        <v>0.02</v>
      </c>
      <c r="L115" s="17">
        <v>0.02</v>
      </c>
      <c r="M115" s="17">
        <v>0.02</v>
      </c>
      <c r="N115" s="17">
        <v>0.02</v>
      </c>
      <c r="O115" s="17">
        <v>0.02</v>
      </c>
      <c r="P115" s="17">
        <v>0.02</v>
      </c>
      <c r="Q115" s="17">
        <v>0.02</v>
      </c>
      <c r="R115" s="17">
        <v>0.02</v>
      </c>
      <c r="S115" s="17">
        <v>0.02</v>
      </c>
    </row>
    <row r="116" spans="2:19" outlineLevel="1">
      <c r="B116" s="18" t="str">
        <f>"current case - "&amp;CHOOSE($J$4,B113,B114,B115)</f>
        <v>current case - Down case</v>
      </c>
      <c r="C116" s="19"/>
      <c r="D116" s="19"/>
      <c r="E116" s="19"/>
      <c r="F116" s="19"/>
      <c r="G116" s="19"/>
      <c r="H116" s="19"/>
      <c r="I116" s="20"/>
      <c r="J116" s="20"/>
      <c r="K116" s="20">
        <f t="shared" ref="K116:S116" si="22">CHOOSE($J$4,K113,K114,K115)</f>
        <v>0.02</v>
      </c>
      <c r="L116" s="20">
        <f t="shared" si="22"/>
        <v>0.02</v>
      </c>
      <c r="M116" s="20">
        <f t="shared" si="22"/>
        <v>0.02</v>
      </c>
      <c r="N116" s="20">
        <f t="shared" si="22"/>
        <v>0.02</v>
      </c>
      <c r="O116" s="20">
        <f t="shared" si="22"/>
        <v>0.02</v>
      </c>
      <c r="P116" s="20">
        <f t="shared" si="22"/>
        <v>0.02</v>
      </c>
      <c r="Q116" s="20">
        <f t="shared" si="22"/>
        <v>0.02</v>
      </c>
      <c r="R116" s="20">
        <f t="shared" si="22"/>
        <v>0.02</v>
      </c>
      <c r="S116" s="20">
        <f t="shared" si="22"/>
        <v>0.02</v>
      </c>
    </row>
    <row r="117" spans="2:19" outlineLevel="1"/>
    <row r="118" spans="2:19" outlineLevel="1">
      <c r="B118" s="12" t="s">
        <v>1209</v>
      </c>
      <c r="C118" s="13"/>
      <c r="D118" s="13"/>
      <c r="E118" s="13"/>
      <c r="F118" s="13"/>
      <c r="G118" s="13"/>
      <c r="H118" s="13"/>
      <c r="I118" s="13"/>
      <c r="J118" s="13"/>
      <c r="K118" s="13"/>
      <c r="L118" s="13"/>
      <c r="M118" s="13"/>
      <c r="N118" s="13"/>
      <c r="O118" s="13"/>
      <c r="P118" s="13"/>
      <c r="Q118" s="13"/>
      <c r="R118" s="13"/>
      <c r="S118" s="13"/>
    </row>
    <row r="119" spans="2:19" outlineLevel="1">
      <c r="B119" s="9"/>
      <c r="C119" s="9"/>
      <c r="D119" s="9"/>
      <c r="E119" s="9"/>
      <c r="F119" s="9"/>
      <c r="G119" s="9"/>
      <c r="H119" s="9"/>
      <c r="I119" s="9"/>
      <c r="J119" s="9"/>
      <c r="K119" s="9"/>
      <c r="L119" s="9"/>
      <c r="M119" s="9"/>
    </row>
    <row r="120" spans="2:19" outlineLevel="1">
      <c r="B120" s="14" t="s">
        <v>732</v>
      </c>
      <c r="N120" s="21"/>
      <c r="O120" s="21"/>
      <c r="P120" s="21"/>
      <c r="Q120" s="21"/>
      <c r="R120" s="21"/>
      <c r="S120" s="21"/>
    </row>
    <row r="121" spans="2:19" outlineLevel="1">
      <c r="B121" s="15" t="s">
        <v>22</v>
      </c>
      <c r="C121" s="16"/>
      <c r="D121" s="16"/>
      <c r="E121" s="16"/>
      <c r="F121" s="16"/>
      <c r="G121" s="16"/>
      <c r="H121" s="16"/>
      <c r="I121" s="17"/>
      <c r="J121" s="17"/>
      <c r="K121" s="17">
        <v>0</v>
      </c>
      <c r="L121" s="17">
        <v>0</v>
      </c>
      <c r="M121" s="17">
        <v>0</v>
      </c>
      <c r="N121" s="17">
        <v>0</v>
      </c>
      <c r="O121" s="17">
        <v>0</v>
      </c>
      <c r="P121" s="17">
        <v>0</v>
      </c>
      <c r="Q121" s="17">
        <v>0</v>
      </c>
      <c r="R121" s="17">
        <v>0</v>
      </c>
      <c r="S121" s="17">
        <v>0</v>
      </c>
    </row>
    <row r="122" spans="2:19" outlineLevel="1">
      <c r="B122" s="15" t="s">
        <v>23</v>
      </c>
      <c r="C122" s="16"/>
      <c r="D122" s="16"/>
      <c r="E122" s="16"/>
      <c r="F122" s="16"/>
      <c r="G122" s="16"/>
      <c r="H122" s="16"/>
      <c r="I122" s="16"/>
      <c r="J122" s="17"/>
      <c r="K122" s="17">
        <v>0</v>
      </c>
      <c r="L122" s="17">
        <v>0</v>
      </c>
      <c r="M122" s="17">
        <v>0</v>
      </c>
      <c r="N122" s="17">
        <v>0</v>
      </c>
      <c r="O122" s="17">
        <v>0</v>
      </c>
      <c r="P122" s="17">
        <v>0</v>
      </c>
      <c r="Q122" s="17">
        <v>0</v>
      </c>
      <c r="R122" s="17">
        <v>0</v>
      </c>
      <c r="S122" s="17">
        <v>0</v>
      </c>
    </row>
    <row r="123" spans="2:19" outlineLevel="1">
      <c r="B123" s="15" t="s">
        <v>24</v>
      </c>
      <c r="C123" s="16"/>
      <c r="D123" s="16"/>
      <c r="E123" s="16"/>
      <c r="F123" s="16"/>
      <c r="G123" s="16"/>
      <c r="H123" s="16"/>
      <c r="I123" s="16"/>
      <c r="J123" s="17"/>
      <c r="K123" s="17">
        <v>0</v>
      </c>
      <c r="L123" s="17">
        <v>0</v>
      </c>
      <c r="M123" s="17">
        <v>0</v>
      </c>
      <c r="N123" s="17">
        <v>0</v>
      </c>
      <c r="O123" s="17">
        <v>0</v>
      </c>
      <c r="P123" s="17">
        <v>0</v>
      </c>
      <c r="Q123" s="17">
        <v>0</v>
      </c>
      <c r="R123" s="17">
        <v>0</v>
      </c>
      <c r="S123" s="17">
        <v>0</v>
      </c>
    </row>
    <row r="124" spans="2:19" outlineLevel="1">
      <c r="B124" s="18" t="str">
        <f>"current case - "&amp;CHOOSE($J$4,B121,B122,B123)</f>
        <v>current case - Down case</v>
      </c>
      <c r="C124" s="19"/>
      <c r="D124" s="19"/>
      <c r="E124" s="19"/>
      <c r="F124" s="19"/>
      <c r="G124" s="19"/>
      <c r="H124" s="19"/>
      <c r="I124" s="20"/>
      <c r="J124" s="20"/>
      <c r="K124" s="20">
        <f t="shared" ref="K124:S124" si="23">CHOOSE($J$4,K121,K122,K123)</f>
        <v>0</v>
      </c>
      <c r="L124" s="20">
        <f t="shared" si="23"/>
        <v>0</v>
      </c>
      <c r="M124" s="20">
        <f t="shared" si="23"/>
        <v>0</v>
      </c>
      <c r="N124" s="20">
        <f t="shared" si="23"/>
        <v>0</v>
      </c>
      <c r="O124" s="20">
        <f t="shared" si="23"/>
        <v>0</v>
      </c>
      <c r="P124" s="20">
        <f t="shared" si="23"/>
        <v>0</v>
      </c>
      <c r="Q124" s="20">
        <f t="shared" si="23"/>
        <v>0</v>
      </c>
      <c r="R124" s="20">
        <f t="shared" si="23"/>
        <v>0</v>
      </c>
      <c r="S124" s="20">
        <f t="shared" si="23"/>
        <v>0</v>
      </c>
    </row>
    <row r="125" spans="2:19" customFormat="1" outlineLevel="1"/>
    <row r="126" spans="2:19" customFormat="1" outlineLevel="1">
      <c r="B126" s="12" t="s">
        <v>7</v>
      </c>
      <c r="C126" s="13"/>
      <c r="D126" s="13"/>
      <c r="E126" s="13"/>
      <c r="F126" s="13"/>
      <c r="G126" s="13"/>
      <c r="H126" s="13"/>
      <c r="I126" s="13"/>
      <c r="J126" s="13"/>
      <c r="K126" s="13"/>
      <c r="L126" s="13"/>
      <c r="M126" s="13"/>
      <c r="N126" s="13"/>
      <c r="O126" s="13"/>
      <c r="P126" s="13"/>
      <c r="Q126" s="13"/>
      <c r="R126" s="13"/>
      <c r="S126" s="13"/>
    </row>
    <row r="127" spans="2:19" customFormat="1" outlineLevel="1">
      <c r="B127" s="9"/>
      <c r="C127" s="9"/>
      <c r="D127" s="9"/>
      <c r="E127" s="9"/>
      <c r="F127" s="9"/>
      <c r="G127" s="9"/>
      <c r="H127" s="9"/>
      <c r="I127" s="9"/>
      <c r="J127" s="9"/>
      <c r="K127" s="9"/>
      <c r="L127" s="9"/>
      <c r="M127" s="9"/>
      <c r="N127" s="3"/>
      <c r="O127" s="3"/>
      <c r="P127" s="3"/>
      <c r="Q127" s="3"/>
      <c r="R127" s="3"/>
      <c r="S127" s="3"/>
    </row>
    <row r="128" spans="2:19" customFormat="1" outlineLevel="1">
      <c r="B128" s="14" t="s">
        <v>619</v>
      </c>
      <c r="C128" s="3"/>
      <c r="D128" s="3"/>
      <c r="E128" s="3"/>
      <c r="F128" s="3"/>
      <c r="G128" s="3"/>
      <c r="H128" s="3"/>
      <c r="I128" s="3"/>
      <c r="J128" s="3"/>
      <c r="K128" s="3"/>
      <c r="L128" s="3"/>
      <c r="M128" s="3"/>
      <c r="N128" s="21"/>
      <c r="O128" s="21"/>
      <c r="P128" s="21"/>
      <c r="Q128" s="21"/>
      <c r="R128" s="21"/>
      <c r="S128" s="21"/>
    </row>
    <row r="129" spans="2:19" customFormat="1" outlineLevel="1">
      <c r="B129" s="15" t="s">
        <v>22</v>
      </c>
      <c r="C129" s="16"/>
      <c r="D129" s="16"/>
      <c r="E129" s="16"/>
      <c r="F129" s="16"/>
      <c r="G129" s="16"/>
      <c r="H129" s="16"/>
      <c r="I129" s="17"/>
      <c r="J129" s="17"/>
      <c r="K129" s="17">
        <v>0</v>
      </c>
      <c r="L129" s="17">
        <v>0</v>
      </c>
      <c r="M129" s="17">
        <v>0</v>
      </c>
      <c r="N129" s="17">
        <v>0</v>
      </c>
      <c r="O129" s="17">
        <v>0</v>
      </c>
      <c r="P129" s="17">
        <v>0</v>
      </c>
      <c r="Q129" s="17">
        <v>0</v>
      </c>
      <c r="R129" s="17">
        <v>0</v>
      </c>
      <c r="S129" s="17">
        <v>0</v>
      </c>
    </row>
    <row r="130" spans="2:19" customFormat="1" outlineLevel="1">
      <c r="B130" s="15" t="s">
        <v>23</v>
      </c>
      <c r="C130" s="16"/>
      <c r="D130" s="16"/>
      <c r="E130" s="16"/>
      <c r="F130" s="16"/>
      <c r="G130" s="16"/>
      <c r="H130" s="16"/>
      <c r="I130" s="16"/>
      <c r="J130" s="17"/>
      <c r="K130" s="17">
        <v>0</v>
      </c>
      <c r="L130" s="17">
        <v>0</v>
      </c>
      <c r="M130" s="17">
        <v>0</v>
      </c>
      <c r="N130" s="17">
        <v>0</v>
      </c>
      <c r="O130" s="17">
        <v>0</v>
      </c>
      <c r="P130" s="17">
        <v>0</v>
      </c>
      <c r="Q130" s="17">
        <v>0</v>
      </c>
      <c r="R130" s="17">
        <v>0</v>
      </c>
      <c r="S130" s="17">
        <v>0</v>
      </c>
    </row>
    <row r="131" spans="2:19" customFormat="1" outlineLevel="1">
      <c r="B131" s="15" t="s">
        <v>24</v>
      </c>
      <c r="C131" s="16"/>
      <c r="D131" s="16"/>
      <c r="E131" s="16"/>
      <c r="F131" s="16"/>
      <c r="G131" s="16"/>
      <c r="H131" s="16"/>
      <c r="I131" s="16"/>
      <c r="J131" s="17"/>
      <c r="K131" s="17">
        <v>0</v>
      </c>
      <c r="L131" s="17">
        <v>0</v>
      </c>
      <c r="M131" s="17">
        <v>0</v>
      </c>
      <c r="N131" s="17">
        <v>0</v>
      </c>
      <c r="O131" s="17">
        <v>0</v>
      </c>
      <c r="P131" s="17">
        <v>0</v>
      </c>
      <c r="Q131" s="17">
        <v>0</v>
      </c>
      <c r="R131" s="17">
        <v>0</v>
      </c>
      <c r="S131" s="17">
        <v>0</v>
      </c>
    </row>
    <row r="132" spans="2:19" customFormat="1" outlineLevel="1">
      <c r="B132" s="18" t="str">
        <f>"current case - "&amp;CHOOSE($J$4,B129,B130,B131)</f>
        <v>current case - Down case</v>
      </c>
      <c r="C132" s="19"/>
      <c r="D132" s="19"/>
      <c r="E132" s="19"/>
      <c r="F132" s="19"/>
      <c r="G132" s="19"/>
      <c r="H132" s="19"/>
      <c r="I132" s="20"/>
      <c r="J132" s="20"/>
      <c r="K132" s="20">
        <f t="shared" ref="K132:S132" si="24">CHOOSE($J$4,K129,K130,K131)</f>
        <v>0</v>
      </c>
      <c r="L132" s="20">
        <f t="shared" si="24"/>
        <v>0</v>
      </c>
      <c r="M132" s="20">
        <f t="shared" si="24"/>
        <v>0</v>
      </c>
      <c r="N132" s="20">
        <f t="shared" si="24"/>
        <v>0</v>
      </c>
      <c r="O132" s="20">
        <f t="shared" si="24"/>
        <v>0</v>
      </c>
      <c r="P132" s="20">
        <f t="shared" si="24"/>
        <v>0</v>
      </c>
      <c r="Q132" s="20">
        <f t="shared" si="24"/>
        <v>0</v>
      </c>
      <c r="R132" s="20">
        <f t="shared" si="24"/>
        <v>0</v>
      </c>
      <c r="S132" s="20">
        <f t="shared" si="24"/>
        <v>0</v>
      </c>
    </row>
    <row r="133" spans="2:19" customFormat="1" outlineLevel="1"/>
    <row r="134" spans="2:19" customFormat="1" outlineLevel="1">
      <c r="B134" s="12" t="s">
        <v>601</v>
      </c>
      <c r="C134" s="13"/>
      <c r="D134" s="13"/>
      <c r="E134" s="13"/>
      <c r="F134" s="13"/>
      <c r="G134" s="13"/>
      <c r="H134" s="13"/>
      <c r="I134" s="13"/>
      <c r="J134" s="13"/>
      <c r="K134" s="13"/>
      <c r="L134" s="13"/>
      <c r="M134" s="13"/>
      <c r="N134" s="13"/>
      <c r="O134" s="13"/>
      <c r="P134" s="13"/>
      <c r="Q134" s="13"/>
      <c r="R134" s="13"/>
      <c r="S134" s="13"/>
    </row>
    <row r="135" spans="2:19" customFormat="1" outlineLevel="1">
      <c r="B135" s="9"/>
      <c r="C135" s="9"/>
      <c r="D135" s="9"/>
      <c r="E135" s="9"/>
      <c r="F135" s="9"/>
      <c r="G135" s="9"/>
      <c r="H135" s="9"/>
      <c r="I135" s="9"/>
      <c r="J135" s="9"/>
      <c r="K135" s="9"/>
      <c r="L135" s="9"/>
      <c r="M135" s="9"/>
      <c r="N135" s="3"/>
      <c r="O135" s="3"/>
      <c r="P135" s="3"/>
      <c r="Q135" s="3"/>
      <c r="R135" s="3"/>
      <c r="S135" s="3"/>
    </row>
    <row r="136" spans="2:19" customFormat="1" outlineLevel="1">
      <c r="B136" s="14" t="s">
        <v>602</v>
      </c>
      <c r="C136" s="3"/>
      <c r="D136" s="3"/>
      <c r="E136" s="3"/>
      <c r="F136" s="3"/>
      <c r="G136" s="3"/>
      <c r="H136" s="3"/>
      <c r="I136" s="3"/>
      <c r="J136" s="3"/>
      <c r="K136" s="3"/>
      <c r="L136" s="3"/>
      <c r="M136" s="3"/>
      <c r="N136" s="21"/>
      <c r="O136" s="21"/>
      <c r="P136" s="21"/>
      <c r="Q136" s="21"/>
      <c r="R136" s="21"/>
      <c r="S136" s="21"/>
    </row>
    <row r="137" spans="2:19" customFormat="1" outlineLevel="1">
      <c r="B137" s="15" t="s">
        <v>22</v>
      </c>
      <c r="C137" s="16"/>
      <c r="D137" s="16"/>
      <c r="E137" s="16"/>
      <c r="F137" s="16"/>
      <c r="G137" s="16"/>
      <c r="H137" s="16"/>
      <c r="I137" s="17"/>
      <c r="J137" s="17"/>
      <c r="K137" s="17">
        <v>0</v>
      </c>
      <c r="L137" s="17">
        <v>0</v>
      </c>
      <c r="M137" s="17">
        <v>0</v>
      </c>
      <c r="N137" s="17">
        <v>0</v>
      </c>
      <c r="O137" s="17">
        <v>0</v>
      </c>
      <c r="P137" s="17">
        <v>0</v>
      </c>
      <c r="Q137" s="17">
        <v>0</v>
      </c>
      <c r="R137" s="17">
        <v>0</v>
      </c>
      <c r="S137" s="17">
        <v>0</v>
      </c>
    </row>
    <row r="138" spans="2:19" customFormat="1" outlineLevel="1">
      <c r="B138" s="15" t="s">
        <v>23</v>
      </c>
      <c r="C138" s="16"/>
      <c r="D138" s="16"/>
      <c r="E138" s="16"/>
      <c r="F138" s="16"/>
      <c r="G138" s="16"/>
      <c r="H138" s="16"/>
      <c r="I138" s="16"/>
      <c r="J138" s="17"/>
      <c r="K138" s="17">
        <v>0</v>
      </c>
      <c r="L138" s="17">
        <v>0</v>
      </c>
      <c r="M138" s="17">
        <v>0</v>
      </c>
      <c r="N138" s="17">
        <v>0</v>
      </c>
      <c r="O138" s="17">
        <v>0</v>
      </c>
      <c r="P138" s="17">
        <v>0</v>
      </c>
      <c r="Q138" s="17">
        <v>0</v>
      </c>
      <c r="R138" s="17">
        <v>0</v>
      </c>
      <c r="S138" s="17">
        <v>0</v>
      </c>
    </row>
    <row r="139" spans="2:19" customFormat="1" outlineLevel="1">
      <c r="B139" s="15" t="s">
        <v>24</v>
      </c>
      <c r="C139" s="16"/>
      <c r="D139" s="16"/>
      <c r="E139" s="16"/>
      <c r="F139" s="16"/>
      <c r="G139" s="16"/>
      <c r="H139" s="16"/>
      <c r="I139" s="16"/>
      <c r="J139" s="17"/>
      <c r="K139" s="17">
        <v>0</v>
      </c>
      <c r="L139" s="17">
        <v>0</v>
      </c>
      <c r="M139" s="17">
        <v>0</v>
      </c>
      <c r="N139" s="17">
        <v>0</v>
      </c>
      <c r="O139" s="17">
        <v>0</v>
      </c>
      <c r="P139" s="17">
        <v>0</v>
      </c>
      <c r="Q139" s="17">
        <v>0</v>
      </c>
      <c r="R139" s="17">
        <v>0</v>
      </c>
      <c r="S139" s="17">
        <v>0</v>
      </c>
    </row>
    <row r="140" spans="2:19" customFormat="1" outlineLevel="1">
      <c r="B140" s="18" t="str">
        <f>"current case - "&amp;CHOOSE($J$4,B137,B138,B139)</f>
        <v>current case - Down case</v>
      </c>
      <c r="C140" s="19"/>
      <c r="D140" s="19"/>
      <c r="E140" s="19"/>
      <c r="F140" s="19"/>
      <c r="G140" s="19"/>
      <c r="H140" s="19"/>
      <c r="I140" s="20"/>
      <c r="J140" s="20"/>
      <c r="K140" s="20">
        <f t="shared" ref="K140:S140" si="25">CHOOSE($J$4,K137,K138,K139)</f>
        <v>0</v>
      </c>
      <c r="L140" s="20">
        <f t="shared" si="25"/>
        <v>0</v>
      </c>
      <c r="M140" s="20">
        <f t="shared" si="25"/>
        <v>0</v>
      </c>
      <c r="N140" s="20">
        <f t="shared" si="25"/>
        <v>0</v>
      </c>
      <c r="O140" s="20">
        <f t="shared" si="25"/>
        <v>0</v>
      </c>
      <c r="P140" s="20">
        <f t="shared" si="25"/>
        <v>0</v>
      </c>
      <c r="Q140" s="20">
        <f t="shared" si="25"/>
        <v>0</v>
      </c>
      <c r="R140" s="20">
        <f t="shared" si="25"/>
        <v>0</v>
      </c>
      <c r="S140" s="20">
        <f t="shared" si="25"/>
        <v>0</v>
      </c>
    </row>
    <row r="141" spans="2:19" customFormat="1" outlineLevel="1"/>
    <row r="142" spans="2:19" customFormat="1" outlineLevel="1"/>
    <row r="143" spans="2:19" customFormat="1" outlineLevel="1">
      <c r="B143" s="12" t="s">
        <v>596</v>
      </c>
      <c r="C143" s="13"/>
      <c r="D143" s="13"/>
      <c r="E143" s="13"/>
      <c r="F143" s="13"/>
      <c r="G143" s="13"/>
      <c r="H143" s="13"/>
      <c r="I143" s="13"/>
      <c r="J143" s="13"/>
      <c r="K143" s="13"/>
      <c r="L143" s="13"/>
      <c r="M143" s="13"/>
      <c r="N143" s="13"/>
      <c r="O143" s="13"/>
      <c r="P143" s="13"/>
      <c r="Q143" s="13"/>
      <c r="R143" s="13"/>
      <c r="S143" s="13"/>
    </row>
    <row r="144" spans="2:19" customFormat="1" outlineLevel="1">
      <c r="B144" s="9"/>
      <c r="C144" s="9"/>
      <c r="D144" s="9"/>
      <c r="E144" s="9"/>
      <c r="F144" s="9"/>
      <c r="G144" s="9"/>
      <c r="H144" s="9"/>
      <c r="I144" s="9"/>
      <c r="J144" s="9"/>
      <c r="K144" s="9"/>
      <c r="L144" s="9"/>
      <c r="M144" s="9"/>
      <c r="N144" s="3"/>
      <c r="O144" s="3"/>
      <c r="P144" s="3"/>
      <c r="Q144" s="3"/>
      <c r="R144" s="3"/>
      <c r="S144" s="3"/>
    </row>
    <row r="145" spans="2:19" customFormat="1" outlineLevel="1">
      <c r="B145" s="14" t="s">
        <v>600</v>
      </c>
      <c r="C145" s="3"/>
      <c r="D145" s="3"/>
      <c r="E145" s="3"/>
      <c r="F145" s="3"/>
      <c r="G145" s="3"/>
      <c r="H145" s="3"/>
      <c r="I145" s="3"/>
      <c r="J145" s="3"/>
      <c r="K145" s="3"/>
      <c r="L145" s="3"/>
      <c r="M145" s="3"/>
      <c r="N145" s="21"/>
      <c r="O145" s="21"/>
      <c r="P145" s="21"/>
      <c r="Q145" s="21"/>
      <c r="R145" s="21"/>
      <c r="S145" s="21"/>
    </row>
    <row r="146" spans="2:19" customFormat="1" outlineLevel="1">
      <c r="B146" s="15">
        <v>1</v>
      </c>
      <c r="C146" s="16"/>
      <c r="D146" s="16"/>
      <c r="E146" s="16"/>
      <c r="F146" s="16"/>
      <c r="G146" s="16"/>
      <c r="H146" s="16"/>
      <c r="I146" s="17"/>
      <c r="J146" s="17"/>
      <c r="K146" s="17">
        <v>1.4E-2</v>
      </c>
      <c r="L146" s="17">
        <v>1.4E-2</v>
      </c>
      <c r="M146" s="17">
        <v>1.4E-2</v>
      </c>
      <c r="N146" s="17">
        <v>1.4E-2</v>
      </c>
      <c r="O146" s="17">
        <v>1.4E-2</v>
      </c>
      <c r="P146" s="17">
        <v>1.4E-2</v>
      </c>
      <c r="Q146" s="17">
        <v>1.4E-2</v>
      </c>
      <c r="R146" s="17">
        <v>1.4E-2</v>
      </c>
      <c r="S146" s="17">
        <v>1.4E-2</v>
      </c>
    </row>
    <row r="147" spans="2:19" customFormat="1" outlineLevel="1">
      <c r="B147" s="15" t="s">
        <v>23</v>
      </c>
      <c r="C147" s="16"/>
      <c r="D147" s="16"/>
      <c r="E147" s="16"/>
      <c r="F147" s="16"/>
      <c r="G147" s="16"/>
      <c r="H147" s="16"/>
      <c r="I147" s="16"/>
      <c r="J147" s="17"/>
      <c r="K147" s="17">
        <v>1.4E-2</v>
      </c>
      <c r="L147" s="17">
        <v>1.4E-2</v>
      </c>
      <c r="M147" s="17">
        <v>1.4E-2</v>
      </c>
      <c r="N147" s="17">
        <v>1.4E-2</v>
      </c>
      <c r="O147" s="17">
        <v>1.4E-2</v>
      </c>
      <c r="P147" s="17">
        <v>1.4E-2</v>
      </c>
      <c r="Q147" s="17">
        <v>1.4E-2</v>
      </c>
      <c r="R147" s="17">
        <v>1.4E-2</v>
      </c>
      <c r="S147" s="17">
        <v>1.4E-2</v>
      </c>
    </row>
    <row r="148" spans="2:19" customFormat="1" outlineLevel="1">
      <c r="B148" s="15" t="s">
        <v>24</v>
      </c>
      <c r="C148" s="16"/>
      <c r="D148" s="16"/>
      <c r="E148" s="16"/>
      <c r="F148" s="16"/>
      <c r="G148" s="16"/>
      <c r="H148" s="16"/>
      <c r="I148" s="16"/>
      <c r="J148" s="17"/>
      <c r="K148" s="17">
        <v>1.4E-2</v>
      </c>
      <c r="L148" s="17">
        <v>1.4E-2</v>
      </c>
      <c r="M148" s="17">
        <v>1.4E-2</v>
      </c>
      <c r="N148" s="17">
        <v>1.4E-2</v>
      </c>
      <c r="O148" s="17">
        <v>1.4E-2</v>
      </c>
      <c r="P148" s="17">
        <v>1.4E-2</v>
      </c>
      <c r="Q148" s="17">
        <v>1.4E-2</v>
      </c>
      <c r="R148" s="17">
        <v>1.4E-2</v>
      </c>
      <c r="S148" s="17">
        <v>1.4E-2</v>
      </c>
    </row>
    <row r="149" spans="2:19" customFormat="1" outlineLevel="1">
      <c r="B149" s="18" t="str">
        <f>"current case - "&amp;CHOOSE($J$4,B146,B147,B148)</f>
        <v>current case - Down case</v>
      </c>
      <c r="C149" s="19"/>
      <c r="D149" s="19"/>
      <c r="E149" s="19"/>
      <c r="F149" s="19"/>
      <c r="G149" s="19"/>
      <c r="H149" s="19"/>
      <c r="I149" s="20"/>
      <c r="J149" s="20"/>
      <c r="K149" s="20">
        <f t="shared" ref="K149:S149" si="26">CHOOSE($J$4,K146,K147,K148)</f>
        <v>1.4E-2</v>
      </c>
      <c r="L149" s="20">
        <f t="shared" si="26"/>
        <v>1.4E-2</v>
      </c>
      <c r="M149" s="20">
        <f t="shared" si="26"/>
        <v>1.4E-2</v>
      </c>
      <c r="N149" s="20">
        <f t="shared" si="26"/>
        <v>1.4E-2</v>
      </c>
      <c r="O149" s="20">
        <f t="shared" si="26"/>
        <v>1.4E-2</v>
      </c>
      <c r="P149" s="20">
        <f t="shared" si="26"/>
        <v>1.4E-2</v>
      </c>
      <c r="Q149" s="20">
        <f t="shared" si="26"/>
        <v>1.4E-2</v>
      </c>
      <c r="R149" s="20">
        <f t="shared" si="26"/>
        <v>1.4E-2</v>
      </c>
      <c r="S149" s="20">
        <f t="shared" si="26"/>
        <v>1.4E-2</v>
      </c>
    </row>
    <row r="150" spans="2:19" customFormat="1" outlineLevel="1"/>
    <row r="151" spans="2:19" customFormat="1" outlineLevel="1">
      <c r="B151" s="12" t="s">
        <v>359</v>
      </c>
      <c r="C151" s="13"/>
      <c r="D151" s="13"/>
      <c r="E151" s="13"/>
      <c r="F151" s="13"/>
      <c r="G151" s="13"/>
      <c r="H151" s="13"/>
      <c r="I151" s="13"/>
      <c r="J151" s="13"/>
      <c r="K151" s="13"/>
      <c r="L151" s="13"/>
      <c r="M151" s="13"/>
      <c r="N151" s="13"/>
      <c r="O151" s="13"/>
      <c r="P151" s="13"/>
      <c r="Q151" s="13"/>
      <c r="R151" s="13"/>
      <c r="S151" s="13"/>
    </row>
    <row r="152" spans="2:19" customFormat="1" outlineLevel="1">
      <c r="B152" s="9"/>
      <c r="C152" s="9"/>
      <c r="D152" s="9"/>
      <c r="E152" s="9"/>
      <c r="F152" s="9"/>
      <c r="G152" s="9"/>
      <c r="H152" s="9"/>
      <c r="I152" s="9"/>
      <c r="J152" s="9"/>
      <c r="K152" s="9"/>
      <c r="L152" s="9"/>
      <c r="M152" s="9"/>
      <c r="N152" s="3"/>
      <c r="O152" s="3"/>
      <c r="P152" s="3"/>
      <c r="Q152" s="3"/>
      <c r="R152" s="3"/>
      <c r="S152" s="3"/>
    </row>
    <row r="153" spans="2:19" customFormat="1" outlineLevel="1">
      <c r="B153" s="14" t="s">
        <v>606</v>
      </c>
      <c r="C153" s="3"/>
      <c r="D153" s="3"/>
      <c r="E153" s="3"/>
      <c r="F153" s="3"/>
      <c r="G153" s="3"/>
      <c r="H153" s="3"/>
      <c r="I153" s="3"/>
      <c r="J153" s="3"/>
      <c r="K153" s="3"/>
      <c r="L153" s="3"/>
      <c r="M153" s="3"/>
      <c r="N153" s="21"/>
      <c r="O153" s="21"/>
      <c r="P153" s="21"/>
      <c r="Q153" s="21"/>
      <c r="R153" s="21"/>
      <c r="S153" s="21"/>
    </row>
    <row r="154" spans="2:19" customFormat="1" outlineLevel="1">
      <c r="B154" s="15" t="s">
        <v>22</v>
      </c>
      <c r="C154" s="16"/>
      <c r="D154" s="16"/>
      <c r="E154" s="16"/>
      <c r="F154" s="16"/>
      <c r="G154" s="16"/>
      <c r="H154" s="16"/>
      <c r="I154" s="17"/>
      <c r="J154" s="17"/>
      <c r="K154" s="17">
        <v>0</v>
      </c>
      <c r="L154" s="17">
        <v>0</v>
      </c>
      <c r="M154" s="17">
        <v>0</v>
      </c>
      <c r="N154" s="17">
        <v>0</v>
      </c>
      <c r="O154" s="17">
        <v>0</v>
      </c>
      <c r="P154" s="17">
        <v>0</v>
      </c>
      <c r="Q154" s="17">
        <v>0</v>
      </c>
      <c r="R154" s="17">
        <v>0</v>
      </c>
      <c r="S154" s="17">
        <v>0</v>
      </c>
    </row>
    <row r="155" spans="2:19" customFormat="1" outlineLevel="1">
      <c r="B155" s="15" t="s">
        <v>23</v>
      </c>
      <c r="C155" s="16"/>
      <c r="D155" s="16"/>
      <c r="E155" s="16"/>
      <c r="F155" s="16"/>
      <c r="G155" s="16"/>
      <c r="H155" s="16"/>
      <c r="I155" s="16"/>
      <c r="J155" s="17"/>
      <c r="K155" s="17">
        <v>0</v>
      </c>
      <c r="L155" s="17">
        <v>0</v>
      </c>
      <c r="M155" s="17">
        <v>0</v>
      </c>
      <c r="N155" s="17">
        <v>0</v>
      </c>
      <c r="O155" s="17">
        <v>0</v>
      </c>
      <c r="P155" s="17">
        <v>0</v>
      </c>
      <c r="Q155" s="17">
        <v>0</v>
      </c>
      <c r="R155" s="17">
        <v>0</v>
      </c>
      <c r="S155" s="17">
        <v>0</v>
      </c>
    </row>
    <row r="156" spans="2:19" customFormat="1" outlineLevel="1">
      <c r="B156" s="15" t="s">
        <v>24</v>
      </c>
      <c r="C156" s="16"/>
      <c r="D156" s="16"/>
      <c r="E156" s="16"/>
      <c r="F156" s="16"/>
      <c r="G156" s="16"/>
      <c r="H156" s="16"/>
      <c r="I156" s="16"/>
      <c r="J156" s="17"/>
      <c r="K156" s="17">
        <v>0</v>
      </c>
      <c r="L156" s="17">
        <v>0</v>
      </c>
      <c r="M156" s="17">
        <v>0</v>
      </c>
      <c r="N156" s="17">
        <v>0</v>
      </c>
      <c r="O156" s="17">
        <v>0</v>
      </c>
      <c r="P156" s="17">
        <v>0</v>
      </c>
      <c r="Q156" s="17">
        <v>0</v>
      </c>
      <c r="R156" s="17">
        <v>0</v>
      </c>
      <c r="S156" s="17">
        <v>0</v>
      </c>
    </row>
    <row r="157" spans="2:19" customFormat="1" outlineLevel="1">
      <c r="B157" s="18" t="str">
        <f>"current case - "&amp;CHOOSE($J$4,B154,B155,B156)</f>
        <v>current case - Down case</v>
      </c>
      <c r="C157" s="19"/>
      <c r="D157" s="19"/>
      <c r="E157" s="19"/>
      <c r="F157" s="19"/>
      <c r="G157" s="19"/>
      <c r="H157" s="19"/>
      <c r="I157" s="20"/>
      <c r="J157" s="20"/>
      <c r="K157" s="20">
        <f t="shared" ref="K157:S157" si="27">CHOOSE($J$4,K154,K155,K156)</f>
        <v>0</v>
      </c>
      <c r="L157" s="20">
        <f t="shared" si="27"/>
        <v>0</v>
      </c>
      <c r="M157" s="20">
        <f t="shared" si="27"/>
        <v>0</v>
      </c>
      <c r="N157" s="20">
        <f t="shared" si="27"/>
        <v>0</v>
      </c>
      <c r="O157" s="20">
        <f t="shared" si="27"/>
        <v>0</v>
      </c>
      <c r="P157" s="20">
        <f t="shared" si="27"/>
        <v>0</v>
      </c>
      <c r="Q157" s="20">
        <f t="shared" si="27"/>
        <v>0</v>
      </c>
      <c r="R157" s="20">
        <f t="shared" si="27"/>
        <v>0</v>
      </c>
      <c r="S157" s="20">
        <f t="shared" si="27"/>
        <v>0</v>
      </c>
    </row>
    <row r="158" spans="2:19" customFormat="1" outlineLevel="1"/>
    <row r="159" spans="2:19" customFormat="1" outlineLevel="1"/>
    <row r="160" spans="2:19" customFormat="1" outlineLevel="1"/>
    <row r="161" spans="1:19">
      <c r="A161" s="3" t="s">
        <v>21</v>
      </c>
      <c r="B161" s="10" t="s">
        <v>758</v>
      </c>
      <c r="C161" s="11"/>
      <c r="D161" s="11"/>
      <c r="E161" s="11"/>
      <c r="F161" s="11"/>
      <c r="G161" s="11"/>
      <c r="H161" s="11"/>
      <c r="I161" s="11"/>
      <c r="J161" s="11"/>
      <c r="K161" s="11"/>
      <c r="L161" s="11"/>
      <c r="M161" s="11"/>
      <c r="N161" s="11"/>
      <c r="O161" s="11"/>
      <c r="P161" s="11"/>
      <c r="Q161" s="11"/>
      <c r="R161" s="11"/>
      <c r="S161" s="11"/>
    </row>
    <row r="162" spans="1:19" outlineLevel="1"/>
    <row r="163" spans="1:19" outlineLevel="1">
      <c r="B163" s="14" t="s">
        <v>25</v>
      </c>
      <c r="N163" s="24"/>
      <c r="O163" s="24"/>
      <c r="P163" s="24"/>
      <c r="Q163" s="24"/>
      <c r="R163" s="24"/>
      <c r="S163" s="24"/>
    </row>
    <row r="164" spans="1:19" outlineLevel="1">
      <c r="B164" s="15" t="s">
        <v>22</v>
      </c>
      <c r="C164" s="16"/>
      <c r="D164" s="16"/>
      <c r="E164" s="16"/>
      <c r="F164" s="16"/>
      <c r="G164" s="16"/>
      <c r="H164" s="16"/>
      <c r="I164" s="17"/>
      <c r="J164" s="17"/>
      <c r="K164" s="17">
        <v>0.25</v>
      </c>
      <c r="L164" s="17">
        <v>0.25</v>
      </c>
      <c r="M164" s="17">
        <v>0.25</v>
      </c>
      <c r="N164" s="17">
        <v>0.25</v>
      </c>
      <c r="O164" s="17">
        <v>0.25</v>
      </c>
      <c r="P164" s="17">
        <v>0.25</v>
      </c>
      <c r="Q164" s="17">
        <v>0.25</v>
      </c>
      <c r="R164" s="17">
        <v>0.25</v>
      </c>
      <c r="S164" s="17">
        <v>0.25</v>
      </c>
    </row>
    <row r="165" spans="1:19" outlineLevel="1">
      <c r="B165" s="15" t="s">
        <v>23</v>
      </c>
      <c r="C165" s="16"/>
      <c r="D165" s="16"/>
      <c r="E165" s="16"/>
      <c r="F165" s="16"/>
      <c r="G165" s="16"/>
      <c r="H165" s="16"/>
      <c r="I165" s="16"/>
      <c r="J165" s="17"/>
      <c r="K165" s="17">
        <v>0.25</v>
      </c>
      <c r="L165" s="17">
        <v>0.25</v>
      </c>
      <c r="M165" s="17">
        <v>0.25</v>
      </c>
      <c r="N165" s="17">
        <v>0.25</v>
      </c>
      <c r="O165" s="17">
        <v>0.25</v>
      </c>
      <c r="P165" s="17">
        <v>0.25</v>
      </c>
      <c r="Q165" s="17">
        <v>0.25</v>
      </c>
      <c r="R165" s="17">
        <v>0.25</v>
      </c>
      <c r="S165" s="17">
        <v>0.25</v>
      </c>
    </row>
    <row r="166" spans="1:19" outlineLevel="1">
      <c r="B166" s="15" t="s">
        <v>24</v>
      </c>
      <c r="C166" s="16"/>
      <c r="D166" s="16"/>
      <c r="E166" s="16"/>
      <c r="F166" s="16"/>
      <c r="G166" s="16"/>
      <c r="H166" s="16"/>
      <c r="I166" s="16"/>
      <c r="J166" s="17"/>
      <c r="K166" s="17">
        <v>0.25</v>
      </c>
      <c r="L166" s="17">
        <v>0.25</v>
      </c>
      <c r="M166" s="17">
        <v>0.25</v>
      </c>
      <c r="N166" s="17">
        <v>0.25</v>
      </c>
      <c r="O166" s="17">
        <v>0.25</v>
      </c>
      <c r="P166" s="17">
        <v>0.25</v>
      </c>
      <c r="Q166" s="17">
        <v>0.25</v>
      </c>
      <c r="R166" s="17">
        <v>0.25</v>
      </c>
      <c r="S166" s="17">
        <v>0.25</v>
      </c>
    </row>
    <row r="167" spans="1:19" outlineLevel="1">
      <c r="B167" s="18" t="str">
        <f>"current case - "&amp;CHOOSE($J$4,B164,B165,B166)</f>
        <v>current case - Down case</v>
      </c>
      <c r="C167" s="19"/>
      <c r="D167" s="19"/>
      <c r="E167" s="19"/>
      <c r="F167" s="19"/>
      <c r="G167" s="19"/>
      <c r="H167" s="19"/>
      <c r="I167" s="20"/>
      <c r="J167" s="20"/>
      <c r="K167" s="20">
        <f t="shared" ref="K167:S167" si="28">CHOOSE($J$4,K164,K165,K166)</f>
        <v>0.25</v>
      </c>
      <c r="L167" s="20">
        <f t="shared" si="28"/>
        <v>0.25</v>
      </c>
      <c r="M167" s="20">
        <f t="shared" si="28"/>
        <v>0.25</v>
      </c>
      <c r="N167" s="20">
        <f t="shared" si="28"/>
        <v>0.25</v>
      </c>
      <c r="O167" s="20">
        <f t="shared" si="28"/>
        <v>0.25</v>
      </c>
      <c r="P167" s="20">
        <f t="shared" si="28"/>
        <v>0.25</v>
      </c>
      <c r="Q167" s="20">
        <f t="shared" si="28"/>
        <v>0.25</v>
      </c>
      <c r="R167" s="20">
        <f t="shared" si="28"/>
        <v>0.25</v>
      </c>
      <c r="S167" s="20">
        <f t="shared" si="28"/>
        <v>0.25</v>
      </c>
    </row>
    <row r="169" spans="1:19">
      <c r="A169" s="22" t="s">
        <v>21</v>
      </c>
      <c r="B169" s="10" t="s">
        <v>757</v>
      </c>
      <c r="C169" s="11"/>
      <c r="D169" s="11"/>
      <c r="E169" s="11"/>
      <c r="F169" s="11"/>
      <c r="G169" s="11"/>
      <c r="H169" s="11"/>
      <c r="I169" s="11"/>
      <c r="J169" s="11"/>
      <c r="K169" s="11"/>
      <c r="L169" s="11"/>
      <c r="M169" s="11"/>
      <c r="N169" s="11"/>
      <c r="O169" s="11"/>
      <c r="P169" s="11"/>
      <c r="Q169" s="11"/>
      <c r="R169" s="11"/>
      <c r="S169" s="11"/>
    </row>
    <row r="170" spans="1:19" outlineLevel="1"/>
    <row r="171" spans="1:19" outlineLevel="1">
      <c r="B171" s="14" t="s">
        <v>695</v>
      </c>
      <c r="N171" s="24"/>
      <c r="O171" s="24"/>
      <c r="P171" s="24"/>
      <c r="Q171" s="24"/>
      <c r="R171" s="24"/>
      <c r="S171" s="24"/>
    </row>
    <row r="172" spans="1:19" outlineLevel="1">
      <c r="B172" s="15" t="s">
        <v>22</v>
      </c>
      <c r="C172" s="16"/>
      <c r="D172" s="16"/>
      <c r="E172" s="16"/>
      <c r="F172" s="16"/>
      <c r="G172" s="16"/>
      <c r="H172" s="16"/>
      <c r="I172" s="17"/>
      <c r="J172" s="17"/>
      <c r="K172" s="17">
        <v>0.08</v>
      </c>
      <c r="L172" s="17">
        <v>0.08</v>
      </c>
      <c r="M172" s="17">
        <v>0.08</v>
      </c>
      <c r="N172" s="17">
        <v>0.08</v>
      </c>
      <c r="O172" s="17">
        <v>0.04</v>
      </c>
      <c r="P172" s="17">
        <v>0.04</v>
      </c>
      <c r="Q172" s="17">
        <v>0.04</v>
      </c>
      <c r="R172" s="17">
        <v>0.04</v>
      </c>
      <c r="S172" s="17">
        <v>0.04</v>
      </c>
    </row>
    <row r="173" spans="1:19" outlineLevel="1">
      <c r="B173" s="15" t="s">
        <v>23</v>
      </c>
      <c r="C173" s="16"/>
      <c r="D173" s="16"/>
      <c r="E173" s="16"/>
      <c r="F173" s="16"/>
      <c r="G173" s="16"/>
      <c r="H173" s="16"/>
      <c r="I173" s="16"/>
      <c r="J173" s="17"/>
      <c r="K173" s="17">
        <v>0.08</v>
      </c>
      <c r="L173" s="17">
        <v>0.08</v>
      </c>
      <c r="M173" s="17">
        <v>0.08</v>
      </c>
      <c r="N173" s="17">
        <v>0.08</v>
      </c>
      <c r="O173" s="17">
        <v>0.04</v>
      </c>
      <c r="P173" s="17">
        <v>0.04</v>
      </c>
      <c r="Q173" s="17">
        <v>0.04</v>
      </c>
      <c r="R173" s="17">
        <v>0.04</v>
      </c>
      <c r="S173" s="17">
        <v>0.04</v>
      </c>
    </row>
    <row r="174" spans="1:19" outlineLevel="1">
      <c r="B174" s="15" t="s">
        <v>24</v>
      </c>
      <c r="C174" s="16"/>
      <c r="D174" s="16"/>
      <c r="E174" s="16"/>
      <c r="F174" s="16"/>
      <c r="G174" s="16"/>
      <c r="H174" s="16"/>
      <c r="I174" s="16"/>
      <c r="J174" s="17"/>
      <c r="K174" s="17">
        <v>0.08</v>
      </c>
      <c r="L174" s="17">
        <v>0.08</v>
      </c>
      <c r="M174" s="17">
        <v>0.08</v>
      </c>
      <c r="N174" s="17">
        <v>0.08</v>
      </c>
      <c r="O174" s="17">
        <v>0.04</v>
      </c>
      <c r="P174" s="17">
        <v>0.04</v>
      </c>
      <c r="Q174" s="17">
        <v>0.04</v>
      </c>
      <c r="R174" s="17">
        <v>0.04</v>
      </c>
      <c r="S174" s="17">
        <v>0.04</v>
      </c>
    </row>
    <row r="175" spans="1:19" outlineLevel="1">
      <c r="B175" s="18" t="str">
        <f>"current case - "&amp;CHOOSE($J$4,B172,B173,B174)</f>
        <v>current case - Down case</v>
      </c>
      <c r="C175" s="19"/>
      <c r="D175" s="19"/>
      <c r="E175" s="19"/>
      <c r="F175" s="19"/>
      <c r="G175" s="19"/>
      <c r="H175" s="19"/>
      <c r="I175" s="20"/>
      <c r="J175" s="20"/>
      <c r="K175" s="20">
        <f t="shared" ref="K175:S175" si="29">CHOOSE($J$4,K172,K173,K174)</f>
        <v>0.08</v>
      </c>
      <c r="L175" s="20">
        <f t="shared" si="29"/>
        <v>0.08</v>
      </c>
      <c r="M175" s="20">
        <f t="shared" si="29"/>
        <v>0.08</v>
      </c>
      <c r="N175" s="20">
        <f t="shared" si="29"/>
        <v>0.08</v>
      </c>
      <c r="O175" s="20">
        <f t="shared" si="29"/>
        <v>0.04</v>
      </c>
      <c r="P175" s="20">
        <f t="shared" si="29"/>
        <v>0.04</v>
      </c>
      <c r="Q175" s="20">
        <f t="shared" si="29"/>
        <v>0.04</v>
      </c>
      <c r="R175" s="20">
        <f t="shared" si="29"/>
        <v>0.04</v>
      </c>
      <c r="S175" s="20">
        <f t="shared" si="29"/>
        <v>0.04</v>
      </c>
    </row>
    <row r="177" spans="1:19">
      <c r="A177" s="22" t="s">
        <v>21</v>
      </c>
      <c r="B177" s="10" t="s">
        <v>756</v>
      </c>
      <c r="C177" s="11"/>
      <c r="D177" s="11"/>
      <c r="E177" s="11"/>
      <c r="F177" s="11"/>
      <c r="G177" s="11"/>
      <c r="H177" s="11"/>
      <c r="I177" s="11"/>
      <c r="J177" s="11"/>
      <c r="K177" s="11"/>
      <c r="L177" s="11"/>
      <c r="M177" s="11"/>
      <c r="N177" s="11"/>
      <c r="O177" s="11"/>
      <c r="P177" s="11"/>
      <c r="Q177" s="11"/>
      <c r="R177" s="11"/>
      <c r="S177" s="11"/>
    </row>
    <row r="179" spans="1:19">
      <c r="B179" s="14" t="s">
        <v>696</v>
      </c>
      <c r="N179" s="24"/>
      <c r="O179" s="24"/>
      <c r="P179" s="24"/>
      <c r="Q179" s="24"/>
      <c r="R179" s="24"/>
      <c r="S179" s="24"/>
    </row>
    <row r="180" spans="1:19">
      <c r="B180" s="15" t="s">
        <v>22</v>
      </c>
      <c r="C180" s="16"/>
      <c r="D180" s="16"/>
      <c r="E180" s="16"/>
      <c r="F180" s="16"/>
      <c r="G180" s="16"/>
      <c r="H180" s="16"/>
      <c r="I180" s="17"/>
      <c r="J180" s="17"/>
      <c r="K180" s="17">
        <v>0.05</v>
      </c>
      <c r="L180" s="17">
        <v>0.05</v>
      </c>
      <c r="M180" s="17">
        <v>0.05</v>
      </c>
      <c r="N180" s="17">
        <v>0.05</v>
      </c>
      <c r="O180" s="17">
        <v>-0.1</v>
      </c>
      <c r="P180" s="17">
        <v>-0.1</v>
      </c>
      <c r="Q180" s="17">
        <v>-0.1</v>
      </c>
      <c r="R180" s="17">
        <v>-0.1</v>
      </c>
      <c r="S180" s="17">
        <v>-0.1</v>
      </c>
    </row>
    <row r="181" spans="1:19">
      <c r="B181" s="15" t="s">
        <v>23</v>
      </c>
      <c r="C181" s="16"/>
      <c r="D181" s="16"/>
      <c r="E181" s="16"/>
      <c r="F181" s="16"/>
      <c r="G181" s="16"/>
      <c r="H181" s="16"/>
      <c r="I181" s="16"/>
      <c r="J181" s="17"/>
      <c r="K181" s="17">
        <v>0.05</v>
      </c>
      <c r="L181" s="17">
        <v>0.05</v>
      </c>
      <c r="M181" s="17">
        <v>0.05</v>
      </c>
      <c r="N181" s="17">
        <v>0.05</v>
      </c>
      <c r="O181" s="17">
        <v>-0.1</v>
      </c>
      <c r="P181" s="17">
        <v>-0.1</v>
      </c>
      <c r="Q181" s="17">
        <v>-0.1</v>
      </c>
      <c r="R181" s="17">
        <v>-0.1</v>
      </c>
      <c r="S181" s="17">
        <v>-0.1</v>
      </c>
    </row>
    <row r="182" spans="1:19">
      <c r="B182" s="15" t="s">
        <v>24</v>
      </c>
      <c r="C182" s="16"/>
      <c r="D182" s="16"/>
      <c r="E182" s="16"/>
      <c r="F182" s="16"/>
      <c r="G182" s="16"/>
      <c r="H182" s="16"/>
      <c r="I182" s="16"/>
      <c r="J182" s="17"/>
      <c r="K182" s="17">
        <v>0.05</v>
      </c>
      <c r="L182" s="17">
        <v>0.05</v>
      </c>
      <c r="M182" s="17">
        <v>0.05</v>
      </c>
      <c r="N182" s="17">
        <v>0.05</v>
      </c>
      <c r="O182" s="17">
        <v>-0.1</v>
      </c>
      <c r="P182" s="17">
        <v>-0.1</v>
      </c>
      <c r="Q182" s="17">
        <v>-0.1</v>
      </c>
      <c r="R182" s="17">
        <v>-0.1</v>
      </c>
      <c r="S182" s="17">
        <v>-0.1</v>
      </c>
    </row>
    <row r="183" spans="1:19">
      <c r="B183" s="18" t="str">
        <f>"current case - "&amp;CHOOSE($J$4,B180,B181,B182)</f>
        <v>current case - Down case</v>
      </c>
      <c r="C183" s="19"/>
      <c r="D183" s="19"/>
      <c r="E183" s="19"/>
      <c r="F183" s="19"/>
      <c r="G183" s="19"/>
      <c r="H183" s="19"/>
      <c r="I183" s="20"/>
      <c r="J183" s="20"/>
      <c r="K183" s="20">
        <f t="shared" ref="K183:S183" si="30">CHOOSE($J$4,K180,K181,K182)</f>
        <v>0.05</v>
      </c>
      <c r="L183" s="20">
        <f t="shared" si="30"/>
        <v>0.05</v>
      </c>
      <c r="M183" s="20">
        <f t="shared" si="30"/>
        <v>0.05</v>
      </c>
      <c r="N183" s="20">
        <f t="shared" si="30"/>
        <v>0.05</v>
      </c>
      <c r="O183" s="20">
        <f t="shared" si="30"/>
        <v>-0.1</v>
      </c>
      <c r="P183" s="20">
        <f t="shared" si="30"/>
        <v>-0.1</v>
      </c>
      <c r="Q183" s="20">
        <f t="shared" si="30"/>
        <v>-0.1</v>
      </c>
      <c r="R183" s="20">
        <f t="shared" si="30"/>
        <v>-0.1</v>
      </c>
      <c r="S183" s="20">
        <f t="shared" si="30"/>
        <v>-0.1</v>
      </c>
    </row>
    <row r="185" spans="1:19">
      <c r="B185" s="10" t="s">
        <v>754</v>
      </c>
      <c r="C185" s="11"/>
      <c r="D185" s="11"/>
      <c r="E185" s="11"/>
      <c r="F185" s="11"/>
      <c r="G185" s="11"/>
      <c r="H185" s="11"/>
      <c r="I185" s="11"/>
      <c r="J185" s="11"/>
      <c r="K185" s="11"/>
      <c r="L185" s="11"/>
      <c r="M185" s="11"/>
      <c r="N185" s="11"/>
      <c r="O185" s="11"/>
      <c r="P185" s="11"/>
      <c r="Q185" s="11"/>
      <c r="R185" s="11"/>
      <c r="S185" s="11"/>
    </row>
    <row r="186" spans="1:19" outlineLevel="1"/>
    <row r="187" spans="1:19" outlineLevel="1">
      <c r="B187" s="14" t="s">
        <v>715</v>
      </c>
      <c r="N187" s="24"/>
      <c r="O187" s="24"/>
      <c r="P187" s="24"/>
      <c r="Q187" s="24"/>
      <c r="R187" s="24"/>
      <c r="S187" s="24"/>
    </row>
    <row r="188" spans="1:19" outlineLevel="1">
      <c r="B188" s="15" t="s">
        <v>22</v>
      </c>
      <c r="C188" s="16"/>
      <c r="D188" s="16"/>
      <c r="E188" s="16"/>
      <c r="F188" s="16"/>
      <c r="G188" s="16"/>
      <c r="H188" s="16"/>
      <c r="I188" s="17"/>
      <c r="J188" s="17"/>
      <c r="K188" s="17">
        <v>7.8899999999999998E-2</v>
      </c>
      <c r="L188" s="17">
        <v>7.8899999999999998E-2</v>
      </c>
      <c r="M188" s="17">
        <v>7.8899999999999998E-2</v>
      </c>
      <c r="N188" s="17">
        <v>7.8899999999999998E-2</v>
      </c>
      <c r="O188" s="17">
        <v>7.8899999999999998E-2</v>
      </c>
      <c r="P188" s="17">
        <v>7.8899999999999998E-2</v>
      </c>
      <c r="Q188" s="17">
        <v>7.8899999999999998E-2</v>
      </c>
      <c r="R188" s="17">
        <v>7.8899999999999998E-2</v>
      </c>
      <c r="S188" s="17">
        <v>7.8899999999999998E-2</v>
      </c>
    </row>
    <row r="189" spans="1:19" outlineLevel="1">
      <c r="B189" s="15" t="s">
        <v>23</v>
      </c>
      <c r="C189" s="16"/>
      <c r="D189" s="16"/>
      <c r="E189" s="16"/>
      <c r="F189" s="16"/>
      <c r="G189" s="16"/>
      <c r="H189" s="16"/>
      <c r="I189" s="16"/>
      <c r="J189" s="17"/>
      <c r="K189" s="17">
        <v>7.8899999999999998E-2</v>
      </c>
      <c r="L189" s="17">
        <v>7.8899999999999998E-2</v>
      </c>
      <c r="M189" s="17">
        <v>7.8899999999999998E-2</v>
      </c>
      <c r="N189" s="17">
        <v>7.8899999999999998E-2</v>
      </c>
      <c r="O189" s="17">
        <v>7.8899999999999998E-2</v>
      </c>
      <c r="P189" s="17">
        <v>7.8899999999999998E-2</v>
      </c>
      <c r="Q189" s="17">
        <v>7.8899999999999998E-2</v>
      </c>
      <c r="R189" s="17">
        <v>7.8899999999999998E-2</v>
      </c>
      <c r="S189" s="17">
        <v>7.8899999999999998E-2</v>
      </c>
    </row>
    <row r="190" spans="1:19" outlineLevel="1">
      <c r="B190" s="15" t="s">
        <v>24</v>
      </c>
      <c r="C190" s="16"/>
      <c r="D190" s="16"/>
      <c r="E190" s="16"/>
      <c r="F190" s="16"/>
      <c r="G190" s="16"/>
      <c r="H190" s="16"/>
      <c r="I190" s="16"/>
      <c r="J190" s="17"/>
      <c r="K190" s="17">
        <v>7.8899999999999998E-2</v>
      </c>
      <c r="L190" s="17">
        <v>7.8899999999999998E-2</v>
      </c>
      <c r="M190" s="17">
        <v>7.8899999999999998E-2</v>
      </c>
      <c r="N190" s="17">
        <v>7.8899999999999998E-2</v>
      </c>
      <c r="O190" s="17">
        <v>7.8899999999999998E-2</v>
      </c>
      <c r="P190" s="17">
        <v>7.8899999999999998E-2</v>
      </c>
      <c r="Q190" s="17">
        <v>7.8899999999999998E-2</v>
      </c>
      <c r="R190" s="17">
        <v>7.8899999999999998E-2</v>
      </c>
      <c r="S190" s="17">
        <v>7.8899999999999998E-2</v>
      </c>
    </row>
    <row r="191" spans="1:19" outlineLevel="1">
      <c r="B191" s="18" t="str">
        <f>"current case - "&amp;CHOOSE($J$4,B188,B189,B190)</f>
        <v>current case - Down case</v>
      </c>
      <c r="C191" s="19"/>
      <c r="D191" s="19"/>
      <c r="E191" s="19"/>
      <c r="F191" s="19"/>
      <c r="G191" s="19"/>
      <c r="H191" s="19"/>
      <c r="I191" s="20"/>
      <c r="J191" s="25"/>
      <c r="K191" s="25">
        <f t="shared" ref="K191:S191" si="31">CHOOSE($J$4,K188,K189,K190)</f>
        <v>7.8899999999999998E-2</v>
      </c>
      <c r="L191" s="25">
        <f t="shared" si="31"/>
        <v>7.8899999999999998E-2</v>
      </c>
      <c r="M191" s="25">
        <f t="shared" si="31"/>
        <v>7.8899999999999998E-2</v>
      </c>
      <c r="N191" s="25">
        <f t="shared" si="31"/>
        <v>7.8899999999999998E-2</v>
      </c>
      <c r="O191" s="25">
        <f t="shared" si="31"/>
        <v>7.8899999999999998E-2</v>
      </c>
      <c r="P191" s="25">
        <f t="shared" si="31"/>
        <v>7.8899999999999998E-2</v>
      </c>
      <c r="Q191" s="25">
        <f t="shared" si="31"/>
        <v>7.8899999999999998E-2</v>
      </c>
      <c r="R191" s="25">
        <f t="shared" si="31"/>
        <v>7.8899999999999998E-2</v>
      </c>
      <c r="S191" s="25">
        <f t="shared" si="31"/>
        <v>7.8899999999999998E-2</v>
      </c>
    </row>
    <row r="193" spans="2:19">
      <c r="B193" s="10" t="s">
        <v>711</v>
      </c>
      <c r="C193" s="11"/>
      <c r="D193" s="11"/>
      <c r="E193" s="11"/>
      <c r="F193" s="11"/>
      <c r="G193" s="11"/>
      <c r="H193" s="11"/>
      <c r="I193" s="11"/>
      <c r="J193" s="11"/>
      <c r="K193" s="11"/>
      <c r="L193" s="11"/>
      <c r="M193" s="11"/>
      <c r="N193" s="11"/>
      <c r="O193" s="11"/>
      <c r="P193" s="11"/>
      <c r="Q193" s="11"/>
      <c r="R193" s="11"/>
      <c r="S193" s="11"/>
    </row>
    <row r="195" spans="2:19">
      <c r="B195" s="14" t="s">
        <v>716</v>
      </c>
      <c r="N195" s="24"/>
      <c r="O195" s="24"/>
      <c r="P195" s="24"/>
      <c r="Q195" s="24"/>
      <c r="R195" s="24"/>
      <c r="S195" s="24"/>
    </row>
    <row r="196" spans="2:19">
      <c r="B196" s="15" t="s">
        <v>22</v>
      </c>
      <c r="C196" s="16"/>
      <c r="D196" s="16"/>
      <c r="E196" s="16"/>
      <c r="F196" s="16"/>
      <c r="G196" s="16"/>
      <c r="H196" s="16"/>
      <c r="I196" s="17"/>
      <c r="J196" s="17"/>
      <c r="K196" s="17">
        <v>3.9E-2</v>
      </c>
      <c r="L196" s="17">
        <v>3.9E-2</v>
      </c>
      <c r="M196" s="17">
        <v>3.9E-2</v>
      </c>
      <c r="N196" s="17">
        <v>3.9E-2</v>
      </c>
      <c r="O196" s="17">
        <v>3.9E-2</v>
      </c>
      <c r="P196" s="17">
        <v>3.9E-2</v>
      </c>
      <c r="Q196" s="17">
        <v>3.9E-2</v>
      </c>
      <c r="R196" s="17">
        <v>3.9E-2</v>
      </c>
      <c r="S196" s="17">
        <v>3.9E-2</v>
      </c>
    </row>
    <row r="197" spans="2:19">
      <c r="B197" s="15" t="s">
        <v>23</v>
      </c>
      <c r="C197" s="16"/>
      <c r="D197" s="16"/>
      <c r="E197" s="16"/>
      <c r="F197" s="16"/>
      <c r="G197" s="16"/>
      <c r="H197" s="16"/>
      <c r="I197" s="16"/>
      <c r="J197" s="17"/>
      <c r="K197" s="17">
        <v>3.9E-2</v>
      </c>
      <c r="L197" s="17">
        <v>3.9E-2</v>
      </c>
      <c r="M197" s="17">
        <v>3.9E-2</v>
      </c>
      <c r="N197" s="17">
        <v>3.9E-2</v>
      </c>
      <c r="O197" s="17">
        <v>3.9E-2</v>
      </c>
      <c r="P197" s="17">
        <v>3.9E-2</v>
      </c>
      <c r="Q197" s="17">
        <v>3.9E-2</v>
      </c>
      <c r="R197" s="17">
        <v>3.9E-2</v>
      </c>
      <c r="S197" s="17">
        <v>3.9E-2</v>
      </c>
    </row>
    <row r="198" spans="2:19">
      <c r="B198" s="15" t="s">
        <v>24</v>
      </c>
      <c r="C198" s="16"/>
      <c r="D198" s="16"/>
      <c r="E198" s="16"/>
      <c r="F198" s="16"/>
      <c r="G198" s="16"/>
      <c r="H198" s="16"/>
      <c r="I198" s="16"/>
      <c r="J198" s="17"/>
      <c r="K198" s="17">
        <v>3.9E-2</v>
      </c>
      <c r="L198" s="17">
        <v>3.9E-2</v>
      </c>
      <c r="M198" s="17">
        <v>3.9E-2</v>
      </c>
      <c r="N198" s="17">
        <v>3.9E-2</v>
      </c>
      <c r="O198" s="17">
        <v>3.9E-2</v>
      </c>
      <c r="P198" s="17">
        <v>3.9E-2</v>
      </c>
      <c r="Q198" s="17">
        <v>3.9E-2</v>
      </c>
      <c r="R198" s="17">
        <v>3.9E-2</v>
      </c>
      <c r="S198" s="17">
        <v>3.9E-2</v>
      </c>
    </row>
    <row r="199" spans="2:19">
      <c r="B199" s="18" t="str">
        <f>"current case - "&amp;CHOOSE($J$4,B196,B197,B198)</f>
        <v>current case - Down case</v>
      </c>
      <c r="C199" s="19"/>
      <c r="D199" s="19"/>
      <c r="E199" s="19"/>
      <c r="F199" s="19"/>
      <c r="G199" s="19"/>
      <c r="H199" s="19"/>
      <c r="I199" s="20"/>
      <c r="J199" s="25"/>
      <c r="K199" s="25">
        <f t="shared" ref="K199:S199" si="32">CHOOSE($J$4,K196,K197,K198)</f>
        <v>3.9E-2</v>
      </c>
      <c r="L199" s="25">
        <f t="shared" si="32"/>
        <v>3.9E-2</v>
      </c>
      <c r="M199" s="25">
        <f t="shared" si="32"/>
        <v>3.9E-2</v>
      </c>
      <c r="N199" s="25">
        <f t="shared" si="32"/>
        <v>3.9E-2</v>
      </c>
      <c r="O199" s="25">
        <f t="shared" si="32"/>
        <v>3.9E-2</v>
      </c>
      <c r="P199" s="25">
        <f t="shared" si="32"/>
        <v>3.9E-2</v>
      </c>
      <c r="Q199" s="25">
        <f t="shared" si="32"/>
        <v>3.9E-2</v>
      </c>
      <c r="R199" s="25">
        <f t="shared" si="32"/>
        <v>3.9E-2</v>
      </c>
      <c r="S199" s="25">
        <f t="shared" si="32"/>
        <v>3.9E-2</v>
      </c>
    </row>
    <row r="201" spans="2:19">
      <c r="B201" s="10" t="s">
        <v>755</v>
      </c>
      <c r="C201" s="11"/>
      <c r="D201" s="11"/>
      <c r="E201" s="11"/>
      <c r="F201" s="11"/>
      <c r="G201" s="11"/>
      <c r="H201" s="11"/>
      <c r="I201" s="11"/>
      <c r="J201" s="11"/>
      <c r="K201" s="11"/>
      <c r="L201" s="11"/>
      <c r="M201" s="11"/>
      <c r="N201" s="11"/>
      <c r="O201" s="11"/>
      <c r="P201" s="11"/>
      <c r="Q201" s="11"/>
      <c r="R201" s="11"/>
      <c r="S201" s="11"/>
    </row>
    <row r="202" spans="2:19" outlineLevel="1"/>
    <row r="203" spans="2:19" outlineLevel="1">
      <c r="B203" s="14" t="s">
        <v>26</v>
      </c>
      <c r="N203" s="24"/>
      <c r="O203" s="24"/>
      <c r="P203" s="24"/>
      <c r="Q203" s="24"/>
      <c r="R203" s="24"/>
      <c r="S203" s="24"/>
    </row>
    <row r="204" spans="2:19" outlineLevel="1">
      <c r="B204" s="15" t="s">
        <v>22</v>
      </c>
      <c r="C204" s="16"/>
      <c r="D204" s="16"/>
      <c r="E204" s="16"/>
      <c r="F204" s="16"/>
      <c r="G204" s="16"/>
      <c r="H204" s="16"/>
      <c r="I204" s="17"/>
      <c r="J204" s="17"/>
      <c r="K204" s="17">
        <v>0.35</v>
      </c>
      <c r="L204" s="17">
        <v>0.45</v>
      </c>
      <c r="M204" s="17">
        <v>0.6</v>
      </c>
      <c r="N204" s="17">
        <v>0.8</v>
      </c>
      <c r="O204" s="17">
        <v>0.8</v>
      </c>
      <c r="P204" s="17">
        <v>0.8</v>
      </c>
      <c r="Q204" s="17">
        <v>1</v>
      </c>
      <c r="R204" s="17">
        <v>1</v>
      </c>
      <c r="S204" s="17">
        <v>1</v>
      </c>
    </row>
    <row r="205" spans="2:19" outlineLevel="1">
      <c r="B205" s="15" t="s">
        <v>23</v>
      </c>
      <c r="C205" s="16"/>
      <c r="D205" s="16"/>
      <c r="E205" s="16"/>
      <c r="F205" s="16"/>
      <c r="G205" s="16"/>
      <c r="H205" s="16"/>
      <c r="I205" s="16"/>
      <c r="J205" s="17"/>
      <c r="K205" s="17">
        <v>0.35</v>
      </c>
      <c r="L205" s="17">
        <v>0.45</v>
      </c>
      <c r="M205" s="17">
        <v>0.6</v>
      </c>
      <c r="N205" s="17">
        <v>0.8</v>
      </c>
      <c r="O205" s="17">
        <v>0.8</v>
      </c>
      <c r="P205" s="17">
        <v>0.8</v>
      </c>
      <c r="Q205" s="17">
        <v>1</v>
      </c>
      <c r="R205" s="17">
        <v>1</v>
      </c>
      <c r="S205" s="17">
        <v>1</v>
      </c>
    </row>
    <row r="206" spans="2:19" outlineLevel="1">
      <c r="B206" s="15" t="s">
        <v>24</v>
      </c>
      <c r="C206" s="16"/>
      <c r="D206" s="16"/>
      <c r="E206" s="16"/>
      <c r="F206" s="16"/>
      <c r="G206" s="16"/>
      <c r="H206" s="16"/>
      <c r="I206" s="16"/>
      <c r="J206" s="17"/>
      <c r="K206" s="17">
        <v>0.35</v>
      </c>
      <c r="L206" s="17">
        <v>0.45</v>
      </c>
      <c r="M206" s="17">
        <v>0.6</v>
      </c>
      <c r="N206" s="17">
        <v>0.8</v>
      </c>
      <c r="O206" s="17">
        <v>0.8</v>
      </c>
      <c r="P206" s="17">
        <v>0.8</v>
      </c>
      <c r="Q206" s="17">
        <v>1</v>
      </c>
      <c r="R206" s="17">
        <v>1</v>
      </c>
      <c r="S206" s="17">
        <v>1</v>
      </c>
    </row>
    <row r="207" spans="2:19" outlineLevel="1">
      <c r="B207" s="18" t="str">
        <f>"current case - "&amp;CHOOSE($J$4,B204,B205,B206)</f>
        <v>current case - Down case</v>
      </c>
      <c r="C207" s="19"/>
      <c r="D207" s="19"/>
      <c r="E207" s="19"/>
      <c r="F207" s="19"/>
      <c r="G207" s="19"/>
      <c r="H207" s="19"/>
      <c r="I207" s="20"/>
      <c r="J207" s="25"/>
      <c r="K207" s="25">
        <f t="shared" ref="K207:S207" si="33">CHOOSE($J$4,K204,K205,K206)</f>
        <v>0.35</v>
      </c>
      <c r="L207" s="25">
        <f t="shared" si="33"/>
        <v>0.45</v>
      </c>
      <c r="M207" s="25">
        <f t="shared" si="33"/>
        <v>0.6</v>
      </c>
      <c r="N207" s="25">
        <f t="shared" si="33"/>
        <v>0.8</v>
      </c>
      <c r="O207" s="25">
        <f t="shared" si="33"/>
        <v>0.8</v>
      </c>
      <c r="P207" s="25">
        <f t="shared" si="33"/>
        <v>0.8</v>
      </c>
      <c r="Q207" s="25">
        <f t="shared" si="33"/>
        <v>1</v>
      </c>
      <c r="R207" s="25">
        <f t="shared" si="33"/>
        <v>1</v>
      </c>
      <c r="S207" s="25">
        <f t="shared" si="33"/>
        <v>1</v>
      </c>
    </row>
  </sheetData>
  <mergeCells count="1">
    <mergeCell ref="K10:N10"/>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anchor moveWithCells="1">
                  <from>
                    <xdr:col>9</xdr:col>
                    <xdr:colOff>66675</xdr:colOff>
                    <xdr:row>3</xdr:row>
                    <xdr:rowOff>0</xdr:rowOff>
                  </from>
                  <to>
                    <xdr:col>11</xdr:col>
                    <xdr:colOff>104775</xdr:colOff>
                    <xdr:row>4</xdr:row>
                    <xdr:rowOff>9525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C4398-3237-48F9-BF1C-F0D2E98E7652}">
  <sheetPr codeName="Sheet9"/>
  <dimension ref="A1"/>
  <sheetViews>
    <sheetView topLeftCell="T1" workbookViewId="0">
      <selection activeCell="H16" sqref="H16"/>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1AE91-228A-4409-A0C9-011452FB402A}">
  <sheetPr codeName="Sheet10"/>
  <dimension ref="A2:W250"/>
  <sheetViews>
    <sheetView showGridLines="0" zoomScale="77" zoomScaleNormal="130" workbookViewId="0">
      <pane ySplit="10" topLeftCell="A171" activePane="bottomLeft" state="frozen"/>
      <selection activeCell="B1" sqref="B1"/>
      <selection pane="bottomLeft" activeCell="L168" sqref="L168"/>
    </sheetView>
  </sheetViews>
  <sheetFormatPr defaultColWidth="8.85546875" defaultRowHeight="15" outlineLevelRow="1"/>
  <cols>
    <col min="1" max="1" width="1.85546875" style="3" customWidth="1"/>
    <col min="2" max="2" width="34.28515625" style="3" customWidth="1"/>
    <col min="3" max="7" width="11.7109375" style="3" customWidth="1"/>
    <col min="8" max="8" width="15.42578125" style="3" customWidth="1"/>
    <col min="9" max="12" width="11.7109375" style="3" customWidth="1"/>
    <col min="13" max="13" width="13.7109375" style="3" customWidth="1"/>
    <col min="14" max="16" width="11.7109375" style="3" customWidth="1"/>
    <col min="17" max="17" width="11.42578125" style="3" bestFit="1" customWidth="1"/>
    <col min="18" max="18" width="13.42578125" style="3" customWidth="1"/>
    <col min="19" max="21" width="11.42578125" style="3" bestFit="1" customWidth="1"/>
    <col min="22" max="16384" width="8.85546875" style="3"/>
  </cols>
  <sheetData>
    <row r="2" spans="1:21" ht="18.75">
      <c r="B2" s="4" t="str">
        <f>'Input Sheet'!D6</f>
        <v>Shree Cement Ltd</v>
      </c>
      <c r="C2" s="4"/>
      <c r="D2" s="4"/>
      <c r="E2" s="4"/>
      <c r="F2" s="4"/>
      <c r="G2" s="4"/>
    </row>
    <row r="3" spans="1:21" ht="15.75">
      <c r="B3" s="5" t="s">
        <v>17</v>
      </c>
      <c r="C3" s="5"/>
      <c r="D3" s="5"/>
      <c r="E3" s="5">
        <f>1441/8487</f>
        <v>0.16978908919523977</v>
      </c>
      <c r="F3" s="345"/>
      <c r="G3" s="5"/>
    </row>
    <row r="4" spans="1:21" ht="15.75">
      <c r="B4" s="5"/>
      <c r="C4" s="5"/>
      <c r="D4" s="5"/>
      <c r="E4" s="5"/>
      <c r="F4" s="5"/>
      <c r="G4" s="5"/>
      <c r="I4" s="3" t="s">
        <v>18</v>
      </c>
      <c r="J4" s="3">
        <v>3</v>
      </c>
    </row>
    <row r="5" spans="1:21" ht="15.75">
      <c r="B5" s="5"/>
      <c r="C5" s="5"/>
      <c r="D5" s="5"/>
      <c r="E5" s="5"/>
      <c r="F5" s="5"/>
      <c r="G5" s="5"/>
    </row>
    <row r="7" spans="1:21">
      <c r="E7" s="26"/>
      <c r="F7" s="26"/>
      <c r="G7" s="26"/>
      <c r="H7" s="26"/>
      <c r="I7" s="26"/>
      <c r="J7" s="26"/>
      <c r="K7" s="26" t="s">
        <v>423</v>
      </c>
      <c r="L7" s="26" t="s">
        <v>423</v>
      </c>
      <c r="M7" s="557" t="s">
        <v>1134</v>
      </c>
      <c r="N7" s="557"/>
      <c r="O7" s="557"/>
      <c r="P7" s="557"/>
      <c r="Q7" s="456"/>
      <c r="R7" s="457" t="s">
        <v>1128</v>
      </c>
      <c r="S7" s="456"/>
      <c r="T7" s="456"/>
      <c r="U7" s="456"/>
    </row>
    <row r="8" spans="1:21">
      <c r="E8" s="14">
        <v>2017</v>
      </c>
      <c r="F8" s="1">
        <f>E8+1</f>
        <v>2018</v>
      </c>
      <c r="G8" s="14">
        <f>F8+1</f>
        <v>2019</v>
      </c>
      <c r="H8" s="14">
        <f>G8+1</f>
        <v>2020</v>
      </c>
      <c r="I8" s="14">
        <f>H8+1</f>
        <v>2021</v>
      </c>
      <c r="J8" s="14">
        <f>I8+1</f>
        <v>2022</v>
      </c>
      <c r="K8" s="27">
        <v>2023</v>
      </c>
      <c r="L8" s="7">
        <f t="shared" ref="L8:U8" si="0">K8+1</f>
        <v>2024</v>
      </c>
      <c r="M8" s="7">
        <f t="shared" si="0"/>
        <v>2025</v>
      </c>
      <c r="N8" s="7">
        <f t="shared" si="0"/>
        <v>2026</v>
      </c>
      <c r="O8" s="7">
        <f t="shared" si="0"/>
        <v>2027</v>
      </c>
      <c r="P8" s="7">
        <f t="shared" si="0"/>
        <v>2028</v>
      </c>
      <c r="Q8" s="7">
        <f t="shared" si="0"/>
        <v>2029</v>
      </c>
      <c r="R8" s="7">
        <f t="shared" si="0"/>
        <v>2030</v>
      </c>
      <c r="S8" s="7">
        <f t="shared" si="0"/>
        <v>2031</v>
      </c>
      <c r="T8" s="7">
        <f t="shared" si="0"/>
        <v>2032</v>
      </c>
      <c r="U8" s="7">
        <f t="shared" si="0"/>
        <v>2033</v>
      </c>
    </row>
    <row r="9" spans="1:21">
      <c r="B9" s="8" t="s">
        <v>20</v>
      </c>
      <c r="C9" s="8"/>
      <c r="D9" s="8"/>
      <c r="E9" s="8"/>
      <c r="F9" s="8"/>
      <c r="G9" s="8"/>
      <c r="H9" s="9"/>
      <c r="I9" s="9"/>
      <c r="J9" s="9"/>
      <c r="K9" s="9"/>
      <c r="L9" s="9"/>
      <c r="M9" s="9"/>
      <c r="N9" s="9"/>
      <c r="O9" s="9"/>
      <c r="P9" s="9"/>
      <c r="Q9" s="9"/>
      <c r="R9" s="9"/>
      <c r="S9" s="9"/>
      <c r="T9" s="9"/>
      <c r="U9" s="9"/>
    </row>
    <row r="11" spans="1:21">
      <c r="A11" s="3" t="s">
        <v>21</v>
      </c>
      <c r="B11" s="10" t="s">
        <v>422</v>
      </c>
      <c r="C11" s="10"/>
      <c r="D11" s="10"/>
      <c r="E11" s="10"/>
      <c r="F11" s="10"/>
      <c r="G11" s="10"/>
      <c r="H11" s="11"/>
      <c r="I11" s="11"/>
      <c r="J11" s="11"/>
      <c r="K11" s="11"/>
      <c r="L11" s="11"/>
      <c r="M11" s="11"/>
      <c r="N11" s="11"/>
      <c r="O11" s="11"/>
      <c r="P11" s="11"/>
      <c r="Q11" s="11"/>
      <c r="R11" s="11"/>
      <c r="S11" s="11"/>
      <c r="T11" s="11"/>
      <c r="U11" s="11"/>
    </row>
    <row r="13" spans="1:21">
      <c r="B13" s="12"/>
      <c r="C13" s="12"/>
      <c r="D13" s="12"/>
      <c r="E13" s="12"/>
      <c r="F13" s="12"/>
      <c r="G13" s="12"/>
      <c r="H13" s="12"/>
      <c r="I13" s="12"/>
      <c r="J13" s="12"/>
      <c r="K13" s="12"/>
      <c r="L13" s="12"/>
      <c r="M13" s="12"/>
      <c r="N13" s="12"/>
      <c r="O13" s="12"/>
      <c r="P13" s="12"/>
      <c r="Q13" s="12"/>
      <c r="R13" s="12"/>
      <c r="S13" s="12"/>
      <c r="T13" s="12"/>
      <c r="U13" s="12"/>
    </row>
    <row r="14" spans="1:21" s="9" customFormat="1">
      <c r="B14" s="33" t="s">
        <v>40</v>
      </c>
      <c r="E14" s="233">
        <f>'Income Statement'!F8</f>
        <v>8487</v>
      </c>
      <c r="F14" s="233">
        <f>'Income Statement'!G8</f>
        <v>9834</v>
      </c>
      <c r="G14" s="233">
        <f>'Income Statement'!H8</f>
        <v>12554.9</v>
      </c>
      <c r="H14" s="233">
        <f>'Income Statement'!I8</f>
        <v>12867.9</v>
      </c>
      <c r="I14" s="233">
        <f>'Income Statement'!J8</f>
        <v>13559.7</v>
      </c>
      <c r="J14" s="233">
        <f>'Income Statement'!K8</f>
        <v>15009.099999999999</v>
      </c>
      <c r="K14" s="233">
        <f>'Income Statement'!L8</f>
        <v>17852.7</v>
      </c>
      <c r="L14" s="205">
        <f>'Income Statement'!M8</f>
        <v>20520.400000000001</v>
      </c>
      <c r="M14" s="205">
        <f>L14*(1+'Control Sheet'!K22)</f>
        <v>22141.511600000002</v>
      </c>
      <c r="N14" s="205">
        <f>M14*(1+'Control Sheet'!L22)</f>
        <v>25256.822282120003</v>
      </c>
      <c r="O14" s="205">
        <f>N14*(1+'Control Sheet'!M22)</f>
        <v>28626.803998048588</v>
      </c>
      <c r="P14" s="205">
        <f>O14*(1+'Control Sheet'!N22)</f>
        <v>32238.279799573833</v>
      </c>
      <c r="Q14" s="205">
        <f>P14*(1+'Control Sheet'!O22)</f>
        <v>36070.950720888883</v>
      </c>
      <c r="R14" s="205">
        <f>Q14*(1+'Control Sheet'!P22)</f>
        <v>40096.984120636094</v>
      </c>
      <c r="S14" s="205">
        <f>R14*(1+'Control Sheet'!Q22)</f>
        <v>44280.818006595036</v>
      </c>
      <c r="T14" s="205">
        <f>S14*(1+'Control Sheet'!R22)</f>
        <v>48579.220268806661</v>
      </c>
      <c r="U14" s="205">
        <f>T14*(1+'Control Sheet'!S22)</f>
        <v>52941.634248945506</v>
      </c>
    </row>
    <row r="16" spans="1:21">
      <c r="A16" s="3" t="s">
        <v>21</v>
      </c>
      <c r="B16" s="10" t="s">
        <v>28</v>
      </c>
      <c r="C16" s="10"/>
      <c r="D16" s="10"/>
      <c r="E16" s="10"/>
      <c r="F16" s="10"/>
      <c r="G16" s="10"/>
      <c r="H16" s="11"/>
      <c r="I16" s="11"/>
      <c r="J16" s="11"/>
      <c r="K16" s="11"/>
      <c r="L16" s="11"/>
      <c r="M16" s="11"/>
      <c r="N16" s="11"/>
      <c r="O16" s="11"/>
      <c r="P16" s="11"/>
      <c r="Q16" s="11"/>
      <c r="R16" s="11"/>
      <c r="S16" s="11"/>
      <c r="T16" s="11"/>
      <c r="U16" s="11"/>
    </row>
    <row r="18" spans="2:21">
      <c r="B18" s="206" t="s">
        <v>478</v>
      </c>
      <c r="E18" s="121"/>
      <c r="L18" s="207">
        <f>'Control Sheet'!J32</f>
        <v>7.4803610066080606E-2</v>
      </c>
      <c r="M18" s="207">
        <f>'Control Sheet'!K32</f>
        <v>8.2500000000000018E-2</v>
      </c>
      <c r="N18" s="207">
        <f>'Control Sheet'!L32</f>
        <v>0.13393750000000004</v>
      </c>
      <c r="O18" s="207">
        <f>'Control Sheet'!M32</f>
        <v>0.18537500000000007</v>
      </c>
      <c r="P18" s="207">
        <f>'Control Sheet'!N32</f>
        <v>0.23681250000000009</v>
      </c>
      <c r="Q18" s="207">
        <f>'Control Sheet'!O32</f>
        <v>0.28825000000000012</v>
      </c>
      <c r="R18" s="207">
        <f>'Control Sheet'!P32</f>
        <v>0.33968750000000014</v>
      </c>
      <c r="S18" s="207">
        <f>'Control Sheet'!Q32</f>
        <v>0.39112500000000017</v>
      </c>
      <c r="T18" s="207">
        <f>'Control Sheet'!R32</f>
        <v>0.44256250000000019</v>
      </c>
      <c r="U18" s="207">
        <f>'Control Sheet'!S32</f>
        <v>0.49399999999999999</v>
      </c>
    </row>
    <row r="19" spans="2:21">
      <c r="B19" s="33" t="s">
        <v>479</v>
      </c>
      <c r="C19" s="9"/>
      <c r="D19" s="9"/>
      <c r="E19" s="205">
        <f>'Income Statement'!F17</f>
        <v>690</v>
      </c>
      <c r="F19" s="205">
        <f>'Income Statement'!G17</f>
        <v>702.7</v>
      </c>
      <c r="G19" s="205">
        <f>'Income Statement'!H17</f>
        <v>977.1</v>
      </c>
      <c r="H19" s="205">
        <f>'Income Statement'!I17</f>
        <v>965</v>
      </c>
      <c r="I19" s="205">
        <f>'Income Statement'!J17</f>
        <v>1054</v>
      </c>
      <c r="J19" s="205">
        <f>'Income Statement'!K17</f>
        <v>1010.5</v>
      </c>
      <c r="K19" s="205">
        <f>'Income Statement'!L17</f>
        <v>1369.6</v>
      </c>
      <c r="L19" s="205">
        <f>'Income Statement'!M17</f>
        <v>1535</v>
      </c>
      <c r="M19" s="205">
        <f>M14*M18</f>
        <v>1826.6747070000006</v>
      </c>
      <c r="N19" s="205">
        <f t="shared" ref="N19:U19" si="1">N14*N18</f>
        <v>3382.8356344114491</v>
      </c>
      <c r="O19" s="205">
        <f t="shared" si="1"/>
        <v>5306.6937911382593</v>
      </c>
      <c r="P19" s="205">
        <f t="shared" si="1"/>
        <v>7634.4276350365817</v>
      </c>
      <c r="Q19" s="205">
        <f t="shared" si="1"/>
        <v>10397.451545296224</v>
      </c>
      <c r="R19" s="205">
        <f t="shared" si="1"/>
        <v>13620.444293478578</v>
      </c>
      <c r="S19" s="205">
        <f t="shared" si="1"/>
        <v>17319.33494282949</v>
      </c>
      <c r="T19" s="205">
        <f t="shared" si="1"/>
        <v>21499.341170213756</v>
      </c>
      <c r="U19" s="205">
        <f t="shared" si="1"/>
        <v>26153.167318979078</v>
      </c>
    </row>
    <row r="20" spans="2:21">
      <c r="E20" s="28"/>
    </row>
    <row r="21" spans="2:21">
      <c r="B21" s="10" t="s">
        <v>30</v>
      </c>
      <c r="C21" s="10"/>
      <c r="D21" s="10"/>
      <c r="E21" s="10"/>
      <c r="F21" s="10"/>
      <c r="G21" s="10"/>
      <c r="H21" s="10"/>
      <c r="I21" s="10"/>
      <c r="J21" s="10"/>
      <c r="K21" s="10"/>
      <c r="L21" s="10"/>
      <c r="M21" s="10"/>
      <c r="N21" s="10"/>
      <c r="O21" s="10"/>
      <c r="P21" s="10"/>
      <c r="Q21" s="10"/>
      <c r="R21" s="10"/>
      <c r="S21" s="10"/>
      <c r="T21" s="10"/>
      <c r="U21" s="10"/>
    </row>
    <row r="22" spans="2:21" outlineLevel="1"/>
    <row r="23" spans="2:21" outlineLevel="1"/>
    <row r="24" spans="2:21" outlineLevel="1">
      <c r="B24" s="12" t="s">
        <v>485</v>
      </c>
      <c r="C24" s="12"/>
      <c r="D24" s="12"/>
      <c r="E24" s="12"/>
      <c r="F24" s="12"/>
      <c r="G24" s="12"/>
      <c r="H24" s="13"/>
      <c r="I24" s="13"/>
      <c r="J24" s="13"/>
      <c r="K24" s="13"/>
      <c r="L24" s="13"/>
      <c r="M24" s="13"/>
      <c r="N24" s="13"/>
      <c r="O24" s="13"/>
      <c r="P24" s="13"/>
      <c r="Q24" s="13"/>
      <c r="R24" s="13"/>
      <c r="S24" s="13"/>
      <c r="T24" s="13"/>
      <c r="U24" s="13"/>
    </row>
    <row r="25" spans="2:21" outlineLevel="1"/>
    <row r="26" spans="2:21" outlineLevel="1">
      <c r="B26" s="230" t="s">
        <v>485</v>
      </c>
      <c r="C26" s="30"/>
      <c r="D26" s="30"/>
      <c r="E26" s="231">
        <f>'Company Information'!E232</f>
        <v>537.20000000000005</v>
      </c>
      <c r="F26" s="231">
        <f>'Company Information'!F232</f>
        <v>588</v>
      </c>
      <c r="G26" s="231">
        <f>'Company Information'!G232</f>
        <v>767.2</v>
      </c>
      <c r="H26" s="231">
        <f>'Company Information'!H232</f>
        <v>854</v>
      </c>
      <c r="I26" s="231">
        <f>'Company Information'!I232</f>
        <v>869.2</v>
      </c>
      <c r="J26" s="231">
        <f>'Company Information'!J232</f>
        <v>913.5</v>
      </c>
      <c r="K26" s="231">
        <f>'Company Information'!K232</f>
        <v>977.8</v>
      </c>
      <c r="L26" s="231">
        <f>'Company Information'!L232</f>
        <v>1064.4000000000001</v>
      </c>
      <c r="M26" s="234">
        <f>M27*M$14</f>
        <v>1335.1331494800002</v>
      </c>
      <c r="N26" s="234">
        <f t="shared" ref="N26:U26" si="2">N27*N$14</f>
        <v>1522.9863836118361</v>
      </c>
      <c r="O26" s="234">
        <f t="shared" si="2"/>
        <v>1726.19628108233</v>
      </c>
      <c r="P26" s="234">
        <f t="shared" si="2"/>
        <v>1943.968271914302</v>
      </c>
      <c r="Q26" s="234">
        <f t="shared" si="2"/>
        <v>2175.0783284695995</v>
      </c>
      <c r="R26" s="234">
        <f t="shared" si="2"/>
        <v>2417.8481424743563</v>
      </c>
      <c r="S26" s="234">
        <f t="shared" si="2"/>
        <v>2670.1333257976808</v>
      </c>
      <c r="T26" s="234">
        <f t="shared" si="2"/>
        <v>2929.3269822090415</v>
      </c>
      <c r="U26" s="234">
        <f t="shared" si="2"/>
        <v>3192.3805452114138</v>
      </c>
    </row>
    <row r="27" spans="2:21" outlineLevel="1">
      <c r="B27" s="230" t="s">
        <v>520</v>
      </c>
      <c r="C27" s="30"/>
      <c r="D27" s="30"/>
      <c r="E27" s="232">
        <f>'Company Information'!E233</f>
        <v>6.3296806881112291E-2</v>
      </c>
      <c r="F27" s="232">
        <f>'Company Information'!F233</f>
        <v>5.9792556436851739E-2</v>
      </c>
      <c r="G27" s="232">
        <f>'Company Information'!G233</f>
        <v>6.1107615353368012E-2</v>
      </c>
      <c r="H27" s="232">
        <f>'Company Information'!H233</f>
        <v>6.6366695420387173E-2</v>
      </c>
      <c r="I27" s="232">
        <f>'Company Information'!I233</f>
        <v>6.4101713164745527E-2</v>
      </c>
      <c r="J27" s="232">
        <f>'Company Information'!J233</f>
        <v>6.086307640031715E-2</v>
      </c>
      <c r="K27" s="232">
        <f>'Company Information'!K233</f>
        <v>5.477042688220829E-2</v>
      </c>
      <c r="L27" s="32">
        <f>'Control Sheet'!J42</f>
        <v>5.187134502923977E-2</v>
      </c>
      <c r="M27" s="32">
        <f>'Control Sheet'!K42</f>
        <v>6.0299999999999999E-2</v>
      </c>
      <c r="N27" s="32">
        <f>'Control Sheet'!L42</f>
        <v>6.0299999999999999E-2</v>
      </c>
      <c r="O27" s="32">
        <f>'Control Sheet'!M42</f>
        <v>6.0299999999999999E-2</v>
      </c>
      <c r="P27" s="32">
        <f>'Control Sheet'!N42</f>
        <v>6.0299999999999999E-2</v>
      </c>
      <c r="Q27" s="32">
        <f>'Control Sheet'!O42</f>
        <v>6.0299999999999999E-2</v>
      </c>
      <c r="R27" s="32">
        <f>'Control Sheet'!P42</f>
        <v>6.0299999999999999E-2</v>
      </c>
      <c r="S27" s="32">
        <f>'Control Sheet'!Q42</f>
        <v>6.0299999999999999E-2</v>
      </c>
      <c r="T27" s="32">
        <f>'Control Sheet'!R42</f>
        <v>6.0299999999999999E-2</v>
      </c>
      <c r="U27" s="32">
        <f>'Control Sheet'!S42</f>
        <v>6.0299999999999999E-2</v>
      </c>
    </row>
    <row r="28" spans="2:21" outlineLevel="1"/>
    <row r="29" spans="2:21" outlineLevel="1">
      <c r="B29" s="12" t="s">
        <v>516</v>
      </c>
      <c r="C29" s="12"/>
      <c r="D29" s="12"/>
      <c r="E29" s="12"/>
      <c r="F29" s="12"/>
      <c r="G29" s="12"/>
      <c r="H29" s="13"/>
      <c r="I29" s="13"/>
      <c r="J29" s="13"/>
      <c r="K29" s="13"/>
      <c r="L29" s="13"/>
      <c r="M29" s="13"/>
      <c r="N29" s="13"/>
      <c r="O29" s="13"/>
      <c r="P29" s="13"/>
      <c r="Q29" s="13"/>
      <c r="R29" s="13"/>
      <c r="S29" s="13"/>
      <c r="T29" s="13"/>
      <c r="U29" s="13"/>
    </row>
    <row r="30" spans="2:21" outlineLevel="1"/>
    <row r="31" spans="2:21" outlineLevel="1">
      <c r="B31" s="230" t="s">
        <v>521</v>
      </c>
      <c r="C31" s="30"/>
      <c r="D31" s="30"/>
      <c r="E31" s="231">
        <f>'Income Statement'!F36</f>
        <v>1444</v>
      </c>
      <c r="F31" s="231">
        <f>'Income Statement'!G36</f>
        <v>1980</v>
      </c>
      <c r="G31" s="231">
        <f>'Income Statement'!H36</f>
        <v>3093</v>
      </c>
      <c r="H31" s="231">
        <f>'Income Statement'!I36</f>
        <v>2703</v>
      </c>
      <c r="I31" s="231">
        <f>'Income Statement'!J36</f>
        <v>2398</v>
      </c>
      <c r="J31" s="231">
        <f>'Income Statement'!K36</f>
        <v>3620</v>
      </c>
      <c r="K31" s="231">
        <f>'Income Statement'!L36</f>
        <v>6081</v>
      </c>
      <c r="L31" s="231">
        <f>'Income Statement'!M36</f>
        <v>6345.2</v>
      </c>
      <c r="M31" s="42">
        <f t="shared" ref="M31:U31" si="3">M32*M$14</f>
        <v>5247.5382491999999</v>
      </c>
      <c r="N31" s="42">
        <f t="shared" si="3"/>
        <v>5985.8668808624407</v>
      </c>
      <c r="O31" s="42">
        <f t="shared" si="3"/>
        <v>6784.5525475375152</v>
      </c>
      <c r="P31" s="42">
        <f t="shared" si="3"/>
        <v>7640.4723124989978</v>
      </c>
      <c r="Q31" s="42">
        <f t="shared" si="3"/>
        <v>8548.8153208506646</v>
      </c>
      <c r="R31" s="42">
        <f t="shared" si="3"/>
        <v>9502.9852365907536</v>
      </c>
      <c r="S31" s="42">
        <f t="shared" si="3"/>
        <v>10494.553867563023</v>
      </c>
      <c r="T31" s="42">
        <f t="shared" si="3"/>
        <v>11513.275203707179</v>
      </c>
      <c r="U31" s="42">
        <f t="shared" si="3"/>
        <v>12547.167317000085</v>
      </c>
    </row>
    <row r="32" spans="2:21" outlineLevel="1">
      <c r="B32" s="230" t="s">
        <v>522</v>
      </c>
      <c r="C32" s="30"/>
      <c r="D32" s="30"/>
      <c r="E32" s="232">
        <f>'Company Information'!E236</f>
        <v>0.17017791917049604</v>
      </c>
      <c r="F32" s="232">
        <f>'Company Information'!F236</f>
        <v>0.20131177547284931</v>
      </c>
      <c r="G32" s="232">
        <f>'Company Information'!G236</f>
        <v>0.24632613561239039</v>
      </c>
      <c r="H32" s="232">
        <f>'Company Information'!H236</f>
        <v>0.21003427132632363</v>
      </c>
      <c r="I32" s="232">
        <f>'Company Information'!I236</f>
        <v>0.17684019557954822</v>
      </c>
      <c r="J32" s="232">
        <f>'Company Information'!J236</f>
        <v>0.24120033846133346</v>
      </c>
      <c r="K32" s="232">
        <f>'Company Information'!K236</f>
        <v>0.34060394226083446</v>
      </c>
      <c r="L32" s="32">
        <f>'Control Sheet'!J48</f>
        <v>0</v>
      </c>
      <c r="M32" s="32">
        <f>'Control Sheet'!K48</f>
        <v>0.23699999999999999</v>
      </c>
      <c r="N32" s="32">
        <f>'Control Sheet'!L48</f>
        <v>0.23699999999999999</v>
      </c>
      <c r="O32" s="32">
        <f>'Control Sheet'!M48</f>
        <v>0.23699999999999999</v>
      </c>
      <c r="P32" s="32">
        <f>'Control Sheet'!N48</f>
        <v>0.23699999999999999</v>
      </c>
      <c r="Q32" s="32">
        <f>'Control Sheet'!O48</f>
        <v>0.23699999999999999</v>
      </c>
      <c r="R32" s="32">
        <f>'Control Sheet'!P48</f>
        <v>0.23699999999999999</v>
      </c>
      <c r="S32" s="32">
        <f>'Control Sheet'!Q48</f>
        <v>0.23699999999999999</v>
      </c>
      <c r="T32" s="32">
        <f>'Control Sheet'!R48</f>
        <v>0.23699999999999999</v>
      </c>
      <c r="U32" s="32">
        <f>'Control Sheet'!S48</f>
        <v>0.23699999999999999</v>
      </c>
    </row>
    <row r="33" spans="2:21" outlineLevel="1"/>
    <row r="34" spans="2:21" outlineLevel="1">
      <c r="B34" s="12" t="s">
        <v>517</v>
      </c>
      <c r="C34" s="12"/>
      <c r="D34" s="12"/>
      <c r="E34" s="12"/>
      <c r="F34" s="12"/>
      <c r="G34" s="12"/>
      <c r="H34" s="13"/>
      <c r="I34" s="13"/>
      <c r="J34" s="13"/>
      <c r="K34" s="13"/>
      <c r="L34" s="13"/>
      <c r="M34" s="13"/>
      <c r="N34" s="13"/>
      <c r="O34" s="13"/>
      <c r="P34" s="13"/>
      <c r="Q34" s="13"/>
      <c r="R34" s="13"/>
      <c r="S34" s="13"/>
      <c r="T34" s="13"/>
      <c r="U34" s="13"/>
    </row>
    <row r="35" spans="2:21" outlineLevel="1">
      <c r="M35" s="38"/>
    </row>
    <row r="36" spans="2:21" outlineLevel="1">
      <c r="B36" s="230" t="s">
        <v>523</v>
      </c>
      <c r="C36" s="30"/>
      <c r="D36" s="30"/>
      <c r="E36" s="231">
        <f>'Income Statement'!F56</f>
        <v>1036</v>
      </c>
      <c r="F36" s="231">
        <f>'Income Statement'!G56</f>
        <v>1092</v>
      </c>
      <c r="G36" s="231">
        <f>'Income Statement'!H56</f>
        <v>1280</v>
      </c>
      <c r="H36" s="231">
        <f>'Income Statement'!I56</f>
        <v>1303</v>
      </c>
      <c r="I36" s="231">
        <f>'Income Statement'!J56</f>
        <v>1335</v>
      </c>
      <c r="J36" s="231">
        <f>'Income Statement'!K56</f>
        <v>1703</v>
      </c>
      <c r="K36" s="231">
        <f>'Income Statement'!L56</f>
        <v>1893</v>
      </c>
      <c r="L36" s="231">
        <f>'Income Statement'!M56</f>
        <v>2050</v>
      </c>
      <c r="M36" s="42">
        <f t="shared" ref="M36:U36" si="4">M37*M$14</f>
        <v>2364.7134388800005</v>
      </c>
      <c r="N36" s="42">
        <f t="shared" si="4"/>
        <v>2697.4286197304164</v>
      </c>
      <c r="O36" s="42">
        <f t="shared" si="4"/>
        <v>3057.3426669915893</v>
      </c>
      <c r="P36" s="42">
        <f t="shared" si="4"/>
        <v>3443.0482825944855</v>
      </c>
      <c r="Q36" s="42">
        <f t="shared" si="4"/>
        <v>3852.3775369909331</v>
      </c>
      <c r="R36" s="42">
        <f t="shared" si="4"/>
        <v>4282.357904083935</v>
      </c>
      <c r="S36" s="42">
        <f t="shared" si="4"/>
        <v>4729.1913631043499</v>
      </c>
      <c r="T36" s="42">
        <f t="shared" si="4"/>
        <v>5188.2607247085516</v>
      </c>
      <c r="U36" s="42">
        <f t="shared" si="4"/>
        <v>5654.1665377873805</v>
      </c>
    </row>
    <row r="37" spans="2:21" outlineLevel="1">
      <c r="B37" s="230" t="s">
        <v>524</v>
      </c>
      <c r="C37" s="30"/>
      <c r="D37" s="30"/>
      <c r="E37" s="232">
        <f>'Company Information'!E239</f>
        <v>0.12208082950394721</v>
      </c>
      <c r="F37" s="232">
        <f>'Company Information'!F239</f>
        <v>0.11108399430547082</v>
      </c>
      <c r="G37" s="232">
        <f>'Company Information'!G239</f>
        <v>0.10203187600060534</v>
      </c>
      <c r="H37" s="232">
        <f>'Company Information'!H239</f>
        <v>0.10129858018790945</v>
      </c>
      <c r="I37" s="232">
        <f>'Company Information'!I239</f>
        <v>9.8416631636393137E-2</v>
      </c>
      <c r="J37" s="232">
        <f>'Company Information'!J239</f>
        <v>0.11347116082909701</v>
      </c>
      <c r="K37" s="232">
        <f>'Company Information'!K239</f>
        <v>0.10609039529034824</v>
      </c>
      <c r="L37" s="32">
        <f>'Control Sheet'!J54</f>
        <v>0</v>
      </c>
      <c r="M37" s="32">
        <f>'Control Sheet'!K54</f>
        <v>0.10680000000000001</v>
      </c>
      <c r="N37" s="32">
        <f>'Control Sheet'!L54</f>
        <v>0.10680000000000001</v>
      </c>
      <c r="O37" s="32">
        <f>'Control Sheet'!M54</f>
        <v>0.10680000000000001</v>
      </c>
      <c r="P37" s="32">
        <f>'Control Sheet'!N54</f>
        <v>0.10680000000000001</v>
      </c>
      <c r="Q37" s="32">
        <f>'Control Sheet'!O54</f>
        <v>0.10680000000000001</v>
      </c>
      <c r="R37" s="32">
        <f>'Control Sheet'!P54</f>
        <v>0.10680000000000001</v>
      </c>
      <c r="S37" s="32">
        <f>'Control Sheet'!Q54</f>
        <v>0.10680000000000001</v>
      </c>
      <c r="T37" s="32">
        <f>'Control Sheet'!R54</f>
        <v>0.10680000000000001</v>
      </c>
      <c r="U37" s="32">
        <f>'Control Sheet'!S54</f>
        <v>0.10680000000000001</v>
      </c>
    </row>
    <row r="38" spans="2:21" outlineLevel="1"/>
    <row r="39" spans="2:21" outlineLevel="1">
      <c r="B39" s="12" t="s">
        <v>518</v>
      </c>
      <c r="C39" s="12"/>
      <c r="D39" s="12"/>
      <c r="E39" s="12"/>
      <c r="F39" s="12"/>
      <c r="G39" s="12"/>
      <c r="H39" s="13"/>
      <c r="I39" s="13"/>
      <c r="J39" s="13"/>
      <c r="K39" s="13"/>
      <c r="L39" s="13"/>
      <c r="M39" s="13"/>
      <c r="N39" s="13"/>
      <c r="O39" s="13"/>
      <c r="P39" s="13"/>
      <c r="Q39" s="13"/>
      <c r="R39" s="13"/>
      <c r="S39" s="13"/>
      <c r="T39" s="13"/>
      <c r="U39" s="13"/>
    </row>
    <row r="40" spans="2:21" outlineLevel="1"/>
    <row r="41" spans="2:21" outlineLevel="1">
      <c r="B41" s="230" t="s">
        <v>525</v>
      </c>
      <c r="C41" s="30"/>
      <c r="D41" s="30"/>
      <c r="E41" s="231">
        <f>'Income Statement'!F46</f>
        <v>2097</v>
      </c>
      <c r="F41" s="231">
        <f>'Income Statement'!G46</f>
        <v>2730</v>
      </c>
      <c r="G41" s="231">
        <f>'Income Statement'!H46</f>
        <v>3166</v>
      </c>
      <c r="H41" s="231">
        <f>'Income Statement'!I46</f>
        <v>2941</v>
      </c>
      <c r="I41" s="231">
        <f>'Income Statement'!J46</f>
        <v>3425</v>
      </c>
      <c r="J41" s="231">
        <f>'Income Statement'!K46</f>
        <v>3695</v>
      </c>
      <c r="K41" s="231">
        <f>'Income Statement'!L46</f>
        <v>4191</v>
      </c>
      <c r="L41" s="231">
        <f>'Income Statement'!M46</f>
        <v>4607.3999999999996</v>
      </c>
      <c r="M41" s="42">
        <f t="shared" ref="M41:U41" si="5">M42*M$14</f>
        <v>5433.5269466400005</v>
      </c>
      <c r="N41" s="42">
        <f t="shared" si="5"/>
        <v>6198.0241880322492</v>
      </c>
      <c r="O41" s="42">
        <f t="shared" si="5"/>
        <v>7025.0177011211235</v>
      </c>
      <c r="P41" s="42">
        <f t="shared" si="5"/>
        <v>7911.2738628154184</v>
      </c>
      <c r="Q41" s="42">
        <f t="shared" si="5"/>
        <v>8851.8113069061328</v>
      </c>
      <c r="R41" s="42">
        <f t="shared" si="5"/>
        <v>9839.7999032040971</v>
      </c>
      <c r="S41" s="42">
        <f t="shared" si="5"/>
        <v>10866.512738818423</v>
      </c>
      <c r="T41" s="42">
        <f t="shared" si="5"/>
        <v>11921.340653965155</v>
      </c>
      <c r="U41" s="42">
        <f t="shared" si="5"/>
        <v>12991.877044691228</v>
      </c>
    </row>
    <row r="42" spans="2:21" outlineLevel="1">
      <c r="B42" s="230" t="s">
        <v>526</v>
      </c>
      <c r="C42" s="30"/>
      <c r="D42" s="30"/>
      <c r="E42" s="232">
        <f>'Company Information'!E242</f>
        <v>0.24704842700600918</v>
      </c>
      <c r="F42" s="232">
        <f>'Company Information'!F242</f>
        <v>0.2775574537319504</v>
      </c>
      <c r="G42" s="232">
        <f>'Company Information'!G242</f>
        <v>0.25221228365020831</v>
      </c>
      <c r="H42" s="232">
        <f>'Company Information'!H242</f>
        <v>0.22859207796143893</v>
      </c>
      <c r="I42" s="232">
        <f>'Company Information'!I242</f>
        <v>0.2526309579120482</v>
      </c>
      <c r="J42" s="232">
        <f>'Company Information'!J242</f>
        <v>0.2461639938437348</v>
      </c>
      <c r="K42" s="232">
        <f>'Company Information'!K242</f>
        <v>0.2347320013219289</v>
      </c>
      <c r="L42" s="32">
        <f>'Control Sheet'!J60</f>
        <v>0</v>
      </c>
      <c r="M42" s="32">
        <f>'Control Sheet'!K60</f>
        <v>0.24540000000000001</v>
      </c>
      <c r="N42" s="32">
        <f>'Control Sheet'!L60</f>
        <v>0.24540000000000001</v>
      </c>
      <c r="O42" s="32">
        <f>'Control Sheet'!M60</f>
        <v>0.24540000000000001</v>
      </c>
      <c r="P42" s="32">
        <f>'Control Sheet'!N60</f>
        <v>0.24540000000000001</v>
      </c>
      <c r="Q42" s="32">
        <f>'Control Sheet'!O60</f>
        <v>0.24540000000000001</v>
      </c>
      <c r="R42" s="32">
        <f>'Control Sheet'!P60</f>
        <v>0.24540000000000001</v>
      </c>
      <c r="S42" s="32">
        <f>'Control Sheet'!Q60</f>
        <v>0.24540000000000001</v>
      </c>
      <c r="T42" s="32">
        <f>'Control Sheet'!R60</f>
        <v>0.24540000000000001</v>
      </c>
      <c r="U42" s="32">
        <f>'Control Sheet'!S60</f>
        <v>0.24540000000000001</v>
      </c>
    </row>
    <row r="43" spans="2:21" outlineLevel="1"/>
    <row r="44" spans="2:21" outlineLevel="1"/>
    <row r="45" spans="2:21" outlineLevel="1">
      <c r="B45" s="12" t="s">
        <v>16</v>
      </c>
      <c r="C45" s="12"/>
      <c r="D45" s="12"/>
      <c r="E45" s="12"/>
      <c r="F45" s="12"/>
      <c r="G45" s="12"/>
      <c r="H45" s="13"/>
      <c r="I45" s="13"/>
      <c r="J45" s="13"/>
      <c r="K45" s="13"/>
      <c r="L45" s="13"/>
      <c r="M45" s="13"/>
      <c r="N45" s="13"/>
      <c r="O45" s="13"/>
      <c r="P45" s="13"/>
      <c r="Q45" s="13"/>
      <c r="R45" s="13"/>
      <c r="S45" s="13"/>
      <c r="T45" s="13"/>
      <c r="U45" s="13"/>
    </row>
    <row r="46" spans="2:21" outlineLevel="1"/>
    <row r="47" spans="2:21" outlineLevel="1">
      <c r="B47" s="230" t="s">
        <v>16</v>
      </c>
      <c r="C47" s="30"/>
      <c r="D47" s="30"/>
      <c r="E47" s="231">
        <f>'Company Information'!E244</f>
        <v>315.10000000000002</v>
      </c>
      <c r="F47" s="231">
        <f>'Company Information'!F244</f>
        <v>269</v>
      </c>
      <c r="G47" s="231">
        <f>'Company Information'!G244</f>
        <v>476.29999999999995</v>
      </c>
      <c r="H47" s="231">
        <f>'Company Information'!H244</f>
        <v>346.70000000000005</v>
      </c>
      <c r="I47" s="231">
        <f>'Company Information'!I244</f>
        <v>398.6</v>
      </c>
      <c r="J47" s="231">
        <f>'Company Information'!J244</f>
        <v>363</v>
      </c>
      <c r="K47" s="231">
        <f>'Company Information'!K244</f>
        <v>386.4</v>
      </c>
      <c r="L47" s="231">
        <f>'Company Information'!L244</f>
        <v>431.5</v>
      </c>
      <c r="M47" s="42">
        <f t="shared" ref="M47:U47" si="6">M48*M$14</f>
        <v>624.39062711999998</v>
      </c>
      <c r="N47" s="42">
        <f t="shared" si="6"/>
        <v>712.2423883557841</v>
      </c>
      <c r="O47" s="42">
        <f t="shared" si="6"/>
        <v>807.27587274497012</v>
      </c>
      <c r="P47" s="42">
        <f t="shared" si="6"/>
        <v>909.11949034798204</v>
      </c>
      <c r="Q47" s="42">
        <f t="shared" si="6"/>
        <v>1017.2008103290665</v>
      </c>
      <c r="R47" s="42">
        <f t="shared" si="6"/>
        <v>1130.7349522019379</v>
      </c>
      <c r="S47" s="42">
        <f t="shared" si="6"/>
        <v>1248.7190677859801</v>
      </c>
      <c r="T47" s="42">
        <f t="shared" si="6"/>
        <v>1369.9340115803477</v>
      </c>
      <c r="U47" s="42">
        <f t="shared" si="6"/>
        <v>1492.9540858202631</v>
      </c>
    </row>
    <row r="48" spans="2:21" outlineLevel="1">
      <c r="B48" s="230" t="s">
        <v>527</v>
      </c>
      <c r="C48" s="30"/>
      <c r="D48" s="30"/>
      <c r="E48" s="232">
        <f>'Company Information'!E245</f>
        <v>3.7127371273712739E-2</v>
      </c>
      <c r="F48" s="232">
        <f>'Company Information'!F245</f>
        <v>2.7354077689648159E-2</v>
      </c>
      <c r="G48" s="232">
        <f>'Company Information'!G245</f>
        <v>3.7937379031294551E-2</v>
      </c>
      <c r="H48" s="232">
        <f>'Company Information'!H245</f>
        <v>2.6943013234482709E-2</v>
      </c>
      <c r="I48" s="232">
        <f>'Company Information'!I245</f>
        <v>2.9395930588434847E-2</v>
      </c>
      <c r="J48" s="232">
        <f>'Company Information'!J245</f>
        <v>2.4185327567942116E-2</v>
      </c>
      <c r="K48" s="232">
        <f>'Company Information'!K245</f>
        <v>2.1643784973701456E-2</v>
      </c>
      <c r="L48" s="232">
        <f>'Company Information'!L245</f>
        <v>2.1028265107212476E-2</v>
      </c>
      <c r="M48" s="32">
        <f>'Control Sheet'!K66</f>
        <v>2.8199999999999999E-2</v>
      </c>
      <c r="N48" s="32">
        <f>'Control Sheet'!L66</f>
        <v>2.8199999999999999E-2</v>
      </c>
      <c r="O48" s="32">
        <f>'Control Sheet'!M66</f>
        <v>2.8199999999999999E-2</v>
      </c>
      <c r="P48" s="32">
        <f>'Control Sheet'!N66</f>
        <v>2.8199999999999999E-2</v>
      </c>
      <c r="Q48" s="32">
        <f>'Control Sheet'!O66</f>
        <v>2.8199999999999999E-2</v>
      </c>
      <c r="R48" s="32">
        <f>'Control Sheet'!P66</f>
        <v>2.8199999999999999E-2</v>
      </c>
      <c r="S48" s="32">
        <f>'Control Sheet'!Q66</f>
        <v>2.8199999999999999E-2</v>
      </c>
      <c r="T48" s="32">
        <f>'Control Sheet'!R66</f>
        <v>2.8199999999999999E-2</v>
      </c>
      <c r="U48" s="32">
        <f>'Control Sheet'!S66</f>
        <v>2.8199999999999999E-2</v>
      </c>
    </row>
    <row r="49" spans="2:21" outlineLevel="1"/>
    <row r="50" spans="2:21" outlineLevel="1"/>
    <row r="51" spans="2:21" ht="15.75" outlineLevel="1" thickBot="1">
      <c r="B51" s="34" t="s">
        <v>31</v>
      </c>
      <c r="C51" s="34"/>
      <c r="D51" s="34"/>
      <c r="E51" s="235">
        <f>SUM(E47,E41,E36,E31,E26)</f>
        <v>5429.3</v>
      </c>
      <c r="F51" s="235">
        <f t="shared" ref="F51:P51" si="7">SUM(F47,F41,F36,F31,F26)</f>
        <v>6659</v>
      </c>
      <c r="G51" s="235">
        <f t="shared" si="7"/>
        <v>8782.5</v>
      </c>
      <c r="H51" s="235">
        <f t="shared" si="7"/>
        <v>8147.7</v>
      </c>
      <c r="I51" s="235">
        <f t="shared" si="7"/>
        <v>8425.8000000000011</v>
      </c>
      <c r="J51" s="235">
        <f t="shared" si="7"/>
        <v>10294.5</v>
      </c>
      <c r="K51" s="235">
        <f t="shared" si="7"/>
        <v>13529.199999999999</v>
      </c>
      <c r="L51" s="235">
        <f t="shared" si="7"/>
        <v>14498.499999999998</v>
      </c>
      <c r="M51" s="235">
        <f t="shared" si="7"/>
        <v>15005.302411320001</v>
      </c>
      <c r="N51" s="235">
        <f t="shared" si="7"/>
        <v>17116.548460592727</v>
      </c>
      <c r="O51" s="235">
        <f t="shared" si="7"/>
        <v>19400.385069477528</v>
      </c>
      <c r="P51" s="235">
        <f t="shared" si="7"/>
        <v>21847.882220171188</v>
      </c>
      <c r="Q51" s="235">
        <f>SUM(Q47,Q41,Q36,Q31,Q26)</f>
        <v>24445.283303546399</v>
      </c>
      <c r="R51" s="235">
        <f>SUM(R47,R41,R36,R31,R26)</f>
        <v>27173.726138555077</v>
      </c>
      <c r="S51" s="235">
        <f>SUM(S47,S41,S36,S31,S26)</f>
        <v>30009.110363069456</v>
      </c>
      <c r="T51" s="235">
        <f>SUM(T47,T41,T36,T31,T26)</f>
        <v>32922.13757617028</v>
      </c>
      <c r="U51" s="235">
        <f>SUM(U47,U41,U36,U31,U26)</f>
        <v>35878.545530510368</v>
      </c>
    </row>
    <row r="52" spans="2:21" outlineLevel="1">
      <c r="B52" s="3" t="s">
        <v>32</v>
      </c>
      <c r="E52" s="207">
        <f>E51/E14</f>
        <v>0.63971957110875455</v>
      </c>
      <c r="F52" s="207">
        <f t="shared" ref="F52:P52" si="8">F51/F14</f>
        <v>0.67714053284523079</v>
      </c>
      <c r="G52" s="207">
        <f t="shared" si="8"/>
        <v>0.69952767445379893</v>
      </c>
      <c r="H52" s="207">
        <f t="shared" si="8"/>
        <v>0.63318023919986943</v>
      </c>
      <c r="I52" s="207">
        <f t="shared" si="8"/>
        <v>0.62138542888116999</v>
      </c>
      <c r="J52" s="207">
        <f t="shared" si="8"/>
        <v>0.68588389710242459</v>
      </c>
      <c r="K52" s="154">
        <f t="shared" si="8"/>
        <v>0.75782374654814111</v>
      </c>
      <c r="L52" s="154">
        <f t="shared" si="8"/>
        <v>0.70654080817138054</v>
      </c>
      <c r="M52" s="154">
        <f t="shared" si="8"/>
        <v>0.67769999999999997</v>
      </c>
      <c r="N52" s="154">
        <f t="shared" si="8"/>
        <v>0.67769999999999997</v>
      </c>
      <c r="O52" s="154">
        <f t="shared" si="8"/>
        <v>0.67769999999999997</v>
      </c>
      <c r="P52" s="154">
        <f t="shared" si="8"/>
        <v>0.67770000000000008</v>
      </c>
      <c r="Q52" s="154">
        <f>Q51/Q14</f>
        <v>0.67770000000000008</v>
      </c>
      <c r="R52" s="154">
        <f>R51/R14</f>
        <v>0.67769999999999986</v>
      </c>
      <c r="S52" s="154">
        <f>S51/S14</f>
        <v>0.67769999999999997</v>
      </c>
      <c r="T52" s="154">
        <f>T51/T14</f>
        <v>0.67770000000000008</v>
      </c>
      <c r="U52" s="154">
        <f>U51/U14</f>
        <v>0.67769999999999997</v>
      </c>
    </row>
    <row r="53" spans="2:21" outlineLevel="1"/>
    <row r="55" spans="2:21">
      <c r="B55" s="10" t="s">
        <v>33</v>
      </c>
      <c r="C55" s="10"/>
      <c r="D55" s="10"/>
      <c r="E55" s="10"/>
      <c r="F55" s="10"/>
      <c r="G55" s="10"/>
      <c r="H55" s="10"/>
      <c r="I55" s="10"/>
      <c r="J55" s="10"/>
      <c r="K55" s="10"/>
      <c r="L55" s="10"/>
      <c r="M55" s="10"/>
      <c r="N55" s="10"/>
      <c r="O55" s="10"/>
      <c r="P55" s="10"/>
      <c r="Q55" s="10"/>
      <c r="R55" s="10"/>
      <c r="S55" s="10"/>
      <c r="T55" s="10"/>
      <c r="U55" s="10"/>
    </row>
    <row r="57" spans="2:21">
      <c r="B57" s="12" t="s">
        <v>634</v>
      </c>
      <c r="C57" s="12"/>
      <c r="D57" s="12"/>
      <c r="E57" s="12"/>
      <c r="F57" s="12"/>
      <c r="G57" s="12"/>
      <c r="H57" s="13"/>
      <c r="I57" s="13"/>
      <c r="J57" s="13"/>
      <c r="K57" s="13"/>
      <c r="L57" s="13"/>
      <c r="M57" s="13"/>
      <c r="N57" s="13"/>
      <c r="O57" s="13"/>
      <c r="P57" s="13"/>
      <c r="Q57" s="13"/>
      <c r="R57" s="13"/>
      <c r="S57" s="13"/>
      <c r="T57" s="13"/>
      <c r="U57" s="13"/>
    </row>
    <row r="60" spans="2:21">
      <c r="B60" s="291" t="s">
        <v>641</v>
      </c>
      <c r="C60" s="30"/>
      <c r="D60" s="30"/>
      <c r="E60" s="231"/>
      <c r="F60" s="231"/>
      <c r="G60" s="231"/>
      <c r="H60" s="231"/>
      <c r="I60" s="231"/>
      <c r="J60" s="231"/>
      <c r="K60" s="231"/>
      <c r="L60" s="42"/>
      <c r="M60" s="548">
        <f>'Balance Sheet '!M8</f>
        <v>8836</v>
      </c>
      <c r="N60" s="487">
        <f>M63</f>
        <v>10659.363200013344</v>
      </c>
      <c r="O60" s="487">
        <f t="shared" ref="O60:U60" si="9">N63</f>
        <v>11887.583542883833</v>
      </c>
      <c r="P60" s="487">
        <f t="shared" si="9"/>
        <v>12520.661028611463</v>
      </c>
      <c r="Q60" s="487">
        <f t="shared" si="9"/>
        <v>12263.452800053379</v>
      </c>
      <c r="R60" s="487">
        <f t="shared" si="9"/>
        <v>11165.149333400057</v>
      </c>
      <c r="S60" s="487">
        <f t="shared" si="9"/>
        <v>9274.9411048419752</v>
      </c>
      <c r="T60" s="487">
        <f t="shared" si="9"/>
        <v>6642.0185905696062</v>
      </c>
      <c r="U60" s="487">
        <f t="shared" si="9"/>
        <v>3315.5722667734281</v>
      </c>
    </row>
    <row r="61" spans="2:21">
      <c r="B61" s="291" t="s">
        <v>642</v>
      </c>
      <c r="C61" s="30"/>
      <c r="D61" s="30"/>
      <c r="E61" s="30"/>
      <c r="F61" s="276"/>
      <c r="G61" s="276"/>
      <c r="H61" s="276"/>
      <c r="I61" s="276"/>
      <c r="J61" s="276"/>
      <c r="K61" s="276"/>
      <c r="L61" s="292"/>
      <c r="M61" s="292">
        <v>4166</v>
      </c>
      <c r="N61" s="292">
        <v>4166</v>
      </c>
      <c r="O61" s="292">
        <v>4166</v>
      </c>
      <c r="P61" s="292">
        <f>O61-($O$61-$U$61)/6</f>
        <v>3821.6666666666665</v>
      </c>
      <c r="Q61" s="292">
        <f>P61-($O$61-$U$61)/6</f>
        <v>3477.333333333333</v>
      </c>
      <c r="R61" s="292">
        <f>Q61-($O$61-$U$61)/6</f>
        <v>3132.9999999999995</v>
      </c>
      <c r="S61" s="292">
        <f>R61-($O$61-$U$61)/6</f>
        <v>2788.6666666666661</v>
      </c>
      <c r="T61" s="292">
        <f>S61-($O$61-$U$61)/6</f>
        <v>2444.3333333333326</v>
      </c>
      <c r="U61" s="292">
        <v>2100</v>
      </c>
    </row>
    <row r="62" spans="2:21">
      <c r="B62" s="291" t="s">
        <v>36</v>
      </c>
      <c r="C62" s="30"/>
      <c r="D62" s="30"/>
      <c r="E62" s="30"/>
      <c r="F62" s="276"/>
      <c r="G62" s="276"/>
      <c r="H62" s="276"/>
      <c r="I62" s="276"/>
      <c r="J62" s="276"/>
      <c r="K62" s="293"/>
      <c r="L62" s="293">
        <f>'Income Statement'!M61/(SUM('Balance Sheet '!M8,'Balance Sheet '!M9,'Balance Sheet '!M10))*'Balance Sheet '!M8</f>
        <v>1747.4939428437981</v>
      </c>
      <c r="M62" s="293">
        <f>L62+(M61/$D$109)</f>
        <v>2342.6367999866552</v>
      </c>
      <c r="N62" s="293">
        <f t="shared" ref="N62:U62" si="10">M62+(N61/$D$109)</f>
        <v>2937.7796571295121</v>
      </c>
      <c r="O62" s="293">
        <f t="shared" si="10"/>
        <v>3532.922514272369</v>
      </c>
      <c r="P62" s="293">
        <f t="shared" si="10"/>
        <v>4078.8748952247497</v>
      </c>
      <c r="Q62" s="293">
        <f t="shared" si="10"/>
        <v>4575.6367999866543</v>
      </c>
      <c r="R62" s="293">
        <f t="shared" si="10"/>
        <v>5023.2082285580827</v>
      </c>
      <c r="S62" s="293">
        <f t="shared" si="10"/>
        <v>5421.589180939035</v>
      </c>
      <c r="T62" s="293">
        <f t="shared" si="10"/>
        <v>5770.7796571295112</v>
      </c>
      <c r="U62" s="293">
        <f t="shared" si="10"/>
        <v>6070.7796571295112</v>
      </c>
    </row>
    <row r="63" spans="2:21">
      <c r="B63" s="297" t="s">
        <v>643</v>
      </c>
      <c r="C63" s="294"/>
      <c r="D63" s="294"/>
      <c r="E63" s="294"/>
      <c r="F63" s="295"/>
      <c r="G63" s="295"/>
      <c r="H63" s="295"/>
      <c r="I63" s="295"/>
      <c r="J63" s="295"/>
      <c r="K63" s="295"/>
      <c r="L63" s="296"/>
      <c r="M63" s="296">
        <f t="shared" ref="M63:U63" si="11">M60+M61-M62</f>
        <v>10659.363200013344</v>
      </c>
      <c r="N63" s="296">
        <f t="shared" si="11"/>
        <v>11887.583542883833</v>
      </c>
      <c r="O63" s="296">
        <f t="shared" si="11"/>
        <v>12520.661028611463</v>
      </c>
      <c r="P63" s="296">
        <f t="shared" si="11"/>
        <v>12263.452800053379</v>
      </c>
      <c r="Q63" s="296">
        <f t="shared" si="11"/>
        <v>11165.149333400057</v>
      </c>
      <c r="R63" s="296">
        <f t="shared" si="11"/>
        <v>9274.9411048419752</v>
      </c>
      <c r="S63" s="296">
        <f t="shared" si="11"/>
        <v>6642.0185905696062</v>
      </c>
      <c r="T63" s="296">
        <f t="shared" si="11"/>
        <v>3315.5722667734281</v>
      </c>
      <c r="U63" s="296">
        <f t="shared" si="11"/>
        <v>-655.20739035608312</v>
      </c>
    </row>
    <row r="64" spans="2:21">
      <c r="B64" s="291" t="s">
        <v>644</v>
      </c>
      <c r="C64" s="30"/>
      <c r="D64" s="30"/>
      <c r="E64" s="30"/>
      <c r="F64" s="276"/>
      <c r="G64" s="276"/>
      <c r="H64" s="276"/>
      <c r="I64" s="276"/>
      <c r="J64" s="276"/>
      <c r="K64" s="276"/>
      <c r="L64" s="31"/>
      <c r="M64" s="31"/>
      <c r="N64" s="31">
        <f t="shared" ref="N64:U64" si="12">N63/M63-1</f>
        <v>0.11522455139430376</v>
      </c>
      <c r="O64" s="31">
        <f t="shared" si="12"/>
        <v>5.3255355341464972E-2</v>
      </c>
      <c r="P64" s="31">
        <f t="shared" si="12"/>
        <v>-2.054270361367716E-2</v>
      </c>
      <c r="Q64" s="31">
        <f t="shared" si="12"/>
        <v>-8.9559073171345482E-2</v>
      </c>
      <c r="R64" s="31">
        <f t="shared" si="12"/>
        <v>-0.16929538263349564</v>
      </c>
      <c r="S64" s="31">
        <f t="shared" si="12"/>
        <v>-0.2838748499327779</v>
      </c>
      <c r="T64" s="31">
        <f t="shared" si="12"/>
        <v>-0.50081858074277219</v>
      </c>
      <c r="U64" s="31">
        <f t="shared" si="12"/>
        <v>-1.1976151739843399</v>
      </c>
    </row>
    <row r="66" spans="2:21">
      <c r="B66" s="12" t="s">
        <v>636</v>
      </c>
      <c r="C66" s="12"/>
      <c r="D66" s="12"/>
      <c r="E66" s="12"/>
      <c r="F66" s="12"/>
      <c r="G66" s="12"/>
      <c r="H66" s="13"/>
      <c r="I66" s="13"/>
      <c r="J66" s="13"/>
      <c r="K66" s="13"/>
      <c r="L66" s="13"/>
      <c r="M66" s="13"/>
      <c r="N66" s="13"/>
      <c r="O66" s="13"/>
      <c r="P66" s="13"/>
      <c r="Q66" s="13"/>
      <c r="R66" s="13"/>
      <c r="S66" s="13"/>
      <c r="T66" s="13"/>
      <c r="U66" s="13"/>
    </row>
    <row r="68" spans="2:21">
      <c r="B68" s="342" t="s">
        <v>744</v>
      </c>
      <c r="C68" s="30"/>
      <c r="D68" s="30"/>
      <c r="E68" s="170">
        <f>'Balance Sheet '!F9</f>
        <v>0</v>
      </c>
      <c r="F68" s="170">
        <f>'Balance Sheet '!G9</f>
        <v>0</v>
      </c>
      <c r="G68" s="170">
        <f>'Balance Sheet '!H9</f>
        <v>0</v>
      </c>
      <c r="H68" s="231">
        <f>'Balance Sheet '!I9</f>
        <v>412.46</v>
      </c>
      <c r="I68" s="231">
        <f>'Balance Sheet '!J9</f>
        <v>441.5</v>
      </c>
      <c r="J68" s="231">
        <f>'Balance Sheet '!K9</f>
        <v>500.8</v>
      </c>
      <c r="K68" s="231">
        <f>'Balance Sheet '!L9</f>
        <v>612.46</v>
      </c>
      <c r="L68" s="231">
        <f>'Balance Sheet '!M9</f>
        <v>632.51</v>
      </c>
      <c r="M68" s="42">
        <f>L68*(1+M73)</f>
        <v>638.83510000000001</v>
      </c>
      <c r="N68" s="42">
        <f t="shared" ref="N68:U68" si="13">M71</f>
        <v>519.16523880041211</v>
      </c>
      <c r="O68" s="42">
        <f t="shared" si="13"/>
        <v>393.17027760082414</v>
      </c>
      <c r="P68" s="42">
        <f t="shared" si="13"/>
        <v>267.17531640123616</v>
      </c>
      <c r="Q68" s="42">
        <f t="shared" si="13"/>
        <v>141.18035520164818</v>
      </c>
      <c r="R68" s="42">
        <f t="shared" si="13"/>
        <v>15.185394002060221</v>
      </c>
      <c r="S68" s="42">
        <f t="shared" si="13"/>
        <v>-110.80956719752774</v>
      </c>
      <c r="T68" s="42">
        <f t="shared" si="13"/>
        <v>-236.80452839711569</v>
      </c>
      <c r="U68" s="42">
        <f t="shared" si="13"/>
        <v>-362.79948959670367</v>
      </c>
    </row>
    <row r="69" spans="2:21">
      <c r="B69" s="291" t="s">
        <v>642</v>
      </c>
      <c r="C69" s="30"/>
      <c r="D69" s="30"/>
      <c r="E69" s="30"/>
      <c r="F69" s="276"/>
      <c r="G69" s="276"/>
      <c r="H69" s="276"/>
      <c r="I69" s="276"/>
      <c r="J69" s="276"/>
      <c r="K69" s="276"/>
      <c r="L69" s="292"/>
      <c r="M69" s="292">
        <f>L68*(M73)</f>
        <v>6.3250999999999999</v>
      </c>
      <c r="N69" s="292">
        <f t="shared" ref="N69:U69" si="14">M68*(N73)</f>
        <v>0</v>
      </c>
      <c r="O69" s="292">
        <f t="shared" si="14"/>
        <v>0</v>
      </c>
      <c r="P69" s="292">
        <f t="shared" si="14"/>
        <v>0</v>
      </c>
      <c r="Q69" s="292">
        <f t="shared" si="14"/>
        <v>0</v>
      </c>
      <c r="R69" s="292">
        <f t="shared" si="14"/>
        <v>0</v>
      </c>
      <c r="S69" s="292">
        <f t="shared" si="14"/>
        <v>0</v>
      </c>
      <c r="T69" s="292">
        <f t="shared" si="14"/>
        <v>0</v>
      </c>
      <c r="U69" s="292">
        <f t="shared" si="14"/>
        <v>0</v>
      </c>
    </row>
    <row r="70" spans="2:21">
      <c r="B70" s="291" t="s">
        <v>36</v>
      </c>
      <c r="C70" s="30"/>
      <c r="D70" s="30"/>
      <c r="E70" s="30"/>
      <c r="F70" s="276"/>
      <c r="G70" s="276"/>
      <c r="H70" s="276"/>
      <c r="I70" s="276"/>
      <c r="J70" s="276"/>
      <c r="K70" s="293"/>
      <c r="L70" s="293">
        <f>'Income Statement'!M61/(SUM('Balance Sheet '!M8,'Balance Sheet '!M9,'Balance Sheet '!M10))*'Balance Sheet '!M9</f>
        <v>125.09137548530225</v>
      </c>
      <c r="M70" s="293">
        <f>L70+(M69/$D$109)</f>
        <v>125.99496119958796</v>
      </c>
      <c r="N70" s="293">
        <f t="shared" ref="N70:U70" si="15">M70+(N69/$D$109)</f>
        <v>125.99496119958796</v>
      </c>
      <c r="O70" s="293">
        <f t="shared" si="15"/>
        <v>125.99496119958796</v>
      </c>
      <c r="P70" s="293">
        <f t="shared" si="15"/>
        <v>125.99496119958796</v>
      </c>
      <c r="Q70" s="293">
        <f t="shared" si="15"/>
        <v>125.99496119958796</v>
      </c>
      <c r="R70" s="293">
        <f t="shared" si="15"/>
        <v>125.99496119958796</v>
      </c>
      <c r="S70" s="293">
        <f t="shared" si="15"/>
        <v>125.99496119958796</v>
      </c>
      <c r="T70" s="293">
        <f t="shared" si="15"/>
        <v>125.99496119958796</v>
      </c>
      <c r="U70" s="293">
        <f t="shared" si="15"/>
        <v>125.99496119958796</v>
      </c>
    </row>
    <row r="71" spans="2:21">
      <c r="B71" s="343" t="s">
        <v>747</v>
      </c>
      <c r="C71" s="294"/>
      <c r="D71" s="294"/>
      <c r="E71" s="294"/>
      <c r="F71" s="295"/>
      <c r="G71" s="295"/>
      <c r="H71" s="295"/>
      <c r="I71" s="295"/>
      <c r="J71" s="295"/>
      <c r="K71" s="296"/>
      <c r="L71" s="296"/>
      <c r="M71" s="296">
        <f t="shared" ref="M71:U71" si="16">M68+M69-M70</f>
        <v>519.16523880041211</v>
      </c>
      <c r="N71" s="296">
        <f t="shared" si="16"/>
        <v>393.17027760082414</v>
      </c>
      <c r="O71" s="296">
        <f t="shared" si="16"/>
        <v>267.17531640123616</v>
      </c>
      <c r="P71" s="296">
        <f t="shared" si="16"/>
        <v>141.18035520164818</v>
      </c>
      <c r="Q71" s="296">
        <f t="shared" si="16"/>
        <v>15.185394002060221</v>
      </c>
      <c r="R71" s="296">
        <f t="shared" si="16"/>
        <v>-110.80956719752774</v>
      </c>
      <c r="S71" s="296">
        <f t="shared" si="16"/>
        <v>-236.80452839711569</v>
      </c>
      <c r="T71" s="296">
        <f t="shared" si="16"/>
        <v>-362.79948959670367</v>
      </c>
      <c r="U71" s="296">
        <f t="shared" si="16"/>
        <v>-488.79445079629164</v>
      </c>
    </row>
    <row r="72" spans="2:21">
      <c r="B72" s="291" t="s">
        <v>644</v>
      </c>
      <c r="C72" s="30"/>
      <c r="D72" s="30"/>
      <c r="E72" s="30"/>
      <c r="F72" s="276"/>
      <c r="G72" s="276"/>
      <c r="H72" s="276"/>
      <c r="I72" s="276"/>
      <c r="J72" s="276"/>
      <c r="K72" s="276"/>
      <c r="L72" s="31"/>
      <c r="M72" s="31"/>
      <c r="N72" s="31">
        <f t="shared" ref="N72:U72" si="17">N71/M71-1</f>
        <v>-0.24268759112361427</v>
      </c>
      <c r="O72" s="31">
        <f t="shared" si="17"/>
        <v>-0.32045901833787005</v>
      </c>
      <c r="P72" s="31">
        <f t="shared" si="17"/>
        <v>-0.47158159255390342</v>
      </c>
      <c r="Q72" s="31">
        <f t="shared" si="17"/>
        <v>-0.89243975211444337</v>
      </c>
      <c r="R72" s="31">
        <f t="shared" si="17"/>
        <v>-8.2971150555918456</v>
      </c>
      <c r="S72" s="31">
        <f t="shared" si="17"/>
        <v>1.1370404594667436</v>
      </c>
      <c r="T72" s="31">
        <f t="shared" si="17"/>
        <v>0.5320631410743013</v>
      </c>
      <c r="U72" s="31">
        <f t="shared" si="17"/>
        <v>0.34728538714221147</v>
      </c>
    </row>
    <row r="73" spans="2:21">
      <c r="B73" s="290" t="s">
        <v>640</v>
      </c>
      <c r="C73" s="30"/>
      <c r="D73" s="30"/>
      <c r="E73" s="30"/>
      <c r="F73" s="276"/>
      <c r="G73" s="276"/>
      <c r="H73" s="276"/>
      <c r="I73" s="276"/>
      <c r="J73" s="276"/>
      <c r="K73" s="276"/>
      <c r="L73" s="31"/>
      <c r="M73" s="31">
        <f>'Control Sheet'!K85</f>
        <v>0.01</v>
      </c>
      <c r="N73" s="31">
        <f>'Control Sheet'!L85</f>
        <v>0</v>
      </c>
      <c r="O73" s="31">
        <f>'Control Sheet'!M85</f>
        <v>0</v>
      </c>
      <c r="P73" s="31">
        <f>'Control Sheet'!N85</f>
        <v>0</v>
      </c>
      <c r="Q73" s="31">
        <f>'Control Sheet'!O85</f>
        <v>0</v>
      </c>
      <c r="R73" s="31">
        <f>'Control Sheet'!P85</f>
        <v>0</v>
      </c>
      <c r="S73" s="31">
        <f>'Control Sheet'!Q85</f>
        <v>0</v>
      </c>
      <c r="T73" s="31">
        <f>'Control Sheet'!R85</f>
        <v>0</v>
      </c>
      <c r="U73" s="31">
        <f>'Control Sheet'!S85</f>
        <v>0</v>
      </c>
    </row>
    <row r="74" spans="2:21">
      <c r="B74" s="290"/>
      <c r="C74" s="30"/>
      <c r="D74" s="30"/>
      <c r="E74" s="30"/>
      <c r="F74" s="276"/>
      <c r="G74" s="276"/>
      <c r="H74" s="276"/>
      <c r="I74" s="276"/>
      <c r="J74" s="276"/>
      <c r="K74" s="276"/>
      <c r="L74" s="31"/>
      <c r="M74" s="31"/>
      <c r="N74" s="31"/>
      <c r="O74" s="31"/>
      <c r="P74" s="31"/>
      <c r="Q74" s="31"/>
      <c r="R74" s="31"/>
      <c r="S74" s="31"/>
      <c r="T74" s="31"/>
      <c r="U74" s="31"/>
    </row>
    <row r="75" spans="2:21">
      <c r="B75" s="12" t="s">
        <v>575</v>
      </c>
      <c r="C75" s="12"/>
      <c r="D75" s="12"/>
      <c r="E75" s="12"/>
      <c r="F75" s="12"/>
      <c r="G75" s="12"/>
      <c r="H75" s="13"/>
      <c r="I75" s="13"/>
      <c r="J75" s="13"/>
      <c r="K75" s="13"/>
      <c r="L75" s="13"/>
      <c r="M75" s="13"/>
      <c r="N75" s="13"/>
      <c r="O75" s="13"/>
      <c r="P75" s="13"/>
      <c r="Q75" s="13"/>
      <c r="R75" s="13"/>
      <c r="S75" s="13"/>
      <c r="T75" s="13"/>
      <c r="U75" s="13"/>
    </row>
    <row r="77" spans="2:21">
      <c r="B77" s="342" t="s">
        <v>745</v>
      </c>
      <c r="C77" s="30"/>
      <c r="D77" s="30"/>
      <c r="E77" s="231">
        <f>'Balance Sheet '!F10</f>
        <v>12.88</v>
      </c>
      <c r="F77" s="231">
        <f>'Balance Sheet '!G10</f>
        <v>12.07</v>
      </c>
      <c r="G77" s="231">
        <f>'Balance Sheet '!H10</f>
        <v>46.49</v>
      </c>
      <c r="H77" s="231">
        <f>'Balance Sheet '!I10</f>
        <v>53.21</v>
      </c>
      <c r="I77" s="231">
        <f>'Balance Sheet '!J10</f>
        <v>60.25</v>
      </c>
      <c r="J77" s="231">
        <f>'Balance Sheet '!K10</f>
        <v>57.25</v>
      </c>
      <c r="K77" s="231">
        <f>'Balance Sheet '!L10</f>
        <v>74.67</v>
      </c>
      <c r="L77" s="231">
        <f>'Balance Sheet '!M10</f>
        <v>123.45</v>
      </c>
      <c r="M77" s="42">
        <f>L77*(1+M82)</f>
        <v>123.45</v>
      </c>
      <c r="N77" s="42">
        <f t="shared" ref="N77:U77" si="18">M80</f>
        <v>99.035318329100619</v>
      </c>
      <c r="O77" s="42">
        <f t="shared" si="18"/>
        <v>74.620636658201249</v>
      </c>
      <c r="P77" s="42">
        <f t="shared" si="18"/>
        <v>50.205954987301872</v>
      </c>
      <c r="Q77" s="42">
        <f t="shared" si="18"/>
        <v>25.791273316402496</v>
      </c>
      <c r="R77" s="42">
        <f t="shared" si="18"/>
        <v>1.3765916455031189</v>
      </c>
      <c r="S77" s="42">
        <f t="shared" si="18"/>
        <v>-23.038090025396258</v>
      </c>
      <c r="T77" s="42">
        <f t="shared" si="18"/>
        <v>-47.452771696295635</v>
      </c>
      <c r="U77" s="42">
        <f t="shared" si="18"/>
        <v>-71.867453367195012</v>
      </c>
    </row>
    <row r="78" spans="2:21">
      <c r="B78" s="291" t="s">
        <v>642</v>
      </c>
      <c r="C78" s="30"/>
      <c r="D78" s="30"/>
      <c r="E78" s="30"/>
      <c r="F78" s="276"/>
      <c r="G78" s="276"/>
      <c r="H78" s="276"/>
      <c r="I78" s="276"/>
      <c r="J78" s="276"/>
      <c r="K78" s="276"/>
      <c r="L78" s="292"/>
      <c r="M78" s="292">
        <f>L77*(M82)</f>
        <v>0</v>
      </c>
      <c r="N78" s="292">
        <f t="shared" ref="N78:U78" si="19">M77*(N82)</f>
        <v>0</v>
      </c>
      <c r="O78" s="292">
        <f t="shared" si="19"/>
        <v>0</v>
      </c>
      <c r="P78" s="292">
        <f t="shared" si="19"/>
        <v>0</v>
      </c>
      <c r="Q78" s="292">
        <f t="shared" si="19"/>
        <v>0</v>
      </c>
      <c r="R78" s="292">
        <f t="shared" si="19"/>
        <v>0</v>
      </c>
      <c r="S78" s="292">
        <f t="shared" si="19"/>
        <v>0</v>
      </c>
      <c r="T78" s="292">
        <f t="shared" si="19"/>
        <v>0</v>
      </c>
      <c r="U78" s="292">
        <f t="shared" si="19"/>
        <v>0</v>
      </c>
    </row>
    <row r="79" spans="2:21">
      <c r="B79" s="291" t="s">
        <v>36</v>
      </c>
      <c r="C79" s="30"/>
      <c r="D79" s="30"/>
      <c r="E79" s="30"/>
      <c r="F79" s="276"/>
      <c r="G79" s="276"/>
      <c r="H79" s="276"/>
      <c r="I79" s="276"/>
      <c r="J79" s="276"/>
      <c r="K79" s="293"/>
      <c r="L79" s="293">
        <f>'Income Statement'!M61/(SUM('Balance Sheet '!M8,'Balance Sheet '!M9,'Balance Sheet '!M10))*'Balance Sheet '!M10</f>
        <v>24.414681670899377</v>
      </c>
      <c r="M79" s="293">
        <f t="shared" ref="M79:U79" si="20">L79+(M78/$D$109)</f>
        <v>24.414681670899377</v>
      </c>
      <c r="N79" s="293">
        <f t="shared" si="20"/>
        <v>24.414681670899377</v>
      </c>
      <c r="O79" s="293">
        <f t="shared" si="20"/>
        <v>24.414681670899377</v>
      </c>
      <c r="P79" s="293">
        <f t="shared" si="20"/>
        <v>24.414681670899377</v>
      </c>
      <c r="Q79" s="293">
        <f t="shared" si="20"/>
        <v>24.414681670899377</v>
      </c>
      <c r="R79" s="293">
        <f t="shared" si="20"/>
        <v>24.414681670899377</v>
      </c>
      <c r="S79" s="293">
        <f t="shared" si="20"/>
        <v>24.414681670899377</v>
      </c>
      <c r="T79" s="293">
        <f t="shared" si="20"/>
        <v>24.414681670899377</v>
      </c>
      <c r="U79" s="293">
        <f t="shared" si="20"/>
        <v>24.414681670899377</v>
      </c>
    </row>
    <row r="80" spans="2:21">
      <c r="B80" s="343" t="s">
        <v>746</v>
      </c>
      <c r="C80" s="294"/>
      <c r="D80" s="294"/>
      <c r="E80" s="294"/>
      <c r="F80" s="295"/>
      <c r="G80" s="295"/>
      <c r="H80" s="295"/>
      <c r="I80" s="295"/>
      <c r="J80" s="295"/>
      <c r="K80" s="295"/>
      <c r="L80" s="296"/>
      <c r="M80" s="296">
        <f>M77+M78-M79</f>
        <v>99.035318329100619</v>
      </c>
      <c r="N80" s="296">
        <f t="shared" ref="N80:U80" si="21">N77+N78-N79</f>
        <v>74.620636658201249</v>
      </c>
      <c r="O80" s="296">
        <f t="shared" si="21"/>
        <v>50.205954987301872</v>
      </c>
      <c r="P80" s="296">
        <f t="shared" si="21"/>
        <v>25.791273316402496</v>
      </c>
      <c r="Q80" s="296">
        <f t="shared" si="21"/>
        <v>1.3765916455031189</v>
      </c>
      <c r="R80" s="296">
        <f t="shared" si="21"/>
        <v>-23.038090025396258</v>
      </c>
      <c r="S80" s="296">
        <f t="shared" si="21"/>
        <v>-47.452771696295635</v>
      </c>
      <c r="T80" s="296">
        <f t="shared" si="21"/>
        <v>-71.867453367195012</v>
      </c>
      <c r="U80" s="296">
        <f t="shared" si="21"/>
        <v>-96.282135038094395</v>
      </c>
    </row>
    <row r="81" spans="2:21">
      <c r="B81" s="291" t="s">
        <v>644</v>
      </c>
      <c r="C81" s="30"/>
      <c r="D81" s="30"/>
      <c r="E81" s="30"/>
      <c r="F81" s="276"/>
      <c r="G81" s="276"/>
      <c r="H81" s="276"/>
      <c r="I81" s="276"/>
      <c r="J81" s="276"/>
      <c r="K81" s="276"/>
      <c r="L81" s="31"/>
      <c r="M81" s="31"/>
      <c r="N81" s="31">
        <f t="shared" ref="N81:U81" si="22">N80/M80-1</f>
        <v>-0.24652499818062723</v>
      </c>
      <c r="O81" s="31">
        <f t="shared" si="22"/>
        <v>-0.32718404404307722</v>
      </c>
      <c r="P81" s="31">
        <f t="shared" si="22"/>
        <v>-0.48629055412001143</v>
      </c>
      <c r="Q81" s="31">
        <f t="shared" si="22"/>
        <v>-0.94662568115132006</v>
      </c>
      <c r="R81" s="31">
        <f t="shared" si="22"/>
        <v>-17.735602094240708</v>
      </c>
      <c r="S81" s="31">
        <f t="shared" si="22"/>
        <v>1.0597528546848118</v>
      </c>
      <c r="T81" s="31">
        <f t="shared" si="22"/>
        <v>0.51450486026731479</v>
      </c>
      <c r="U81" s="31">
        <f t="shared" si="22"/>
        <v>0.33971819686105409</v>
      </c>
    </row>
    <row r="82" spans="2:21">
      <c r="B82" s="290" t="s">
        <v>640</v>
      </c>
      <c r="C82" s="30"/>
      <c r="D82" s="30"/>
      <c r="E82" s="30"/>
      <c r="F82" s="276"/>
      <c r="G82" s="276"/>
      <c r="H82" s="276"/>
      <c r="I82" s="276"/>
      <c r="J82" s="276"/>
      <c r="K82" s="276"/>
      <c r="L82" s="31">
        <f>'Control Sheet'!J94</f>
        <v>0</v>
      </c>
      <c r="M82" s="31">
        <f>'Control Sheet'!K94</f>
        <v>0</v>
      </c>
      <c r="N82" s="31">
        <f>'Control Sheet'!L94</f>
        <v>0</v>
      </c>
      <c r="O82" s="31">
        <f>'Control Sheet'!M94</f>
        <v>0</v>
      </c>
      <c r="P82" s="31">
        <f>'Control Sheet'!N94</f>
        <v>0</v>
      </c>
      <c r="Q82" s="31">
        <f>'Control Sheet'!O94</f>
        <v>0</v>
      </c>
      <c r="R82" s="31">
        <f>'Control Sheet'!P94</f>
        <v>0</v>
      </c>
      <c r="S82" s="31">
        <f>'Control Sheet'!Q94</f>
        <v>0</v>
      </c>
      <c r="T82" s="31">
        <f>'Control Sheet'!R94</f>
        <v>0</v>
      </c>
      <c r="U82" s="31">
        <f>'Control Sheet'!S94</f>
        <v>0</v>
      </c>
    </row>
    <row r="83" spans="2:21">
      <c r="B83" s="290"/>
      <c r="C83" s="30"/>
      <c r="D83" s="30"/>
      <c r="E83" s="30"/>
      <c r="F83" s="276"/>
      <c r="G83" s="276"/>
      <c r="H83" s="276"/>
      <c r="I83" s="276"/>
      <c r="J83" s="276"/>
      <c r="K83" s="276"/>
      <c r="L83" s="31"/>
      <c r="M83" s="31"/>
      <c r="N83" s="31"/>
      <c r="O83" s="31"/>
      <c r="P83" s="31"/>
      <c r="Q83" s="31"/>
      <c r="R83" s="31"/>
      <c r="S83" s="31"/>
      <c r="T83" s="31"/>
      <c r="U83" s="31"/>
    </row>
    <row r="84" spans="2:21">
      <c r="B84" s="30"/>
      <c r="C84" s="30"/>
      <c r="D84" s="30"/>
      <c r="E84" s="30"/>
      <c r="F84" s="30"/>
      <c r="G84" s="30"/>
      <c r="H84" s="30"/>
      <c r="I84" s="30"/>
      <c r="J84" s="30"/>
      <c r="K84" s="32"/>
      <c r="L84" s="31"/>
      <c r="M84" s="31"/>
      <c r="N84" s="31"/>
      <c r="O84" s="31"/>
      <c r="P84" s="31"/>
      <c r="Q84" s="31"/>
      <c r="R84" s="31"/>
      <c r="S84" s="31"/>
      <c r="T84" s="31"/>
      <c r="U84" s="31"/>
    </row>
    <row r="85" spans="2:21">
      <c r="B85" s="12" t="s">
        <v>595</v>
      </c>
      <c r="C85" s="12"/>
      <c r="D85" s="12"/>
      <c r="E85" s="12"/>
      <c r="F85" s="12"/>
      <c r="G85" s="12"/>
      <c r="H85" s="13"/>
      <c r="I85" s="13"/>
      <c r="J85" s="13"/>
      <c r="K85" s="13"/>
      <c r="L85" s="13"/>
      <c r="M85" s="13"/>
      <c r="N85" s="13"/>
      <c r="O85" s="13"/>
      <c r="P85" s="13"/>
      <c r="Q85" s="13"/>
      <c r="R85" s="13"/>
      <c r="S85" s="13"/>
      <c r="T85" s="13"/>
      <c r="U85" s="13"/>
    </row>
    <row r="87" spans="2:21">
      <c r="B87" s="286" t="s">
        <v>621</v>
      </c>
      <c r="C87" s="30"/>
      <c r="D87" s="30"/>
      <c r="E87" s="231">
        <f>'Balance Sheet '!F14</f>
        <v>710</v>
      </c>
      <c r="F87" s="231">
        <f>'Balance Sheet '!G14</f>
        <v>1427</v>
      </c>
      <c r="G87" s="231">
        <f>'Balance Sheet '!H14</f>
        <v>1129</v>
      </c>
      <c r="H87" s="231">
        <f>'Balance Sheet '!I14</f>
        <v>1198</v>
      </c>
      <c r="I87" s="231">
        <f>'Balance Sheet '!J14</f>
        <v>997</v>
      </c>
      <c r="J87" s="231">
        <f>'Balance Sheet '!K14</f>
        <v>1054</v>
      </c>
      <c r="K87" s="231">
        <f>'Balance Sheet '!L14</f>
        <v>2797</v>
      </c>
      <c r="L87" s="231">
        <f>'Balance Sheet '!M14</f>
        <v>1929.67</v>
      </c>
      <c r="M87" s="298">
        <f>L87</f>
        <v>1929.67</v>
      </c>
      <c r="N87" s="298">
        <f t="shared" ref="N87:U87" si="23">M87</f>
        <v>1929.67</v>
      </c>
      <c r="O87" s="298">
        <f t="shared" si="23"/>
        <v>1929.67</v>
      </c>
      <c r="P87" s="298">
        <f t="shared" si="23"/>
        <v>1929.67</v>
      </c>
      <c r="Q87" s="298">
        <f t="shared" si="23"/>
        <v>1929.67</v>
      </c>
      <c r="R87" s="298">
        <f t="shared" si="23"/>
        <v>1929.67</v>
      </c>
      <c r="S87" s="298">
        <f t="shared" si="23"/>
        <v>1929.67</v>
      </c>
      <c r="T87" s="298">
        <f t="shared" si="23"/>
        <v>1929.67</v>
      </c>
      <c r="U87" s="298">
        <f t="shared" si="23"/>
        <v>1929.67</v>
      </c>
    </row>
    <row r="88" spans="2:21">
      <c r="B88" s="274"/>
      <c r="C88" s="30"/>
      <c r="D88" s="30"/>
      <c r="E88" s="30"/>
      <c r="F88" s="275"/>
      <c r="G88" s="275"/>
      <c r="H88" s="275"/>
      <c r="I88" s="275"/>
      <c r="J88" s="275"/>
      <c r="K88" s="275"/>
      <c r="L88" s="31"/>
      <c r="M88" s="31"/>
      <c r="N88" s="31"/>
      <c r="O88" s="31"/>
      <c r="P88" s="31"/>
      <c r="Q88" s="31"/>
      <c r="R88" s="31"/>
      <c r="S88" s="31"/>
      <c r="T88" s="31"/>
      <c r="U88" s="31"/>
    </row>
    <row r="89" spans="2:21">
      <c r="B89" s="12" t="s">
        <v>596</v>
      </c>
      <c r="C89" s="12"/>
      <c r="D89" s="12"/>
      <c r="E89" s="12"/>
      <c r="F89" s="12"/>
      <c r="G89" s="12"/>
      <c r="H89" s="13"/>
      <c r="I89" s="13"/>
      <c r="J89" s="13"/>
      <c r="K89" s="13"/>
      <c r="L89" s="13"/>
      <c r="M89" s="13"/>
      <c r="N89" s="13"/>
      <c r="O89" s="13"/>
      <c r="P89" s="13"/>
      <c r="Q89" s="13"/>
      <c r="R89" s="13"/>
      <c r="S89" s="13"/>
      <c r="T89" s="13"/>
      <c r="U89" s="13"/>
    </row>
    <row r="91" spans="2:21">
      <c r="B91" s="274" t="s">
        <v>597</v>
      </c>
      <c r="C91" s="30"/>
      <c r="D91" s="30"/>
      <c r="E91" s="231">
        <f>'Balance Sheet '!F22</f>
        <v>221</v>
      </c>
      <c r="F91" s="231">
        <f>'Balance Sheet '!G22</f>
        <v>237</v>
      </c>
      <c r="G91" s="231">
        <f>'Balance Sheet '!H22</f>
        <v>72</v>
      </c>
      <c r="H91" s="231">
        <f>'Balance Sheet '!I22</f>
        <v>204</v>
      </c>
      <c r="I91" s="231">
        <f>'Balance Sheet '!J22</f>
        <v>148</v>
      </c>
      <c r="J91" s="231">
        <f>'Balance Sheet '!K22</f>
        <v>168</v>
      </c>
      <c r="K91" s="231">
        <f>'Balance Sheet '!L22</f>
        <v>257</v>
      </c>
      <c r="L91" s="231">
        <f>'Balance Sheet '!M22</f>
        <v>184.45</v>
      </c>
      <c r="M91" s="42">
        <f t="shared" ref="M91:U91" si="24">L91*(1+M92)</f>
        <v>184.45</v>
      </c>
      <c r="N91" s="42">
        <f t="shared" si="24"/>
        <v>184.45</v>
      </c>
      <c r="O91" s="42">
        <f t="shared" si="24"/>
        <v>184.45</v>
      </c>
      <c r="P91" s="42">
        <f t="shared" si="24"/>
        <v>184.45</v>
      </c>
      <c r="Q91" s="42">
        <f t="shared" si="24"/>
        <v>184.45</v>
      </c>
      <c r="R91" s="42">
        <f t="shared" si="24"/>
        <v>184.45</v>
      </c>
      <c r="S91" s="42">
        <f t="shared" si="24"/>
        <v>184.45</v>
      </c>
      <c r="T91" s="42">
        <f t="shared" si="24"/>
        <v>184.45</v>
      </c>
      <c r="U91" s="42">
        <f t="shared" si="24"/>
        <v>184.45</v>
      </c>
    </row>
    <row r="92" spans="2:21">
      <c r="B92" s="338" t="s">
        <v>741</v>
      </c>
      <c r="C92" s="30"/>
      <c r="D92" s="30"/>
      <c r="E92" s="275">
        <f t="shared" ref="E92:L92" si="25">E91/E14</f>
        <v>2.6039825615647459E-2</v>
      </c>
      <c r="F92" s="275">
        <f t="shared" si="25"/>
        <v>2.4100061012812691E-2</v>
      </c>
      <c r="G92" s="275">
        <f t="shared" si="25"/>
        <v>5.7348127026101365E-3</v>
      </c>
      <c r="H92" s="275">
        <f t="shared" si="25"/>
        <v>1.5853402653113562E-2</v>
      </c>
      <c r="I92" s="275">
        <f t="shared" si="25"/>
        <v>1.0914695752855889E-2</v>
      </c>
      <c r="J92" s="275">
        <f t="shared" si="25"/>
        <v>1.1193209452931889E-2</v>
      </c>
      <c r="K92" s="275">
        <f t="shared" si="25"/>
        <v>1.4395581620707231E-2</v>
      </c>
      <c r="L92" s="275">
        <f t="shared" si="25"/>
        <v>8.9886162063117659E-3</v>
      </c>
      <c r="M92" s="31">
        <v>0</v>
      </c>
      <c r="N92" s="31">
        <v>0</v>
      </c>
      <c r="O92" s="31">
        <v>0</v>
      </c>
      <c r="P92" s="31">
        <v>0</v>
      </c>
      <c r="Q92" s="31">
        <v>0</v>
      </c>
      <c r="R92" s="31">
        <v>0</v>
      </c>
      <c r="S92" s="31">
        <v>0</v>
      </c>
      <c r="T92" s="31">
        <v>0</v>
      </c>
      <c r="U92" s="31">
        <v>0</v>
      </c>
    </row>
    <row r="93" spans="2:21">
      <c r="B93" s="274"/>
      <c r="C93" s="30"/>
      <c r="D93" s="30"/>
      <c r="E93" s="30"/>
      <c r="F93" s="275"/>
      <c r="G93" s="275"/>
      <c r="H93" s="275"/>
      <c r="I93" s="275"/>
      <c r="J93" s="275"/>
      <c r="K93" s="275"/>
      <c r="L93" s="31"/>
      <c r="M93" s="31"/>
      <c r="N93" s="31"/>
      <c r="O93" s="31"/>
      <c r="P93" s="31"/>
      <c r="Q93" s="31"/>
      <c r="R93" s="31"/>
      <c r="S93" s="31"/>
      <c r="T93" s="31"/>
      <c r="U93" s="31"/>
    </row>
    <row r="94" spans="2:21">
      <c r="B94" s="12" t="s">
        <v>603</v>
      </c>
      <c r="C94" s="12"/>
      <c r="D94" s="12"/>
      <c r="E94" s="12"/>
      <c r="F94" s="12"/>
      <c r="G94" s="12"/>
      <c r="H94" s="13"/>
      <c r="I94" s="13"/>
      <c r="J94" s="13"/>
      <c r="K94" s="13"/>
      <c r="L94" s="13"/>
      <c r="M94" s="13"/>
      <c r="N94" s="13"/>
      <c r="O94" s="13"/>
      <c r="P94" s="13"/>
      <c r="Q94" s="13"/>
      <c r="R94" s="13"/>
      <c r="S94" s="13"/>
      <c r="T94" s="13"/>
      <c r="U94" s="13"/>
    </row>
    <row r="96" spans="2:21">
      <c r="B96" s="282" t="s">
        <v>604</v>
      </c>
      <c r="C96" s="30"/>
      <c r="D96" s="30"/>
      <c r="E96" s="231">
        <f>'Balance Sheet '!F17</f>
        <v>3845</v>
      </c>
      <c r="F96" s="231">
        <f>'Balance Sheet '!G17</f>
        <v>3675</v>
      </c>
      <c r="G96" s="231">
        <f>'Balance Sheet '!H17</f>
        <v>2778</v>
      </c>
      <c r="H96" s="231">
        <f>'Balance Sheet '!I17</f>
        <v>3743</v>
      </c>
      <c r="I96" s="231">
        <f>'Balance Sheet '!J17</f>
        <v>5179</v>
      </c>
      <c r="J96" s="231">
        <f>'Balance Sheet '!K17</f>
        <v>6100</v>
      </c>
      <c r="K96" s="231">
        <f>'Balance Sheet '!L17</f>
        <v>6149</v>
      </c>
      <c r="L96" s="231">
        <f>'Balance Sheet '!M17</f>
        <v>3378</v>
      </c>
      <c r="M96" s="42">
        <f t="shared" ref="M96:U96" si="26">L96*(1+M97)</f>
        <v>3378</v>
      </c>
      <c r="N96" s="42">
        <f t="shared" si="26"/>
        <v>3378</v>
      </c>
      <c r="O96" s="42">
        <f t="shared" si="26"/>
        <v>3378</v>
      </c>
      <c r="P96" s="42">
        <f t="shared" si="26"/>
        <v>3378</v>
      </c>
      <c r="Q96" s="42">
        <f t="shared" si="26"/>
        <v>3378</v>
      </c>
      <c r="R96" s="42">
        <f t="shared" si="26"/>
        <v>3378</v>
      </c>
      <c r="S96" s="42">
        <f t="shared" si="26"/>
        <v>3378</v>
      </c>
      <c r="T96" s="42">
        <f t="shared" si="26"/>
        <v>3378</v>
      </c>
      <c r="U96" s="42">
        <f t="shared" si="26"/>
        <v>3378</v>
      </c>
    </row>
    <row r="97" spans="2:21">
      <c r="B97" s="282" t="s">
        <v>605</v>
      </c>
      <c r="C97" s="30"/>
      <c r="D97" s="30"/>
      <c r="E97" s="275"/>
      <c r="F97" s="275">
        <f t="shared" ref="F97:L97" si="27">F96/E96-1</f>
        <v>-4.4213263979193784E-2</v>
      </c>
      <c r="G97" s="275">
        <f t="shared" si="27"/>
        <v>-0.24408163265306126</v>
      </c>
      <c r="H97" s="275">
        <f t="shared" si="27"/>
        <v>0.34737221022318221</v>
      </c>
      <c r="I97" s="275">
        <f t="shared" si="27"/>
        <v>0.383649479027518</v>
      </c>
      <c r="J97" s="275">
        <f t="shared" si="27"/>
        <v>0.17783355860204675</v>
      </c>
      <c r="K97" s="275">
        <f t="shared" si="27"/>
        <v>8.0327868852458906E-3</v>
      </c>
      <c r="L97" s="275">
        <f t="shared" si="27"/>
        <v>-0.45064238087493902</v>
      </c>
      <c r="M97" s="31">
        <f>'Control Sheet'!K140</f>
        <v>0</v>
      </c>
      <c r="N97" s="31">
        <f>'Control Sheet'!L140</f>
        <v>0</v>
      </c>
      <c r="O97" s="31">
        <f>'Control Sheet'!M140</f>
        <v>0</v>
      </c>
      <c r="P97" s="31">
        <f>'Control Sheet'!N140</f>
        <v>0</v>
      </c>
      <c r="Q97" s="31">
        <f>'Control Sheet'!O140</f>
        <v>0</v>
      </c>
      <c r="R97" s="31">
        <f>'Control Sheet'!P140</f>
        <v>0</v>
      </c>
      <c r="S97" s="31">
        <f>'Control Sheet'!Q140</f>
        <v>0</v>
      </c>
      <c r="T97" s="31">
        <f>'Control Sheet'!R140</f>
        <v>0</v>
      </c>
      <c r="U97" s="31">
        <f>'Control Sheet'!S140</f>
        <v>0</v>
      </c>
    </row>
    <row r="98" spans="2:21">
      <c r="B98" s="282"/>
      <c r="C98" s="30"/>
      <c r="D98" s="30"/>
      <c r="E98" s="275"/>
      <c r="F98" s="275"/>
      <c r="G98" s="275"/>
      <c r="H98" s="275"/>
      <c r="I98" s="275"/>
      <c r="J98" s="275"/>
      <c r="K98" s="275"/>
      <c r="L98" s="31"/>
      <c r="M98" s="31"/>
      <c r="N98" s="31"/>
      <c r="O98" s="31"/>
      <c r="P98" s="31"/>
      <c r="Q98" s="31"/>
      <c r="R98" s="31"/>
      <c r="S98" s="31"/>
      <c r="T98" s="31"/>
      <c r="U98" s="31"/>
    </row>
    <row r="99" spans="2:21">
      <c r="B99" s="12" t="s">
        <v>607</v>
      </c>
      <c r="C99" s="12"/>
      <c r="D99" s="12"/>
      <c r="E99" s="12"/>
      <c r="F99" s="12"/>
      <c r="G99" s="12"/>
      <c r="H99" s="13"/>
      <c r="I99" s="13"/>
      <c r="J99" s="13"/>
      <c r="K99" s="13"/>
      <c r="L99" s="13"/>
      <c r="M99" s="13"/>
      <c r="N99" s="13"/>
      <c r="O99" s="13"/>
      <c r="P99" s="13"/>
      <c r="Q99" s="13"/>
      <c r="R99" s="13"/>
      <c r="S99" s="13"/>
      <c r="T99" s="13"/>
      <c r="U99" s="13"/>
    </row>
    <row r="101" spans="2:21">
      <c r="B101" s="282" t="s">
        <v>608</v>
      </c>
      <c r="C101" s="30"/>
      <c r="D101" s="30"/>
      <c r="E101" s="231">
        <f>'Balance Sheet '!F23</f>
        <v>507.7</v>
      </c>
      <c r="F101" s="231">
        <f>'Balance Sheet '!G23</f>
        <v>513</v>
      </c>
      <c r="G101" s="231">
        <f>'Balance Sheet '!H23</f>
        <v>612.4</v>
      </c>
      <c r="H101" s="231">
        <f>'Balance Sheet '!I23</f>
        <v>743.6</v>
      </c>
      <c r="I101" s="231">
        <f>'Balance Sheet '!J23</f>
        <v>786.1</v>
      </c>
      <c r="J101" s="231">
        <f>'Balance Sheet '!K23</f>
        <v>674.4</v>
      </c>
      <c r="K101" s="231">
        <f>'Balance Sheet '!L23</f>
        <v>682.3</v>
      </c>
      <c r="L101" s="231">
        <f>'Balance Sheet '!M23</f>
        <v>629.27</v>
      </c>
      <c r="M101" s="42">
        <f t="shared" ref="M101:U101" si="28">L101*(1+M102)</f>
        <v>629.27</v>
      </c>
      <c r="N101" s="42">
        <f t="shared" si="28"/>
        <v>629.27</v>
      </c>
      <c r="O101" s="42">
        <f t="shared" si="28"/>
        <v>629.27</v>
      </c>
      <c r="P101" s="42">
        <f t="shared" si="28"/>
        <v>629.27</v>
      </c>
      <c r="Q101" s="42">
        <f t="shared" si="28"/>
        <v>629.27</v>
      </c>
      <c r="R101" s="42">
        <f t="shared" si="28"/>
        <v>629.27</v>
      </c>
      <c r="S101" s="42">
        <f t="shared" si="28"/>
        <v>629.27</v>
      </c>
      <c r="T101" s="42">
        <f t="shared" si="28"/>
        <v>629.27</v>
      </c>
      <c r="U101" s="42">
        <f t="shared" si="28"/>
        <v>629.27</v>
      </c>
    </row>
    <row r="102" spans="2:21">
      <c r="B102" s="282" t="s">
        <v>609</v>
      </c>
      <c r="C102" s="30"/>
      <c r="D102" s="30"/>
      <c r="E102" s="275"/>
      <c r="F102" s="275">
        <f t="shared" ref="F102:L102" si="29">F101/E101-1</f>
        <v>1.0439235769154953E-2</v>
      </c>
      <c r="G102" s="275">
        <f t="shared" si="29"/>
        <v>0.19376218323586736</v>
      </c>
      <c r="H102" s="275">
        <f t="shared" si="29"/>
        <v>0.2142390594382757</v>
      </c>
      <c r="I102" s="275">
        <f t="shared" si="29"/>
        <v>5.7154384077461096E-2</v>
      </c>
      <c r="J102" s="275">
        <f t="shared" si="29"/>
        <v>-0.14209388118559985</v>
      </c>
      <c r="K102" s="275">
        <f t="shared" si="29"/>
        <v>1.1714116251482665E-2</v>
      </c>
      <c r="L102" s="275">
        <f t="shared" si="29"/>
        <v>-7.7722409497288591E-2</v>
      </c>
      <c r="M102" s="31">
        <f>'Control Sheet'!K157</f>
        <v>0</v>
      </c>
      <c r="N102" s="31">
        <f>'Control Sheet'!L157</f>
        <v>0</v>
      </c>
      <c r="O102" s="31">
        <f>'Control Sheet'!M157</f>
        <v>0</v>
      </c>
      <c r="P102" s="31">
        <f>'Control Sheet'!N157</f>
        <v>0</v>
      </c>
      <c r="Q102" s="31">
        <f>'Control Sheet'!O157</f>
        <v>0</v>
      </c>
      <c r="R102" s="31">
        <f>'Control Sheet'!P157</f>
        <v>0</v>
      </c>
      <c r="S102" s="31">
        <f>'Control Sheet'!Q157</f>
        <v>0</v>
      </c>
      <c r="T102" s="31">
        <f>'Control Sheet'!R157</f>
        <v>0</v>
      </c>
      <c r="U102" s="31">
        <f>'Control Sheet'!S157</f>
        <v>0</v>
      </c>
    </row>
    <row r="103" spans="2:21">
      <c r="B103" s="282"/>
      <c r="C103" s="30"/>
      <c r="D103" s="30"/>
      <c r="E103" s="275"/>
      <c r="F103" s="275"/>
      <c r="G103" s="275"/>
      <c r="H103" s="275"/>
      <c r="I103" s="275"/>
      <c r="J103" s="275"/>
      <c r="K103" s="275"/>
      <c r="L103" s="31"/>
      <c r="M103" s="31"/>
      <c r="N103" s="31"/>
      <c r="O103" s="31"/>
      <c r="P103" s="31"/>
      <c r="Q103" s="31"/>
      <c r="R103" s="31"/>
      <c r="S103" s="31"/>
      <c r="T103" s="31"/>
      <c r="U103" s="31"/>
    </row>
    <row r="104" spans="2:21">
      <c r="B104" s="282"/>
      <c r="C104" s="30"/>
      <c r="D104" s="30"/>
      <c r="E104" s="275"/>
      <c r="F104" s="275"/>
      <c r="G104" s="275"/>
      <c r="H104" s="275"/>
      <c r="I104" s="275"/>
      <c r="J104" s="275"/>
      <c r="K104" s="275"/>
      <c r="L104" s="31"/>
      <c r="M104" s="31"/>
      <c r="N104" s="31"/>
      <c r="O104" s="31"/>
      <c r="P104" s="31"/>
      <c r="Q104" s="31"/>
      <c r="R104" s="31"/>
      <c r="S104" s="31"/>
      <c r="T104" s="31"/>
      <c r="U104" s="31"/>
    </row>
    <row r="106" spans="2:21">
      <c r="B106" s="10" t="s">
        <v>34</v>
      </c>
      <c r="C106" s="10"/>
      <c r="D106" s="10"/>
      <c r="E106" s="10"/>
      <c r="F106" s="10"/>
      <c r="G106" s="10"/>
      <c r="H106" s="10"/>
      <c r="I106" s="10"/>
      <c r="J106" s="10"/>
      <c r="K106" s="10"/>
      <c r="L106" s="10"/>
      <c r="M106" s="10"/>
      <c r="N106" s="10"/>
      <c r="O106" s="10"/>
      <c r="P106" s="10"/>
      <c r="Q106" s="10"/>
      <c r="R106" s="10"/>
      <c r="S106" s="10"/>
      <c r="T106" s="10"/>
      <c r="U106" s="10"/>
    </row>
    <row r="108" spans="2:21">
      <c r="B108"/>
      <c r="E108"/>
      <c r="F108"/>
      <c r="G108"/>
      <c r="H108"/>
      <c r="I108"/>
      <c r="J108"/>
      <c r="K108"/>
      <c r="L108"/>
      <c r="M108"/>
      <c r="N108"/>
      <c r="O108"/>
      <c r="P108"/>
      <c r="Q108"/>
      <c r="R108"/>
      <c r="S108"/>
      <c r="T108"/>
      <c r="U108"/>
    </row>
    <row r="109" spans="2:21">
      <c r="B109"/>
      <c r="C109" s="46" t="s">
        <v>35</v>
      </c>
      <c r="D109" s="47">
        <v>7</v>
      </c>
      <c r="E109"/>
      <c r="F109"/>
      <c r="G109"/>
      <c r="H109"/>
      <c r="I109"/>
      <c r="J109"/>
      <c r="K109"/>
      <c r="L109"/>
      <c r="M109"/>
      <c r="N109"/>
      <c r="O109"/>
      <c r="P109"/>
      <c r="Q109"/>
      <c r="R109"/>
      <c r="S109"/>
      <c r="T109"/>
      <c r="U109"/>
    </row>
    <row r="110" spans="2:21">
      <c r="B110"/>
      <c r="C110" s="45"/>
      <c r="D110" s="45"/>
      <c r="E110"/>
      <c r="F110"/>
      <c r="G110"/>
      <c r="H110"/>
      <c r="I110"/>
      <c r="J110"/>
      <c r="K110"/>
      <c r="L110"/>
      <c r="M110"/>
      <c r="N110"/>
      <c r="O110"/>
      <c r="P110"/>
      <c r="Q110"/>
      <c r="R110"/>
      <c r="S110"/>
      <c r="T110"/>
      <c r="U110"/>
    </row>
    <row r="111" spans="2:21">
      <c r="B111" t="s">
        <v>38</v>
      </c>
      <c r="E111"/>
      <c r="F111"/>
      <c r="G111"/>
      <c r="H111"/>
      <c r="I111"/>
      <c r="J111"/>
      <c r="K111" s="149"/>
      <c r="L111" s="149">
        <f>SUM(L79,L70,L62)</f>
        <v>1896.9999999999998</v>
      </c>
      <c r="M111" s="149">
        <f>SUM(M79,M70,M62)</f>
        <v>2493.0464428571427</v>
      </c>
      <c r="N111" s="149">
        <f t="shared" ref="N111:U111" si="30">SUM(N79,N70,N62)</f>
        <v>3088.1892999999995</v>
      </c>
      <c r="O111" s="149">
        <f t="shared" si="30"/>
        <v>3683.3321571428564</v>
      </c>
      <c r="P111" s="149">
        <f t="shared" si="30"/>
        <v>4229.2845380952367</v>
      </c>
      <c r="Q111" s="149">
        <f t="shared" si="30"/>
        <v>4726.0464428571413</v>
      </c>
      <c r="R111" s="149">
        <f t="shared" si="30"/>
        <v>5173.6178714285697</v>
      </c>
      <c r="S111" s="149">
        <f t="shared" si="30"/>
        <v>5571.998823809522</v>
      </c>
      <c r="T111" s="149">
        <f t="shared" si="30"/>
        <v>5921.1892999999982</v>
      </c>
      <c r="U111" s="149">
        <f t="shared" si="30"/>
        <v>6221.1892999999982</v>
      </c>
    </row>
    <row r="112" spans="2:21">
      <c r="B112" s="39" t="s">
        <v>645</v>
      </c>
      <c r="C112" s="39"/>
      <c r="D112" s="39"/>
      <c r="E112" s="39"/>
      <c r="F112" s="39"/>
      <c r="G112" s="39"/>
      <c r="H112" s="39"/>
      <c r="I112" s="39"/>
      <c r="J112" s="39"/>
      <c r="K112" s="39"/>
      <c r="L112" s="300"/>
      <c r="M112" s="300">
        <f>SUM(M80,M71,M63)</f>
        <v>11277.563757142856</v>
      </c>
      <c r="N112" s="300">
        <f t="shared" ref="N112:U112" si="31">SUM(N80,N71,N63)</f>
        <v>12355.374457142858</v>
      </c>
      <c r="O112" s="300">
        <f t="shared" si="31"/>
        <v>12838.042300000001</v>
      </c>
      <c r="P112" s="300">
        <f t="shared" si="31"/>
        <v>12430.42442857143</v>
      </c>
      <c r="Q112" s="300">
        <f t="shared" si="31"/>
        <v>11181.711319047621</v>
      </c>
      <c r="R112" s="300">
        <f t="shared" si="31"/>
        <v>9141.0934476190505</v>
      </c>
      <c r="S112" s="300">
        <f t="shared" si="31"/>
        <v>6357.7612904761945</v>
      </c>
      <c r="T112" s="300">
        <f t="shared" si="31"/>
        <v>2880.9053238095294</v>
      </c>
      <c r="U112" s="300">
        <f t="shared" si="31"/>
        <v>-1240.2839761904693</v>
      </c>
    </row>
    <row r="114" spans="2:21">
      <c r="B114" s="287" t="s">
        <v>631</v>
      </c>
      <c r="E114" s="288"/>
      <c r="F114" s="288"/>
      <c r="G114" s="288"/>
      <c r="H114" s="288"/>
      <c r="I114" s="288"/>
      <c r="J114" s="288"/>
      <c r="K114" s="288"/>
      <c r="L114" s="288"/>
      <c r="M114" s="288">
        <f>M111/M112</f>
        <v>0.22106250042506964</v>
      </c>
      <c r="N114" s="288">
        <f t="shared" ref="N114:U114" si="32">N111/N112</f>
        <v>0.24994704213231378</v>
      </c>
      <c r="O114" s="288">
        <f t="shared" si="32"/>
        <v>0.28690761964095229</v>
      </c>
      <c r="P114" s="288">
        <f t="shared" si="32"/>
        <v>0.34023653515596719</v>
      </c>
      <c r="Q114" s="288">
        <f t="shared" si="32"/>
        <v>0.42265859920802107</v>
      </c>
      <c r="R114" s="288">
        <f t="shared" si="32"/>
        <v>0.56597363335959816</v>
      </c>
      <c r="S114" s="288">
        <f t="shared" si="32"/>
        <v>0.87640893849793799</v>
      </c>
      <c r="T114" s="288">
        <f t="shared" si="32"/>
        <v>2.0553224193324713</v>
      </c>
      <c r="U114" s="288">
        <f t="shared" si="32"/>
        <v>-5.0159394295396558</v>
      </c>
    </row>
    <row r="115" spans="2:21">
      <c r="B115" s="287" t="s">
        <v>630</v>
      </c>
      <c r="E115" s="288"/>
      <c r="F115" s="288"/>
      <c r="G115" s="288"/>
      <c r="H115" s="288"/>
      <c r="I115" s="288"/>
      <c r="J115" s="288"/>
      <c r="K115" s="288"/>
      <c r="L115" s="288"/>
      <c r="M115" s="288">
        <f t="shared" ref="M115:U115" si="33">M111/M14</f>
        <v>0.11259603625513727</v>
      </c>
      <c r="N115" s="288">
        <f t="shared" si="33"/>
        <v>0.12227149027319298</v>
      </c>
      <c r="O115" s="288">
        <f t="shared" si="33"/>
        <v>0.12866725036416707</v>
      </c>
      <c r="P115" s="288">
        <f t="shared" si="33"/>
        <v>0.13118828189310353</v>
      </c>
      <c r="Q115" s="288">
        <f t="shared" si="33"/>
        <v>0.13102084498483324</v>
      </c>
      <c r="R115" s="288">
        <f t="shared" si="33"/>
        <v>0.12902760606291944</v>
      </c>
      <c r="S115" s="288">
        <f t="shared" si="33"/>
        <v>0.12583324054627101</v>
      </c>
      <c r="T115" s="288">
        <f t="shared" si="33"/>
        <v>0.12188728570026204</v>
      </c>
      <c r="U115" s="288">
        <f t="shared" si="33"/>
        <v>0.11751033734142637</v>
      </c>
    </row>
    <row r="117" spans="2:21">
      <c r="B117" s="9" t="s">
        <v>37</v>
      </c>
    </row>
    <row r="119" spans="2:21">
      <c r="B119" s="49">
        <v>2023</v>
      </c>
      <c r="C119" s="49"/>
      <c r="D119" s="49"/>
      <c r="E119" s="49"/>
      <c r="F119" s="49"/>
      <c r="G119" s="49"/>
      <c r="K119" s="55"/>
      <c r="L119" s="38"/>
      <c r="M119" s="38"/>
      <c r="N119" s="38"/>
      <c r="O119" s="38"/>
      <c r="P119" s="38"/>
      <c r="Q119" s="38"/>
      <c r="R119" s="38"/>
      <c r="S119" s="38"/>
      <c r="T119" s="38"/>
      <c r="U119" s="38"/>
    </row>
    <row r="120" spans="2:21">
      <c r="B120" s="49">
        <f>B119+1</f>
        <v>2024</v>
      </c>
      <c r="C120" s="49"/>
      <c r="D120" s="49"/>
      <c r="E120" s="49"/>
      <c r="F120" s="49"/>
      <c r="G120" s="49"/>
      <c r="L120" s="38">
        <f>SUM(L79,L70,L62)</f>
        <v>1896.9999999999998</v>
      </c>
      <c r="M120" s="38">
        <f>L120</f>
        <v>1896.9999999999998</v>
      </c>
      <c r="N120" s="38">
        <f t="shared" ref="N120:P122" si="34">M120</f>
        <v>1896.9999999999998</v>
      </c>
      <c r="O120" s="38">
        <f t="shared" si="34"/>
        <v>1896.9999999999998</v>
      </c>
      <c r="P120" s="38">
        <f t="shared" si="34"/>
        <v>1896.9999999999998</v>
      </c>
      <c r="Q120" s="38">
        <f t="shared" ref="Q120:U123" si="35">P120</f>
        <v>1896.9999999999998</v>
      </c>
      <c r="R120" s="38">
        <f t="shared" si="35"/>
        <v>1896.9999999999998</v>
      </c>
      <c r="S120" s="38">
        <f t="shared" si="35"/>
        <v>1896.9999999999998</v>
      </c>
      <c r="T120" s="38">
        <f t="shared" si="35"/>
        <v>1896.9999999999998</v>
      </c>
      <c r="U120" s="38">
        <f t="shared" si="35"/>
        <v>1896.9999999999998</v>
      </c>
    </row>
    <row r="121" spans="2:21">
      <c r="B121" s="49">
        <f>B120+1</f>
        <v>2025</v>
      </c>
      <c r="C121" s="49"/>
      <c r="D121" s="49"/>
      <c r="E121" s="49"/>
      <c r="F121" s="49"/>
      <c r="G121" s="49"/>
      <c r="L121" s="19"/>
      <c r="M121" s="38">
        <f>M111-L111</f>
        <v>596.04644285714289</v>
      </c>
      <c r="N121" s="38">
        <f>M121</f>
        <v>596.04644285714289</v>
      </c>
      <c r="O121" s="38">
        <f t="shared" si="34"/>
        <v>596.04644285714289</v>
      </c>
      <c r="P121" s="38">
        <f t="shared" si="34"/>
        <v>596.04644285714289</v>
      </c>
      <c r="Q121" s="38">
        <f t="shared" si="35"/>
        <v>596.04644285714289</v>
      </c>
      <c r="R121" s="38">
        <f t="shared" si="35"/>
        <v>596.04644285714289</v>
      </c>
      <c r="S121" s="38">
        <f t="shared" si="35"/>
        <v>596.04644285714289</v>
      </c>
      <c r="T121" s="38">
        <f t="shared" si="35"/>
        <v>596.04644285714289</v>
      </c>
      <c r="U121" s="38">
        <f t="shared" si="35"/>
        <v>596.04644285714289</v>
      </c>
    </row>
    <row r="122" spans="2:21">
      <c r="B122" s="49">
        <f>B121+1</f>
        <v>2026</v>
      </c>
      <c r="C122" s="49"/>
      <c r="D122" s="49"/>
      <c r="E122" s="49"/>
      <c r="F122" s="49"/>
      <c r="G122" s="49"/>
      <c r="L122" s="19"/>
      <c r="M122" s="19"/>
      <c r="N122" s="38">
        <f>N111-M111</f>
        <v>595.14285714285688</v>
      </c>
      <c r="O122" s="38">
        <f>N122</f>
        <v>595.14285714285688</v>
      </c>
      <c r="P122" s="38">
        <f t="shared" si="34"/>
        <v>595.14285714285688</v>
      </c>
      <c r="Q122" s="38">
        <f t="shared" si="35"/>
        <v>595.14285714285688</v>
      </c>
      <c r="R122" s="38">
        <f t="shared" si="35"/>
        <v>595.14285714285688</v>
      </c>
      <c r="S122" s="38">
        <f t="shared" si="35"/>
        <v>595.14285714285688</v>
      </c>
      <c r="T122" s="38">
        <f t="shared" si="35"/>
        <v>595.14285714285688</v>
      </c>
      <c r="U122" s="38">
        <f t="shared" si="35"/>
        <v>595.14285714285688</v>
      </c>
    </row>
    <row r="123" spans="2:21">
      <c r="B123" s="49">
        <f>B122+1</f>
        <v>2027</v>
      </c>
      <c r="C123" s="49"/>
      <c r="D123" s="49"/>
      <c r="E123" s="49"/>
      <c r="F123" s="49"/>
      <c r="G123" s="49"/>
      <c r="L123" s="19"/>
      <c r="M123" s="19"/>
      <c r="N123" s="19"/>
      <c r="O123" s="38">
        <f>O111-N111</f>
        <v>595.14285714285688</v>
      </c>
      <c r="P123" s="38">
        <f>O123</f>
        <v>595.14285714285688</v>
      </c>
      <c r="Q123" s="38">
        <f t="shared" si="35"/>
        <v>595.14285714285688</v>
      </c>
      <c r="R123" s="38">
        <f t="shared" si="35"/>
        <v>595.14285714285688</v>
      </c>
      <c r="S123" s="38">
        <f t="shared" si="35"/>
        <v>595.14285714285688</v>
      </c>
      <c r="T123" s="38">
        <f t="shared" si="35"/>
        <v>595.14285714285688</v>
      </c>
      <c r="U123" s="38">
        <f t="shared" si="35"/>
        <v>595.14285714285688</v>
      </c>
    </row>
    <row r="124" spans="2:21">
      <c r="B124" s="49">
        <f>B123+1</f>
        <v>2028</v>
      </c>
      <c r="C124" s="49"/>
      <c r="D124" s="49"/>
      <c r="E124" s="49"/>
      <c r="F124" s="49"/>
      <c r="G124" s="49"/>
      <c r="L124" s="19"/>
      <c r="M124" s="19"/>
      <c r="N124" s="19"/>
      <c r="O124" s="19"/>
      <c r="P124" s="38">
        <f t="shared" ref="P124:U124" si="36">P111-O111</f>
        <v>545.95238095238028</v>
      </c>
      <c r="Q124" s="38">
        <f t="shared" si="36"/>
        <v>496.76190476190459</v>
      </c>
      <c r="R124" s="38">
        <f t="shared" si="36"/>
        <v>447.57142857142844</v>
      </c>
      <c r="S124" s="38">
        <f t="shared" si="36"/>
        <v>398.38095238095229</v>
      </c>
      <c r="T124" s="38">
        <f t="shared" si="36"/>
        <v>349.19047619047615</v>
      </c>
      <c r="U124" s="38">
        <f t="shared" si="36"/>
        <v>300</v>
      </c>
    </row>
    <row r="125" spans="2:21">
      <c r="B125" s="39" t="s">
        <v>38</v>
      </c>
      <c r="C125" s="39"/>
      <c r="D125" s="39"/>
      <c r="E125" s="39"/>
      <c r="F125" s="39"/>
      <c r="G125" s="39"/>
      <c r="H125" s="39"/>
      <c r="I125" s="39"/>
      <c r="J125" s="39"/>
      <c r="K125" s="50"/>
      <c r="L125" s="50">
        <f t="shared" ref="L125:U125" si="37">L119+L120+L121+L122+L123+L124</f>
        <v>1896.9999999999998</v>
      </c>
      <c r="M125" s="50">
        <f t="shared" si="37"/>
        <v>2493.0464428571427</v>
      </c>
      <c r="N125" s="50">
        <f t="shared" si="37"/>
        <v>3088.1892999999995</v>
      </c>
      <c r="O125" s="50">
        <f t="shared" si="37"/>
        <v>3683.3321571428564</v>
      </c>
      <c r="P125" s="50">
        <f t="shared" si="37"/>
        <v>4229.2845380952367</v>
      </c>
      <c r="Q125" s="50">
        <f t="shared" si="37"/>
        <v>4180.0940619047615</v>
      </c>
      <c r="R125" s="50">
        <f t="shared" si="37"/>
        <v>4130.9035857142844</v>
      </c>
      <c r="S125" s="50">
        <f t="shared" si="37"/>
        <v>4081.7131095238087</v>
      </c>
      <c r="T125" s="50">
        <f t="shared" si="37"/>
        <v>4032.5226333333326</v>
      </c>
      <c r="U125" s="50">
        <f t="shared" si="37"/>
        <v>3983.3321571428564</v>
      </c>
    </row>
    <row r="129" spans="2:21">
      <c r="B129" s="10" t="s">
        <v>39</v>
      </c>
      <c r="C129" s="10"/>
      <c r="D129" s="10"/>
      <c r="E129" s="10"/>
      <c r="F129" s="10"/>
      <c r="G129" s="10"/>
      <c r="H129" s="11"/>
      <c r="I129" s="11"/>
      <c r="J129" s="11"/>
      <c r="K129" s="11"/>
      <c r="L129" s="11"/>
      <c r="M129" s="11"/>
      <c r="N129" s="11"/>
      <c r="O129" s="11"/>
      <c r="P129" s="11"/>
      <c r="Q129" s="11"/>
      <c r="R129" s="11"/>
      <c r="S129" s="11"/>
      <c r="T129" s="11"/>
      <c r="U129" s="11"/>
    </row>
    <row r="131" spans="2:21">
      <c r="B131" s="3" t="s">
        <v>40</v>
      </c>
      <c r="K131" s="38"/>
      <c r="L131" s="38">
        <f>'3 Statment Model'!L13</f>
        <v>20520.400000000001</v>
      </c>
      <c r="M131" s="38">
        <f>'3 Statment Model'!M13</f>
        <v>22141.511600000002</v>
      </c>
      <c r="N131" s="38">
        <f>'3 Statment Model'!N13</f>
        <v>25256.822282120003</v>
      </c>
      <c r="O131" s="38">
        <f>'3 Statment Model'!O13</f>
        <v>28626.803998048588</v>
      </c>
      <c r="P131" s="38">
        <f>'3 Statment Model'!P13</f>
        <v>32238.279799573833</v>
      </c>
      <c r="Q131" s="38">
        <f>'3 Statment Model'!Q13</f>
        <v>36070.950720888883</v>
      </c>
      <c r="R131" s="38">
        <f>'3 Statment Model'!R13</f>
        <v>40096.984120636094</v>
      </c>
      <c r="S131" s="38">
        <f>'3 Statment Model'!S13</f>
        <v>44280.818006595036</v>
      </c>
      <c r="T131" s="38">
        <f>'3 Statment Model'!T13</f>
        <v>48579.220268806661</v>
      </c>
      <c r="U131" s="38">
        <f>'3 Statment Model'!U13</f>
        <v>52941.634248945506</v>
      </c>
    </row>
    <row r="132" spans="2:21">
      <c r="B132" s="3" t="s">
        <v>41</v>
      </c>
      <c r="K132" s="48"/>
      <c r="L132" s="48">
        <f>'3 Statment Model'!L14</f>
        <v>-1535</v>
      </c>
      <c r="M132" s="48">
        <f>'3 Statment Model'!M14</f>
        <v>-1826.6747070000006</v>
      </c>
      <c r="N132" s="48">
        <f>'3 Statment Model'!N14</f>
        <v>-3382.8356344114491</v>
      </c>
      <c r="O132" s="48">
        <f>'3 Statment Model'!O14</f>
        <v>-5306.6937911382593</v>
      </c>
      <c r="P132" s="48">
        <f>'3 Statment Model'!P14</f>
        <v>-7634.4276350365817</v>
      </c>
      <c r="Q132" s="48">
        <f>'3 Statment Model'!Q14</f>
        <v>-10397.451545296224</v>
      </c>
      <c r="R132" s="48">
        <f>'3 Statment Model'!R14</f>
        <v>-13620.444293478578</v>
      </c>
      <c r="S132" s="48">
        <f>'3 Statment Model'!S14</f>
        <v>-17319.33494282949</v>
      </c>
      <c r="T132" s="48">
        <f>'3 Statment Model'!T14</f>
        <v>-21499.341170213756</v>
      </c>
      <c r="U132" s="48">
        <f>'3 Statment Model'!U14</f>
        <v>-26153.167318979078</v>
      </c>
    </row>
    <row r="133" spans="2:21">
      <c r="B133" s="3" t="s">
        <v>42</v>
      </c>
      <c r="K133" s="48"/>
      <c r="L133" s="48">
        <f>SUM('3 Statment Model'!L19:L23)*-1</f>
        <v>-14498.5</v>
      </c>
      <c r="M133" s="48">
        <f>SUM('3 Statment Model'!M19:M23)*-1</f>
        <v>-15005.302411320001</v>
      </c>
      <c r="N133" s="48">
        <f>SUM('3 Statment Model'!N19:N23)*-1</f>
        <v>-17116.54846059273</v>
      </c>
      <c r="O133" s="48">
        <f>SUM('3 Statment Model'!O19:O23)*-1</f>
        <v>-19400.385069477528</v>
      </c>
      <c r="P133" s="48">
        <f>SUM('3 Statment Model'!P19:P23)*-1</f>
        <v>-21847.882220171185</v>
      </c>
      <c r="Q133" s="48">
        <f>SUM('3 Statment Model'!Q19:Q23)*-1</f>
        <v>-24445.283303546395</v>
      </c>
      <c r="R133" s="48">
        <f>SUM('3 Statment Model'!R19:R23)*-1</f>
        <v>-27173.726138555081</v>
      </c>
      <c r="S133" s="48">
        <f>SUM('3 Statment Model'!S19:S23)*-1</f>
        <v>-30009.110363069456</v>
      </c>
      <c r="T133" s="48">
        <f>SUM('3 Statment Model'!T19:T23)*-1</f>
        <v>-32922.137576170273</v>
      </c>
      <c r="U133" s="48">
        <f>SUM('3 Statment Model'!U19:U23)*-1</f>
        <v>-35878.545530510368</v>
      </c>
    </row>
    <row r="134" spans="2:21">
      <c r="B134" s="3" t="s">
        <v>36</v>
      </c>
      <c r="K134" s="48"/>
      <c r="L134" s="48">
        <f>'3 Statment Model'!L27*-1</f>
        <v>-1897</v>
      </c>
      <c r="M134" s="48">
        <f>'3 Statment Model'!M27*-1</f>
        <v>-2493.0464428571427</v>
      </c>
      <c r="N134" s="48">
        <f>'3 Statment Model'!N27*-1</f>
        <v>-3088.1892999999995</v>
      </c>
      <c r="O134" s="48">
        <f>'3 Statment Model'!O27*-1</f>
        <v>-3683.3321571428564</v>
      </c>
      <c r="P134" s="48">
        <f>'3 Statment Model'!P27*-1</f>
        <v>-4229.2845380952367</v>
      </c>
      <c r="Q134" s="48">
        <f>'3 Statment Model'!Q27*-1</f>
        <v>-4726.0464428571413</v>
      </c>
      <c r="R134" s="48">
        <f>'3 Statment Model'!R27*-1</f>
        <v>-5173.6178714285697</v>
      </c>
      <c r="S134" s="48">
        <f>'3 Statment Model'!S27*-1</f>
        <v>-5571.998823809522</v>
      </c>
      <c r="T134" s="48">
        <f>'3 Statment Model'!T27*-1</f>
        <v>-5921.1892999999982</v>
      </c>
      <c r="U134" s="48">
        <f>'3 Statment Model'!U27*-1</f>
        <v>-6221.1892999999982</v>
      </c>
    </row>
    <row r="135" spans="2:21">
      <c r="B135" s="3" t="s">
        <v>43</v>
      </c>
      <c r="K135" s="48"/>
      <c r="L135" s="48">
        <f>'3 Statment Model'!L32*-1</f>
        <v>-558.29999999999995</v>
      </c>
      <c r="M135" s="48">
        <f>'3 Statment Model'!M32*-1</f>
        <v>-120.96166811100001</v>
      </c>
      <c r="N135" s="48">
        <f>'3 Statment Model'!N32*-1</f>
        <v>-156.68670546088174</v>
      </c>
      <c r="O135" s="48">
        <f>'3 Statment Model'!O32*-1</f>
        <v>-174.53442406630458</v>
      </c>
      <c r="P135" s="48">
        <f>'3 Statment Model'!P32*-1</f>
        <v>-193.765266717776</v>
      </c>
      <c r="Q135" s="48">
        <f>'3 Statment Model'!Q32*-1</f>
        <v>0.6351705719919829</v>
      </c>
      <c r="R135" s="48">
        <f>'3 Statment Model'!R32*-1</f>
        <v>219.28479090787056</v>
      </c>
      <c r="S135" s="48">
        <f>'3 Statment Model'!S32*-1</f>
        <v>248.42480886830347</v>
      </c>
      <c r="T135" s="48">
        <f>'3 Statment Model'!T32*-1</f>
        <v>278.50940565189143</v>
      </c>
      <c r="U135" s="48">
        <f>'3 Statment Model'!U32*-1</f>
        <v>309.16338791418133</v>
      </c>
    </row>
    <row r="136" spans="2:21">
      <c r="B136" s="326" t="s">
        <v>646</v>
      </c>
      <c r="K136" s="48"/>
      <c r="L136" s="48">
        <f>'3 Statment Model'!L33</f>
        <v>623.09999999999991</v>
      </c>
      <c r="M136" s="48">
        <f>'3 Statment Model'!M33</f>
        <v>863.5189524000001</v>
      </c>
      <c r="N136" s="48">
        <f>'3 Statment Model'!N33</f>
        <v>985.01606900268018</v>
      </c>
      <c r="O136" s="48">
        <f>'3 Statment Model'!O33</f>
        <v>1116.445355923895</v>
      </c>
      <c r="P136" s="48">
        <f>'3 Statment Model'!P33</f>
        <v>1257.2929121833795</v>
      </c>
      <c r="Q136" s="48">
        <f>'3 Statment Model'!Q33</f>
        <v>1406.7670781146664</v>
      </c>
      <c r="R136" s="48">
        <f>'3 Statment Model'!R33</f>
        <v>1563.7823807048076</v>
      </c>
      <c r="S136" s="48">
        <f>'3 Statment Model'!S33</f>
        <v>1726.9519022572065</v>
      </c>
      <c r="T136" s="48">
        <f>'3 Statment Model'!T33</f>
        <v>1894.5895904834597</v>
      </c>
      <c r="U136" s="48">
        <f>'3 Statment Model'!U33</f>
        <v>2064.7237357088748</v>
      </c>
    </row>
    <row r="137" spans="2:21">
      <c r="B137" s="40" t="s">
        <v>44</v>
      </c>
      <c r="C137" s="40"/>
      <c r="D137" s="40"/>
      <c r="E137" s="40"/>
      <c r="F137" s="40"/>
      <c r="G137" s="40"/>
      <c r="H137" s="40"/>
      <c r="I137" s="40"/>
      <c r="J137" s="40"/>
      <c r="K137" s="41"/>
      <c r="L137" s="41">
        <f t="shared" ref="L137:U137" si="38">L131+L132+L133+L134+L135+L136</f>
        <v>2654.7000000000016</v>
      </c>
      <c r="M137" s="41">
        <f t="shared" si="38"/>
        <v>3559.0453231118563</v>
      </c>
      <c r="N137" s="41">
        <f t="shared" si="38"/>
        <v>2497.5782506576211</v>
      </c>
      <c r="O137" s="41">
        <f t="shared" si="38"/>
        <v>1178.3039121475347</v>
      </c>
      <c r="P137" s="41">
        <f t="shared" si="38"/>
        <v>-409.78694826356491</v>
      </c>
      <c r="Q137" s="41">
        <f t="shared" si="38"/>
        <v>-2090.4283221242176</v>
      </c>
      <c r="R137" s="41">
        <f t="shared" si="38"/>
        <v>-4087.7370112134545</v>
      </c>
      <c r="S137" s="41">
        <f t="shared" si="38"/>
        <v>-6644.2494119879202</v>
      </c>
      <c r="T137" s="41">
        <f t="shared" si="38"/>
        <v>-9590.348781442015</v>
      </c>
      <c r="U137" s="41">
        <f t="shared" si="38"/>
        <v>-12937.380776920883</v>
      </c>
    </row>
    <row r="138" spans="2:21">
      <c r="B138" s="3" t="s">
        <v>45</v>
      </c>
      <c r="K138" s="51"/>
      <c r="L138" s="51">
        <f>'3 Statment Model'!L38*-1</f>
        <v>-563</v>
      </c>
      <c r="M138" s="51">
        <f t="shared" ref="M138:U138" si="39">(M137*M142)*-1</f>
        <v>-889.76133077796408</v>
      </c>
      <c r="N138" s="51">
        <f t="shared" si="39"/>
        <v>-624.39456266440527</v>
      </c>
      <c r="O138" s="51">
        <f t="shared" si="39"/>
        <v>-294.57597803688367</v>
      </c>
      <c r="P138" s="51">
        <f t="shared" si="39"/>
        <v>102.44673706589123</v>
      </c>
      <c r="Q138" s="51">
        <f t="shared" si="39"/>
        <v>522.60708053105441</v>
      </c>
      <c r="R138" s="51">
        <f t="shared" si="39"/>
        <v>1021.9342528033636</v>
      </c>
      <c r="S138" s="51">
        <f t="shared" si="39"/>
        <v>1661.0623529969801</v>
      </c>
      <c r="T138" s="51">
        <f t="shared" si="39"/>
        <v>2397.5871953605038</v>
      </c>
      <c r="U138" s="51">
        <f t="shared" si="39"/>
        <v>3234.3451942302208</v>
      </c>
    </row>
    <row r="139" spans="2:21">
      <c r="B139" s="39" t="s">
        <v>46</v>
      </c>
      <c r="C139" s="39"/>
      <c r="D139" s="39"/>
      <c r="E139" s="39"/>
      <c r="F139" s="39"/>
      <c r="G139" s="39"/>
      <c r="H139" s="39"/>
      <c r="I139" s="39" t="s">
        <v>29</v>
      </c>
      <c r="J139" s="39"/>
      <c r="K139" s="50"/>
      <c r="L139" s="50">
        <f t="shared" ref="L139:U139" si="40">L137+L138</f>
        <v>2091.7000000000016</v>
      </c>
      <c r="M139" s="50">
        <f t="shared" si="40"/>
        <v>2669.2839923338925</v>
      </c>
      <c r="N139" s="50">
        <f t="shared" si="40"/>
        <v>1873.1836879932157</v>
      </c>
      <c r="O139" s="50">
        <f t="shared" si="40"/>
        <v>883.72793411065095</v>
      </c>
      <c r="P139" s="50">
        <f t="shared" si="40"/>
        <v>-307.34021119767368</v>
      </c>
      <c r="Q139" s="50">
        <f t="shared" si="40"/>
        <v>-1567.8212415931632</v>
      </c>
      <c r="R139" s="50">
        <f t="shared" si="40"/>
        <v>-3065.802758410091</v>
      </c>
      <c r="S139" s="50">
        <f t="shared" si="40"/>
        <v>-4983.1870589909404</v>
      </c>
      <c r="T139" s="50">
        <f t="shared" si="40"/>
        <v>-7192.7615860815113</v>
      </c>
      <c r="U139" s="50">
        <f t="shared" si="40"/>
        <v>-9703.0355826906634</v>
      </c>
    </row>
    <row r="140" spans="2:21">
      <c r="L140" s="48"/>
      <c r="M140" s="48"/>
      <c r="N140" s="48"/>
      <c r="O140" s="48"/>
      <c r="P140" s="48"/>
      <c r="Q140" s="48"/>
      <c r="R140" s="48"/>
      <c r="S140" s="48"/>
      <c r="T140" s="48"/>
      <c r="U140" s="48"/>
    </row>
    <row r="142" spans="2:21">
      <c r="B142" s="30" t="s">
        <v>25</v>
      </c>
      <c r="C142" s="30"/>
      <c r="D142" s="30"/>
      <c r="E142" s="30"/>
      <c r="F142" s="30"/>
      <c r="G142" s="30"/>
      <c r="H142" s="30"/>
      <c r="I142" s="30"/>
      <c r="J142" s="30"/>
      <c r="K142" s="32"/>
      <c r="L142" s="31"/>
      <c r="M142" s="31">
        <f>'Control Sheet'!K167</f>
        <v>0.25</v>
      </c>
      <c r="N142" s="31">
        <f>'Control Sheet'!L167</f>
        <v>0.25</v>
      </c>
      <c r="O142" s="31">
        <f>'Control Sheet'!M167</f>
        <v>0.25</v>
      </c>
      <c r="P142" s="31">
        <f>'Control Sheet'!N167</f>
        <v>0.25</v>
      </c>
      <c r="Q142" s="31">
        <f>'Control Sheet'!O167</f>
        <v>0.25</v>
      </c>
      <c r="R142" s="31">
        <f>'Control Sheet'!P167</f>
        <v>0.25</v>
      </c>
      <c r="S142" s="31">
        <f>'Control Sheet'!Q167</f>
        <v>0.25</v>
      </c>
      <c r="T142" s="31">
        <f>'Control Sheet'!R167</f>
        <v>0.25</v>
      </c>
      <c r="U142" s="31">
        <f>'Control Sheet'!S167</f>
        <v>0.25</v>
      </c>
    </row>
    <row r="145" spans="2:21">
      <c r="B145" s="10" t="s">
        <v>720</v>
      </c>
      <c r="C145" s="10"/>
      <c r="D145" s="10"/>
      <c r="E145" s="10"/>
      <c r="F145" s="10"/>
      <c r="G145" s="10"/>
      <c r="H145" s="11"/>
      <c r="I145" s="11"/>
      <c r="J145" s="11"/>
      <c r="K145" s="11"/>
      <c r="L145" s="11"/>
      <c r="M145" s="11"/>
      <c r="N145" s="11"/>
      <c r="O145" s="11"/>
      <c r="P145" s="11"/>
      <c r="Q145" s="11"/>
      <c r="R145" s="11"/>
      <c r="S145" s="11"/>
      <c r="T145" s="11"/>
      <c r="U145" s="11"/>
    </row>
    <row r="147" spans="2:21">
      <c r="B147" s="326" t="s">
        <v>721</v>
      </c>
      <c r="K147" s="38"/>
      <c r="L147" s="38"/>
      <c r="M147" s="38">
        <f>'3 Statment Model'!L75</f>
        <v>20666.84</v>
      </c>
      <c r="N147" s="38">
        <f>'3 Statment Model'!M75</f>
        <v>22401.874595017031</v>
      </c>
      <c r="O147" s="38">
        <f>'3 Statment Model'!N75</f>
        <v>23432.1256234133</v>
      </c>
      <c r="P147" s="38">
        <f>'3 Statment Model'!O75</f>
        <v>23785.616797057559</v>
      </c>
      <c r="Q147" s="38">
        <f>'3 Statment Model'!P75</f>
        <v>23724.148754818027</v>
      </c>
      <c r="R147" s="38">
        <f>'3 Statment Model'!Q75</f>
        <v>23410.584506499396</v>
      </c>
      <c r="S147" s="38">
        <f>'3 Statment Model'!R75</f>
        <v>22797.423954817379</v>
      </c>
      <c r="T147" s="38">
        <f>'3 Statment Model'!S75</f>
        <v>22797.423954817379</v>
      </c>
      <c r="U147" s="38">
        <f>'3 Statment Model'!T75</f>
        <v>22797.423954817379</v>
      </c>
    </row>
    <row r="148" spans="2:21">
      <c r="B148" s="45" t="s">
        <v>47</v>
      </c>
      <c r="C148" s="45"/>
      <c r="D148" s="45"/>
      <c r="E148" s="45"/>
      <c r="F148" s="45"/>
      <c r="G148" s="45"/>
      <c r="L148" s="38"/>
      <c r="M148" s="38">
        <f>'3 Statment Model'!M39</f>
        <v>2669.2839923338925</v>
      </c>
      <c r="N148" s="38">
        <f>'3 Statment Model'!N39</f>
        <v>1873.1836879932157</v>
      </c>
      <c r="O148" s="38">
        <f>'3 Statment Model'!O39</f>
        <v>883.72793411065095</v>
      </c>
      <c r="P148" s="38">
        <f>'3 Statment Model'!P39</f>
        <v>-307.34021119767368</v>
      </c>
      <c r="Q148" s="38">
        <f>'3 Statment Model'!Q39</f>
        <v>-1567.8212415931632</v>
      </c>
      <c r="R148" s="38">
        <f>'3 Statment Model'!R39</f>
        <v>-3065.802758410091</v>
      </c>
      <c r="S148" s="38">
        <f>'3 Statment Model'!S39</f>
        <v>-4983.1870589909404</v>
      </c>
      <c r="T148" s="38">
        <f>'3 Statment Model'!T39</f>
        <v>-7192.7615860815113</v>
      </c>
      <c r="U148" s="38">
        <f>'3 Statment Model'!U39</f>
        <v>-9703.0355826906634</v>
      </c>
    </row>
    <row r="149" spans="2:21">
      <c r="B149" s="45" t="s">
        <v>48</v>
      </c>
      <c r="C149" s="45"/>
      <c r="D149" s="45"/>
      <c r="E149" s="45"/>
      <c r="F149" s="45"/>
      <c r="G149" s="45"/>
      <c r="L149" s="48"/>
      <c r="M149" s="48">
        <f>M148*-M153</f>
        <v>-934.24939731686231</v>
      </c>
      <c r="N149" s="48">
        <f t="shared" ref="N149:U149" si="41">N148*-N153</f>
        <v>-842.93265959694713</v>
      </c>
      <c r="O149" s="48">
        <f t="shared" si="41"/>
        <v>-530.23676046639059</v>
      </c>
      <c r="P149" s="48">
        <f t="shared" si="41"/>
        <v>245.87216895813896</v>
      </c>
      <c r="Q149" s="48">
        <f t="shared" si="41"/>
        <v>1254.2569932745307</v>
      </c>
      <c r="R149" s="48">
        <f t="shared" si="41"/>
        <v>2452.6422067280728</v>
      </c>
      <c r="S149" s="48">
        <f t="shared" si="41"/>
        <v>4983.1870589909404</v>
      </c>
      <c r="T149" s="48">
        <f t="shared" si="41"/>
        <v>7192.7615860815113</v>
      </c>
      <c r="U149" s="48">
        <f t="shared" si="41"/>
        <v>9703.0355826906634</v>
      </c>
    </row>
    <row r="150" spans="2:21">
      <c r="B150" s="40" t="s">
        <v>49</v>
      </c>
      <c r="C150" s="40"/>
      <c r="D150" s="40"/>
      <c r="E150" s="40"/>
      <c r="F150" s="40"/>
      <c r="G150" s="40"/>
      <c r="H150" s="40"/>
      <c r="I150" s="40"/>
      <c r="J150" s="43"/>
      <c r="K150" s="52"/>
      <c r="L150" s="50"/>
      <c r="M150" s="50">
        <f t="shared" ref="M150:U150" si="42">SUM(M147:M149)</f>
        <v>22401.874595017031</v>
      </c>
      <c r="N150" s="50">
        <f t="shared" si="42"/>
        <v>23432.1256234133</v>
      </c>
      <c r="O150" s="50">
        <f t="shared" si="42"/>
        <v>23785.616797057559</v>
      </c>
      <c r="P150" s="50">
        <f t="shared" si="42"/>
        <v>23724.148754818027</v>
      </c>
      <c r="Q150" s="50">
        <f t="shared" si="42"/>
        <v>23410.584506499396</v>
      </c>
      <c r="R150" s="50">
        <f t="shared" si="42"/>
        <v>22797.423954817379</v>
      </c>
      <c r="S150" s="50">
        <f t="shared" si="42"/>
        <v>22797.423954817379</v>
      </c>
      <c r="T150" s="50">
        <f t="shared" si="42"/>
        <v>22797.423954817379</v>
      </c>
      <c r="U150" s="50">
        <f t="shared" si="42"/>
        <v>22797.423954817379</v>
      </c>
    </row>
    <row r="153" spans="2:21">
      <c r="B153" s="3" t="s">
        <v>50</v>
      </c>
      <c r="L153" s="53"/>
      <c r="M153" s="53">
        <v>0.35</v>
      </c>
      <c r="N153" s="53">
        <f>'Control Sheet'!L207</f>
        <v>0.45</v>
      </c>
      <c r="O153" s="53">
        <f>'Control Sheet'!M207</f>
        <v>0.6</v>
      </c>
      <c r="P153" s="53">
        <f>'Control Sheet'!N207</f>
        <v>0.8</v>
      </c>
      <c r="Q153" s="53">
        <f>'Control Sheet'!O207</f>
        <v>0.8</v>
      </c>
      <c r="R153" s="53">
        <f>'Control Sheet'!P207</f>
        <v>0.8</v>
      </c>
      <c r="S153" s="53">
        <f>'Control Sheet'!Q207</f>
        <v>1</v>
      </c>
      <c r="T153" s="53">
        <f>'Control Sheet'!R207</f>
        <v>1</v>
      </c>
      <c r="U153" s="53">
        <f>'Control Sheet'!S207</f>
        <v>1</v>
      </c>
    </row>
    <row r="155" spans="2:21">
      <c r="B155" s="10" t="s">
        <v>51</v>
      </c>
      <c r="C155" s="10"/>
      <c r="D155" s="10"/>
      <c r="E155" s="10"/>
      <c r="F155" s="10"/>
      <c r="G155" s="10"/>
      <c r="H155" s="11"/>
      <c r="I155" s="11"/>
      <c r="J155" s="11"/>
      <c r="K155" s="11"/>
      <c r="L155" s="11"/>
      <c r="M155" s="11"/>
      <c r="N155" s="11"/>
      <c r="O155" s="11"/>
      <c r="P155" s="11"/>
      <c r="Q155" s="11"/>
      <c r="R155" s="11"/>
      <c r="S155" s="11"/>
      <c r="T155" s="11"/>
      <c r="U155" s="11"/>
    </row>
    <row r="156" spans="2:21">
      <c r="P156" s="54">
        <v>365</v>
      </c>
      <c r="Q156" s="54">
        <v>365</v>
      </c>
      <c r="R156" s="54">
        <v>365</v>
      </c>
      <c r="S156" s="54">
        <v>365</v>
      </c>
      <c r="T156" s="54">
        <v>365</v>
      </c>
      <c r="U156" s="54">
        <v>365</v>
      </c>
    </row>
    <row r="157" spans="2:21">
      <c r="B157" s="14" t="s">
        <v>649</v>
      </c>
      <c r="P157" s="54"/>
      <c r="Q157" s="54"/>
      <c r="R157" s="54"/>
      <c r="S157" s="54"/>
      <c r="T157" s="54"/>
      <c r="U157" s="54"/>
    </row>
    <row r="158" spans="2:21">
      <c r="B158" s="331" t="s">
        <v>649</v>
      </c>
      <c r="E158" s="208"/>
      <c r="F158" s="208"/>
      <c r="G158" s="208"/>
      <c r="H158" s="208"/>
      <c r="I158" s="208"/>
      <c r="J158" s="208"/>
      <c r="K158" s="208"/>
      <c r="L158" s="28">
        <f>'Balance Sheet '!M32</f>
        <v>5264</v>
      </c>
      <c r="M158" s="28">
        <f t="shared" ref="M158:U158" si="43">L158*(1+M159)</f>
        <v>5432.4480000000003</v>
      </c>
      <c r="N158" s="28">
        <f t="shared" si="43"/>
        <v>5606.2863360000001</v>
      </c>
      <c r="O158" s="28">
        <f t="shared" si="43"/>
        <v>5785.6874987520005</v>
      </c>
      <c r="P158" s="28">
        <f t="shared" si="43"/>
        <v>5970.8294987120644</v>
      </c>
      <c r="Q158" s="28">
        <f t="shared" si="43"/>
        <v>6161.8960426708509</v>
      </c>
      <c r="R158" s="28">
        <f t="shared" si="43"/>
        <v>6359.0767160363184</v>
      </c>
      <c r="S158" s="28">
        <f t="shared" si="43"/>
        <v>6562.5671709494809</v>
      </c>
      <c r="T158" s="28">
        <f t="shared" si="43"/>
        <v>6772.5693204198642</v>
      </c>
      <c r="U158" s="28">
        <f t="shared" si="43"/>
        <v>6989.2915386733002</v>
      </c>
    </row>
    <row r="159" spans="2:21">
      <c r="B159" s="331" t="s">
        <v>727</v>
      </c>
      <c r="F159" s="207"/>
      <c r="G159" s="207"/>
      <c r="H159" s="207"/>
      <c r="I159" s="207"/>
      <c r="J159" s="207"/>
      <c r="K159" s="207"/>
      <c r="L159" s="288"/>
      <c r="M159" s="288">
        <f>'Control Sheet'!K106</f>
        <v>3.2000000000000001E-2</v>
      </c>
      <c r="N159" s="288">
        <f>'Control Sheet'!L106</f>
        <v>3.2000000000000001E-2</v>
      </c>
      <c r="O159" s="288">
        <f>'Control Sheet'!M106</f>
        <v>3.2000000000000001E-2</v>
      </c>
      <c r="P159" s="288">
        <f>'Control Sheet'!N106</f>
        <v>3.2000000000000001E-2</v>
      </c>
      <c r="Q159" s="288">
        <f>'Control Sheet'!O106</f>
        <v>3.2000000000000001E-2</v>
      </c>
      <c r="R159" s="288">
        <f>'Control Sheet'!P106</f>
        <v>3.2000000000000001E-2</v>
      </c>
      <c r="S159" s="288">
        <f>'Control Sheet'!Q106</f>
        <v>3.2000000000000001E-2</v>
      </c>
      <c r="T159" s="288">
        <f>'Control Sheet'!R106</f>
        <v>3.2000000000000001E-2</v>
      </c>
      <c r="U159" s="288">
        <f>'Control Sheet'!S106</f>
        <v>3.2000000000000001E-2</v>
      </c>
    </row>
    <row r="160" spans="2:21">
      <c r="P160" s="54"/>
      <c r="Q160" s="54"/>
      <c r="R160" s="54"/>
      <c r="S160" s="54"/>
      <c r="T160" s="54"/>
      <c r="U160" s="54"/>
    </row>
    <row r="161" spans="2:21">
      <c r="B161" s="14" t="s">
        <v>728</v>
      </c>
      <c r="P161" s="54"/>
      <c r="Q161" s="54"/>
      <c r="R161" s="54"/>
      <c r="S161" s="54"/>
      <c r="T161" s="54"/>
      <c r="U161" s="54"/>
    </row>
    <row r="162" spans="2:21">
      <c r="B162" s="331" t="s">
        <v>729</v>
      </c>
      <c r="E162" s="208"/>
      <c r="F162" s="208"/>
      <c r="G162" s="208"/>
      <c r="H162" s="208"/>
      <c r="I162" s="208"/>
      <c r="J162" s="208"/>
      <c r="K162" s="208"/>
      <c r="L162" s="28">
        <f>'Balance Sheet '!M45</f>
        <v>171.37</v>
      </c>
      <c r="M162" s="28">
        <f t="shared" ref="M162:U162" si="44">L162*(1+M163)</f>
        <v>178.22480000000002</v>
      </c>
      <c r="N162" s="28">
        <f t="shared" si="44"/>
        <v>185.35379200000003</v>
      </c>
      <c r="O162" s="28">
        <f t="shared" si="44"/>
        <v>192.76794368000003</v>
      </c>
      <c r="P162" s="28">
        <f t="shared" si="44"/>
        <v>200.47866142720005</v>
      </c>
      <c r="Q162" s="28">
        <f t="shared" si="44"/>
        <v>208.49780788428805</v>
      </c>
      <c r="R162" s="28">
        <f t="shared" si="44"/>
        <v>216.83772019965957</v>
      </c>
      <c r="S162" s="28">
        <f t="shared" si="44"/>
        <v>225.51122900764597</v>
      </c>
      <c r="T162" s="28">
        <f t="shared" si="44"/>
        <v>234.53167816795181</v>
      </c>
      <c r="U162" s="28">
        <f t="shared" si="44"/>
        <v>243.9129452946699</v>
      </c>
    </row>
    <row r="163" spans="2:21">
      <c r="B163" s="331" t="s">
        <v>727</v>
      </c>
      <c r="F163" s="207"/>
      <c r="G163" s="207"/>
      <c r="H163" s="207"/>
      <c r="I163" s="207"/>
      <c r="J163" s="207"/>
      <c r="K163" s="207"/>
      <c r="L163" s="288"/>
      <c r="M163" s="288">
        <v>0.04</v>
      </c>
      <c r="N163" s="288">
        <v>0.04</v>
      </c>
      <c r="O163" s="288">
        <v>0.04</v>
      </c>
      <c r="P163" s="288">
        <v>0.04</v>
      </c>
      <c r="Q163" s="288">
        <v>0.04</v>
      </c>
      <c r="R163" s="288">
        <v>0.04</v>
      </c>
      <c r="S163" s="288">
        <v>0.04</v>
      </c>
      <c r="T163" s="288">
        <v>0.04</v>
      </c>
      <c r="U163" s="288">
        <v>0.04</v>
      </c>
    </row>
    <row r="164" spans="2:21">
      <c r="P164" s="54"/>
      <c r="Q164" s="54"/>
      <c r="R164" s="54"/>
      <c r="S164" s="54"/>
      <c r="T164" s="54"/>
      <c r="U164" s="54"/>
    </row>
    <row r="165" spans="2:21">
      <c r="B165" s="14" t="s">
        <v>318</v>
      </c>
      <c r="C165" s="14"/>
      <c r="D165" s="14"/>
      <c r="E165" s="14"/>
      <c r="F165" s="14"/>
      <c r="G165" s="14"/>
    </row>
    <row r="166" spans="2:21">
      <c r="B166" s="3" t="s">
        <v>1</v>
      </c>
      <c r="E166" s="258">
        <f t="shared" ref="E166:P166" si="45">E14</f>
        <v>8487</v>
      </c>
      <c r="F166" s="258">
        <f t="shared" si="45"/>
        <v>9834</v>
      </c>
      <c r="G166" s="258">
        <f t="shared" si="45"/>
        <v>12554.9</v>
      </c>
      <c r="H166" s="258">
        <f t="shared" si="45"/>
        <v>12867.9</v>
      </c>
      <c r="I166" s="258">
        <f t="shared" si="45"/>
        <v>13559.7</v>
      </c>
      <c r="J166" s="258">
        <f t="shared" si="45"/>
        <v>15009.099999999999</v>
      </c>
      <c r="K166" s="258">
        <f t="shared" si="45"/>
        <v>17852.7</v>
      </c>
      <c r="L166" s="258">
        <f t="shared" si="45"/>
        <v>20520.400000000001</v>
      </c>
      <c r="M166" s="258">
        <f t="shared" si="45"/>
        <v>22141.511600000002</v>
      </c>
      <c r="N166" s="258">
        <f t="shared" si="45"/>
        <v>25256.822282120003</v>
      </c>
      <c r="O166" s="258">
        <f t="shared" si="45"/>
        <v>28626.803998048588</v>
      </c>
      <c r="P166" s="258">
        <f t="shared" si="45"/>
        <v>32238.279799573833</v>
      </c>
      <c r="Q166" s="258">
        <f>Q14</f>
        <v>36070.950720888883</v>
      </c>
      <c r="R166" s="258">
        <f>R14</f>
        <v>40096.984120636094</v>
      </c>
      <c r="S166" s="258">
        <f>S14</f>
        <v>44280.818006595036</v>
      </c>
      <c r="T166" s="258">
        <f>T14</f>
        <v>48579.220268806661</v>
      </c>
      <c r="U166" s="258">
        <f>U14</f>
        <v>52941.634248945506</v>
      </c>
    </row>
    <row r="167" spans="2:21">
      <c r="B167" s="257" t="s">
        <v>318</v>
      </c>
      <c r="C167" s="30"/>
      <c r="D167" s="30"/>
      <c r="E167" s="208">
        <f>'Balance Sheet '!F36</f>
        <v>335</v>
      </c>
      <c r="F167" s="208">
        <f>'Balance Sheet '!G36</f>
        <v>459</v>
      </c>
      <c r="G167" s="208">
        <f>'Balance Sheet '!H36</f>
        <v>1024</v>
      </c>
      <c r="H167" s="208">
        <f>'Balance Sheet '!I36</f>
        <v>1080</v>
      </c>
      <c r="I167" s="208">
        <f>'Balance Sheet '!J36</f>
        <v>679</v>
      </c>
      <c r="J167" s="208">
        <f>'Balance Sheet '!K36</f>
        <v>788</v>
      </c>
      <c r="K167" s="208">
        <f>'Balance Sheet '!L36</f>
        <v>1212</v>
      </c>
      <c r="L167" s="208">
        <f>'Balance Sheet '!M36</f>
        <v>1286.53</v>
      </c>
      <c r="M167" s="38">
        <f t="shared" ref="M167:U167" si="46">M166/$P$156*M168</f>
        <v>1347.9569349999999</v>
      </c>
      <c r="N167" s="38">
        <f t="shared" si="46"/>
        <v>1537.6144757545001</v>
      </c>
      <c r="O167" s="38">
        <f t="shared" si="46"/>
        <v>1742.776178662315</v>
      </c>
      <c r="P167" s="38">
        <f t="shared" si="46"/>
        <v>1962.6398420018422</v>
      </c>
      <c r="Q167" s="38">
        <f t="shared" si="46"/>
        <v>2195.9696815038328</v>
      </c>
      <c r="R167" s="38">
        <f t="shared" si="46"/>
        <v>2441.0712689551101</v>
      </c>
      <c r="S167" s="38">
        <f t="shared" si="46"/>
        <v>2695.7796196472264</v>
      </c>
      <c r="T167" s="38">
        <f t="shared" si="46"/>
        <v>2957.462798440125</v>
      </c>
      <c r="U167" s="38">
        <f t="shared" si="46"/>
        <v>3223.0429577400487</v>
      </c>
    </row>
    <row r="168" spans="2:21">
      <c r="B168" s="56" t="s">
        <v>557</v>
      </c>
      <c r="C168" s="56"/>
      <c r="D168" s="56"/>
      <c r="E168" s="56"/>
      <c r="F168" s="57">
        <f t="shared" ref="F168:L168" si="47">(AVERAGE(E167:F167))/F166*$P$156</f>
        <v>14.735102704901363</v>
      </c>
      <c r="G168" s="57">
        <f t="shared" si="47"/>
        <v>21.55712112402329</v>
      </c>
      <c r="H168" s="57">
        <f t="shared" si="47"/>
        <v>29.840144856581105</v>
      </c>
      <c r="I168" s="57">
        <f t="shared" si="47"/>
        <v>23.674380701637944</v>
      </c>
      <c r="J168" s="57">
        <f t="shared" si="47"/>
        <v>17.837678475058468</v>
      </c>
      <c r="K168" s="57">
        <f t="shared" si="47"/>
        <v>20.445086737580311</v>
      </c>
      <c r="L168" s="57">
        <f t="shared" si="47"/>
        <v>22.220898471764681</v>
      </c>
      <c r="M168" s="57">
        <f t="shared" ref="M168:U168" si="48">L168</f>
        <v>22.220898471764681</v>
      </c>
      <c r="N168" s="57">
        <f t="shared" si="48"/>
        <v>22.220898471764681</v>
      </c>
      <c r="O168" s="57">
        <f t="shared" si="48"/>
        <v>22.220898471764681</v>
      </c>
      <c r="P168" s="57">
        <f t="shared" si="48"/>
        <v>22.220898471764681</v>
      </c>
      <c r="Q168" s="57">
        <f t="shared" si="48"/>
        <v>22.220898471764681</v>
      </c>
      <c r="R168" s="57">
        <f t="shared" si="48"/>
        <v>22.220898471764681</v>
      </c>
      <c r="S168" s="57">
        <f t="shared" si="48"/>
        <v>22.220898471764681</v>
      </c>
      <c r="T168" s="57">
        <f t="shared" si="48"/>
        <v>22.220898471764681</v>
      </c>
      <c r="U168" s="57">
        <f t="shared" si="48"/>
        <v>22.220898471764681</v>
      </c>
    </row>
    <row r="171" spans="2:21">
      <c r="B171" s="14" t="s">
        <v>10</v>
      </c>
      <c r="C171" s="14"/>
      <c r="D171" s="14"/>
      <c r="E171" s="14"/>
      <c r="F171" s="14"/>
      <c r="G171" s="14"/>
      <c r="N171" s="14"/>
    </row>
    <row r="172" spans="2:21">
      <c r="B172" s="3" t="s">
        <v>53</v>
      </c>
      <c r="E172" s="208">
        <f>'Income Statement'!F17</f>
        <v>690</v>
      </c>
      <c r="F172" s="208">
        <f>'Income Statement'!G17</f>
        <v>702.7</v>
      </c>
      <c r="G172" s="208">
        <f>'Income Statement'!H17</f>
        <v>977.1</v>
      </c>
      <c r="H172" s="208">
        <f>'Income Statement'!I17</f>
        <v>965</v>
      </c>
      <c r="I172" s="208">
        <f>'Income Statement'!J17</f>
        <v>1054</v>
      </c>
      <c r="J172" s="208">
        <f>'Income Statement'!K17</f>
        <v>1010.5</v>
      </c>
      <c r="K172" s="208">
        <f>'Income Statement'!L17</f>
        <v>1369.6</v>
      </c>
      <c r="L172" s="208">
        <f>'Income Statement'!M17</f>
        <v>1535</v>
      </c>
      <c r="M172" s="38">
        <f t="shared" ref="M172:U172" si="49">M19</f>
        <v>1826.6747070000006</v>
      </c>
      <c r="N172" s="38">
        <f t="shared" si="49"/>
        <v>3382.8356344114491</v>
      </c>
      <c r="O172" s="38">
        <f t="shared" si="49"/>
        <v>5306.6937911382593</v>
      </c>
      <c r="P172" s="38">
        <f t="shared" si="49"/>
        <v>7634.4276350365817</v>
      </c>
      <c r="Q172" s="38">
        <f t="shared" si="49"/>
        <v>10397.451545296224</v>
      </c>
      <c r="R172" s="38">
        <f t="shared" si="49"/>
        <v>13620.444293478578</v>
      </c>
      <c r="S172" s="38">
        <f t="shared" si="49"/>
        <v>17319.33494282949</v>
      </c>
      <c r="T172" s="38">
        <f t="shared" si="49"/>
        <v>21499.341170213756</v>
      </c>
      <c r="U172" s="38">
        <f t="shared" si="49"/>
        <v>26153.167318979078</v>
      </c>
    </row>
    <row r="173" spans="2:21">
      <c r="B173" s="523" t="s">
        <v>40</v>
      </c>
      <c r="E173" s="208">
        <f>E14</f>
        <v>8487</v>
      </c>
      <c r="F173" s="208">
        <f t="shared" ref="F173:U173" si="50">F14</f>
        <v>9834</v>
      </c>
      <c r="G173" s="208">
        <f t="shared" si="50"/>
        <v>12554.9</v>
      </c>
      <c r="H173" s="208">
        <f t="shared" si="50"/>
        <v>12867.9</v>
      </c>
      <c r="I173" s="208">
        <f t="shared" si="50"/>
        <v>13559.7</v>
      </c>
      <c r="J173" s="208">
        <f t="shared" si="50"/>
        <v>15009.099999999999</v>
      </c>
      <c r="K173" s="208">
        <f t="shared" si="50"/>
        <v>17852.7</v>
      </c>
      <c r="L173" s="208">
        <f t="shared" si="50"/>
        <v>20520.400000000001</v>
      </c>
      <c r="M173" s="208">
        <f t="shared" si="50"/>
        <v>22141.511600000002</v>
      </c>
      <c r="N173" s="208">
        <f t="shared" si="50"/>
        <v>25256.822282120003</v>
      </c>
      <c r="O173" s="208">
        <f t="shared" si="50"/>
        <v>28626.803998048588</v>
      </c>
      <c r="P173" s="208">
        <f t="shared" si="50"/>
        <v>32238.279799573833</v>
      </c>
      <c r="Q173" s="208">
        <f t="shared" si="50"/>
        <v>36070.950720888883</v>
      </c>
      <c r="R173" s="208">
        <f t="shared" si="50"/>
        <v>40096.984120636094</v>
      </c>
      <c r="S173" s="208">
        <f t="shared" si="50"/>
        <v>44280.818006595036</v>
      </c>
      <c r="T173" s="208">
        <f t="shared" si="50"/>
        <v>48579.220268806661</v>
      </c>
      <c r="U173" s="208">
        <f t="shared" si="50"/>
        <v>52941.634248945506</v>
      </c>
    </row>
    <row r="174" spans="2:21">
      <c r="B174" s="3" t="s">
        <v>10</v>
      </c>
      <c r="E174" s="208">
        <f>'Balance Sheet '!F28</f>
        <v>1314</v>
      </c>
      <c r="F174" s="208">
        <f>'Balance Sheet '!G28</f>
        <v>1569</v>
      </c>
      <c r="G174" s="208">
        <f>'Balance Sheet '!H28</f>
        <v>1870</v>
      </c>
      <c r="H174" s="208">
        <f>'Balance Sheet '!I28</f>
        <v>1713</v>
      </c>
      <c r="I174" s="208">
        <f>'Balance Sheet '!J28</f>
        <v>1716</v>
      </c>
      <c r="J174" s="208">
        <f>'Balance Sheet '!K28</f>
        <v>2497</v>
      </c>
      <c r="K174" s="208">
        <f>'Balance Sheet '!L28</f>
        <v>2760</v>
      </c>
      <c r="L174" s="208">
        <f>'Balance Sheet '!M28</f>
        <v>3555.07</v>
      </c>
      <c r="M174" s="38">
        <f t="shared" ref="M174:U174" ca="1" si="51">M172/$P$156*M176</f>
        <v>3555.0700000000006</v>
      </c>
      <c r="N174" s="38">
        <f t="shared" ca="1" si="51"/>
        <v>3555.0700000000015</v>
      </c>
      <c r="O174" s="38">
        <f t="shared" ca="1" si="51"/>
        <v>3555.0700000000015</v>
      </c>
      <c r="P174" s="38">
        <f t="shared" ca="1" si="51"/>
        <v>3555.0700000000029</v>
      </c>
      <c r="Q174" s="38">
        <f t="shared" ca="1" si="51"/>
        <v>3555.0700000000033</v>
      </c>
      <c r="R174" s="38">
        <f t="shared" ca="1" si="51"/>
        <v>3555.0700000000047</v>
      </c>
      <c r="S174" s="38">
        <f t="shared" ca="1" si="51"/>
        <v>3555.0700000000052</v>
      </c>
      <c r="T174" s="38">
        <f t="shared" ca="1" si="51"/>
        <v>3555.0700000000065</v>
      </c>
      <c r="U174" s="38">
        <f t="shared" ca="1" si="51"/>
        <v>3555.070000000007</v>
      </c>
    </row>
    <row r="175" spans="2:21">
      <c r="B175" s="56" t="s">
        <v>1271</v>
      </c>
      <c r="C175" s="56"/>
      <c r="D175" s="56"/>
      <c r="E175" s="56"/>
      <c r="F175" s="254">
        <f t="shared" ref="F175:U175" si="52">AVERAGE(E174:F174)/F173*$P$156</f>
        <v>53.502898108602807</v>
      </c>
      <c r="G175" s="254">
        <f t="shared" si="52"/>
        <v>49.989844602505791</v>
      </c>
      <c r="H175" s="254">
        <f t="shared" si="52"/>
        <v>50.816178241981987</v>
      </c>
      <c r="I175" s="254">
        <f t="shared" si="52"/>
        <v>46.150910418372085</v>
      </c>
      <c r="J175" s="254">
        <f t="shared" si="52"/>
        <v>51.227088899401039</v>
      </c>
      <c r="K175" s="254">
        <f t="shared" si="52"/>
        <v>53.739910489729844</v>
      </c>
      <c r="L175" s="254">
        <f t="shared" si="52"/>
        <v>56.163635942769133</v>
      </c>
      <c r="M175" s="254">
        <f t="shared" ca="1" si="52"/>
        <v>55.713358242323302</v>
      </c>
      <c r="N175" s="254">
        <f t="shared" ca="1" si="52"/>
        <v>49.332233800259708</v>
      </c>
      <c r="O175" s="254">
        <f t="shared" ca="1" si="52"/>
        <v>43.901605232944483</v>
      </c>
      <c r="P175" s="254">
        <f t="shared" ca="1" si="52"/>
        <v>39.266227121277666</v>
      </c>
      <c r="Q175" s="254">
        <f t="shared" ca="1" si="52"/>
        <v>35.298657965909456</v>
      </c>
      <c r="R175" s="254">
        <f t="shared" ca="1" si="52"/>
        <v>31.893976025217501</v>
      </c>
      <c r="S175" s="254">
        <f t="shared" ca="1" si="52"/>
        <v>28.965558101187455</v>
      </c>
      <c r="T175" s="254">
        <f t="shared" ca="1" si="52"/>
        <v>26.441698024727245</v>
      </c>
      <c r="U175" s="254">
        <f t="shared" ca="1" si="52"/>
        <v>24.262890461302309</v>
      </c>
    </row>
    <row r="176" spans="2:21">
      <c r="B176" s="56" t="s">
        <v>54</v>
      </c>
      <c r="C176" s="56"/>
      <c r="D176" s="56"/>
      <c r="E176" s="56"/>
      <c r="F176" s="254">
        <f t="shared" ref="F176:U176" si="53">(AVERAGE(E174:F174))/F172*$P$156</f>
        <v>748.75124519709698</v>
      </c>
      <c r="G176" s="254">
        <f t="shared" si="53"/>
        <v>642.32678333845047</v>
      </c>
      <c r="H176" s="254">
        <f t="shared" si="53"/>
        <v>677.61398963730562</v>
      </c>
      <c r="I176" s="254">
        <f t="shared" si="53"/>
        <v>593.73102466793171</v>
      </c>
      <c r="J176" s="254">
        <f t="shared" si="53"/>
        <v>760.88322612568038</v>
      </c>
      <c r="K176" s="254">
        <f t="shared" si="53"/>
        <v>700.49832067757018</v>
      </c>
      <c r="L176" s="254">
        <f t="shared" si="53"/>
        <v>750.81451140065133</v>
      </c>
      <c r="M176" s="254">
        <f t="shared" ca="1" si="53"/>
        <v>675.31343324028228</v>
      </c>
      <c r="N176" s="254">
        <f t="shared" ca="1" si="53"/>
        <v>591.24774592071526</v>
      </c>
      <c r="O176" s="254">
        <f t="shared" ca="1" si="53"/>
        <v>520.31532127934156</v>
      </c>
      <c r="P176" s="254">
        <f t="shared" ca="1" si="53"/>
        <v>460.26346808823575</v>
      </c>
      <c r="Q176" s="254">
        <f t="shared" ca="1" si="53"/>
        <v>409.25980250329724</v>
      </c>
      <c r="R176" s="254">
        <f t="shared" ca="1" si="53"/>
        <v>365.80904401683074</v>
      </c>
      <c r="S176" s="254">
        <f t="shared" ca="1" si="53"/>
        <v>328.68718412694898</v>
      </c>
      <c r="T176" s="254">
        <f t="shared" ca="1" si="53"/>
        <v>296.88924097939275</v>
      </c>
      <c r="U176" s="254">
        <f t="shared" ca="1" si="53"/>
        <v>269.58767179224793</v>
      </c>
    </row>
    <row r="178" spans="2:21">
      <c r="B178" s="14" t="s">
        <v>56</v>
      </c>
      <c r="C178" s="14"/>
      <c r="D178" s="14"/>
      <c r="E178" s="14"/>
      <c r="F178" s="14"/>
      <c r="G178" s="14"/>
    </row>
    <row r="179" spans="2:21">
      <c r="B179" s="3" t="s">
        <v>1</v>
      </c>
      <c r="E179" s="258">
        <f t="shared" ref="E179:U179" si="54">E166</f>
        <v>8487</v>
      </c>
      <c r="F179" s="258">
        <f t="shared" si="54"/>
        <v>9834</v>
      </c>
      <c r="G179" s="258">
        <f t="shared" si="54"/>
        <v>12554.9</v>
      </c>
      <c r="H179" s="258">
        <f t="shared" si="54"/>
        <v>12867.9</v>
      </c>
      <c r="I179" s="258">
        <f t="shared" si="54"/>
        <v>13559.7</v>
      </c>
      <c r="J179" s="258">
        <f t="shared" si="54"/>
        <v>15009.099999999999</v>
      </c>
      <c r="K179" s="258">
        <f t="shared" si="54"/>
        <v>17852.7</v>
      </c>
      <c r="L179" s="258">
        <f t="shared" si="54"/>
        <v>20520.400000000001</v>
      </c>
      <c r="M179" s="258">
        <f t="shared" si="54"/>
        <v>22141.511600000002</v>
      </c>
      <c r="N179" s="258">
        <f t="shared" si="54"/>
        <v>25256.822282120003</v>
      </c>
      <c r="O179" s="258">
        <f t="shared" si="54"/>
        <v>28626.803998048588</v>
      </c>
      <c r="P179" s="258">
        <f t="shared" si="54"/>
        <v>32238.279799573833</v>
      </c>
      <c r="Q179" s="258">
        <f t="shared" si="54"/>
        <v>36070.950720888883</v>
      </c>
      <c r="R179" s="258">
        <f t="shared" si="54"/>
        <v>40096.984120636094</v>
      </c>
      <c r="S179" s="258">
        <f t="shared" si="54"/>
        <v>44280.818006595036</v>
      </c>
      <c r="T179" s="258">
        <f t="shared" si="54"/>
        <v>48579.220268806661</v>
      </c>
      <c r="U179" s="258">
        <f t="shared" si="54"/>
        <v>52941.634248945506</v>
      </c>
    </row>
    <row r="180" spans="2:21">
      <c r="B180" s="3" t="s">
        <v>56</v>
      </c>
      <c r="E180" s="208">
        <f>'Balance Sheet '!F50</f>
        <v>780.9</v>
      </c>
      <c r="F180" s="208">
        <f>'Balance Sheet '!G50</f>
        <v>1120.5</v>
      </c>
      <c r="G180" s="208">
        <f>'Balance Sheet '!H50</f>
        <v>1181.9000000000001</v>
      </c>
      <c r="H180" s="208">
        <f>'Balance Sheet '!I50</f>
        <v>1248.5999999999999</v>
      </c>
      <c r="I180" s="208">
        <f>'Balance Sheet '!J50</f>
        <v>1164</v>
      </c>
      <c r="J180" s="208">
        <f>'Balance Sheet '!K50</f>
        <v>1218</v>
      </c>
      <c r="K180" s="208">
        <f>'Balance Sheet '!L50</f>
        <v>1264</v>
      </c>
      <c r="L180" s="208">
        <f>'Balance Sheet '!M50</f>
        <v>1513.39</v>
      </c>
      <c r="M180" s="38">
        <f t="shared" ref="M180:U180" si="55">M179*M181</f>
        <v>1439.1982540000001</v>
      </c>
      <c r="N180" s="38">
        <f t="shared" si="55"/>
        <v>1641.6934483378002</v>
      </c>
      <c r="O180" s="38">
        <f t="shared" si="55"/>
        <v>1860.7422598731582</v>
      </c>
      <c r="P180" s="38">
        <f t="shared" si="55"/>
        <v>2095.488186972299</v>
      </c>
      <c r="Q180" s="38">
        <f t="shared" si="55"/>
        <v>2344.6117968577773</v>
      </c>
      <c r="R180" s="38">
        <f t="shared" si="55"/>
        <v>2606.3039678413461</v>
      </c>
      <c r="S180" s="38">
        <f t="shared" si="55"/>
        <v>2878.2531704286775</v>
      </c>
      <c r="T180" s="38">
        <f t="shared" si="55"/>
        <v>3157.6493174724333</v>
      </c>
      <c r="U180" s="38">
        <f t="shared" si="55"/>
        <v>3441.2062261814581</v>
      </c>
    </row>
    <row r="181" spans="2:21">
      <c r="B181" s="56" t="s">
        <v>57</v>
      </c>
      <c r="C181" s="56"/>
      <c r="D181" s="56"/>
      <c r="E181" s="36">
        <f t="shared" ref="E181:K181" si="56">E180/E179</f>
        <v>9.2011311417461994E-2</v>
      </c>
      <c r="F181" s="36">
        <f t="shared" si="56"/>
        <v>0.11394142769981697</v>
      </c>
      <c r="G181" s="36">
        <f t="shared" si="56"/>
        <v>9.4138543516873896E-2</v>
      </c>
      <c r="H181" s="36">
        <f t="shared" si="56"/>
        <v>9.7032149768027418E-2</v>
      </c>
      <c r="I181" s="36">
        <f t="shared" si="56"/>
        <v>8.5842607137326041E-2</v>
      </c>
      <c r="J181" s="36">
        <f t="shared" si="56"/>
        <v>8.115076853375619E-2</v>
      </c>
      <c r="K181" s="36">
        <f t="shared" si="56"/>
        <v>7.0801615441921942E-2</v>
      </c>
      <c r="L181" s="58">
        <v>6.5000000000000002E-2</v>
      </c>
      <c r="M181" s="58">
        <f t="shared" ref="M181:U181" si="57">L181</f>
        <v>6.5000000000000002E-2</v>
      </c>
      <c r="N181" s="58">
        <f t="shared" si="57"/>
        <v>6.5000000000000002E-2</v>
      </c>
      <c r="O181" s="58">
        <f t="shared" si="57"/>
        <v>6.5000000000000002E-2</v>
      </c>
      <c r="P181" s="58">
        <f t="shared" si="57"/>
        <v>6.5000000000000002E-2</v>
      </c>
      <c r="Q181" s="58">
        <f t="shared" si="57"/>
        <v>6.5000000000000002E-2</v>
      </c>
      <c r="R181" s="58">
        <f t="shared" si="57"/>
        <v>6.5000000000000002E-2</v>
      </c>
      <c r="S181" s="58">
        <f t="shared" si="57"/>
        <v>6.5000000000000002E-2</v>
      </c>
      <c r="T181" s="58">
        <f t="shared" si="57"/>
        <v>6.5000000000000002E-2</v>
      </c>
      <c r="U181" s="58">
        <f t="shared" si="57"/>
        <v>6.5000000000000002E-2</v>
      </c>
    </row>
    <row r="183" spans="2:21">
      <c r="B183" s="14" t="s">
        <v>58</v>
      </c>
      <c r="C183" s="14"/>
      <c r="D183" s="14"/>
      <c r="E183" s="14"/>
      <c r="F183" s="14"/>
      <c r="G183" s="14"/>
    </row>
    <row r="184" spans="2:21">
      <c r="B184" s="3" t="s">
        <v>53</v>
      </c>
      <c r="E184" s="208">
        <f>'Income Statement'!F17</f>
        <v>690</v>
      </c>
      <c r="F184" s="208">
        <f>'Income Statement'!G17</f>
        <v>702.7</v>
      </c>
      <c r="G184" s="208">
        <f>'Income Statement'!H17</f>
        <v>977.1</v>
      </c>
      <c r="H184" s="208">
        <f>'Income Statement'!I17</f>
        <v>965</v>
      </c>
      <c r="I184" s="208">
        <f>'Income Statement'!J17</f>
        <v>1054</v>
      </c>
      <c r="J184" s="208">
        <f>'Income Statement'!K17</f>
        <v>1010.5</v>
      </c>
      <c r="K184" s="208">
        <f>'Income Statement'!L17</f>
        <v>1369.6</v>
      </c>
      <c r="L184" s="208">
        <f>'Income Statement'!M17</f>
        <v>1535</v>
      </c>
      <c r="M184" s="38">
        <f t="shared" ref="M184:U184" si="58">M19</f>
        <v>1826.6747070000006</v>
      </c>
      <c r="N184" s="38">
        <f t="shared" si="58"/>
        <v>3382.8356344114491</v>
      </c>
      <c r="O184" s="38">
        <f t="shared" si="58"/>
        <v>5306.6937911382593</v>
      </c>
      <c r="P184" s="38">
        <f t="shared" si="58"/>
        <v>7634.4276350365817</v>
      </c>
      <c r="Q184" s="38">
        <f t="shared" si="58"/>
        <v>10397.451545296224</v>
      </c>
      <c r="R184" s="38">
        <f t="shared" si="58"/>
        <v>13620.444293478578</v>
      </c>
      <c r="S184" s="38">
        <f t="shared" si="58"/>
        <v>17319.33494282949</v>
      </c>
      <c r="T184" s="38">
        <f t="shared" si="58"/>
        <v>21499.341170213756</v>
      </c>
      <c r="U184" s="38">
        <f t="shared" si="58"/>
        <v>26153.167318979078</v>
      </c>
    </row>
    <row r="185" spans="2:21">
      <c r="B185" s="3" t="s">
        <v>58</v>
      </c>
      <c r="E185" s="208">
        <f>'Balance Sheet '!F103</f>
        <v>352</v>
      </c>
      <c r="F185" s="208">
        <f>'Balance Sheet '!G103</f>
        <v>727</v>
      </c>
      <c r="G185" s="208">
        <f>'Balance Sheet '!H103</f>
        <v>538</v>
      </c>
      <c r="H185" s="208">
        <f>'Balance Sheet '!I103</f>
        <v>658</v>
      </c>
      <c r="I185" s="208">
        <f>'Balance Sheet '!J103</f>
        <v>883</v>
      </c>
      <c r="J185" s="208">
        <f>'Balance Sheet '!K103</f>
        <v>890</v>
      </c>
      <c r="K185" s="208">
        <f>'Balance Sheet '!L103</f>
        <v>1196</v>
      </c>
      <c r="L185" s="208">
        <f>'Balance Sheet '!M103</f>
        <v>1214.23</v>
      </c>
      <c r="M185" s="38">
        <f t="shared" ref="M185:U185" si="59">M184/$P$156*M186</f>
        <v>1391.0789423196559</v>
      </c>
      <c r="N185" s="38">
        <f t="shared" si="59"/>
        <v>2576.1518448387419</v>
      </c>
      <c r="O185" s="38">
        <f t="shared" si="59"/>
        <v>4041.2395036194544</v>
      </c>
      <c r="P185" s="38">
        <f t="shared" si="59"/>
        <v>5813.8931245204103</v>
      </c>
      <c r="Q185" s="38">
        <f t="shared" si="59"/>
        <v>7918.0358949649253</v>
      </c>
      <c r="R185" s="38">
        <f t="shared" si="59"/>
        <v>10372.461593237556</v>
      </c>
      <c r="S185" s="38">
        <f t="shared" si="59"/>
        <v>13189.300777870296</v>
      </c>
      <c r="T185" s="38">
        <f t="shared" si="59"/>
        <v>16372.526898753613</v>
      </c>
      <c r="U185" s="38">
        <f t="shared" si="59"/>
        <v>19916.584049134912</v>
      </c>
    </row>
    <row r="186" spans="2:21">
      <c r="B186" s="14" t="s">
        <v>59</v>
      </c>
      <c r="C186" s="14"/>
      <c r="D186" s="14"/>
      <c r="E186" s="483">
        <f>'Company Information'!E676</f>
        <v>203.11210443037976</v>
      </c>
      <c r="F186" s="483">
        <f t="shared" ref="F186:K186" si="60">(AVERAGE(E185:F185))/F184*$P$156</f>
        <v>280.22982780703001</v>
      </c>
      <c r="G186" s="483">
        <f t="shared" si="60"/>
        <v>236.27315525534746</v>
      </c>
      <c r="H186" s="483">
        <f t="shared" si="60"/>
        <v>226.18652849740934</v>
      </c>
      <c r="I186" s="483">
        <f t="shared" si="60"/>
        <v>266.82400379506646</v>
      </c>
      <c r="J186" s="483">
        <f t="shared" si="60"/>
        <v>320.21029193468581</v>
      </c>
      <c r="K186" s="483">
        <f t="shared" si="60"/>
        <v>277.96071845794393</v>
      </c>
      <c r="L186" s="484">
        <f t="shared" ref="L186:U186" si="61">K186</f>
        <v>277.96071845794393</v>
      </c>
      <c r="M186" s="484">
        <f t="shared" si="61"/>
        <v>277.96071845794393</v>
      </c>
      <c r="N186" s="484">
        <f t="shared" si="61"/>
        <v>277.96071845794393</v>
      </c>
      <c r="O186" s="484">
        <f t="shared" si="61"/>
        <v>277.96071845794393</v>
      </c>
      <c r="P186" s="484">
        <f t="shared" si="61"/>
        <v>277.96071845794393</v>
      </c>
      <c r="Q186" s="484">
        <f t="shared" si="61"/>
        <v>277.96071845794393</v>
      </c>
      <c r="R186" s="484">
        <f t="shared" si="61"/>
        <v>277.96071845794393</v>
      </c>
      <c r="S186" s="484">
        <f t="shared" si="61"/>
        <v>277.96071845794393</v>
      </c>
      <c r="T186" s="484">
        <f t="shared" si="61"/>
        <v>277.96071845794393</v>
      </c>
      <c r="U186" s="484">
        <f t="shared" si="61"/>
        <v>277.96071845794393</v>
      </c>
    </row>
    <row r="187" spans="2:21">
      <c r="B187" s="14"/>
      <c r="C187" s="14"/>
      <c r="D187" s="14"/>
      <c r="E187" s="483"/>
      <c r="F187" s="483"/>
      <c r="G187" s="483"/>
      <c r="H187" s="483"/>
      <c r="I187" s="483"/>
      <c r="J187" s="483"/>
      <c r="K187" s="483"/>
      <c r="L187" s="485"/>
      <c r="M187" s="485"/>
      <c r="N187" s="485"/>
      <c r="O187" s="485"/>
      <c r="P187" s="485"/>
      <c r="Q187" s="485"/>
      <c r="R187" s="485"/>
      <c r="S187" s="485"/>
      <c r="T187" s="485"/>
      <c r="U187" s="485"/>
    </row>
    <row r="188" spans="2:21">
      <c r="B188" s="14" t="s">
        <v>732</v>
      </c>
      <c r="C188" s="14"/>
      <c r="D188" s="14"/>
      <c r="E188" s="483"/>
      <c r="F188" s="483"/>
      <c r="G188" s="483"/>
      <c r="H188" s="483"/>
      <c r="I188" s="483"/>
      <c r="J188" s="483"/>
      <c r="K188" s="483"/>
      <c r="L188" s="485"/>
      <c r="M188" s="485"/>
      <c r="N188" s="485"/>
      <c r="O188" s="485"/>
      <c r="P188" s="485"/>
      <c r="Q188" s="485"/>
      <c r="R188" s="485"/>
      <c r="S188" s="485"/>
      <c r="T188" s="485"/>
      <c r="U188" s="485"/>
    </row>
    <row r="189" spans="2:21">
      <c r="B189" s="331" t="s">
        <v>732</v>
      </c>
      <c r="C189" s="14"/>
      <c r="D189" s="14"/>
      <c r="E189" s="483">
        <f>'Balance Sheet '!F121</f>
        <v>0</v>
      </c>
      <c r="F189" s="483">
        <f>'Balance Sheet '!G121</f>
        <v>0</v>
      </c>
      <c r="G189" s="483">
        <f>'Balance Sheet '!H121</f>
        <v>62</v>
      </c>
      <c r="H189" s="483">
        <f>'Balance Sheet '!I121</f>
        <v>70</v>
      </c>
      <c r="I189" s="483">
        <f>'Balance Sheet '!J121</f>
        <v>51</v>
      </c>
      <c r="J189" s="483">
        <f>'Balance Sheet '!K121</f>
        <v>50</v>
      </c>
      <c r="K189" s="483">
        <f>'Balance Sheet '!L121</f>
        <v>41</v>
      </c>
      <c r="L189" s="483">
        <f>'Balance Sheet '!M121</f>
        <v>41.12</v>
      </c>
      <c r="M189">
        <f t="shared" ref="M189:U189" si="62">L189*(1+M190)</f>
        <v>41.12</v>
      </c>
      <c r="N189">
        <f t="shared" si="62"/>
        <v>41.12</v>
      </c>
      <c r="O189">
        <f t="shared" si="62"/>
        <v>41.12</v>
      </c>
      <c r="P189">
        <f t="shared" si="62"/>
        <v>41.12</v>
      </c>
      <c r="Q189">
        <f t="shared" si="62"/>
        <v>41.12</v>
      </c>
      <c r="R189">
        <f t="shared" si="62"/>
        <v>41.12</v>
      </c>
      <c r="S189">
        <f t="shared" si="62"/>
        <v>41.12</v>
      </c>
      <c r="T189">
        <f t="shared" si="62"/>
        <v>41.12</v>
      </c>
      <c r="U189">
        <f t="shared" si="62"/>
        <v>41.12</v>
      </c>
    </row>
    <row r="190" spans="2:21">
      <c r="B190" s="14" t="s">
        <v>733</v>
      </c>
      <c r="C190" s="14"/>
      <c r="D190" s="14"/>
      <c r="E190" s="483"/>
      <c r="F190" s="483"/>
      <c r="G190" s="483"/>
      <c r="H190" s="483"/>
      <c r="I190" s="483"/>
      <c r="J190" s="483"/>
      <c r="K190" s="483"/>
      <c r="L190" s="486"/>
      <c r="M190" s="486">
        <f>'Control Sheet'!K124</f>
        <v>0</v>
      </c>
      <c r="N190" s="486">
        <f>'Control Sheet'!L124</f>
        <v>0</v>
      </c>
      <c r="O190" s="486">
        <f>'Control Sheet'!M124</f>
        <v>0</v>
      </c>
      <c r="P190" s="486">
        <f>'Control Sheet'!N124</f>
        <v>0</v>
      </c>
      <c r="Q190" s="486">
        <f>'Control Sheet'!O124</f>
        <v>0</v>
      </c>
      <c r="R190" s="486">
        <f>'Control Sheet'!P124</f>
        <v>0</v>
      </c>
      <c r="S190" s="486">
        <f>'Control Sheet'!Q124</f>
        <v>0</v>
      </c>
      <c r="T190" s="486">
        <f>'Control Sheet'!R124</f>
        <v>0</v>
      </c>
      <c r="U190" s="486">
        <f>'Control Sheet'!S124</f>
        <v>0</v>
      </c>
    </row>
    <row r="191" spans="2:21">
      <c r="B191" s="14"/>
      <c r="C191" s="14"/>
      <c r="D191" s="14"/>
      <c r="E191" s="483"/>
      <c r="F191" s="483"/>
      <c r="G191" s="483"/>
      <c r="H191" s="483"/>
      <c r="I191" s="483"/>
      <c r="J191" s="483"/>
      <c r="K191" s="483"/>
      <c r="L191"/>
      <c r="M191"/>
      <c r="N191"/>
      <c r="O191"/>
      <c r="P191"/>
      <c r="Q191"/>
      <c r="R191"/>
      <c r="S191"/>
      <c r="T191"/>
      <c r="U191"/>
    </row>
    <row r="192" spans="2:21">
      <c r="B192" s="14" t="s">
        <v>730</v>
      </c>
      <c r="C192" s="14"/>
      <c r="D192" s="14"/>
      <c r="E192" s="483"/>
      <c r="F192" s="483"/>
      <c r="G192" s="483"/>
      <c r="H192" s="483"/>
      <c r="I192" s="483"/>
      <c r="J192" s="483"/>
      <c r="K192" s="483"/>
      <c r="L192" s="485"/>
      <c r="M192" s="485"/>
      <c r="N192" s="485"/>
      <c r="O192" s="485"/>
      <c r="P192" s="485"/>
      <c r="Q192" s="485"/>
      <c r="R192" s="485"/>
      <c r="S192" s="485"/>
      <c r="T192" s="485"/>
      <c r="U192" s="485"/>
    </row>
    <row r="193" spans="2:21">
      <c r="B193" s="331" t="s">
        <v>730</v>
      </c>
      <c r="C193" s="14"/>
      <c r="D193" s="14"/>
      <c r="E193">
        <f>'Balance Sheet '!F113</f>
        <v>2.2000000000000002</v>
      </c>
      <c r="F193">
        <f>'Balance Sheet '!G113</f>
        <v>23</v>
      </c>
      <c r="G193">
        <f>'Balance Sheet '!H113</f>
        <v>28</v>
      </c>
      <c r="H193">
        <f>'Balance Sheet '!I113</f>
        <v>71.5</v>
      </c>
      <c r="I193">
        <f>'Balance Sheet '!J113</f>
        <v>76.3</v>
      </c>
      <c r="J193">
        <f>'Balance Sheet '!K113</f>
        <v>322.40000000000003</v>
      </c>
      <c r="K193">
        <f>'Balance Sheet '!L113</f>
        <v>324.2</v>
      </c>
      <c r="L193">
        <f>'Balance Sheet '!M113</f>
        <v>409.19</v>
      </c>
      <c r="M193">
        <f t="shared" ref="M193:U193" si="63">L193*(1+M194)</f>
        <v>417.37380000000002</v>
      </c>
      <c r="N193">
        <f t="shared" si="63"/>
        <v>425.72127600000005</v>
      </c>
      <c r="O193">
        <f t="shared" si="63"/>
        <v>434.23570152000008</v>
      </c>
      <c r="P193">
        <f t="shared" si="63"/>
        <v>442.92041555040009</v>
      </c>
      <c r="Q193">
        <f t="shared" si="63"/>
        <v>451.77882386140811</v>
      </c>
      <c r="R193">
        <f t="shared" si="63"/>
        <v>460.81440033863629</v>
      </c>
      <c r="S193">
        <f t="shared" si="63"/>
        <v>470.03068834540903</v>
      </c>
      <c r="T193">
        <f t="shared" si="63"/>
        <v>479.43130211231721</v>
      </c>
      <c r="U193">
        <f t="shared" si="63"/>
        <v>489.01992815456356</v>
      </c>
    </row>
    <row r="194" spans="2:21">
      <c r="B194" s="14" t="s">
        <v>731</v>
      </c>
      <c r="C194" s="14"/>
      <c r="D194" s="14"/>
      <c r="E194"/>
      <c r="F194"/>
      <c r="G194"/>
      <c r="H194"/>
      <c r="I194"/>
      <c r="J194"/>
      <c r="K194"/>
      <c r="L194" s="333"/>
      <c r="M194" s="333">
        <f>'Control Sheet'!K116</f>
        <v>0.02</v>
      </c>
      <c r="N194" s="333">
        <f>'Control Sheet'!L116</f>
        <v>0.02</v>
      </c>
      <c r="O194" s="333">
        <f>'Control Sheet'!M116</f>
        <v>0.02</v>
      </c>
      <c r="P194" s="333">
        <f>'Control Sheet'!N116</f>
        <v>0.02</v>
      </c>
      <c r="Q194" s="333">
        <f>'Control Sheet'!O116</f>
        <v>0.02</v>
      </c>
      <c r="R194" s="333">
        <f>'Control Sheet'!P116</f>
        <v>0.02</v>
      </c>
      <c r="S194" s="333">
        <f>'Control Sheet'!Q116</f>
        <v>0.02</v>
      </c>
      <c r="T194" s="333">
        <f>'Control Sheet'!R116</f>
        <v>0.02</v>
      </c>
      <c r="U194" s="333">
        <f>'Control Sheet'!S116</f>
        <v>0.02</v>
      </c>
    </row>
    <row r="196" spans="2:21">
      <c r="B196" s="14" t="s">
        <v>682</v>
      </c>
      <c r="C196" s="14"/>
      <c r="D196" s="14"/>
      <c r="E196" s="14"/>
      <c r="F196" s="14"/>
      <c r="G196" s="14"/>
    </row>
    <row r="197" spans="2:21">
      <c r="B197" s="321" t="s">
        <v>697</v>
      </c>
      <c r="E197" s="208">
        <f>'Balance Sheet '!F106</f>
        <v>774.4</v>
      </c>
      <c r="F197" s="208">
        <f>'Balance Sheet '!G106</f>
        <v>1186</v>
      </c>
      <c r="G197" s="208">
        <f>'Balance Sheet '!H106</f>
        <v>473.3</v>
      </c>
      <c r="H197" s="208">
        <f>'Balance Sheet '!I106</f>
        <v>709.8</v>
      </c>
      <c r="I197" s="208">
        <f>'Balance Sheet '!J106</f>
        <v>509.2</v>
      </c>
      <c r="J197" s="208">
        <f>'Balance Sheet '!K106</f>
        <v>319.5</v>
      </c>
      <c r="K197" s="208">
        <f>'Balance Sheet '!L106</f>
        <v>972.4</v>
      </c>
      <c r="L197" s="208">
        <f>'Balance Sheet '!M106</f>
        <v>475.91999999999996</v>
      </c>
      <c r="M197" s="38">
        <f t="shared" ref="M197:U197" si="64">M198*M199</f>
        <v>1107.0755800000002</v>
      </c>
      <c r="N197" s="38">
        <f t="shared" si="64"/>
        <v>1262.8411141060003</v>
      </c>
      <c r="O197" s="38">
        <f t="shared" si="64"/>
        <v>1431.3401999024295</v>
      </c>
      <c r="P197" s="38">
        <f t="shared" si="64"/>
        <v>1611.9139899786917</v>
      </c>
      <c r="Q197" s="38">
        <f t="shared" si="64"/>
        <v>-3607.0950720888886</v>
      </c>
      <c r="R197" s="38">
        <f t="shared" si="64"/>
        <v>-4009.6984120636098</v>
      </c>
      <c r="S197" s="38">
        <f t="shared" si="64"/>
        <v>-4428.0818006595036</v>
      </c>
      <c r="T197" s="38">
        <f t="shared" si="64"/>
        <v>-4857.9220268806666</v>
      </c>
      <c r="U197" s="38">
        <f t="shared" si="64"/>
        <v>-5294.1634248945511</v>
      </c>
    </row>
    <row r="198" spans="2:21">
      <c r="B198" s="321" t="s">
        <v>40</v>
      </c>
      <c r="E198" s="322">
        <f t="shared" ref="E198:U198" si="65">E14</f>
        <v>8487</v>
      </c>
      <c r="F198" s="322">
        <f t="shared" si="65"/>
        <v>9834</v>
      </c>
      <c r="G198" s="322">
        <f t="shared" si="65"/>
        <v>12554.9</v>
      </c>
      <c r="H198" s="322">
        <f t="shared" si="65"/>
        <v>12867.9</v>
      </c>
      <c r="I198" s="322">
        <f t="shared" si="65"/>
        <v>13559.7</v>
      </c>
      <c r="J198" s="322">
        <f t="shared" si="65"/>
        <v>15009.099999999999</v>
      </c>
      <c r="K198" s="322">
        <f t="shared" si="65"/>
        <v>17852.7</v>
      </c>
      <c r="L198" s="322">
        <f t="shared" si="65"/>
        <v>20520.400000000001</v>
      </c>
      <c r="M198" s="322">
        <f t="shared" si="65"/>
        <v>22141.511600000002</v>
      </c>
      <c r="N198" s="322">
        <f t="shared" si="65"/>
        <v>25256.822282120003</v>
      </c>
      <c r="O198" s="322">
        <f t="shared" si="65"/>
        <v>28626.803998048588</v>
      </c>
      <c r="P198" s="322">
        <f t="shared" si="65"/>
        <v>32238.279799573833</v>
      </c>
      <c r="Q198" s="322">
        <f t="shared" si="65"/>
        <v>36070.950720888883</v>
      </c>
      <c r="R198" s="322">
        <f t="shared" si="65"/>
        <v>40096.984120636094</v>
      </c>
      <c r="S198" s="322">
        <f t="shared" si="65"/>
        <v>44280.818006595036</v>
      </c>
      <c r="T198" s="322">
        <f t="shared" si="65"/>
        <v>48579.220268806661</v>
      </c>
      <c r="U198" s="322">
        <f t="shared" si="65"/>
        <v>52941.634248945506</v>
      </c>
    </row>
    <row r="199" spans="2:21">
      <c r="B199" s="56" t="s">
        <v>698</v>
      </c>
      <c r="C199" s="56"/>
      <c r="D199" s="56"/>
      <c r="E199" s="36">
        <f>E197/E198</f>
        <v>9.1245434193472363E-2</v>
      </c>
      <c r="F199" s="36">
        <f t="shared" ref="F199:L199" si="66">F197/F198</f>
        <v>0.12060199308521456</v>
      </c>
      <c r="G199" s="36">
        <f t="shared" si="66"/>
        <v>3.7698428502019134E-2</v>
      </c>
      <c r="H199" s="36">
        <f t="shared" si="66"/>
        <v>5.516051570186277E-2</v>
      </c>
      <c r="I199" s="36">
        <f t="shared" si="66"/>
        <v>3.7552453225366343E-2</v>
      </c>
      <c r="J199" s="36">
        <f t="shared" si="66"/>
        <v>2.1287085834593683E-2</v>
      </c>
      <c r="K199" s="36">
        <f t="shared" si="66"/>
        <v>5.4467951626364634E-2</v>
      </c>
      <c r="L199" s="36">
        <f t="shared" si="66"/>
        <v>2.3192530360031965E-2</v>
      </c>
      <c r="M199" s="323">
        <f>'Control Sheet'!K183</f>
        <v>0.05</v>
      </c>
      <c r="N199" s="323">
        <f>'Control Sheet'!L183</f>
        <v>0.05</v>
      </c>
      <c r="O199" s="323">
        <f>'Control Sheet'!M183</f>
        <v>0.05</v>
      </c>
      <c r="P199" s="323">
        <f>'Control Sheet'!N183</f>
        <v>0.05</v>
      </c>
      <c r="Q199" s="323">
        <f>'Control Sheet'!O183</f>
        <v>-0.1</v>
      </c>
      <c r="R199" s="323">
        <f>'Control Sheet'!P183</f>
        <v>-0.1</v>
      </c>
      <c r="S199" s="323">
        <f>'Control Sheet'!Q183</f>
        <v>-0.1</v>
      </c>
      <c r="T199" s="323">
        <f>'Control Sheet'!R183</f>
        <v>-0.1</v>
      </c>
      <c r="U199" s="323">
        <f>'Control Sheet'!S183</f>
        <v>-0.1</v>
      </c>
    </row>
    <row r="201" spans="2:21">
      <c r="B201" s="14" t="s">
        <v>61</v>
      </c>
      <c r="C201" s="14"/>
      <c r="D201" s="14"/>
      <c r="F201" s="14"/>
      <c r="G201" s="14"/>
    </row>
    <row r="202" spans="2:21">
      <c r="B202" s="3" t="s">
        <v>1</v>
      </c>
      <c r="E202" s="208">
        <f>'3 Statment Model'!E13</f>
        <v>8487</v>
      </c>
      <c r="F202" s="208">
        <f>'3 Statment Model'!F13</f>
        <v>9834</v>
      </c>
      <c r="G202" s="208">
        <f>'3 Statment Model'!G13</f>
        <v>12554.9</v>
      </c>
      <c r="H202" s="208">
        <f>'3 Statment Model'!H13</f>
        <v>12867.9</v>
      </c>
      <c r="I202" s="208">
        <f>'3 Statment Model'!I13</f>
        <v>13559.7</v>
      </c>
      <c r="J202" s="208">
        <f>'3 Statment Model'!J13</f>
        <v>15009.099999999999</v>
      </c>
      <c r="K202" s="208">
        <f>'3 Statment Model'!K13</f>
        <v>17852.7</v>
      </c>
      <c r="L202" s="208">
        <f>'3 Statment Model'!L13</f>
        <v>20520.400000000001</v>
      </c>
      <c r="M202" s="208">
        <f>'3 Statment Model'!M13</f>
        <v>22141.511600000002</v>
      </c>
      <c r="N202" s="208">
        <f>'3 Statment Model'!N13</f>
        <v>25256.822282120003</v>
      </c>
      <c r="O202" s="208">
        <f>'3 Statment Model'!O13</f>
        <v>28626.803998048588</v>
      </c>
      <c r="P202" s="208">
        <f>'3 Statment Model'!P13</f>
        <v>32238.279799573833</v>
      </c>
      <c r="Q202" s="208">
        <f>'3 Statment Model'!Q13</f>
        <v>36070.950720888883</v>
      </c>
      <c r="R202" s="208">
        <f>'3 Statment Model'!R13</f>
        <v>40096.984120636094</v>
      </c>
      <c r="S202" s="208">
        <f>'3 Statment Model'!S13</f>
        <v>44280.818006595036</v>
      </c>
      <c r="T202" s="208">
        <f>'3 Statment Model'!T13</f>
        <v>48579.220268806661</v>
      </c>
      <c r="U202" s="208">
        <f>'3 Statment Model'!U13</f>
        <v>52941.634248945506</v>
      </c>
    </row>
    <row r="203" spans="2:21">
      <c r="B203" s="3" t="s">
        <v>61</v>
      </c>
      <c r="E203" s="3">
        <f>'Balance Sheet '!F123</f>
        <v>857.9</v>
      </c>
      <c r="F203" s="3">
        <f>'Balance Sheet '!G123</f>
        <v>1029</v>
      </c>
      <c r="G203" s="3">
        <f>'Balance Sheet '!H123</f>
        <v>1087.4000000000001</v>
      </c>
      <c r="H203" s="3">
        <f>'Balance Sheet '!I123</f>
        <v>2576.4</v>
      </c>
      <c r="I203" s="3">
        <f>'Balance Sheet '!J123</f>
        <v>2974.2</v>
      </c>
      <c r="J203" s="3">
        <f>'Balance Sheet '!K123</f>
        <v>3153.3</v>
      </c>
      <c r="K203" s="3">
        <f>'Balance Sheet '!L123</f>
        <v>4240.3</v>
      </c>
      <c r="L203" s="3">
        <f>'Balance Sheet '!M123</f>
        <v>4028.49</v>
      </c>
      <c r="M203" s="55">
        <f t="shared" ref="M203:U203" si="67">M202*M204</f>
        <v>5258.960921176069</v>
      </c>
      <c r="N203" s="55">
        <f t="shared" si="67"/>
        <v>5998.8967227855419</v>
      </c>
      <c r="O203" s="55">
        <f t="shared" si="67"/>
        <v>6799.3209426543563</v>
      </c>
      <c r="P203" s="55">
        <f t="shared" si="67"/>
        <v>7657.1038461483658</v>
      </c>
      <c r="Q203" s="55">
        <f t="shared" si="67"/>
        <v>8567.4241062576039</v>
      </c>
      <c r="R203" s="55">
        <f t="shared" si="67"/>
        <v>9523.6710282888998</v>
      </c>
      <c r="S203" s="55">
        <f t="shared" si="67"/>
        <v>10517.398073869215</v>
      </c>
      <c r="T203" s="55">
        <f t="shared" si="67"/>
        <v>11538.336929754092</v>
      </c>
      <c r="U203" s="55">
        <f t="shared" si="67"/>
        <v>12574.479586046011</v>
      </c>
    </row>
    <row r="204" spans="2:21">
      <c r="B204" s="56" t="s">
        <v>62</v>
      </c>
      <c r="C204" s="56"/>
      <c r="D204" s="56"/>
      <c r="E204" s="36">
        <f>E203/E202</f>
        <v>0.1010840108401084</v>
      </c>
      <c r="F204" s="36">
        <f t="shared" ref="F204:K204" si="68">F203/F202</f>
        <v>0.10463697376449055</v>
      </c>
      <c r="G204" s="36">
        <f t="shared" si="68"/>
        <v>8.66116018446981E-2</v>
      </c>
      <c r="H204" s="36">
        <f t="shared" si="68"/>
        <v>0.20021914997785187</v>
      </c>
      <c r="I204" s="36">
        <f t="shared" si="68"/>
        <v>0.21934113586583773</v>
      </c>
      <c r="J204" s="36">
        <f t="shared" si="68"/>
        <v>0.21009254385672696</v>
      </c>
      <c r="K204" s="36">
        <f t="shared" si="68"/>
        <v>0.23751589395441586</v>
      </c>
      <c r="L204" s="58">
        <f t="shared" ref="L204:U204" si="69">K204</f>
        <v>0.23751589395441586</v>
      </c>
      <c r="M204" s="58">
        <f t="shared" si="69"/>
        <v>0.23751589395441586</v>
      </c>
      <c r="N204" s="58">
        <f t="shared" si="69"/>
        <v>0.23751589395441586</v>
      </c>
      <c r="O204" s="58">
        <f t="shared" si="69"/>
        <v>0.23751589395441586</v>
      </c>
      <c r="P204" s="58">
        <f t="shared" si="69"/>
        <v>0.23751589395441586</v>
      </c>
      <c r="Q204" s="58">
        <f t="shared" si="69"/>
        <v>0.23751589395441586</v>
      </c>
      <c r="R204" s="58">
        <f t="shared" si="69"/>
        <v>0.23751589395441586</v>
      </c>
      <c r="S204" s="58">
        <f t="shared" si="69"/>
        <v>0.23751589395441586</v>
      </c>
      <c r="T204" s="58">
        <f t="shared" si="69"/>
        <v>0.23751589395441586</v>
      </c>
      <c r="U204" s="58">
        <f t="shared" si="69"/>
        <v>0.23751589395441586</v>
      </c>
    </row>
    <row r="205" spans="2:21">
      <c r="B205" s="14"/>
      <c r="C205" s="14"/>
      <c r="D205" s="14"/>
      <c r="E205" s="14"/>
      <c r="F205" s="14"/>
      <c r="G205" s="14"/>
      <c r="H205" s="14"/>
      <c r="I205" s="14"/>
      <c r="J205" s="14"/>
      <c r="K205" s="59"/>
      <c r="L205" s="60"/>
      <c r="M205" s="60"/>
      <c r="N205" s="60"/>
      <c r="O205" s="60"/>
      <c r="P205" s="60"/>
      <c r="Q205" s="60"/>
      <c r="R205" s="60"/>
      <c r="S205" s="60"/>
      <c r="T205" s="60"/>
      <c r="U205" s="60"/>
    </row>
    <row r="206" spans="2:21">
      <c r="B206" s="61" t="s">
        <v>63</v>
      </c>
      <c r="C206" s="61"/>
      <c r="D206" s="61"/>
      <c r="E206" s="61"/>
      <c r="F206" s="61"/>
      <c r="G206" s="61"/>
      <c r="H206" s="14"/>
      <c r="I206" s="14"/>
      <c r="J206" s="14"/>
      <c r="K206" s="59"/>
      <c r="L206" s="60"/>
      <c r="M206" s="60"/>
      <c r="N206" s="60"/>
      <c r="O206" s="60"/>
      <c r="P206" s="60"/>
      <c r="Q206" s="60"/>
      <c r="R206" s="60"/>
      <c r="S206" s="60"/>
      <c r="T206" s="60"/>
      <c r="U206" s="60"/>
    </row>
    <row r="207" spans="2:21">
      <c r="B207" s="14"/>
      <c r="C207" s="14"/>
      <c r="D207" s="14"/>
      <c r="E207" s="14"/>
      <c r="F207" s="14"/>
      <c r="G207" s="14"/>
      <c r="H207" s="14"/>
      <c r="I207" s="14"/>
      <c r="J207" s="14"/>
      <c r="K207" s="59"/>
      <c r="L207" s="60"/>
      <c r="M207" s="60"/>
      <c r="N207" s="60"/>
      <c r="O207" s="60"/>
      <c r="P207" s="60"/>
      <c r="Q207" s="60"/>
      <c r="R207" s="60"/>
      <c r="S207" s="60"/>
      <c r="T207" s="60"/>
      <c r="U207" s="60"/>
    </row>
    <row r="208" spans="2:21">
      <c r="B208" s="62" t="s">
        <v>14</v>
      </c>
      <c r="C208" s="62"/>
      <c r="D208" s="62"/>
      <c r="E208" s="62"/>
      <c r="F208" s="62"/>
      <c r="G208" s="62"/>
      <c r="H208" s="14"/>
      <c r="I208" s="14"/>
      <c r="J208" s="14"/>
      <c r="K208" s="59"/>
      <c r="L208" s="38">
        <f>L174-K174</f>
        <v>795.07000000000016</v>
      </c>
      <c r="M208" s="38">
        <f t="shared" ref="M208:U208" ca="1" si="70">M174-L174</f>
        <v>0</v>
      </c>
      <c r="N208" s="38">
        <f t="shared" ca="1" si="70"/>
        <v>0</v>
      </c>
      <c r="O208" s="38">
        <f t="shared" ca="1" si="70"/>
        <v>0</v>
      </c>
      <c r="P208" s="38">
        <f t="shared" ca="1" si="70"/>
        <v>0</v>
      </c>
      <c r="Q208" s="38">
        <f t="shared" ca="1" si="70"/>
        <v>0</v>
      </c>
      <c r="R208" s="38">
        <f t="shared" ca="1" si="70"/>
        <v>0</v>
      </c>
      <c r="S208" s="38">
        <f t="shared" ca="1" si="70"/>
        <v>0</v>
      </c>
      <c r="T208" s="38">
        <f t="shared" ca="1" si="70"/>
        <v>0</v>
      </c>
      <c r="U208" s="38">
        <f t="shared" ca="1" si="70"/>
        <v>0</v>
      </c>
    </row>
    <row r="209" spans="2:21">
      <c r="B209" s="62" t="s">
        <v>738</v>
      </c>
      <c r="C209" s="62"/>
      <c r="D209" s="62"/>
      <c r="E209" s="62"/>
      <c r="F209" s="62"/>
      <c r="G209" s="62"/>
      <c r="H209" s="14"/>
      <c r="I209" s="14"/>
      <c r="J209" s="14"/>
      <c r="K209" s="59"/>
      <c r="L209" s="38">
        <f t="shared" ref="L209:U209" si="71">L162-K162</f>
        <v>171.37</v>
      </c>
      <c r="M209" s="38">
        <f t="shared" si="71"/>
        <v>6.8548000000000116</v>
      </c>
      <c r="N209" s="38">
        <f t="shared" si="71"/>
        <v>7.1289920000000109</v>
      </c>
      <c r="O209" s="38">
        <f t="shared" si="71"/>
        <v>7.4141516800000034</v>
      </c>
      <c r="P209" s="38">
        <f t="shared" si="71"/>
        <v>7.7107177472000217</v>
      </c>
      <c r="Q209" s="38">
        <f t="shared" si="71"/>
        <v>8.0191464570879987</v>
      </c>
      <c r="R209" s="38">
        <f t="shared" si="71"/>
        <v>8.3399123153715209</v>
      </c>
      <c r="S209" s="38">
        <f t="shared" si="71"/>
        <v>8.6735088079863942</v>
      </c>
      <c r="T209" s="38">
        <f t="shared" si="71"/>
        <v>9.0204491603058443</v>
      </c>
      <c r="U209" s="38">
        <f t="shared" si="71"/>
        <v>9.381267126718086</v>
      </c>
    </row>
    <row r="210" spans="2:21">
      <c r="B210" s="62" t="s">
        <v>739</v>
      </c>
      <c r="C210" s="62"/>
      <c r="D210" s="62"/>
      <c r="E210" s="62"/>
      <c r="F210" s="62"/>
      <c r="G210" s="62"/>
      <c r="H210" s="14"/>
      <c r="I210" s="14"/>
      <c r="J210" s="14"/>
      <c r="K210" s="59"/>
      <c r="L210" s="38">
        <f t="shared" ref="L210:U210" si="72">L158-K158</f>
        <v>5264</v>
      </c>
      <c r="M210" s="38">
        <f t="shared" si="72"/>
        <v>168.44800000000032</v>
      </c>
      <c r="N210" s="38">
        <f t="shared" si="72"/>
        <v>173.8383359999998</v>
      </c>
      <c r="O210" s="38">
        <f t="shared" si="72"/>
        <v>179.40116275200035</v>
      </c>
      <c r="P210" s="38">
        <f t="shared" si="72"/>
        <v>185.14199996006391</v>
      </c>
      <c r="Q210" s="38">
        <f t="shared" si="72"/>
        <v>191.0665439587865</v>
      </c>
      <c r="R210" s="38">
        <f t="shared" si="72"/>
        <v>197.18067336546756</v>
      </c>
      <c r="S210" s="38">
        <f t="shared" si="72"/>
        <v>203.49045491316247</v>
      </c>
      <c r="T210" s="38">
        <f t="shared" si="72"/>
        <v>210.0021494703833</v>
      </c>
      <c r="U210" s="38">
        <f t="shared" si="72"/>
        <v>216.72221825343604</v>
      </c>
    </row>
    <row r="211" spans="2:21">
      <c r="B211" s="62" t="s">
        <v>64</v>
      </c>
      <c r="C211" s="62"/>
      <c r="D211" s="62"/>
      <c r="E211" s="62"/>
      <c r="F211" s="62"/>
      <c r="G211" s="62"/>
      <c r="H211" s="14"/>
      <c r="I211" s="14"/>
      <c r="J211" s="14"/>
      <c r="K211" s="59"/>
      <c r="L211" s="38">
        <f t="shared" ref="L211:U211" si="73">L167-K167</f>
        <v>74.529999999999973</v>
      </c>
      <c r="M211" s="38">
        <f t="shared" si="73"/>
        <v>61.426934999999958</v>
      </c>
      <c r="N211" s="38">
        <f t="shared" si="73"/>
        <v>189.65754075450013</v>
      </c>
      <c r="O211" s="38">
        <f t="shared" si="73"/>
        <v>205.16170290781497</v>
      </c>
      <c r="P211" s="38">
        <f t="shared" si="73"/>
        <v>219.86366333952719</v>
      </c>
      <c r="Q211" s="38">
        <f t="shared" si="73"/>
        <v>233.32983950199059</v>
      </c>
      <c r="R211" s="38">
        <f t="shared" si="73"/>
        <v>245.10158745127728</v>
      </c>
      <c r="S211" s="38">
        <f t="shared" si="73"/>
        <v>254.70835069211626</v>
      </c>
      <c r="T211" s="38">
        <f t="shared" si="73"/>
        <v>261.68317879289862</v>
      </c>
      <c r="U211" s="38">
        <f t="shared" si="73"/>
        <v>265.58015929992371</v>
      </c>
    </row>
    <row r="212" spans="2:21">
      <c r="B212" s="62" t="s">
        <v>65</v>
      </c>
      <c r="C212" s="62"/>
      <c r="D212" s="62"/>
      <c r="E212" s="62"/>
      <c r="F212" s="62"/>
      <c r="G212" s="62"/>
      <c r="H212" s="14"/>
      <c r="I212" s="14"/>
      <c r="J212" s="14"/>
      <c r="K212" s="59"/>
      <c r="L212" s="38">
        <f t="shared" ref="L212:U212" si="74">L180-K180</f>
        <v>249.3900000000001</v>
      </c>
      <c r="M212" s="38">
        <f t="shared" si="74"/>
        <v>-74.191745999999966</v>
      </c>
      <c r="N212" s="38">
        <f t="shared" si="74"/>
        <v>202.49519433780006</v>
      </c>
      <c r="O212" s="38">
        <f t="shared" si="74"/>
        <v>219.04881153535803</v>
      </c>
      <c r="P212" s="38">
        <f t="shared" si="74"/>
        <v>234.74592709914077</v>
      </c>
      <c r="Q212" s="38">
        <f t="shared" si="74"/>
        <v>249.12360988547834</v>
      </c>
      <c r="R212" s="38">
        <f t="shared" si="74"/>
        <v>261.69217098356876</v>
      </c>
      <c r="S212" s="38">
        <f t="shared" si="74"/>
        <v>271.94920258733146</v>
      </c>
      <c r="T212" s="38">
        <f t="shared" si="74"/>
        <v>279.39614704375572</v>
      </c>
      <c r="U212" s="38">
        <f t="shared" si="74"/>
        <v>283.55690870902481</v>
      </c>
    </row>
    <row r="213" spans="2:21">
      <c r="B213" s="39" t="s">
        <v>737</v>
      </c>
      <c r="C213" s="39"/>
      <c r="D213" s="39"/>
      <c r="E213" s="39"/>
      <c r="F213" s="39"/>
      <c r="G213" s="39"/>
      <c r="H213" s="39"/>
      <c r="I213" s="39"/>
      <c r="J213" s="39"/>
      <c r="K213" s="63"/>
      <c r="L213" s="50">
        <f t="shared" ref="L213:U213" si="75">SUM(L208:L212)</f>
        <v>6554.3600000000006</v>
      </c>
      <c r="M213" s="50">
        <f t="shared" ca="1" si="75"/>
        <v>307.19108500000033</v>
      </c>
      <c r="N213" s="50">
        <f t="shared" ca="1" si="75"/>
        <v>560.19672966475025</v>
      </c>
      <c r="O213" s="50">
        <f t="shared" ca="1" si="75"/>
        <v>596.3906762724298</v>
      </c>
      <c r="P213" s="50">
        <f t="shared" ca="1" si="75"/>
        <v>632.07108808330031</v>
      </c>
      <c r="Q213" s="50">
        <f t="shared" ca="1" si="75"/>
        <v>666.6507418981239</v>
      </c>
      <c r="R213" s="50">
        <f t="shared" ca="1" si="75"/>
        <v>699.49515889213785</v>
      </c>
      <c r="S213" s="50">
        <f t="shared" ca="1" si="75"/>
        <v>729.93457622655717</v>
      </c>
      <c r="T213" s="50">
        <f t="shared" ca="1" si="75"/>
        <v>757.27866970354216</v>
      </c>
      <c r="U213" s="50">
        <f t="shared" ca="1" si="75"/>
        <v>780.83380127849591</v>
      </c>
    </row>
    <row r="214" spans="2:21">
      <c r="B214" s="14"/>
      <c r="C214" s="14"/>
      <c r="D214" s="14"/>
      <c r="E214" s="14"/>
      <c r="F214" s="14"/>
      <c r="G214" s="14"/>
      <c r="H214" s="14"/>
      <c r="I214" s="14"/>
      <c r="J214" s="14"/>
      <c r="K214" s="59"/>
      <c r="L214" s="60"/>
      <c r="M214" s="60"/>
      <c r="N214" s="60"/>
      <c r="O214" s="60"/>
      <c r="P214" s="60"/>
      <c r="Q214" s="60"/>
      <c r="R214" s="60"/>
      <c r="S214" s="60"/>
      <c r="T214" s="60"/>
      <c r="U214" s="60"/>
    </row>
    <row r="215" spans="2:21">
      <c r="B215" s="64" t="s">
        <v>66</v>
      </c>
      <c r="C215" s="64"/>
      <c r="D215" s="64"/>
      <c r="E215" s="64"/>
      <c r="F215" s="64"/>
      <c r="G215" s="64"/>
      <c r="H215" s="14"/>
      <c r="I215" s="14"/>
      <c r="J215" s="14"/>
      <c r="K215" s="59"/>
      <c r="L215" s="38">
        <f>L185-K185</f>
        <v>18.230000000000018</v>
      </c>
      <c r="M215" s="38">
        <f t="shared" ref="M215:U215" si="76">M185-L185</f>
        <v>176.84894231965586</v>
      </c>
      <c r="N215" s="38">
        <f t="shared" si="76"/>
        <v>1185.072902519086</v>
      </c>
      <c r="O215" s="38">
        <f t="shared" si="76"/>
        <v>1465.0876587807124</v>
      </c>
      <c r="P215" s="38">
        <f t="shared" si="76"/>
        <v>1772.653620900956</v>
      </c>
      <c r="Q215" s="38">
        <f t="shared" si="76"/>
        <v>2104.142770444515</v>
      </c>
      <c r="R215" s="38">
        <f t="shared" si="76"/>
        <v>2454.4256982726311</v>
      </c>
      <c r="S215" s="38">
        <f t="shared" si="76"/>
        <v>2816.8391846327395</v>
      </c>
      <c r="T215" s="38">
        <f t="shared" si="76"/>
        <v>3183.226120883317</v>
      </c>
      <c r="U215" s="38">
        <f t="shared" si="76"/>
        <v>3544.0571503812989</v>
      </c>
    </row>
    <row r="216" spans="2:21">
      <c r="B216" s="64" t="s">
        <v>734</v>
      </c>
      <c r="C216" s="64"/>
      <c r="D216" s="64"/>
      <c r="E216" s="64"/>
      <c r="F216" s="64"/>
      <c r="G216" s="64"/>
      <c r="H216" s="14"/>
      <c r="I216" s="14"/>
      <c r="J216" s="14"/>
      <c r="K216" s="59"/>
      <c r="L216" s="38">
        <f t="shared" ref="L216:U216" si="77">L193-K193</f>
        <v>84.990000000000009</v>
      </c>
      <c r="M216" s="38">
        <f t="shared" si="77"/>
        <v>8.1838000000000193</v>
      </c>
      <c r="N216" s="38">
        <f t="shared" si="77"/>
        <v>8.3474760000000288</v>
      </c>
      <c r="O216" s="38">
        <f t="shared" si="77"/>
        <v>8.5144255200000316</v>
      </c>
      <c r="P216" s="38">
        <f t="shared" si="77"/>
        <v>8.6847140304000163</v>
      </c>
      <c r="Q216" s="38">
        <f t="shared" si="77"/>
        <v>8.8584083110080201</v>
      </c>
      <c r="R216" s="38">
        <f t="shared" si="77"/>
        <v>9.0355764772281759</v>
      </c>
      <c r="S216" s="38">
        <f t="shared" si="77"/>
        <v>9.2162880067727428</v>
      </c>
      <c r="T216" s="38">
        <f t="shared" si="77"/>
        <v>9.4006137669081795</v>
      </c>
      <c r="U216" s="38">
        <f t="shared" si="77"/>
        <v>9.5886260422463465</v>
      </c>
    </row>
    <row r="217" spans="2:21">
      <c r="B217" s="64" t="s">
        <v>735</v>
      </c>
      <c r="C217" s="64"/>
      <c r="D217" s="64"/>
      <c r="E217" s="64"/>
      <c r="F217" s="64"/>
      <c r="G217" s="64"/>
      <c r="H217" s="14"/>
      <c r="I217" s="14"/>
      <c r="J217" s="14"/>
      <c r="K217" s="59"/>
      <c r="L217" s="38">
        <f t="shared" ref="L217:U217" si="78">L189-K189</f>
        <v>0.11999999999999744</v>
      </c>
      <c r="M217" s="38">
        <f t="shared" si="78"/>
        <v>0</v>
      </c>
      <c r="N217" s="38">
        <f t="shared" si="78"/>
        <v>0</v>
      </c>
      <c r="O217" s="38">
        <f t="shared" si="78"/>
        <v>0</v>
      </c>
      <c r="P217" s="38">
        <f t="shared" si="78"/>
        <v>0</v>
      </c>
      <c r="Q217" s="38">
        <f t="shared" si="78"/>
        <v>0</v>
      </c>
      <c r="R217" s="38">
        <f t="shared" si="78"/>
        <v>0</v>
      </c>
      <c r="S217" s="38">
        <f t="shared" si="78"/>
        <v>0</v>
      </c>
      <c r="T217" s="38">
        <f t="shared" si="78"/>
        <v>0</v>
      </c>
      <c r="U217" s="38">
        <f t="shared" si="78"/>
        <v>0</v>
      </c>
    </row>
    <row r="218" spans="2:21">
      <c r="B218" s="64" t="s">
        <v>736</v>
      </c>
      <c r="C218" s="64"/>
      <c r="D218" s="64"/>
      <c r="E218" s="64"/>
      <c r="F218" s="64"/>
      <c r="G218" s="64"/>
      <c r="H218" s="14"/>
      <c r="I218" s="14"/>
      <c r="J218" s="14"/>
      <c r="K218" s="59"/>
      <c r="L218" s="38">
        <f t="shared" ref="L218:U218" si="79">L197-K197</f>
        <v>-496.48</v>
      </c>
      <c r="M218" s="38">
        <f t="shared" si="79"/>
        <v>631.15558000000021</v>
      </c>
      <c r="N218" s="38">
        <f t="shared" si="79"/>
        <v>155.76553410600013</v>
      </c>
      <c r="O218" s="38">
        <f t="shared" si="79"/>
        <v>168.4990857964292</v>
      </c>
      <c r="P218" s="38">
        <f t="shared" si="79"/>
        <v>180.57379007626218</v>
      </c>
      <c r="Q218" s="38">
        <f t="shared" si="79"/>
        <v>-5219.0090620675801</v>
      </c>
      <c r="R218" s="38">
        <f t="shared" si="79"/>
        <v>-402.60333997472117</v>
      </c>
      <c r="S218" s="38">
        <f t="shared" si="79"/>
        <v>-418.38338859589385</v>
      </c>
      <c r="T218" s="38">
        <f t="shared" si="79"/>
        <v>-429.84022622116299</v>
      </c>
      <c r="U218" s="38">
        <f t="shared" si="79"/>
        <v>-436.24139801388446</v>
      </c>
    </row>
    <row r="219" spans="2:21">
      <c r="B219" s="65" t="s">
        <v>67</v>
      </c>
      <c r="C219" s="64"/>
      <c r="D219" s="64"/>
      <c r="E219" s="64"/>
      <c r="F219" s="64"/>
      <c r="G219" s="64"/>
      <c r="H219" s="14"/>
      <c r="I219" s="14"/>
      <c r="J219" s="14"/>
      <c r="K219" s="59"/>
      <c r="L219" s="38">
        <f t="shared" ref="L219:U219" si="80">L203-K203</f>
        <v>-211.8100000000004</v>
      </c>
      <c r="M219" s="38">
        <f t="shared" si="80"/>
        <v>1230.4709211760692</v>
      </c>
      <c r="N219" s="38">
        <f t="shared" si="80"/>
        <v>739.93580160947295</v>
      </c>
      <c r="O219" s="38">
        <f t="shared" si="80"/>
        <v>800.42421986881436</v>
      </c>
      <c r="P219" s="38">
        <f t="shared" si="80"/>
        <v>857.78290349400959</v>
      </c>
      <c r="Q219" s="38">
        <f t="shared" si="80"/>
        <v>910.32026010923801</v>
      </c>
      <c r="R219" s="38">
        <f t="shared" si="80"/>
        <v>956.24692203129598</v>
      </c>
      <c r="S219" s="38">
        <f t="shared" si="80"/>
        <v>993.72704558031546</v>
      </c>
      <c r="T219" s="38">
        <f t="shared" si="80"/>
        <v>1020.9388558848768</v>
      </c>
      <c r="U219" s="38">
        <f t="shared" si="80"/>
        <v>1036.1426562919187</v>
      </c>
    </row>
    <row r="220" spans="2:21">
      <c r="B220" s="39" t="s">
        <v>68</v>
      </c>
      <c r="C220" s="39"/>
      <c r="D220" s="39"/>
      <c r="E220" s="39"/>
      <c r="F220" s="39"/>
      <c r="G220" s="39"/>
      <c r="H220" s="39"/>
      <c r="I220" s="39"/>
      <c r="J220" s="39"/>
      <c r="K220" s="63"/>
      <c r="L220" s="50">
        <f t="shared" ref="L220:U220" si="81">SUM(L215:L219)</f>
        <v>-604.95000000000039</v>
      </c>
      <c r="M220" s="50">
        <f t="shared" si="81"/>
        <v>2046.6592434957251</v>
      </c>
      <c r="N220" s="50">
        <f t="shared" si="81"/>
        <v>2089.1217142345595</v>
      </c>
      <c r="O220" s="50">
        <f t="shared" si="81"/>
        <v>2442.525389965956</v>
      </c>
      <c r="P220" s="50">
        <f t="shared" si="81"/>
        <v>2819.6950285016278</v>
      </c>
      <c r="Q220" s="50">
        <f t="shared" si="81"/>
        <v>-2195.6876232028189</v>
      </c>
      <c r="R220" s="50">
        <f t="shared" si="81"/>
        <v>3017.1048568064339</v>
      </c>
      <c r="S220" s="50">
        <f t="shared" si="81"/>
        <v>3401.3991296239337</v>
      </c>
      <c r="T220" s="50">
        <f t="shared" si="81"/>
        <v>3783.7253643139388</v>
      </c>
      <c r="U220" s="50">
        <f t="shared" si="81"/>
        <v>4153.5470347015798</v>
      </c>
    </row>
    <row r="221" spans="2:21">
      <c r="B221" s="14"/>
      <c r="C221" s="14"/>
      <c r="D221" s="14"/>
      <c r="E221" s="14"/>
      <c r="F221" s="14"/>
      <c r="G221" s="14"/>
      <c r="H221" s="14"/>
      <c r="I221" s="14"/>
      <c r="J221" s="14"/>
      <c r="K221" s="66"/>
      <c r="L221" s="37"/>
      <c r="M221" s="37"/>
      <c r="N221" s="37"/>
      <c r="O221" s="37"/>
      <c r="P221" s="37"/>
      <c r="Q221" s="37"/>
      <c r="R221" s="37"/>
      <c r="S221" s="37"/>
      <c r="T221" s="37"/>
      <c r="U221" s="37"/>
    </row>
    <row r="222" spans="2:21">
      <c r="B222" s="14" t="s">
        <v>693</v>
      </c>
      <c r="C222" s="14"/>
      <c r="D222" s="14"/>
      <c r="E222" s="14"/>
      <c r="F222" s="14"/>
      <c r="G222" s="14"/>
      <c r="H222" s="14"/>
      <c r="I222" s="14"/>
      <c r="J222" s="14"/>
      <c r="K222" s="66"/>
      <c r="L222" s="37">
        <f>L213-(L215+L219+L216)</f>
        <v>6662.9500000000007</v>
      </c>
      <c r="M222" s="37">
        <f t="shared" ref="M222:U222" ca="1" si="82">M213-(M215+M219+M216)</f>
        <v>-1453.4490310960587</v>
      </c>
      <c r="N222" s="37">
        <f t="shared" ca="1" si="82"/>
        <v>-371.75578619263661</v>
      </c>
      <c r="O222" s="37">
        <f t="shared" ca="1" si="82"/>
        <v>-412.77894659228377</v>
      </c>
      <c r="P222" s="37">
        <f t="shared" ca="1" si="82"/>
        <v>-453.14613912076879</v>
      </c>
      <c r="Q222" s="37">
        <f t="shared" ca="1" si="82"/>
        <v>-491.99947389472595</v>
      </c>
      <c r="R222" s="37">
        <f t="shared" ca="1" si="82"/>
        <v>-528.39691670086131</v>
      </c>
      <c r="S222" s="37">
        <f t="shared" ca="1" si="82"/>
        <v>-561.32765777927887</v>
      </c>
      <c r="T222" s="37">
        <f t="shared" ca="1" si="82"/>
        <v>-589.73187716877669</v>
      </c>
      <c r="U222" s="37">
        <f t="shared" ca="1" si="82"/>
        <v>-612.52470766244483</v>
      </c>
    </row>
    <row r="223" spans="2:21">
      <c r="B223" s="14" t="s">
        <v>740</v>
      </c>
      <c r="C223" s="14"/>
      <c r="D223" s="14"/>
      <c r="E223" s="14"/>
      <c r="F223" s="14"/>
      <c r="G223" s="14"/>
      <c r="H223" s="14"/>
      <c r="I223" s="14"/>
      <c r="J223" s="14"/>
      <c r="K223" s="66"/>
      <c r="L223" s="37">
        <f t="shared" ref="L223:U223" si="83">L213-L220</f>
        <v>7159.3100000000013</v>
      </c>
      <c r="M223" s="37">
        <f t="shared" ca="1" si="83"/>
        <v>-2142.0617310960588</v>
      </c>
      <c r="N223" s="37">
        <f t="shared" ca="1" si="83"/>
        <v>-522.38809093763678</v>
      </c>
      <c r="O223" s="37">
        <f t="shared" ca="1" si="83"/>
        <v>-575.46485767924014</v>
      </c>
      <c r="P223" s="37">
        <f t="shared" ca="1" si="83"/>
        <v>-627.60643973473134</v>
      </c>
      <c r="Q223" s="37">
        <f t="shared" ca="1" si="83"/>
        <v>4836.3737369000746</v>
      </c>
      <c r="R223" s="37">
        <f t="shared" ca="1" si="83"/>
        <v>-135.97729880411907</v>
      </c>
      <c r="S223" s="37">
        <f t="shared" ca="1" si="83"/>
        <v>-150.00416678124657</v>
      </c>
      <c r="T223" s="37">
        <f t="shared" ca="1" si="83"/>
        <v>-162.13448006416979</v>
      </c>
      <c r="U223" s="37">
        <f t="shared" ca="1" si="83"/>
        <v>-171.83996313116984</v>
      </c>
    </row>
    <row r="224" spans="2:21">
      <c r="B224" s="14"/>
      <c r="C224" s="14"/>
      <c r="D224" s="14"/>
      <c r="E224" s="14"/>
      <c r="F224" s="14"/>
      <c r="G224" s="14"/>
    </row>
    <row r="225" spans="2:23">
      <c r="B225" s="10" t="s">
        <v>69</v>
      </c>
      <c r="C225" s="10"/>
      <c r="D225" s="10"/>
      <c r="E225" s="10"/>
      <c r="F225" s="10"/>
      <c r="G225" s="10"/>
      <c r="H225" s="11"/>
      <c r="I225" s="11"/>
      <c r="J225" s="11"/>
      <c r="K225" s="11"/>
      <c r="L225" s="11"/>
      <c r="M225" s="11"/>
      <c r="N225" s="11"/>
      <c r="O225" s="11"/>
      <c r="P225" s="11"/>
      <c r="Q225" s="11"/>
      <c r="R225" s="11"/>
      <c r="S225" s="11"/>
      <c r="T225" s="11"/>
      <c r="U225" s="11"/>
    </row>
    <row r="226" spans="2:23">
      <c r="L226" s="38"/>
      <c r="M226" s="38"/>
      <c r="N226" s="38"/>
      <c r="O226" s="38"/>
      <c r="P226" s="38"/>
      <c r="Q226" s="38"/>
      <c r="R226" s="38"/>
      <c r="S226" s="38"/>
      <c r="T226" s="38"/>
      <c r="U226" s="38"/>
    </row>
    <row r="227" spans="2:23">
      <c r="B227" s="321" t="s">
        <v>694</v>
      </c>
      <c r="E227" s="3">
        <f>'Balance Sheet '!F83</f>
        <v>519</v>
      </c>
      <c r="F227" s="3">
        <f>'Balance Sheet '!G83</f>
        <v>2208</v>
      </c>
      <c r="G227" s="3">
        <f>'Balance Sheet '!H83</f>
        <v>2310</v>
      </c>
      <c r="H227" s="3">
        <f>'Balance Sheet '!I83</f>
        <v>1639</v>
      </c>
      <c r="I227" s="3">
        <f>'Balance Sheet '!J83</f>
        <v>1332</v>
      </c>
      <c r="J227" s="3">
        <f>'Balance Sheet '!K83</f>
        <v>1298</v>
      </c>
      <c r="K227" s="3">
        <f>'Balance Sheet '!L83</f>
        <v>581</v>
      </c>
      <c r="L227" s="3">
        <f>'Balance Sheet '!M83</f>
        <v>713.08</v>
      </c>
      <c r="M227" s="38">
        <f t="shared" ref="M227:U227" si="84">L227*(1+M228)</f>
        <v>770.1264000000001</v>
      </c>
      <c r="N227" s="38">
        <f t="shared" si="84"/>
        <v>831.73651200000018</v>
      </c>
      <c r="O227" s="38">
        <f t="shared" si="84"/>
        <v>898.27543296000022</v>
      </c>
      <c r="P227" s="38">
        <f t="shared" si="84"/>
        <v>970.13746759680032</v>
      </c>
      <c r="Q227" s="38">
        <f t="shared" si="84"/>
        <v>1008.9429663006724</v>
      </c>
      <c r="R227" s="38">
        <f t="shared" si="84"/>
        <v>1049.3006849526994</v>
      </c>
      <c r="S227" s="38">
        <f t="shared" si="84"/>
        <v>1091.2727123508073</v>
      </c>
      <c r="T227" s="38">
        <f t="shared" si="84"/>
        <v>1134.9236208448397</v>
      </c>
      <c r="U227" s="38">
        <f t="shared" si="84"/>
        <v>1180.3205656786333</v>
      </c>
      <c r="V227" s="29"/>
      <c r="W227" s="29"/>
    </row>
    <row r="228" spans="2:23">
      <c r="B228" s="321" t="s">
        <v>483</v>
      </c>
      <c r="F228" s="288">
        <f t="shared" ref="F228:L228" si="85">F227/E227-1</f>
        <v>3.2543352601156066</v>
      </c>
      <c r="G228" s="288">
        <f t="shared" si="85"/>
        <v>4.6195652173913082E-2</v>
      </c>
      <c r="H228" s="288">
        <f t="shared" si="85"/>
        <v>-0.29047619047619044</v>
      </c>
      <c r="I228" s="288">
        <f t="shared" si="85"/>
        <v>-0.18730933496034163</v>
      </c>
      <c r="J228" s="288">
        <f t="shared" si="85"/>
        <v>-2.5525525525525561E-2</v>
      </c>
      <c r="K228" s="288">
        <f t="shared" si="85"/>
        <v>-0.55238828967642528</v>
      </c>
      <c r="L228" s="288">
        <f t="shared" si="85"/>
        <v>0.2273321858864028</v>
      </c>
      <c r="M228" s="288">
        <f>'Control Sheet'!K175</f>
        <v>0.08</v>
      </c>
      <c r="N228" s="288">
        <f>'Control Sheet'!L175</f>
        <v>0.08</v>
      </c>
      <c r="O228" s="288">
        <f>'Control Sheet'!M175</f>
        <v>0.08</v>
      </c>
      <c r="P228" s="288">
        <f>'Control Sheet'!N175</f>
        <v>0.08</v>
      </c>
      <c r="Q228" s="288">
        <f>'Control Sheet'!O175</f>
        <v>0.04</v>
      </c>
      <c r="R228" s="288">
        <f>'Control Sheet'!P175</f>
        <v>0.04</v>
      </c>
      <c r="S228" s="288">
        <f>'Control Sheet'!Q175</f>
        <v>0.04</v>
      </c>
      <c r="T228" s="288">
        <f>'Control Sheet'!R175</f>
        <v>0.04</v>
      </c>
      <c r="U228" s="288">
        <f>'Control Sheet'!S175</f>
        <v>0.04</v>
      </c>
      <c r="V228" s="29"/>
      <c r="W228" s="29"/>
    </row>
    <row r="229" spans="2:23">
      <c r="B229" s="321"/>
      <c r="L229" s="38"/>
      <c r="M229" s="38"/>
      <c r="N229" s="38"/>
      <c r="O229" s="38"/>
      <c r="P229" s="38"/>
      <c r="Q229" s="38"/>
      <c r="R229" s="38"/>
      <c r="S229" s="38"/>
      <c r="T229" s="38"/>
      <c r="U229" s="38"/>
      <c r="V229" s="29"/>
      <c r="W229" s="29"/>
    </row>
    <row r="230" spans="2:23">
      <c r="B230" s="321" t="s">
        <v>682</v>
      </c>
      <c r="E230" s="28">
        <f>'Balance Sheet '!F106</f>
        <v>774.4</v>
      </c>
      <c r="F230" s="28">
        <f>'Balance Sheet '!G106</f>
        <v>1186</v>
      </c>
      <c r="G230" s="28">
        <f>'Balance Sheet '!H106</f>
        <v>473.3</v>
      </c>
      <c r="H230" s="28">
        <f>'Balance Sheet '!I106</f>
        <v>709.8</v>
      </c>
      <c r="I230" s="28">
        <f>'Balance Sheet '!J106</f>
        <v>509.2</v>
      </c>
      <c r="J230" s="28">
        <f>'Balance Sheet '!K106</f>
        <v>319.5</v>
      </c>
      <c r="K230" s="28">
        <f>'Balance Sheet '!L106</f>
        <v>972.4</v>
      </c>
      <c r="L230" s="28">
        <f>'Balance Sheet '!M106</f>
        <v>475.91999999999996</v>
      </c>
      <c r="M230" s="28">
        <f t="shared" ref="M230:U230" si="86">M197</f>
        <v>1107.0755800000002</v>
      </c>
      <c r="N230" s="28">
        <f t="shared" si="86"/>
        <v>1262.8411141060003</v>
      </c>
      <c r="O230" s="28">
        <f t="shared" si="86"/>
        <v>1431.3401999024295</v>
      </c>
      <c r="P230" s="28">
        <f t="shared" si="86"/>
        <v>1611.9139899786917</v>
      </c>
      <c r="Q230" s="28">
        <f t="shared" si="86"/>
        <v>-3607.0950720888886</v>
      </c>
      <c r="R230" s="28">
        <f t="shared" si="86"/>
        <v>-4009.6984120636098</v>
      </c>
      <c r="S230" s="28">
        <f t="shared" si="86"/>
        <v>-4428.0818006595036</v>
      </c>
      <c r="T230" s="28">
        <f t="shared" si="86"/>
        <v>-4857.9220268806666</v>
      </c>
      <c r="U230" s="28">
        <f t="shared" si="86"/>
        <v>-5294.1634248945511</v>
      </c>
      <c r="V230" s="29"/>
      <c r="W230" s="29"/>
    </row>
    <row r="231" spans="2:23">
      <c r="B231" s="321" t="s">
        <v>483</v>
      </c>
      <c r="F231" s="288">
        <f>F230/E230-1</f>
        <v>0.53150826446280997</v>
      </c>
      <c r="G231" s="288">
        <f>G230/F230-1</f>
        <v>-0.60092748735244517</v>
      </c>
      <c r="H231" s="288">
        <f t="shared" ref="H231:P231" si="87">H230/G230-1</f>
        <v>0.49968307627297692</v>
      </c>
      <c r="I231" s="288">
        <f t="shared" si="87"/>
        <v>-0.28261482107635949</v>
      </c>
      <c r="J231" s="288">
        <f t="shared" si="87"/>
        <v>-0.37254516889238021</v>
      </c>
      <c r="K231" s="288">
        <f t="shared" si="87"/>
        <v>2.0435054773082943</v>
      </c>
      <c r="L231" s="288">
        <f>L230/K230-1</f>
        <v>-0.51057178116001656</v>
      </c>
      <c r="M231" s="288">
        <f>M230/L230-1</f>
        <v>1.3261799882333172</v>
      </c>
      <c r="N231" s="288">
        <f t="shared" si="87"/>
        <v>0.14070000000000005</v>
      </c>
      <c r="O231" s="288">
        <f t="shared" si="87"/>
        <v>0.13342857142857145</v>
      </c>
      <c r="P231" s="288">
        <f t="shared" si="87"/>
        <v>0.12615714285714286</v>
      </c>
      <c r="Q231" s="288">
        <f>Q230/P230-1</f>
        <v>-3.237771428571429</v>
      </c>
      <c r="R231" s="288">
        <f>R230/Q230-1</f>
        <v>0.11161428571428567</v>
      </c>
      <c r="S231" s="288">
        <f>S230/R230-1</f>
        <v>0.10434285714285707</v>
      </c>
      <c r="T231" s="288">
        <f>T230/S230-1</f>
        <v>9.7071428571428919E-2</v>
      </c>
      <c r="U231" s="288">
        <f>U230/T230-1</f>
        <v>8.9800000000000102E-2</v>
      </c>
      <c r="V231" s="29"/>
      <c r="W231" s="29"/>
    </row>
    <row r="232" spans="2:23">
      <c r="B232" s="321"/>
      <c r="L232" s="38"/>
      <c r="M232" s="38"/>
      <c r="N232" s="38"/>
      <c r="O232" s="38"/>
      <c r="P232" s="38"/>
      <c r="Q232" s="38"/>
      <c r="R232" s="38"/>
      <c r="S232" s="38"/>
      <c r="T232" s="38"/>
      <c r="U232" s="38"/>
      <c r="V232" s="29"/>
      <c r="W232" s="29"/>
    </row>
    <row r="233" spans="2:23">
      <c r="B233" s="321" t="s">
        <v>684</v>
      </c>
      <c r="E233" s="28">
        <f>E230+E227</f>
        <v>1293.4000000000001</v>
      </c>
      <c r="F233" s="28">
        <f t="shared" ref="F233:P233" si="88">F230+F227</f>
        <v>3394</v>
      </c>
      <c r="G233" s="28">
        <f t="shared" si="88"/>
        <v>2783.3</v>
      </c>
      <c r="H233" s="28">
        <f t="shared" si="88"/>
        <v>2348.8000000000002</v>
      </c>
      <c r="I233" s="28">
        <f t="shared" si="88"/>
        <v>1841.2</v>
      </c>
      <c r="J233" s="28">
        <f t="shared" si="88"/>
        <v>1617.5</v>
      </c>
      <c r="K233" s="28">
        <f t="shared" si="88"/>
        <v>1553.4</v>
      </c>
      <c r="L233" s="28">
        <f>L230+L227</f>
        <v>1189</v>
      </c>
      <c r="M233" s="28">
        <f t="shared" si="88"/>
        <v>1877.2019800000003</v>
      </c>
      <c r="N233" s="28">
        <f t="shared" si="88"/>
        <v>2094.5776261060005</v>
      </c>
      <c r="O233" s="28">
        <f t="shared" si="88"/>
        <v>2329.6156328624297</v>
      </c>
      <c r="P233" s="28">
        <f t="shared" si="88"/>
        <v>2582.0514575754919</v>
      </c>
      <c r="Q233" s="28">
        <f>Q230+Q227</f>
        <v>-2598.1521057882164</v>
      </c>
      <c r="R233" s="28">
        <f>R230+R227</f>
        <v>-2960.3977271109106</v>
      </c>
      <c r="S233" s="28">
        <f>S230+S227</f>
        <v>-3336.8090883086961</v>
      </c>
      <c r="T233" s="28">
        <f>T230+T227</f>
        <v>-3722.998406035827</v>
      </c>
      <c r="U233" s="28">
        <f>U230+U227</f>
        <v>-4113.842859215918</v>
      </c>
      <c r="V233" s="29"/>
      <c r="W233" s="29"/>
    </row>
    <row r="234" spans="2:23">
      <c r="B234" s="321" t="s">
        <v>702</v>
      </c>
      <c r="E234" s="288">
        <f>E230/E233</f>
        <v>0.59873202412246784</v>
      </c>
      <c r="F234" s="288">
        <f t="shared" ref="F234:P234" si="89">F230/F233</f>
        <v>0.34944018856806131</v>
      </c>
      <c r="G234" s="288">
        <f t="shared" si="89"/>
        <v>0.1700499407178529</v>
      </c>
      <c r="H234" s="288">
        <f t="shared" si="89"/>
        <v>0.30219686648501359</v>
      </c>
      <c r="I234" s="288">
        <f t="shared" si="89"/>
        <v>0.27655876602215945</v>
      </c>
      <c r="J234" s="288">
        <f t="shared" si="89"/>
        <v>0.19752704791344669</v>
      </c>
      <c r="K234" s="288">
        <f t="shared" si="89"/>
        <v>0.62598171752285303</v>
      </c>
      <c r="L234" s="288">
        <f>L230/L233</f>
        <v>0.40026913372581996</v>
      </c>
      <c r="M234" s="288">
        <f t="shared" si="89"/>
        <v>0.58974771590641517</v>
      </c>
      <c r="N234" s="288">
        <f t="shared" si="89"/>
        <v>0.60290967418272789</v>
      </c>
      <c r="O234" s="288">
        <f t="shared" si="89"/>
        <v>0.61441045454512289</v>
      </c>
      <c r="P234" s="288">
        <f t="shared" si="89"/>
        <v>0.62427647801111408</v>
      </c>
      <c r="Q234" s="288">
        <f>Q230/Q233</f>
        <v>1.3883309849538557</v>
      </c>
      <c r="R234" s="288">
        <f>R230/R233</f>
        <v>1.3544458487261186</v>
      </c>
      <c r="S234" s="288">
        <f>S230/S233</f>
        <v>1.3270407995993361</v>
      </c>
      <c r="T234" s="288">
        <f>T230/T233</f>
        <v>1.3048412857241278</v>
      </c>
      <c r="U234" s="288">
        <f>U230/U233</f>
        <v>1.2869143538223522</v>
      </c>
      <c r="V234" s="29"/>
      <c r="W234" s="29"/>
    </row>
    <row r="235" spans="2:23">
      <c r="B235" s="321" t="s">
        <v>703</v>
      </c>
      <c r="E235" s="288">
        <f>E227/E233</f>
        <v>0.40126797587753205</v>
      </c>
      <c r="F235" s="288">
        <f t="shared" ref="F235:P235" si="90">F227/F233</f>
        <v>0.65055981143193875</v>
      </c>
      <c r="G235" s="288">
        <f t="shared" si="90"/>
        <v>0.82995005928214705</v>
      </c>
      <c r="H235" s="288">
        <f t="shared" si="90"/>
        <v>0.69780313351498635</v>
      </c>
      <c r="I235" s="288">
        <f t="shared" si="90"/>
        <v>0.72344123397784055</v>
      </c>
      <c r="J235" s="288">
        <f t="shared" si="90"/>
        <v>0.80247295208655334</v>
      </c>
      <c r="K235" s="288">
        <f t="shared" si="90"/>
        <v>0.37401828247714686</v>
      </c>
      <c r="L235" s="288">
        <f t="shared" si="90"/>
        <v>0.59973086627418004</v>
      </c>
      <c r="M235" s="288">
        <f t="shared" si="90"/>
        <v>0.41025228409358483</v>
      </c>
      <c r="N235" s="288">
        <f t="shared" si="90"/>
        <v>0.39709032581727216</v>
      </c>
      <c r="O235" s="288">
        <f t="shared" si="90"/>
        <v>0.38558954545487711</v>
      </c>
      <c r="P235" s="288">
        <f t="shared" si="90"/>
        <v>0.37572352198888592</v>
      </c>
      <c r="Q235" s="288">
        <f>Q227/Q233</f>
        <v>-0.38833098495385571</v>
      </c>
      <c r="R235" s="288">
        <f>R227/R233</f>
        <v>-0.35444584872611867</v>
      </c>
      <c r="S235" s="288">
        <f>S227/S233</f>
        <v>-0.32704079959933596</v>
      </c>
      <c r="T235" s="288">
        <f>T227/T233</f>
        <v>-0.30484128572412772</v>
      </c>
      <c r="U235" s="288">
        <f>U227/U233</f>
        <v>-0.28691435382235231</v>
      </c>
      <c r="V235" s="29"/>
      <c r="W235" s="29"/>
    </row>
    <row r="236" spans="2:23">
      <c r="B236" s="321"/>
      <c r="L236" s="38"/>
      <c r="M236" s="38"/>
      <c r="N236" s="38"/>
      <c r="O236" s="38"/>
      <c r="P236" s="38"/>
      <c r="Q236" s="38"/>
      <c r="R236" s="38"/>
      <c r="S236" s="38"/>
      <c r="T236" s="38"/>
      <c r="U236" s="38"/>
      <c r="V236" s="29"/>
      <c r="W236" s="29"/>
    </row>
    <row r="237" spans="2:23">
      <c r="B237" s="14"/>
      <c r="C237" s="14"/>
      <c r="D237" s="14"/>
      <c r="E237" s="14"/>
      <c r="F237" s="14"/>
      <c r="G237" s="14"/>
      <c r="J237" s="14"/>
      <c r="K237" s="37"/>
      <c r="L237" s="37"/>
      <c r="M237" s="37"/>
      <c r="N237" s="37"/>
      <c r="O237" s="37"/>
      <c r="P237" s="37"/>
      <c r="Q237" s="37"/>
      <c r="R237" s="37"/>
      <c r="S237" s="37"/>
      <c r="T237" s="37"/>
      <c r="U237" s="37"/>
    </row>
    <row r="238" spans="2:23">
      <c r="B238" s="14"/>
      <c r="C238" s="14"/>
      <c r="D238" s="14"/>
      <c r="E238" s="14"/>
      <c r="F238" s="14"/>
      <c r="G238" s="14"/>
    </row>
    <row r="239" spans="2:23">
      <c r="B239" s="10" t="s">
        <v>70</v>
      </c>
      <c r="C239" s="10"/>
      <c r="D239" s="10"/>
      <c r="E239" s="10"/>
      <c r="F239" s="10"/>
      <c r="G239" s="10"/>
      <c r="H239" s="11"/>
      <c r="I239" s="11"/>
      <c r="J239" s="11"/>
      <c r="K239" s="11"/>
      <c r="L239" s="11"/>
      <c r="M239" s="11"/>
      <c r="N239" s="11"/>
      <c r="O239" s="11"/>
      <c r="P239" s="11"/>
      <c r="Q239" s="11"/>
      <c r="R239" s="11"/>
      <c r="S239" s="11"/>
      <c r="T239" s="11"/>
      <c r="U239" s="11"/>
    </row>
    <row r="241" spans="2:21">
      <c r="B241" s="321" t="s">
        <v>3</v>
      </c>
      <c r="K241" s="68"/>
      <c r="L241" s="68"/>
      <c r="M241" s="68">
        <f>'Control Sheet'!K191</f>
        <v>7.8899999999999998E-2</v>
      </c>
      <c r="N241" s="68">
        <f>'Control Sheet'!L191</f>
        <v>7.8899999999999998E-2</v>
      </c>
      <c r="O241" s="68">
        <f>'Control Sheet'!M191</f>
        <v>7.8899999999999998E-2</v>
      </c>
      <c r="P241" s="68">
        <f>'Control Sheet'!N191</f>
        <v>7.8899999999999998E-2</v>
      </c>
      <c r="Q241" s="68">
        <f>'Control Sheet'!O191</f>
        <v>7.8899999999999998E-2</v>
      </c>
      <c r="R241" s="68">
        <f>'Control Sheet'!P191</f>
        <v>7.8899999999999998E-2</v>
      </c>
      <c r="S241" s="68">
        <f>'Control Sheet'!Q191</f>
        <v>7.8899999999999998E-2</v>
      </c>
      <c r="T241" s="68">
        <f>'Control Sheet'!R191</f>
        <v>7.8899999999999998E-2</v>
      </c>
      <c r="U241" s="68">
        <f>'Control Sheet'!S191</f>
        <v>7.8899999999999998E-2</v>
      </c>
    </row>
    <row r="242" spans="2:21">
      <c r="B242" s="321" t="s">
        <v>708</v>
      </c>
      <c r="K242" s="324"/>
      <c r="L242" s="324"/>
      <c r="M242" s="324">
        <f>AVERAGE(L233:M233)</f>
        <v>1533.1009900000001</v>
      </c>
      <c r="N242" s="324">
        <f t="shared" ref="N242:U242" si="91">AVERAGE(M233:N233)</f>
        <v>1985.8898030530004</v>
      </c>
      <c r="O242" s="324">
        <f t="shared" si="91"/>
        <v>2212.0966294842151</v>
      </c>
      <c r="P242" s="324">
        <f t="shared" si="91"/>
        <v>2455.8335452189608</v>
      </c>
      <c r="Q242" s="324">
        <f t="shared" si="91"/>
        <v>-8.0503241063622681</v>
      </c>
      <c r="R242" s="324">
        <f t="shared" si="91"/>
        <v>-2779.2749164495635</v>
      </c>
      <c r="S242" s="324">
        <f t="shared" si="91"/>
        <v>-3148.6034077098034</v>
      </c>
      <c r="T242" s="324">
        <f t="shared" si="91"/>
        <v>-3529.9037471722613</v>
      </c>
      <c r="U242" s="324">
        <f t="shared" si="91"/>
        <v>-3918.4206326258727</v>
      </c>
    </row>
    <row r="243" spans="2:21">
      <c r="B243" s="330" t="s">
        <v>709</v>
      </c>
      <c r="C243" s="40"/>
      <c r="D243" s="40"/>
      <c r="E243" s="40"/>
      <c r="F243" s="40"/>
      <c r="G243" s="40"/>
      <c r="H243" s="40"/>
      <c r="I243" s="40"/>
      <c r="J243" s="40"/>
      <c r="K243" s="328"/>
      <c r="L243" s="329"/>
      <c r="M243" s="329">
        <f t="shared" ref="M243:U243" si="92">M242*M241</f>
        <v>120.96166811100001</v>
      </c>
      <c r="N243" s="329">
        <f t="shared" si="92"/>
        <v>156.68670546088174</v>
      </c>
      <c r="O243" s="329">
        <f t="shared" si="92"/>
        <v>174.53442406630458</v>
      </c>
      <c r="P243" s="329">
        <f t="shared" si="92"/>
        <v>193.765266717776</v>
      </c>
      <c r="Q243" s="329">
        <f t="shared" si="92"/>
        <v>-0.6351705719919829</v>
      </c>
      <c r="R243" s="329">
        <f t="shared" si="92"/>
        <v>-219.28479090787056</v>
      </c>
      <c r="S243" s="329">
        <f t="shared" si="92"/>
        <v>-248.42480886830347</v>
      </c>
      <c r="T243" s="329">
        <f t="shared" si="92"/>
        <v>-278.50940565189143</v>
      </c>
      <c r="U243" s="329">
        <f t="shared" si="92"/>
        <v>-309.16338791418133</v>
      </c>
    </row>
    <row r="244" spans="2:21">
      <c r="K244" s="68"/>
      <c r="L244" s="69"/>
      <c r="M244" s="69"/>
      <c r="N244" s="69"/>
      <c r="O244" s="69"/>
      <c r="P244" s="69"/>
      <c r="Q244" s="69"/>
      <c r="R244" s="69"/>
      <c r="S244" s="69"/>
      <c r="T244" s="69"/>
      <c r="U244" s="69"/>
    </row>
    <row r="245" spans="2:21">
      <c r="B245" s="10" t="s">
        <v>717</v>
      </c>
      <c r="C245" s="10"/>
      <c r="D245" s="10"/>
      <c r="E245" s="10"/>
      <c r="F245" s="10"/>
      <c r="G245" s="10"/>
      <c r="H245" s="11"/>
      <c r="I245" s="11"/>
      <c r="J245" s="11"/>
      <c r="K245" s="11"/>
      <c r="L245" s="11"/>
      <c r="M245" s="11"/>
      <c r="N245" s="11"/>
      <c r="O245" s="11"/>
      <c r="P245" s="11"/>
      <c r="Q245" s="11"/>
      <c r="R245" s="11"/>
      <c r="S245" s="11"/>
      <c r="T245" s="11"/>
      <c r="U245" s="11"/>
    </row>
    <row r="247" spans="2:21">
      <c r="B247" s="326" t="s">
        <v>718</v>
      </c>
      <c r="K247" s="68"/>
      <c r="L247" s="68"/>
      <c r="M247" s="68">
        <f>'Control Sheet'!K199</f>
        <v>3.9E-2</v>
      </c>
      <c r="N247" s="68">
        <f>'Control Sheet'!L199</f>
        <v>3.9E-2</v>
      </c>
      <c r="O247" s="68">
        <f>'Control Sheet'!M199</f>
        <v>3.9E-2</v>
      </c>
      <c r="P247" s="68">
        <f>'Control Sheet'!N199</f>
        <v>3.9E-2</v>
      </c>
      <c r="Q247" s="68">
        <f>'Control Sheet'!O199</f>
        <v>3.9E-2</v>
      </c>
      <c r="R247" s="68">
        <f>'Control Sheet'!P199</f>
        <v>3.9E-2</v>
      </c>
      <c r="S247" s="68">
        <f>'Control Sheet'!Q199</f>
        <v>3.9E-2</v>
      </c>
      <c r="T247" s="68">
        <f>'Control Sheet'!R199</f>
        <v>3.9E-2</v>
      </c>
      <c r="U247" s="68">
        <f>'Control Sheet'!S199</f>
        <v>3.9E-2</v>
      </c>
    </row>
    <row r="248" spans="2:21">
      <c r="B248" s="339" t="s">
        <v>742</v>
      </c>
      <c r="K248" s="324"/>
      <c r="L248" s="324"/>
      <c r="M248" s="324">
        <f t="shared" ref="M248:U248" si="93">M14</f>
        <v>22141.511600000002</v>
      </c>
      <c r="N248" s="324">
        <f t="shared" si="93"/>
        <v>25256.822282120003</v>
      </c>
      <c r="O248" s="324">
        <f t="shared" si="93"/>
        <v>28626.803998048588</v>
      </c>
      <c r="P248" s="324">
        <f t="shared" si="93"/>
        <v>32238.279799573833</v>
      </c>
      <c r="Q248" s="324">
        <f t="shared" si="93"/>
        <v>36070.950720888883</v>
      </c>
      <c r="R248" s="324">
        <f t="shared" si="93"/>
        <v>40096.984120636094</v>
      </c>
      <c r="S248" s="324">
        <f t="shared" si="93"/>
        <v>44280.818006595036</v>
      </c>
      <c r="T248" s="324">
        <f t="shared" si="93"/>
        <v>48579.220268806661</v>
      </c>
      <c r="U248" s="324">
        <f t="shared" si="93"/>
        <v>52941.634248945506</v>
      </c>
    </row>
    <row r="249" spans="2:21">
      <c r="B249" s="327" t="s">
        <v>719</v>
      </c>
      <c r="C249" s="40"/>
      <c r="D249" s="40"/>
      <c r="E249" s="40"/>
      <c r="F249" s="40"/>
      <c r="G249" s="40"/>
      <c r="H249" s="40"/>
      <c r="I249" s="40"/>
      <c r="J249" s="40"/>
      <c r="K249" s="328"/>
      <c r="L249" s="329"/>
      <c r="M249" s="329">
        <f t="shared" ref="M249:U249" si="94">M248*M247</f>
        <v>863.5189524000001</v>
      </c>
      <c r="N249" s="329">
        <f t="shared" si="94"/>
        <v>985.01606900268018</v>
      </c>
      <c r="O249" s="329">
        <f t="shared" si="94"/>
        <v>1116.445355923895</v>
      </c>
      <c r="P249" s="329">
        <f t="shared" si="94"/>
        <v>1257.2929121833795</v>
      </c>
      <c r="Q249" s="329">
        <f t="shared" si="94"/>
        <v>1406.7670781146664</v>
      </c>
      <c r="R249" s="329">
        <f t="shared" si="94"/>
        <v>1563.7823807048076</v>
      </c>
      <c r="S249" s="329">
        <f t="shared" si="94"/>
        <v>1726.9519022572065</v>
      </c>
      <c r="T249" s="329">
        <f t="shared" si="94"/>
        <v>1894.5895904834597</v>
      </c>
      <c r="U249" s="329">
        <f t="shared" si="94"/>
        <v>2064.7237357088748</v>
      </c>
    </row>
    <row r="250" spans="2:21">
      <c r="K250" s="68"/>
      <c r="L250" s="69"/>
      <c r="M250" s="69"/>
      <c r="N250" s="69"/>
      <c r="O250" s="69"/>
      <c r="P250" s="69"/>
    </row>
  </sheetData>
  <mergeCells count="1">
    <mergeCell ref="M7:P7"/>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4" r:id="rId4" name="Drop Down 6">
              <controlPr defaultSize="0" autoLine="0" autoPict="0">
                <anchor moveWithCells="1">
                  <from>
                    <xdr:col>9</xdr:col>
                    <xdr:colOff>57150</xdr:colOff>
                    <xdr:row>3</xdr:row>
                    <xdr:rowOff>38100</xdr:rowOff>
                  </from>
                  <to>
                    <xdr:col>10</xdr:col>
                    <xdr:colOff>552450</xdr:colOff>
                    <xdr:row>4</xdr:row>
                    <xdr:rowOff>47625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00711-0822-4BE2-89E1-8985DB280F23}">
  <sheetPr codeName="Sheet11"/>
  <dimension ref="A2:Z154"/>
  <sheetViews>
    <sheetView showGridLines="0" topLeftCell="B1" zoomScale="77" zoomScaleNormal="84" workbookViewId="0">
      <pane ySplit="9" topLeftCell="A50" activePane="bottomLeft" state="frozen"/>
      <selection pane="bottomLeft" activeCell="M117" sqref="M117"/>
    </sheetView>
  </sheetViews>
  <sheetFormatPr defaultColWidth="8.85546875" defaultRowHeight="15" outlineLevelRow="1"/>
  <cols>
    <col min="1" max="1" width="1.85546875" style="3" customWidth="1"/>
    <col min="2" max="2" width="33.5703125" style="3" customWidth="1"/>
    <col min="3" max="4" width="8.85546875" style="3"/>
    <col min="5" max="5" width="16.7109375" style="3" bestFit="1" customWidth="1"/>
    <col min="6" max="21" width="12.7109375" style="3" customWidth="1"/>
    <col min="22" max="22" width="2.7109375" style="3" customWidth="1"/>
    <col min="23" max="16384" width="8.85546875" style="3"/>
  </cols>
  <sheetData>
    <row r="2" spans="1:24" ht="18.75">
      <c r="B2" s="4" t="str">
        <f>'Control Sheet'!B2</f>
        <v>Shree Cement LTD</v>
      </c>
      <c r="E2" s="334"/>
      <c r="F2" s="3">
        <v>4990</v>
      </c>
      <c r="G2" s="335"/>
      <c r="H2" s="270"/>
      <c r="K2" s="48"/>
      <c r="L2" s="48"/>
      <c r="M2" s="48"/>
    </row>
    <row r="3" spans="1:24" ht="15.75">
      <c r="B3" s="5" t="s">
        <v>17</v>
      </c>
      <c r="G3" s="335"/>
      <c r="H3" s="336"/>
      <c r="I3" s="258"/>
      <c r="L3" s="48"/>
      <c r="N3" s="28"/>
    </row>
    <row r="4" spans="1:24" ht="15.75">
      <c r="B4" s="5"/>
      <c r="C4" s="48"/>
      <c r="G4" s="48"/>
      <c r="H4" s="28"/>
      <c r="I4" s="344"/>
      <c r="J4" s="3">
        <v>2</v>
      </c>
      <c r="M4" s="3">
        <f>'Control Sheet'!J4</f>
        <v>3</v>
      </c>
    </row>
    <row r="5" spans="1:24" ht="15.75">
      <c r="B5" s="5"/>
      <c r="L5" s="48"/>
    </row>
    <row r="6" spans="1:24">
      <c r="W6" s="3" t="s">
        <v>71</v>
      </c>
    </row>
    <row r="7" spans="1:24">
      <c r="E7" s="6"/>
      <c r="F7" s="6"/>
      <c r="G7" s="6" t="s">
        <v>19</v>
      </c>
      <c r="H7" s="6"/>
      <c r="I7" s="6"/>
      <c r="J7" s="67"/>
      <c r="K7" s="26" t="s">
        <v>424</v>
      </c>
      <c r="L7" s="26" t="s">
        <v>1222</v>
      </c>
      <c r="M7" s="558" t="s">
        <v>1221</v>
      </c>
      <c r="N7" s="558"/>
      <c r="O7" s="558"/>
      <c r="P7" s="558"/>
      <c r="Q7" s="456"/>
      <c r="R7" s="457" t="s">
        <v>1128</v>
      </c>
      <c r="S7" s="456"/>
      <c r="T7" s="456"/>
      <c r="U7" s="456"/>
      <c r="W7" s="488" t="s">
        <v>74</v>
      </c>
      <c r="X7" s="488" t="s">
        <v>75</v>
      </c>
    </row>
    <row r="8" spans="1:24">
      <c r="E8" s="70">
        <v>2017</v>
      </c>
      <c r="F8" s="7">
        <f>E8+1</f>
        <v>2018</v>
      </c>
      <c r="G8" s="7">
        <f>F8+1</f>
        <v>2019</v>
      </c>
      <c r="H8" s="7">
        <f>G8+1</f>
        <v>2020</v>
      </c>
      <c r="I8" s="70">
        <v>2021</v>
      </c>
      <c r="J8" s="7">
        <f>I8+1</f>
        <v>2022</v>
      </c>
      <c r="K8" s="7">
        <f t="shared" ref="K8:P8" si="0">J8+1</f>
        <v>2023</v>
      </c>
      <c r="L8" s="7">
        <f t="shared" si="0"/>
        <v>2024</v>
      </c>
      <c r="M8" s="7">
        <f>L8+1</f>
        <v>2025</v>
      </c>
      <c r="N8" s="7">
        <f>M8+1</f>
        <v>2026</v>
      </c>
      <c r="O8" s="7">
        <f t="shared" si="0"/>
        <v>2027</v>
      </c>
      <c r="P8" s="7">
        <f t="shared" si="0"/>
        <v>2028</v>
      </c>
      <c r="Q8" s="7">
        <f>P8+1</f>
        <v>2029</v>
      </c>
      <c r="R8" s="7">
        <f>Q8+1</f>
        <v>2030</v>
      </c>
      <c r="S8" s="7">
        <f>R8+1</f>
        <v>2031</v>
      </c>
      <c r="T8" s="7">
        <f>S8+1</f>
        <v>2032</v>
      </c>
      <c r="U8" s="7">
        <f>T8+1</f>
        <v>2033</v>
      </c>
    </row>
    <row r="9" spans="1:24">
      <c r="B9" s="8" t="s">
        <v>20</v>
      </c>
      <c r="C9" s="9"/>
      <c r="D9" s="9"/>
      <c r="E9" s="9"/>
      <c r="F9" s="9"/>
      <c r="G9" s="9"/>
      <c r="H9" s="9"/>
      <c r="I9" s="9"/>
      <c r="J9" s="9"/>
      <c r="K9" s="9"/>
      <c r="L9" s="9"/>
      <c r="M9" s="9"/>
      <c r="N9" s="9"/>
      <c r="O9" s="9"/>
      <c r="P9" s="9"/>
      <c r="Q9" s="9"/>
      <c r="R9" s="9"/>
      <c r="S9" s="9"/>
      <c r="T9" s="9"/>
      <c r="U9" s="9"/>
    </row>
    <row r="11" spans="1:24">
      <c r="A11" s="3" t="s">
        <v>21</v>
      </c>
      <c r="B11" s="489" t="s">
        <v>76</v>
      </c>
      <c r="C11" s="490"/>
      <c r="D11" s="490"/>
      <c r="E11" s="490"/>
      <c r="F11" s="490"/>
      <c r="G11" s="490"/>
      <c r="H11" s="490"/>
      <c r="I11" s="490"/>
      <c r="J11" s="490"/>
      <c r="K11" s="490"/>
      <c r="L11" s="490"/>
      <c r="M11" s="490"/>
      <c r="N11" s="490"/>
      <c r="O11" s="490"/>
      <c r="P11" s="490"/>
      <c r="Q11" s="490"/>
      <c r="R11" s="490"/>
      <c r="S11" s="490"/>
      <c r="T11" s="490"/>
      <c r="U11" s="490"/>
    </row>
    <row r="13" spans="1:24">
      <c r="B13" s="71" t="s">
        <v>1</v>
      </c>
      <c r="E13" s="208">
        <f>Schedules!E14</f>
        <v>8487</v>
      </c>
      <c r="F13" s="208">
        <f>Schedules!F14</f>
        <v>9834</v>
      </c>
      <c r="G13" s="208">
        <f>Schedules!G14</f>
        <v>12554.9</v>
      </c>
      <c r="H13" s="208">
        <f>Schedules!H14</f>
        <v>12867.9</v>
      </c>
      <c r="I13" s="208">
        <f>Schedules!I14</f>
        <v>13559.7</v>
      </c>
      <c r="J13" s="208">
        <f>Schedules!J14</f>
        <v>15009.099999999999</v>
      </c>
      <c r="K13" s="208">
        <f>Schedules!K14</f>
        <v>17852.7</v>
      </c>
      <c r="L13" s="208">
        <f>Schedules!L14</f>
        <v>20520.400000000001</v>
      </c>
      <c r="M13" s="208">
        <f>Schedules!M14</f>
        <v>22141.511600000002</v>
      </c>
      <c r="N13" s="208">
        <f>Schedules!N14</f>
        <v>25256.822282120003</v>
      </c>
      <c r="O13" s="208">
        <f>Schedules!O14</f>
        <v>28626.803998048588</v>
      </c>
      <c r="P13" s="208">
        <f>Schedules!P14</f>
        <v>32238.279799573833</v>
      </c>
      <c r="Q13" s="208">
        <f>Schedules!Q14</f>
        <v>36070.950720888883</v>
      </c>
      <c r="R13" s="208">
        <f>Schedules!R14</f>
        <v>40096.984120636094</v>
      </c>
      <c r="S13" s="208">
        <f>Schedules!S14</f>
        <v>44280.818006595036</v>
      </c>
      <c r="T13" s="208">
        <f>Schedules!T14</f>
        <v>48579.220268806661</v>
      </c>
      <c r="U13" s="208">
        <f>Schedules!U14</f>
        <v>52941.634248945506</v>
      </c>
      <c r="W13" s="44">
        <f>_xlfn.RRI($P$8-$K$8,K13,P13)</f>
        <v>0.12546913831451412</v>
      </c>
      <c r="X13" s="44">
        <f>_xlfn.RRI($P$8-$M$8,M13,P13)</f>
        <v>0.13341302144150702</v>
      </c>
    </row>
    <row r="14" spans="1:24">
      <c r="B14" s="62" t="s">
        <v>77</v>
      </c>
      <c r="E14" s="209">
        <f>Schedules!E19*-1</f>
        <v>-690</v>
      </c>
      <c r="F14" s="209">
        <f>Schedules!F19*-1</f>
        <v>-702.7</v>
      </c>
      <c r="G14" s="209">
        <f>Schedules!G19*-1</f>
        <v>-977.1</v>
      </c>
      <c r="H14" s="209">
        <f>Schedules!H19*-1</f>
        <v>-965</v>
      </c>
      <c r="I14" s="209">
        <f>Schedules!I19*-1</f>
        <v>-1054</v>
      </c>
      <c r="J14" s="209">
        <f>Schedules!J19*-1</f>
        <v>-1010.5</v>
      </c>
      <c r="K14" s="209">
        <f>Schedules!K19*-1</f>
        <v>-1369.6</v>
      </c>
      <c r="L14" s="209">
        <f>Schedules!L19*-1</f>
        <v>-1535</v>
      </c>
      <c r="M14" s="209">
        <f>Schedules!M19*-1</f>
        <v>-1826.6747070000006</v>
      </c>
      <c r="N14" s="209">
        <f>Schedules!N19*-1</f>
        <v>-3382.8356344114491</v>
      </c>
      <c r="O14" s="209">
        <f>Schedules!O19*-1</f>
        <v>-5306.6937911382593</v>
      </c>
      <c r="P14" s="209">
        <f>Schedules!P19*-1</f>
        <v>-7634.4276350365817</v>
      </c>
      <c r="Q14" s="209">
        <f>Schedules!Q19*-1</f>
        <v>-10397.451545296224</v>
      </c>
      <c r="R14" s="209">
        <f>Schedules!R19*-1</f>
        <v>-13620.444293478578</v>
      </c>
      <c r="S14" s="209">
        <f>Schedules!S19*-1</f>
        <v>-17319.33494282949</v>
      </c>
      <c r="T14" s="209">
        <f>Schedules!T19*-1</f>
        <v>-21499.341170213756</v>
      </c>
      <c r="U14" s="209">
        <f>Schedules!U19*-1</f>
        <v>-26153.167318979078</v>
      </c>
      <c r="W14" s="44">
        <f>_xlfn.RRI($P$8-$K$8,K14,P14)</f>
        <v>0.41005660461701288</v>
      </c>
      <c r="X14" s="44">
        <f>_xlfn.RRI($P$8-$M$8,M14,P14)</f>
        <v>0.61078813704347645</v>
      </c>
    </row>
    <row r="15" spans="1:24">
      <c r="B15" s="72" t="s">
        <v>78</v>
      </c>
      <c r="C15" s="39"/>
      <c r="D15" s="39"/>
      <c r="E15" s="204">
        <f>E13+E14</f>
        <v>7797</v>
      </c>
      <c r="F15" s="204">
        <f t="shared" ref="F15:P15" si="1">F13+F14</f>
        <v>9131.2999999999993</v>
      </c>
      <c r="G15" s="204">
        <f t="shared" si="1"/>
        <v>11577.8</v>
      </c>
      <c r="H15" s="204">
        <f>H13+H14</f>
        <v>11902.9</v>
      </c>
      <c r="I15" s="204">
        <f t="shared" si="1"/>
        <v>12505.7</v>
      </c>
      <c r="J15" s="204">
        <f t="shared" si="1"/>
        <v>13998.599999999999</v>
      </c>
      <c r="K15" s="204">
        <f t="shared" si="1"/>
        <v>16483.100000000002</v>
      </c>
      <c r="L15" s="204">
        <f t="shared" si="1"/>
        <v>18985.400000000001</v>
      </c>
      <c r="M15" s="204">
        <f t="shared" si="1"/>
        <v>20314.836893</v>
      </c>
      <c r="N15" s="204">
        <f t="shared" si="1"/>
        <v>21873.986647708552</v>
      </c>
      <c r="O15" s="204">
        <f t="shared" si="1"/>
        <v>23320.110206910329</v>
      </c>
      <c r="P15" s="204">
        <f t="shared" si="1"/>
        <v>24603.852164537253</v>
      </c>
      <c r="Q15" s="204">
        <f>Q13+Q14</f>
        <v>25673.49917559266</v>
      </c>
      <c r="R15" s="204">
        <f>R13+R14</f>
        <v>26476.539827157518</v>
      </c>
      <c r="S15" s="204">
        <f>S13+S14</f>
        <v>26961.483063765547</v>
      </c>
      <c r="T15" s="204">
        <f>T13+T14</f>
        <v>27079.879098592904</v>
      </c>
      <c r="U15" s="204">
        <f>U13+U14</f>
        <v>26788.466929966427</v>
      </c>
      <c r="V15" s="204"/>
      <c r="W15" s="44">
        <f>_xlfn.RRI($P$8-$K$8,K15,P15)</f>
        <v>8.3410008048530493E-2</v>
      </c>
      <c r="X15" s="44">
        <f>_xlfn.RRI($P$8-$M$8,M15,P15)</f>
        <v>6.5933037756331636E-2</v>
      </c>
    </row>
    <row r="16" spans="1:24">
      <c r="B16" s="241" t="s">
        <v>528</v>
      </c>
      <c r="C16" s="6"/>
      <c r="D16" s="6"/>
      <c r="E16" s="242">
        <f>E15/E13</f>
        <v>0.91869918699186992</v>
      </c>
      <c r="F16" s="242">
        <f t="shared" ref="F16:P16" si="2">F15/F13</f>
        <v>0.92854382753711606</v>
      </c>
      <c r="G16" s="242">
        <f t="shared" si="2"/>
        <v>0.92217381261499487</v>
      </c>
      <c r="H16" s="242">
        <f t="shared" si="2"/>
        <v>0.92500718843012453</v>
      </c>
      <c r="I16" s="242">
        <f t="shared" si="2"/>
        <v>0.92226966673303978</v>
      </c>
      <c r="J16" s="242">
        <f t="shared" si="2"/>
        <v>0.93267417766554961</v>
      </c>
      <c r="K16" s="242">
        <f t="shared" si="2"/>
        <v>0.92328331288824672</v>
      </c>
      <c r="L16" s="242">
        <f t="shared" si="2"/>
        <v>0.92519638993391939</v>
      </c>
      <c r="M16" s="242">
        <f>M15/M13</f>
        <v>0.91749999999999987</v>
      </c>
      <c r="N16" s="242">
        <f t="shared" si="2"/>
        <v>0.86606249999999985</v>
      </c>
      <c r="O16" s="242">
        <f t="shared" si="2"/>
        <v>0.81462499999999993</v>
      </c>
      <c r="P16" s="242">
        <f t="shared" si="2"/>
        <v>0.76318749999999991</v>
      </c>
      <c r="Q16" s="242">
        <f>Q15/Q13</f>
        <v>0.71174999999999999</v>
      </c>
      <c r="R16" s="242">
        <f>R15/R13</f>
        <v>0.66031249999999997</v>
      </c>
      <c r="S16" s="242">
        <f>S15/S13</f>
        <v>0.60887499999999983</v>
      </c>
      <c r="T16" s="242">
        <f>T15/T13</f>
        <v>0.55743749999999981</v>
      </c>
      <c r="U16" s="242">
        <f>U15/U13</f>
        <v>0.50600000000000001</v>
      </c>
      <c r="V16" s="238"/>
      <c r="W16" s="44"/>
      <c r="X16" s="44"/>
    </row>
    <row r="17" spans="2:24">
      <c r="B17" s="74"/>
      <c r="I17" s="51"/>
      <c r="J17" s="51"/>
      <c r="K17" s="51"/>
      <c r="L17" s="48"/>
      <c r="M17" s="48"/>
      <c r="N17" s="48"/>
      <c r="O17" s="48"/>
      <c r="P17" s="48"/>
      <c r="Q17" s="48"/>
      <c r="R17" s="48"/>
      <c r="S17" s="48"/>
      <c r="T17" s="48"/>
      <c r="U17" s="48"/>
    </row>
    <row r="18" spans="2:24">
      <c r="B18" s="75" t="s">
        <v>79</v>
      </c>
      <c r="I18" s="51"/>
      <c r="J18" s="51"/>
      <c r="K18" s="51"/>
      <c r="L18" s="48"/>
      <c r="M18" s="48"/>
      <c r="N18" s="48"/>
      <c r="O18" s="48"/>
      <c r="P18" s="48"/>
      <c r="Q18" s="48"/>
      <c r="R18" s="48"/>
      <c r="S18" s="48"/>
      <c r="T18" s="48"/>
      <c r="U18" s="48"/>
    </row>
    <row r="19" spans="2:24">
      <c r="B19" s="62" t="str">
        <f>Schedules!B24</f>
        <v>Employee Benefit Expenses</v>
      </c>
      <c r="E19" s="209">
        <f>Schedules!E26</f>
        <v>537.20000000000005</v>
      </c>
      <c r="F19" s="209">
        <f>Schedules!F26</f>
        <v>588</v>
      </c>
      <c r="G19" s="209">
        <f>Schedules!G26</f>
        <v>767.2</v>
      </c>
      <c r="H19" s="209">
        <f>Schedules!H26</f>
        <v>854</v>
      </c>
      <c r="I19" s="209">
        <f>Schedules!I26</f>
        <v>869.2</v>
      </c>
      <c r="J19" s="209">
        <f>Schedules!J26</f>
        <v>913.5</v>
      </c>
      <c r="K19" s="209">
        <f>Schedules!K26</f>
        <v>977.8</v>
      </c>
      <c r="L19" s="209">
        <f>Schedules!L26</f>
        <v>1064.4000000000001</v>
      </c>
      <c r="M19" s="209">
        <f>Schedules!M26</f>
        <v>1335.1331494800002</v>
      </c>
      <c r="N19" s="209">
        <f>Schedules!N26</f>
        <v>1522.9863836118361</v>
      </c>
      <c r="O19" s="209">
        <f>Schedules!O26</f>
        <v>1726.19628108233</v>
      </c>
      <c r="P19" s="209">
        <f>Schedules!P26</f>
        <v>1943.968271914302</v>
      </c>
      <c r="Q19" s="209">
        <f>Schedules!Q26</f>
        <v>2175.0783284695995</v>
      </c>
      <c r="R19" s="209">
        <f>Schedules!R26</f>
        <v>2417.8481424743563</v>
      </c>
      <c r="S19" s="209">
        <f>Schedules!S26</f>
        <v>2670.1333257976808</v>
      </c>
      <c r="T19" s="209">
        <f>Schedules!T26</f>
        <v>2929.3269822090415</v>
      </c>
      <c r="U19" s="209">
        <f>Schedules!U26</f>
        <v>3192.3805452114138</v>
      </c>
      <c r="V19" s="208"/>
      <c r="W19" s="44">
        <f t="shared" ref="W19:W24" si="3">_xlfn.RRI($P$8-$K$8,K19,P19)</f>
        <v>0.14732862195743701</v>
      </c>
      <c r="X19" s="44">
        <f t="shared" ref="X19:X24" si="4">_xlfn.RRI($P$8-$M$8,M19,P19)</f>
        <v>0.13341302144150702</v>
      </c>
    </row>
    <row r="20" spans="2:24">
      <c r="B20" s="62" t="str">
        <f>Schedules!B29</f>
        <v>Power &amp; Fuel Expenses</v>
      </c>
      <c r="E20" s="209">
        <f>Schedules!E31</f>
        <v>1444</v>
      </c>
      <c r="F20" s="209">
        <f>Schedules!F31</f>
        <v>1980</v>
      </c>
      <c r="G20" s="209">
        <f>Schedules!G31</f>
        <v>3093</v>
      </c>
      <c r="H20" s="209">
        <f>Schedules!H31</f>
        <v>2703</v>
      </c>
      <c r="I20" s="209">
        <f>Schedules!I31</f>
        <v>2398</v>
      </c>
      <c r="J20" s="209">
        <f>Schedules!J31</f>
        <v>3620</v>
      </c>
      <c r="K20" s="209">
        <f>Schedules!K31</f>
        <v>6081</v>
      </c>
      <c r="L20" s="209">
        <f>Schedules!L31</f>
        <v>6345.2</v>
      </c>
      <c r="M20" s="209">
        <f>Schedules!M31</f>
        <v>5247.5382491999999</v>
      </c>
      <c r="N20" s="209">
        <f>Schedules!N31</f>
        <v>5985.8668808624407</v>
      </c>
      <c r="O20" s="209">
        <f>Schedules!O31</f>
        <v>6784.5525475375152</v>
      </c>
      <c r="P20" s="209">
        <f>Schedules!P31</f>
        <v>7640.4723124989978</v>
      </c>
      <c r="Q20" s="209">
        <f>Schedules!Q31</f>
        <v>8548.8153208506646</v>
      </c>
      <c r="R20" s="209">
        <f>Schedules!R31</f>
        <v>9502.9852365907536</v>
      </c>
      <c r="S20" s="209">
        <f>Schedules!S31</f>
        <v>10494.553867563023</v>
      </c>
      <c r="T20" s="209">
        <f>Schedules!T31</f>
        <v>11513.275203707179</v>
      </c>
      <c r="U20" s="209">
        <f>Schedules!U31</f>
        <v>12547.167317000085</v>
      </c>
      <c r="V20" s="208"/>
      <c r="W20" s="44">
        <f t="shared" si="3"/>
        <v>4.6716428450478853E-2</v>
      </c>
      <c r="X20" s="44">
        <f t="shared" si="4"/>
        <v>0.13341302144150702</v>
      </c>
    </row>
    <row r="21" spans="2:24">
      <c r="B21" s="64" t="str">
        <f>Schedules!B34</f>
        <v>Operating &amp; Direct Expenses</v>
      </c>
      <c r="E21" s="209">
        <f>Schedules!E36</f>
        <v>1036</v>
      </c>
      <c r="F21" s="209">
        <f>Schedules!F36</f>
        <v>1092</v>
      </c>
      <c r="G21" s="209">
        <f>Schedules!G36</f>
        <v>1280</v>
      </c>
      <c r="H21" s="209">
        <f>Schedules!H36</f>
        <v>1303</v>
      </c>
      <c r="I21" s="209">
        <f>Schedules!I36</f>
        <v>1335</v>
      </c>
      <c r="J21" s="209">
        <f>Schedules!J36</f>
        <v>1703</v>
      </c>
      <c r="K21" s="209">
        <f>Schedules!K36</f>
        <v>1893</v>
      </c>
      <c r="L21" s="209">
        <f>Schedules!L36</f>
        <v>2050</v>
      </c>
      <c r="M21" s="209">
        <f>Schedules!M36</f>
        <v>2364.7134388800005</v>
      </c>
      <c r="N21" s="209">
        <f>Schedules!N36</f>
        <v>2697.4286197304164</v>
      </c>
      <c r="O21" s="209">
        <f>Schedules!O36</f>
        <v>3057.3426669915893</v>
      </c>
      <c r="P21" s="209">
        <f>Schedules!P36</f>
        <v>3443.0482825944855</v>
      </c>
      <c r="Q21" s="209">
        <f>Schedules!Q36</f>
        <v>3852.3775369909331</v>
      </c>
      <c r="R21" s="209">
        <f>Schedules!R36</f>
        <v>4282.357904083935</v>
      </c>
      <c r="S21" s="209">
        <f>Schedules!S36</f>
        <v>4729.1913631043499</v>
      </c>
      <c r="T21" s="209">
        <f>Schedules!T36</f>
        <v>5188.2607247085516</v>
      </c>
      <c r="U21" s="209">
        <f>Schedules!U36</f>
        <v>5654.1665377873805</v>
      </c>
      <c r="V21" s="208"/>
      <c r="W21" s="44">
        <f t="shared" si="3"/>
        <v>0.12708974887140623</v>
      </c>
      <c r="X21" s="44">
        <f t="shared" si="4"/>
        <v>0.13341302144150702</v>
      </c>
    </row>
    <row r="22" spans="2:24">
      <c r="B22" s="62" t="str">
        <f>Schedules!B39</f>
        <v>Selling &amp; Distribution Expenses</v>
      </c>
      <c r="E22" s="209">
        <f>Schedules!E41</f>
        <v>2097</v>
      </c>
      <c r="F22" s="209">
        <f>Schedules!F41</f>
        <v>2730</v>
      </c>
      <c r="G22" s="209">
        <f>Schedules!G41</f>
        <v>3166</v>
      </c>
      <c r="H22" s="209">
        <f>Schedules!H41</f>
        <v>2941</v>
      </c>
      <c r="I22" s="209">
        <f>Schedules!I41</f>
        <v>3425</v>
      </c>
      <c r="J22" s="209">
        <f>Schedules!J41</f>
        <v>3695</v>
      </c>
      <c r="K22" s="209">
        <f>Schedules!K41</f>
        <v>4191</v>
      </c>
      <c r="L22" s="209">
        <f>Schedules!L41</f>
        <v>4607.3999999999996</v>
      </c>
      <c r="M22" s="209">
        <f>Schedules!M41</f>
        <v>5433.5269466400005</v>
      </c>
      <c r="N22" s="209">
        <f>Schedules!N41</f>
        <v>6198.0241880322492</v>
      </c>
      <c r="O22" s="209">
        <f>Schedules!O41</f>
        <v>7025.0177011211235</v>
      </c>
      <c r="P22" s="209">
        <f>Schedules!P41</f>
        <v>7911.2738628154184</v>
      </c>
      <c r="Q22" s="209">
        <f>Schedules!Q41</f>
        <v>8851.8113069061328</v>
      </c>
      <c r="R22" s="209">
        <f>Schedules!R41</f>
        <v>9839.7999032040971</v>
      </c>
      <c r="S22" s="209">
        <f>Schedules!S41</f>
        <v>10866.512738818423</v>
      </c>
      <c r="T22" s="209">
        <f>Schedules!T41</f>
        <v>11921.340653965155</v>
      </c>
      <c r="U22" s="209">
        <f>Schedules!U41</f>
        <v>12991.877044691228</v>
      </c>
      <c r="V22" s="208"/>
      <c r="W22" s="44">
        <f t="shared" si="3"/>
        <v>0.13549637359502209</v>
      </c>
      <c r="X22" s="44">
        <f t="shared" si="4"/>
        <v>0.13341302144150702</v>
      </c>
    </row>
    <row r="23" spans="2:24">
      <c r="B23" s="62" t="str">
        <f>Schedules!B45</f>
        <v>Other Expenses</v>
      </c>
      <c r="E23" s="209">
        <f>Schedules!E47</f>
        <v>315.10000000000002</v>
      </c>
      <c r="F23" s="209">
        <f>Schedules!F47</f>
        <v>269</v>
      </c>
      <c r="G23" s="209">
        <f>Schedules!G47</f>
        <v>476.29999999999995</v>
      </c>
      <c r="H23" s="209">
        <f>Schedules!H47</f>
        <v>346.70000000000005</v>
      </c>
      <c r="I23" s="209">
        <f>Schedules!I47</f>
        <v>398.6</v>
      </c>
      <c r="J23" s="209">
        <f>Schedules!J47</f>
        <v>363</v>
      </c>
      <c r="K23" s="209">
        <f>Schedules!K47</f>
        <v>386.4</v>
      </c>
      <c r="L23" s="209">
        <f>Schedules!L47</f>
        <v>431.5</v>
      </c>
      <c r="M23" s="209">
        <f>Schedules!M47</f>
        <v>624.39062711999998</v>
      </c>
      <c r="N23" s="209">
        <f>Schedules!N47</f>
        <v>712.2423883557841</v>
      </c>
      <c r="O23" s="209">
        <f>Schedules!O47</f>
        <v>807.27587274497012</v>
      </c>
      <c r="P23" s="209">
        <f>Schedules!P47</f>
        <v>909.11949034798204</v>
      </c>
      <c r="Q23" s="209">
        <f>Schedules!Q47</f>
        <v>1017.2008103290665</v>
      </c>
      <c r="R23" s="209">
        <f>Schedules!R47</f>
        <v>1130.7349522019379</v>
      </c>
      <c r="S23" s="209">
        <f>Schedules!S47</f>
        <v>1248.7190677859801</v>
      </c>
      <c r="T23" s="209">
        <f>Schedules!T47</f>
        <v>1369.9340115803477</v>
      </c>
      <c r="U23" s="209">
        <f>Schedules!U47</f>
        <v>1492.9540858202631</v>
      </c>
      <c r="V23" s="208"/>
      <c r="W23" s="44">
        <f t="shared" si="3"/>
        <v>0.18663395184469356</v>
      </c>
      <c r="X23" s="44">
        <f t="shared" si="4"/>
        <v>0.13341302144150702</v>
      </c>
    </row>
    <row r="24" spans="2:24">
      <c r="B24" s="76" t="s">
        <v>80</v>
      </c>
      <c r="C24" s="72"/>
      <c r="D24" s="72"/>
      <c r="E24" s="204">
        <f t="shared" ref="E24:P24" si="5">E15-SUM(E19:E23)</f>
        <v>2367.6999999999998</v>
      </c>
      <c r="F24" s="204">
        <f t="shared" si="5"/>
        <v>2472.2999999999993</v>
      </c>
      <c r="G24" s="204">
        <f t="shared" si="5"/>
        <v>2795.2999999999993</v>
      </c>
      <c r="H24" s="204">
        <f t="shared" si="5"/>
        <v>3755.2</v>
      </c>
      <c r="I24" s="204">
        <f t="shared" si="5"/>
        <v>4079.9000000000015</v>
      </c>
      <c r="J24" s="204">
        <f t="shared" si="5"/>
        <v>3704.0999999999985</v>
      </c>
      <c r="K24" s="204">
        <f>K15-SUM(K19:K23)</f>
        <v>2953.9000000000033</v>
      </c>
      <c r="L24" s="236">
        <f>L15-SUM(L19:L23)</f>
        <v>4486.9000000000015</v>
      </c>
      <c r="M24" s="236">
        <f t="shared" si="5"/>
        <v>5309.5344816799989</v>
      </c>
      <c r="N24" s="236">
        <f t="shared" si="5"/>
        <v>4757.4381871158221</v>
      </c>
      <c r="O24" s="236">
        <f t="shared" si="5"/>
        <v>3919.7251374328007</v>
      </c>
      <c r="P24" s="236">
        <f t="shared" si="5"/>
        <v>2755.9699443660684</v>
      </c>
      <c r="Q24" s="236">
        <f>Q15-SUM(Q19:Q23)</f>
        <v>1228.2158720462648</v>
      </c>
      <c r="R24" s="236">
        <f>R15-SUM(R19:R23)</f>
        <v>-697.18631139756326</v>
      </c>
      <c r="S24" s="236">
        <f>S15-SUM(S19:S23)</f>
        <v>-3047.6272993039092</v>
      </c>
      <c r="T24" s="236">
        <f>T15-SUM(T19:T23)</f>
        <v>-5842.2584775773685</v>
      </c>
      <c r="U24" s="236">
        <f>U15-SUM(U19:U23)</f>
        <v>-9090.0786005439404</v>
      </c>
      <c r="V24" s="72"/>
      <c r="W24" s="237">
        <f t="shared" si="3"/>
        <v>-1.3775612473012955E-2</v>
      </c>
      <c r="X24" s="237">
        <f t="shared" si="4"/>
        <v>-0.19633940024518326</v>
      </c>
    </row>
    <row r="25" spans="2:24">
      <c r="B25" s="77" t="s">
        <v>529</v>
      </c>
      <c r="C25" s="78"/>
      <c r="D25" s="78"/>
      <c r="E25" s="239">
        <f>E24/E13</f>
        <v>0.27897961588311532</v>
      </c>
      <c r="F25" s="239">
        <f t="shared" ref="F25:P25" si="6">F24/F13</f>
        <v>0.25140329469188522</v>
      </c>
      <c r="G25" s="239">
        <f t="shared" si="6"/>
        <v>0.22264613816119597</v>
      </c>
      <c r="H25" s="239">
        <f t="shared" si="6"/>
        <v>0.29182694923025515</v>
      </c>
      <c r="I25" s="239">
        <f t="shared" si="6"/>
        <v>0.30088423785186996</v>
      </c>
      <c r="J25" s="239">
        <f t="shared" si="6"/>
        <v>0.24679028056312496</v>
      </c>
      <c r="K25" s="239">
        <f t="shared" si="6"/>
        <v>0.16545956634010558</v>
      </c>
      <c r="L25" s="239">
        <f t="shared" si="6"/>
        <v>0.2186555817625388</v>
      </c>
      <c r="M25" s="239">
        <f t="shared" si="6"/>
        <v>0.23979999999999993</v>
      </c>
      <c r="N25" s="239">
        <f t="shared" si="6"/>
        <v>0.18836249999999971</v>
      </c>
      <c r="O25" s="239">
        <f t="shared" si="6"/>
        <v>0.13692499999999991</v>
      </c>
      <c r="P25" s="239">
        <f t="shared" si="6"/>
        <v>8.5487500000000008E-2</v>
      </c>
      <c r="Q25" s="239">
        <f>Q24/Q13</f>
        <v>3.4049999999999955E-2</v>
      </c>
      <c r="R25" s="239">
        <f>R24/R13</f>
        <v>-1.738750000000008E-2</v>
      </c>
      <c r="S25" s="239">
        <f>S24/S13</f>
        <v>-6.8825000000000136E-2</v>
      </c>
      <c r="T25" s="239">
        <f>T24/T13</f>
        <v>-0.12026250000000015</v>
      </c>
      <c r="U25" s="239">
        <f>U24/U13</f>
        <v>-0.17169999999999994</v>
      </c>
      <c r="V25" s="78"/>
      <c r="W25" s="240"/>
      <c r="X25" s="240"/>
    </row>
    <row r="26" spans="2:24">
      <c r="B26" s="77"/>
      <c r="I26" s="51"/>
      <c r="J26" s="51"/>
      <c r="K26" s="51"/>
      <c r="L26" s="48"/>
      <c r="M26" s="48"/>
      <c r="N26" s="48"/>
      <c r="O26" s="48"/>
      <c r="P26" s="48"/>
      <c r="Q26" s="48"/>
      <c r="R26" s="48"/>
      <c r="S26" s="48"/>
      <c r="T26" s="48"/>
      <c r="U26" s="48"/>
    </row>
    <row r="27" spans="2:24">
      <c r="B27" s="77" t="s">
        <v>81</v>
      </c>
      <c r="E27" s="209">
        <f>'Income Statement'!F61</f>
        <v>1215</v>
      </c>
      <c r="F27" s="209">
        <f>'Income Statement'!G61</f>
        <v>899</v>
      </c>
      <c r="G27" s="209">
        <f>'Income Statement'!H61</f>
        <v>1472</v>
      </c>
      <c r="H27" s="209">
        <f>'Income Statement'!I61</f>
        <v>1808</v>
      </c>
      <c r="I27" s="209">
        <f>'Income Statement'!J61</f>
        <v>1262</v>
      </c>
      <c r="J27" s="209">
        <f>'Income Statement'!K61</f>
        <v>1146</v>
      </c>
      <c r="K27" s="209">
        <f>'Income Statement'!L61</f>
        <v>1661</v>
      </c>
      <c r="L27" s="209">
        <f>'Income Statement'!M61</f>
        <v>1897</v>
      </c>
      <c r="M27" s="209">
        <f>Schedules!M111</f>
        <v>2493.0464428571427</v>
      </c>
      <c r="N27" s="209">
        <f>Schedules!N111</f>
        <v>3088.1892999999995</v>
      </c>
      <c r="O27" s="209">
        <f>Schedules!O111</f>
        <v>3683.3321571428564</v>
      </c>
      <c r="P27" s="209">
        <f>Schedules!P111</f>
        <v>4229.2845380952367</v>
      </c>
      <c r="Q27" s="209">
        <f>Schedules!Q111</f>
        <v>4726.0464428571413</v>
      </c>
      <c r="R27" s="209">
        <f>Schedules!R111</f>
        <v>5173.6178714285697</v>
      </c>
      <c r="S27" s="209">
        <f>Schedules!S111</f>
        <v>5571.998823809522</v>
      </c>
      <c r="T27" s="209">
        <f>Schedules!T111</f>
        <v>5921.1892999999982</v>
      </c>
      <c r="U27" s="209">
        <f>Schedules!U111</f>
        <v>6221.1892999999982</v>
      </c>
      <c r="W27" s="44">
        <f>_xlfn.RRI($P$8-$K$8,K27,P27)</f>
        <v>0.20553397508419935</v>
      </c>
      <c r="X27" s="44">
        <f>_xlfn.RRI($P$8-$M$8,M27,P27)</f>
        <v>0.1926477097361321</v>
      </c>
    </row>
    <row r="28" spans="2:24">
      <c r="B28" s="76" t="s">
        <v>82</v>
      </c>
      <c r="C28" s="76"/>
      <c r="D28" s="76"/>
      <c r="E28" s="204">
        <f t="shared" ref="E28:O28" si="7">E24-E27</f>
        <v>1152.6999999999998</v>
      </c>
      <c r="F28" s="204">
        <f t="shared" si="7"/>
        <v>1573.2999999999993</v>
      </c>
      <c r="G28" s="204">
        <f t="shared" si="7"/>
        <v>1323.2999999999993</v>
      </c>
      <c r="H28" s="204">
        <f t="shared" si="7"/>
        <v>1947.1999999999998</v>
      </c>
      <c r="I28" s="204">
        <f t="shared" si="7"/>
        <v>2817.9000000000015</v>
      </c>
      <c r="J28" s="204">
        <f t="shared" si="7"/>
        <v>2558.0999999999985</v>
      </c>
      <c r="K28" s="204">
        <f t="shared" si="7"/>
        <v>1292.9000000000033</v>
      </c>
      <c r="L28" s="236">
        <f t="shared" si="7"/>
        <v>2589.9000000000015</v>
      </c>
      <c r="M28" s="236">
        <f t="shared" si="7"/>
        <v>2816.4880388228562</v>
      </c>
      <c r="N28" s="236">
        <f t="shared" si="7"/>
        <v>1669.2488871158225</v>
      </c>
      <c r="O28" s="236">
        <f t="shared" si="7"/>
        <v>236.39298028994426</v>
      </c>
      <c r="P28" s="236">
        <f t="shared" ref="P28:U28" si="8">P24-P27</f>
        <v>-1473.3145937291683</v>
      </c>
      <c r="Q28" s="236">
        <f t="shared" si="8"/>
        <v>-3497.8305708108765</v>
      </c>
      <c r="R28" s="236">
        <f t="shared" si="8"/>
        <v>-5870.804182826133</v>
      </c>
      <c r="S28" s="236">
        <f t="shared" si="8"/>
        <v>-8619.6261231134304</v>
      </c>
      <c r="T28" s="236">
        <f t="shared" si="8"/>
        <v>-11763.447777577367</v>
      </c>
      <c r="U28" s="236">
        <f t="shared" si="8"/>
        <v>-15311.267900543939</v>
      </c>
      <c r="W28" s="44" t="e">
        <f>_xlfn.RRI(5,K28,P28)</f>
        <v>#NUM!</v>
      </c>
      <c r="X28" s="44" t="e">
        <f>_xlfn.RRI($P$8-$M$8,M28,P28)</f>
        <v>#NUM!</v>
      </c>
    </row>
    <row r="29" spans="2:24">
      <c r="B29" s="77" t="s">
        <v>133</v>
      </c>
      <c r="C29" s="77"/>
      <c r="D29" s="77"/>
      <c r="E29" s="239">
        <f>E28/E13</f>
        <v>0.13581948862966889</v>
      </c>
      <c r="F29" s="239">
        <f t="shared" ref="F29:P29" si="9">F28/F13</f>
        <v>0.15998576367703876</v>
      </c>
      <c r="G29" s="239">
        <f t="shared" si="9"/>
        <v>0.10540107846338874</v>
      </c>
      <c r="H29" s="239">
        <f t="shared" si="9"/>
        <v>0.151322282579131</v>
      </c>
      <c r="I29" s="239">
        <f t="shared" si="9"/>
        <v>0.2078143321754907</v>
      </c>
      <c r="J29" s="239">
        <f t="shared" si="9"/>
        <v>0.17043660179491102</v>
      </c>
      <c r="K29" s="239">
        <f t="shared" si="9"/>
        <v>7.2420418200048353E-2</v>
      </c>
      <c r="L29" s="239">
        <f t="shared" si="9"/>
        <v>0.1262109900391806</v>
      </c>
      <c r="M29" s="239">
        <f t="shared" si="9"/>
        <v>0.12720396374486265</v>
      </c>
      <c r="N29" s="239">
        <f t="shared" si="9"/>
        <v>6.6091009726806746E-2</v>
      </c>
      <c r="O29" s="239">
        <f t="shared" si="9"/>
        <v>8.2577496358328551E-3</v>
      </c>
      <c r="P29" s="239">
        <f t="shared" si="9"/>
        <v>-4.5700781893103504E-2</v>
      </c>
      <c r="Q29" s="239">
        <f>Q28/Q13</f>
        <v>-9.6970844984833285E-2</v>
      </c>
      <c r="R29" s="239">
        <f>R28/R13</f>
        <v>-0.14641510606291952</v>
      </c>
      <c r="S29" s="239">
        <f>S28/S13</f>
        <v>-0.19465824054627112</v>
      </c>
      <c r="T29" s="239">
        <f>T28/T13</f>
        <v>-0.24214978570026219</v>
      </c>
      <c r="U29" s="239">
        <f>U28/U13</f>
        <v>-0.28921033734142632</v>
      </c>
      <c r="W29" s="44"/>
      <c r="X29" s="44"/>
    </row>
    <row r="30" spans="2:24">
      <c r="B30" s="77"/>
      <c r="C30" s="77"/>
      <c r="D30" s="77"/>
      <c r="E30" s="289"/>
      <c r="F30" s="289"/>
      <c r="G30" s="289"/>
      <c r="H30" s="289"/>
      <c r="I30" s="289"/>
      <c r="J30" s="289"/>
      <c r="K30" s="289"/>
      <c r="L30" s="289"/>
      <c r="M30" s="289"/>
      <c r="N30" s="289"/>
      <c r="O30" s="289"/>
      <c r="P30" s="289"/>
      <c r="Q30" s="289"/>
      <c r="R30" s="289"/>
      <c r="S30" s="289"/>
      <c r="T30" s="289"/>
      <c r="U30" s="289"/>
      <c r="W30" s="44"/>
      <c r="X30" s="44"/>
    </row>
    <row r="31" spans="2:24">
      <c r="B31" s="77"/>
      <c r="I31" s="51"/>
      <c r="J31" s="51"/>
      <c r="K31" s="51"/>
      <c r="L31" s="48"/>
      <c r="M31" s="48"/>
      <c r="N31" s="48"/>
      <c r="O31" s="48"/>
      <c r="P31" s="48"/>
      <c r="Q31" s="48"/>
      <c r="R31" s="48"/>
      <c r="S31" s="48"/>
      <c r="T31" s="48"/>
      <c r="U31" s="48"/>
    </row>
    <row r="32" spans="2:24">
      <c r="B32" s="77" t="s">
        <v>83</v>
      </c>
      <c r="E32" s="209">
        <f>'Income Statement'!F67</f>
        <v>129.9</v>
      </c>
      <c r="F32" s="209">
        <f>'Income Statement'!G67</f>
        <v>135.4</v>
      </c>
      <c r="G32" s="209">
        <f>'Income Statement'!H67</f>
        <v>247.4</v>
      </c>
      <c r="H32" s="209">
        <f>'Income Statement'!I67</f>
        <v>291.8</v>
      </c>
      <c r="I32" s="209">
        <f>'Income Statement'!J67</f>
        <v>251.3</v>
      </c>
      <c r="J32" s="209">
        <f>'Income Statement'!K67</f>
        <v>216.5</v>
      </c>
      <c r="K32" s="209">
        <f>'Income Statement'!L67</f>
        <v>263.3</v>
      </c>
      <c r="L32" s="209">
        <f>'Income Statement'!M67</f>
        <v>558.29999999999995</v>
      </c>
      <c r="M32" s="209">
        <f>Schedules!M243</f>
        <v>120.96166811100001</v>
      </c>
      <c r="N32" s="209">
        <f>Schedules!N243</f>
        <v>156.68670546088174</v>
      </c>
      <c r="O32" s="209">
        <f>Schedules!O243</f>
        <v>174.53442406630458</v>
      </c>
      <c r="P32" s="209">
        <f>Schedules!P243</f>
        <v>193.765266717776</v>
      </c>
      <c r="Q32" s="209">
        <f>Schedules!Q243</f>
        <v>-0.6351705719919829</v>
      </c>
      <c r="R32" s="209">
        <f>Schedules!R243</f>
        <v>-219.28479090787056</v>
      </c>
      <c r="S32" s="209">
        <f>Schedules!S243</f>
        <v>-248.42480886830347</v>
      </c>
      <c r="T32" s="209">
        <f>Schedules!T243</f>
        <v>-278.50940565189143</v>
      </c>
      <c r="U32" s="209">
        <f>Schedules!U243</f>
        <v>-309.16338791418133</v>
      </c>
    </row>
    <row r="33" spans="1:24">
      <c r="B33" s="77" t="s">
        <v>646</v>
      </c>
      <c r="E33" s="209">
        <f>'Income Statement'!F76</f>
        <v>507.1</v>
      </c>
      <c r="F33" s="209">
        <f>'Income Statement'!G76</f>
        <v>389.5</v>
      </c>
      <c r="G33" s="209">
        <f>'Income Statement'!H76</f>
        <v>249.8</v>
      </c>
      <c r="H33" s="209">
        <f>'Income Statement'!I76</f>
        <v>277.89999999999998</v>
      </c>
      <c r="I33" s="209">
        <f>'Income Statement'!J76</f>
        <v>438.6</v>
      </c>
      <c r="J33" s="209">
        <f>'Income Statement'!K76</f>
        <v>548.40000000000009</v>
      </c>
      <c r="K33" s="209">
        <f>'Income Statement'!L76</f>
        <v>465.5</v>
      </c>
      <c r="L33" s="209">
        <f>'Income Statement'!M76</f>
        <v>623.09999999999991</v>
      </c>
      <c r="M33" s="209">
        <f>Schedules!M249</f>
        <v>863.5189524000001</v>
      </c>
      <c r="N33" s="209">
        <f>Schedules!N249</f>
        <v>985.01606900268018</v>
      </c>
      <c r="O33" s="209">
        <f>Schedules!O249</f>
        <v>1116.445355923895</v>
      </c>
      <c r="P33" s="209">
        <f>Schedules!P249</f>
        <v>1257.2929121833795</v>
      </c>
      <c r="Q33" s="209">
        <f>Schedules!Q249</f>
        <v>1406.7670781146664</v>
      </c>
      <c r="R33" s="209">
        <f>Schedules!R249</f>
        <v>1563.7823807048076</v>
      </c>
      <c r="S33" s="209">
        <f>Schedules!S249</f>
        <v>1726.9519022572065</v>
      </c>
      <c r="T33" s="209">
        <f>Schedules!T249</f>
        <v>1894.5895904834597</v>
      </c>
      <c r="U33" s="209">
        <f>Schedules!U249</f>
        <v>2064.7237357088748</v>
      </c>
    </row>
    <row r="34" spans="1:24">
      <c r="B34" s="76" t="s">
        <v>648</v>
      </c>
      <c r="C34" s="76"/>
      <c r="D34" s="76"/>
      <c r="E34" s="204">
        <f>E28-E32+E33</f>
        <v>1529.8999999999999</v>
      </c>
      <c r="F34" s="204">
        <f t="shared" ref="F34:P34" si="10">F28-F32+F33</f>
        <v>1827.3999999999992</v>
      </c>
      <c r="G34" s="204">
        <f t="shared" si="10"/>
        <v>1325.6999999999991</v>
      </c>
      <c r="H34" s="204">
        <f t="shared" si="10"/>
        <v>1933.2999999999997</v>
      </c>
      <c r="I34" s="204">
        <f t="shared" si="10"/>
        <v>3005.2000000000012</v>
      </c>
      <c r="J34" s="204">
        <f t="shared" si="10"/>
        <v>2889.9999999999986</v>
      </c>
      <c r="K34" s="204">
        <f t="shared" si="10"/>
        <v>1495.1000000000033</v>
      </c>
      <c r="L34" s="301">
        <f t="shared" si="10"/>
        <v>2654.7000000000016</v>
      </c>
      <c r="M34" s="301">
        <f t="shared" si="10"/>
        <v>3559.0453231118563</v>
      </c>
      <c r="N34" s="301">
        <f t="shared" si="10"/>
        <v>2497.5782506576211</v>
      </c>
      <c r="O34" s="301">
        <f t="shared" si="10"/>
        <v>1178.3039121475347</v>
      </c>
      <c r="P34" s="301">
        <f t="shared" si="10"/>
        <v>-409.78694826356491</v>
      </c>
      <c r="Q34" s="301">
        <f>Q28-Q32+Q33</f>
        <v>-2090.4283221242176</v>
      </c>
      <c r="R34" s="301">
        <f>R28-R32+R33</f>
        <v>-4087.7370112134545</v>
      </c>
      <c r="S34" s="301">
        <f>S28-S32+S33</f>
        <v>-6644.2494119879202</v>
      </c>
      <c r="T34" s="301">
        <f>T28-T32+T33</f>
        <v>-9590.348781442015</v>
      </c>
      <c r="U34" s="301">
        <f>U28-U32+U33</f>
        <v>-12937.380776920883</v>
      </c>
      <c r="V34" s="117"/>
      <c r="W34" s="44" t="e">
        <f>_xlfn.RRI($P$8-$K$8,K34,P34)</f>
        <v>#NUM!</v>
      </c>
      <c r="X34" s="44" t="e">
        <f>_xlfn.RRI($P$8-$M$8,M34,P34)</f>
        <v>#NUM!</v>
      </c>
    </row>
    <row r="35" spans="1:24">
      <c r="B35" s="77" t="s">
        <v>647</v>
      </c>
      <c r="E35" s="209">
        <f>'Income Statement'!F79</f>
        <v>0</v>
      </c>
      <c r="F35" s="209">
        <f>'Income Statement'!G79</f>
        <v>0</v>
      </c>
      <c r="G35" s="209">
        <f>'Income Statement'!H79*-1</f>
        <v>178.1</v>
      </c>
      <c r="H35" s="209">
        <f>'Income Statement'!I79</f>
        <v>0</v>
      </c>
      <c r="I35" s="209">
        <f>'Income Statement'!J79</f>
        <v>0</v>
      </c>
      <c r="J35" s="209">
        <f>'Income Statement'!K79</f>
        <v>0</v>
      </c>
      <c r="K35" s="209">
        <f>'Income Statement'!L79</f>
        <v>0</v>
      </c>
      <c r="L35" s="209">
        <f>'Income Statement'!M79</f>
        <v>0</v>
      </c>
      <c r="M35" s="209">
        <f>'Income Statement'!N79</f>
        <v>0</v>
      </c>
      <c r="N35" s="209">
        <f>'Income Statement'!O79</f>
        <v>0</v>
      </c>
      <c r="O35" s="209">
        <f>'Income Statement'!P79</f>
        <v>0</v>
      </c>
      <c r="P35" s="209">
        <f>'Income Statement'!Q79</f>
        <v>0</v>
      </c>
      <c r="Q35" s="209">
        <f>'Income Statement'!R79</f>
        <v>0</v>
      </c>
      <c r="R35" s="209">
        <f>'Income Statement'!S79</f>
        <v>0</v>
      </c>
      <c r="S35" s="209">
        <f>'Income Statement'!T79</f>
        <v>0</v>
      </c>
      <c r="T35" s="209">
        <f>'Income Statement'!U79</f>
        <v>0</v>
      </c>
      <c r="U35" s="209">
        <f>'Income Statement'!V79</f>
        <v>0</v>
      </c>
    </row>
    <row r="36" spans="1:24">
      <c r="B36" s="72" t="s">
        <v>86</v>
      </c>
      <c r="C36" s="40"/>
      <c r="D36" s="40"/>
      <c r="E36" s="204">
        <f>E34-E35</f>
        <v>1529.8999999999999</v>
      </c>
      <c r="F36" s="204">
        <f t="shared" ref="F36:P36" si="11">F34-F35</f>
        <v>1827.3999999999992</v>
      </c>
      <c r="G36" s="204">
        <f t="shared" si="11"/>
        <v>1147.5999999999992</v>
      </c>
      <c r="H36" s="204">
        <f t="shared" si="11"/>
        <v>1933.2999999999997</v>
      </c>
      <c r="I36" s="204">
        <f t="shared" si="11"/>
        <v>3005.2000000000012</v>
      </c>
      <c r="J36" s="204">
        <f t="shared" si="11"/>
        <v>2889.9999999999986</v>
      </c>
      <c r="K36" s="204">
        <f t="shared" si="11"/>
        <v>1495.1000000000033</v>
      </c>
      <c r="L36" s="301">
        <f t="shared" si="11"/>
        <v>2654.7000000000016</v>
      </c>
      <c r="M36" s="301">
        <f t="shared" si="11"/>
        <v>3559.0453231118563</v>
      </c>
      <c r="N36" s="301">
        <f t="shared" si="11"/>
        <v>2497.5782506576211</v>
      </c>
      <c r="O36" s="301">
        <f t="shared" si="11"/>
        <v>1178.3039121475347</v>
      </c>
      <c r="P36" s="301">
        <f t="shared" si="11"/>
        <v>-409.78694826356491</v>
      </c>
      <c r="Q36" s="301">
        <f>Q34-Q35</f>
        <v>-2090.4283221242176</v>
      </c>
      <c r="R36" s="301">
        <f>R34-R35</f>
        <v>-4087.7370112134545</v>
      </c>
      <c r="S36" s="301">
        <f>S34-S35</f>
        <v>-6644.2494119879202</v>
      </c>
      <c r="T36" s="301">
        <f>T34-T35</f>
        <v>-9590.348781442015</v>
      </c>
      <c r="U36" s="301">
        <f>U34-U35</f>
        <v>-12937.380776920883</v>
      </c>
      <c r="V36" s="40"/>
    </row>
    <row r="37" spans="1:24">
      <c r="B37" s="74"/>
      <c r="I37" s="51"/>
      <c r="J37" s="51"/>
      <c r="K37" s="51"/>
      <c r="L37" s="48"/>
      <c r="M37" s="48"/>
      <c r="N37" s="48"/>
      <c r="O37" s="48"/>
      <c r="P37" s="48"/>
      <c r="Q37" s="48"/>
      <c r="R37" s="48"/>
      <c r="S37" s="48"/>
      <c r="T37" s="48"/>
      <c r="U37" s="48"/>
    </row>
    <row r="38" spans="1:24">
      <c r="B38" s="62" t="s">
        <v>87</v>
      </c>
      <c r="E38" s="3">
        <f>'Income Statement'!F86</f>
        <v>191.5</v>
      </c>
      <c r="F38" s="3">
        <f>'Income Statement'!G86</f>
        <v>442.7</v>
      </c>
      <c r="G38" s="3">
        <f>'Income Statement'!H86</f>
        <v>131</v>
      </c>
      <c r="H38" s="3">
        <f>'Income Statement'!I86</f>
        <v>389.8</v>
      </c>
      <c r="I38" s="3">
        <f>'Income Statement'!J86</f>
        <v>714.2</v>
      </c>
      <c r="J38" s="3">
        <f>'Income Statement'!K86</f>
        <v>555.5</v>
      </c>
      <c r="K38" s="3">
        <f>'Income Statement'!L86</f>
        <v>225.7</v>
      </c>
      <c r="L38" s="3">
        <f>'Income Statement'!M86</f>
        <v>563</v>
      </c>
      <c r="M38" s="208">
        <f>Schedules!M138*-1</f>
        <v>889.76133077796408</v>
      </c>
      <c r="N38" s="208">
        <f>Schedules!N138*-1</f>
        <v>624.39456266440527</v>
      </c>
      <c r="O38" s="208">
        <f>Schedules!O138*-1</f>
        <v>294.57597803688367</v>
      </c>
      <c r="P38" s="208">
        <f>Schedules!P138*-1</f>
        <v>-102.44673706589123</v>
      </c>
      <c r="Q38" s="208">
        <f>Schedules!Q138*-1</f>
        <v>-522.60708053105441</v>
      </c>
      <c r="R38" s="208">
        <f>Schedules!R138*-1</f>
        <v>-1021.9342528033636</v>
      </c>
      <c r="S38" s="208">
        <f>Schedules!S138*-1</f>
        <v>-1661.0623529969801</v>
      </c>
      <c r="T38" s="208">
        <f>Schedules!T138*-1</f>
        <v>-2397.5871953605038</v>
      </c>
      <c r="U38" s="208">
        <f>Schedules!U138*-1</f>
        <v>-3234.3451942302208</v>
      </c>
      <c r="W38" s="44" t="e">
        <f>_xlfn.RRI($P$8-$K$8,K38,P38)</f>
        <v>#NUM!</v>
      </c>
      <c r="X38" s="44" t="e">
        <f>_xlfn.RRI($P$8-$M$8,M38,P38)</f>
        <v>#NUM!</v>
      </c>
    </row>
    <row r="39" spans="1:24" ht="15.75" thickBot="1">
      <c r="B39" s="79" t="s">
        <v>46</v>
      </c>
      <c r="C39" s="34"/>
      <c r="D39" s="34"/>
      <c r="E39" s="455">
        <f>E36-E38</f>
        <v>1338.3999999999999</v>
      </c>
      <c r="F39" s="455">
        <f t="shared" ref="F39:P39" si="12">F36-F38</f>
        <v>1384.6999999999991</v>
      </c>
      <c r="G39" s="455">
        <f t="shared" si="12"/>
        <v>1016.5999999999992</v>
      </c>
      <c r="H39" s="455">
        <f t="shared" si="12"/>
        <v>1543.4999999999998</v>
      </c>
      <c r="I39" s="455">
        <f t="shared" si="12"/>
        <v>2291.0000000000009</v>
      </c>
      <c r="J39" s="455">
        <f t="shared" si="12"/>
        <v>2334.4999999999986</v>
      </c>
      <c r="K39" s="455">
        <f t="shared" si="12"/>
        <v>1269.4000000000033</v>
      </c>
      <c r="L39" s="302">
        <f t="shared" si="12"/>
        <v>2091.7000000000016</v>
      </c>
      <c r="M39" s="302">
        <f t="shared" si="12"/>
        <v>2669.2839923338925</v>
      </c>
      <c r="N39" s="302">
        <f t="shared" si="12"/>
        <v>1873.1836879932157</v>
      </c>
      <c r="O39" s="302">
        <f t="shared" si="12"/>
        <v>883.72793411065095</v>
      </c>
      <c r="P39" s="302">
        <f t="shared" si="12"/>
        <v>-307.34021119767368</v>
      </c>
      <c r="Q39" s="302">
        <f>Q36-Q38</f>
        <v>-1567.8212415931632</v>
      </c>
      <c r="R39" s="302">
        <f>R36-R38</f>
        <v>-3065.802758410091</v>
      </c>
      <c r="S39" s="302">
        <f>S36-S38</f>
        <v>-4983.1870589909404</v>
      </c>
      <c r="T39" s="302">
        <f>T36-T38</f>
        <v>-7192.7615860815113</v>
      </c>
      <c r="U39" s="302">
        <f>U36-U38</f>
        <v>-9703.0355826906634</v>
      </c>
      <c r="W39" s="44" t="e">
        <f>_xlfn.RRI($P$8-$K$8,K39,P39)</f>
        <v>#NUM!</v>
      </c>
      <c r="X39" s="44" t="e">
        <f>_xlfn.RRI($P$8-$M$8,M39,P39)</f>
        <v>#NUM!</v>
      </c>
    </row>
    <row r="41" spans="1:24">
      <c r="B41" s="30" t="s">
        <v>88</v>
      </c>
      <c r="C41" s="30"/>
      <c r="D41" s="30"/>
      <c r="E41" s="30"/>
      <c r="F41" s="30"/>
      <c r="G41" s="30"/>
      <c r="H41" s="30"/>
      <c r="I41" s="30" t="str">
        <f>IFERROR(I13/#REF!-1,"NM")</f>
        <v>NM</v>
      </c>
      <c r="J41" s="32">
        <f>IFERROR(J13/I13-1,"NM")</f>
        <v>0.10689027043371158</v>
      </c>
      <c r="K41" s="32">
        <f t="shared" ref="K41:P41" si="13">IFERROR(K13/J13-1,"NM")</f>
        <v>0.18945839524022112</v>
      </c>
      <c r="L41" s="32">
        <f t="shared" si="13"/>
        <v>0.14942837778039175</v>
      </c>
      <c r="M41" s="32">
        <f>IFERROR(M13/L13-1,"NM")</f>
        <v>7.8999999999999959E-2</v>
      </c>
      <c r="N41" s="32">
        <f>IFERROR(N13/M13-1,"NM")</f>
        <v>0.14070000000000005</v>
      </c>
      <c r="O41" s="32">
        <f t="shared" si="13"/>
        <v>0.13342857142857145</v>
      </c>
      <c r="P41" s="32">
        <f t="shared" si="13"/>
        <v>0.12615714285714286</v>
      </c>
      <c r="Q41" s="32">
        <f>IFERROR(Q13/P13-1,"NM")</f>
        <v>0.11888571428571426</v>
      </c>
      <c r="R41" s="32">
        <f>IFERROR(R13/Q13-1,"NM")</f>
        <v>0.11161428571428567</v>
      </c>
      <c r="S41" s="32">
        <f>IFERROR(S13/R13-1,"NM")</f>
        <v>0.10434285714285707</v>
      </c>
      <c r="T41" s="32">
        <f>IFERROR(T13/S13-1,"NM")</f>
        <v>9.7071428571428697E-2</v>
      </c>
      <c r="U41" s="32">
        <f>IFERROR(U13/T13-1,"NM")</f>
        <v>8.9800000000000102E-2</v>
      </c>
    </row>
    <row r="42" spans="1:24">
      <c r="B42" s="30" t="s">
        <v>89</v>
      </c>
      <c r="C42" s="30"/>
      <c r="D42" s="30"/>
      <c r="E42" s="30"/>
      <c r="F42" s="30"/>
      <c r="G42" s="30"/>
      <c r="H42" s="30"/>
      <c r="I42" s="32">
        <f t="shared" ref="I42:P42" si="14">IFERROR(I15/I13,"NM")</f>
        <v>0.92226966673303978</v>
      </c>
      <c r="J42" s="32">
        <f t="shared" si="14"/>
        <v>0.93267417766554961</v>
      </c>
      <c r="K42" s="32">
        <f t="shared" si="14"/>
        <v>0.92328331288824672</v>
      </c>
      <c r="L42" s="32">
        <f t="shared" si="14"/>
        <v>0.92519638993391939</v>
      </c>
      <c r="M42" s="32">
        <f t="shared" si="14"/>
        <v>0.91749999999999987</v>
      </c>
      <c r="N42" s="32">
        <f t="shared" si="14"/>
        <v>0.86606249999999985</v>
      </c>
      <c r="O42" s="32">
        <f t="shared" si="14"/>
        <v>0.81462499999999993</v>
      </c>
      <c r="P42" s="32">
        <f t="shared" si="14"/>
        <v>0.76318749999999991</v>
      </c>
      <c r="Q42" s="32">
        <f>IFERROR(Q15/Q13,"NM")</f>
        <v>0.71174999999999999</v>
      </c>
      <c r="R42" s="32">
        <f>IFERROR(R15/R13,"NM")</f>
        <v>0.66031249999999997</v>
      </c>
      <c r="S42" s="32">
        <f>IFERROR(S15/S13,"NM")</f>
        <v>0.60887499999999983</v>
      </c>
      <c r="T42" s="32">
        <f>IFERROR(T15/T13,"NM")</f>
        <v>0.55743749999999981</v>
      </c>
      <c r="U42" s="32">
        <f>IFERROR(U15/U13,"NM")</f>
        <v>0.50600000000000001</v>
      </c>
    </row>
    <row r="43" spans="1:24">
      <c r="B43" s="30" t="s">
        <v>90</v>
      </c>
      <c r="C43" s="30"/>
      <c r="D43" s="30"/>
      <c r="E43" s="30"/>
      <c r="F43" s="30"/>
      <c r="G43" s="30"/>
      <c r="H43" s="30"/>
      <c r="I43" s="32">
        <f t="shared" ref="I43:P43" si="15">IFERROR(I24/I13,"NM")</f>
        <v>0.30088423785186996</v>
      </c>
      <c r="J43" s="32">
        <f t="shared" si="15"/>
        <v>0.24679028056312496</v>
      </c>
      <c r="K43" s="32">
        <f t="shared" si="15"/>
        <v>0.16545956634010558</v>
      </c>
      <c r="L43" s="32">
        <f t="shared" si="15"/>
        <v>0.2186555817625388</v>
      </c>
      <c r="M43" s="32">
        <f t="shared" si="15"/>
        <v>0.23979999999999993</v>
      </c>
      <c r="N43" s="32">
        <f t="shared" si="15"/>
        <v>0.18836249999999971</v>
      </c>
      <c r="O43" s="32">
        <f t="shared" si="15"/>
        <v>0.13692499999999991</v>
      </c>
      <c r="P43" s="32">
        <f t="shared" si="15"/>
        <v>8.5487500000000008E-2</v>
      </c>
      <c r="Q43" s="32">
        <f>IFERROR(Q24/Q13,"NM")</f>
        <v>3.4049999999999955E-2</v>
      </c>
      <c r="R43" s="32">
        <f>IFERROR(R24/R13,"NM")</f>
        <v>-1.738750000000008E-2</v>
      </c>
      <c r="S43" s="32">
        <f>IFERROR(S24/S13,"NM")</f>
        <v>-6.8825000000000136E-2</v>
      </c>
      <c r="T43" s="32">
        <f>IFERROR(T24/T13,"NM")</f>
        <v>-0.12026250000000015</v>
      </c>
      <c r="U43" s="32">
        <f>IFERROR(U24/U13,"NM")</f>
        <v>-0.17169999999999994</v>
      </c>
    </row>
    <row r="44" spans="1:24">
      <c r="B44" s="30" t="s">
        <v>91</v>
      </c>
      <c r="C44" s="30"/>
      <c r="D44" s="30"/>
      <c r="E44" s="30"/>
      <c r="F44" s="30"/>
      <c r="G44" s="30"/>
      <c r="H44" s="30"/>
      <c r="I44" s="32">
        <f t="shared" ref="I44:P44" si="16">IFERROR(I28/I13,"NM")</f>
        <v>0.2078143321754907</v>
      </c>
      <c r="J44" s="32">
        <f t="shared" si="16"/>
        <v>0.17043660179491102</v>
      </c>
      <c r="K44" s="32">
        <f t="shared" si="16"/>
        <v>7.2420418200048353E-2</v>
      </c>
      <c r="L44" s="32">
        <f t="shared" si="16"/>
        <v>0.1262109900391806</v>
      </c>
      <c r="M44" s="32">
        <f t="shared" si="16"/>
        <v>0.12720396374486265</v>
      </c>
      <c r="N44" s="32">
        <f t="shared" si="16"/>
        <v>6.6091009726806746E-2</v>
      </c>
      <c r="O44" s="32">
        <f t="shared" si="16"/>
        <v>8.2577496358328551E-3</v>
      </c>
      <c r="P44" s="32">
        <f t="shared" si="16"/>
        <v>-4.5700781893103504E-2</v>
      </c>
      <c r="Q44" s="32">
        <f>IFERROR(Q28/Q13,"NM")</f>
        <v>-9.6970844984833285E-2</v>
      </c>
      <c r="R44" s="32">
        <f>IFERROR(R28/R13,"NM")</f>
        <v>-0.14641510606291952</v>
      </c>
      <c r="S44" s="32">
        <f>IFERROR(S28/S13,"NM")</f>
        <v>-0.19465824054627112</v>
      </c>
      <c r="T44" s="32">
        <f>IFERROR(T28/T13,"NM")</f>
        <v>-0.24214978570026219</v>
      </c>
      <c r="U44" s="32">
        <f>IFERROR(U28/U13,"NM")</f>
        <v>-0.28921033734142632</v>
      </c>
    </row>
    <row r="45" spans="1:24">
      <c r="B45" s="30" t="s">
        <v>92</v>
      </c>
      <c r="C45" s="30"/>
      <c r="D45" s="30"/>
      <c r="E45" s="30"/>
      <c r="F45" s="30"/>
      <c r="G45" s="30"/>
      <c r="H45" s="30"/>
      <c r="I45" s="32">
        <f t="shared" ref="I45:P45" si="17">IFERROR(-I38/I34,"NM")</f>
        <v>-0.23765473179821633</v>
      </c>
      <c r="J45" s="32">
        <f t="shared" si="17"/>
        <v>-0.1922145328719724</v>
      </c>
      <c r="K45" s="32">
        <f t="shared" si="17"/>
        <v>-0.15095980201993142</v>
      </c>
      <c r="L45" s="32">
        <f t="shared" si="17"/>
        <v>-0.21207669416506561</v>
      </c>
      <c r="M45" s="32">
        <f t="shared" si="17"/>
        <v>-0.25</v>
      </c>
      <c r="N45" s="32">
        <f t="shared" si="17"/>
        <v>-0.25</v>
      </c>
      <c r="O45" s="32">
        <f t="shared" si="17"/>
        <v>-0.25</v>
      </c>
      <c r="P45" s="32">
        <f t="shared" si="17"/>
        <v>-0.25</v>
      </c>
      <c r="Q45" s="32">
        <f>IFERROR(-Q38/Q34,"NM")</f>
        <v>-0.25</v>
      </c>
      <c r="R45" s="32">
        <f>IFERROR(-R38/R34,"NM")</f>
        <v>-0.25</v>
      </c>
      <c r="S45" s="32">
        <f>IFERROR(-S38/S34,"NM")</f>
        <v>-0.25</v>
      </c>
      <c r="T45" s="32">
        <f>IFERROR(-T38/T34,"NM")</f>
        <v>-0.25</v>
      </c>
      <c r="U45" s="32">
        <f>IFERROR(-U38/U34,"NM")</f>
        <v>-0.25</v>
      </c>
    </row>
    <row r="46" spans="1:24">
      <c r="B46" s="30" t="s">
        <v>93</v>
      </c>
      <c r="C46" s="30"/>
      <c r="D46" s="30"/>
      <c r="E46" s="30"/>
      <c r="F46" s="30"/>
      <c r="G46" s="30"/>
      <c r="H46" s="30"/>
      <c r="I46" s="32">
        <f t="shared" ref="I46:P46" si="18">IFERROR(I39/I13,"NM")</f>
        <v>0.16895654033643817</v>
      </c>
      <c r="J46" s="32">
        <f t="shared" si="18"/>
        <v>0.15553897302303263</v>
      </c>
      <c r="K46" s="32">
        <f t="shared" si="18"/>
        <v>7.1104090697765784E-2</v>
      </c>
      <c r="L46" s="32">
        <f t="shared" si="18"/>
        <v>0.10193271086333607</v>
      </c>
      <c r="M46" s="32">
        <f t="shared" si="18"/>
        <v>0.12055563506937314</v>
      </c>
      <c r="N46" s="32">
        <f t="shared" si="18"/>
        <v>7.4165453874983064E-2</v>
      </c>
      <c r="O46" s="32">
        <f t="shared" si="18"/>
        <v>3.0870646062022583E-2</v>
      </c>
      <c r="P46" s="32">
        <f t="shared" si="18"/>
        <v>-9.5333936273403926E-3</v>
      </c>
      <c r="Q46" s="32">
        <f>IFERROR(Q39/Q13,"NM")</f>
        <v>-4.3464927046828E-2</v>
      </c>
      <c r="R46" s="32">
        <f>IFERROR(R39/R13,"NM")</f>
        <v>-7.6459684578428472E-2</v>
      </c>
      <c r="S46" s="32">
        <f>IFERROR(S39/S13,"NM")</f>
        <v>-0.11253602086232375</v>
      </c>
      <c r="T46" s="32">
        <f>IFERROR(T39/T13,"NM")</f>
        <v>-0.14806251615981733</v>
      </c>
      <c r="U46" s="32">
        <f>IFERROR(U39/U13,"NM")</f>
        <v>-0.18327797621555156</v>
      </c>
    </row>
    <row r="48" spans="1:24">
      <c r="A48" s="3" t="s">
        <v>21</v>
      </c>
      <c r="B48" s="489" t="s">
        <v>94</v>
      </c>
      <c r="C48" s="490"/>
      <c r="D48" s="490"/>
      <c r="E48" s="490"/>
      <c r="F48" s="490"/>
      <c r="G48" s="490"/>
      <c r="H48" s="490"/>
      <c r="I48" s="490"/>
      <c r="J48" s="490"/>
      <c r="K48" s="490"/>
      <c r="L48" s="490"/>
      <c r="M48" s="490"/>
      <c r="N48" s="490"/>
      <c r="O48" s="490"/>
      <c r="P48" s="490"/>
      <c r="Q48" s="490"/>
      <c r="R48" s="490"/>
      <c r="S48" s="490"/>
      <c r="T48" s="490"/>
      <c r="U48" s="490"/>
    </row>
    <row r="50" spans="1:26">
      <c r="B50" s="80" t="s">
        <v>95</v>
      </c>
    </row>
    <row r="51" spans="1:26">
      <c r="B51" s="62" t="s">
        <v>96</v>
      </c>
      <c r="C51" s="81"/>
      <c r="D51" s="81"/>
      <c r="E51" s="209">
        <f>'Balance Sheet '!F41</f>
        <v>110.7</v>
      </c>
      <c r="F51" s="209">
        <f>'Balance Sheet '!G41</f>
        <v>120.6</v>
      </c>
      <c r="G51" s="209">
        <f>'Balance Sheet '!H41</f>
        <v>438.9</v>
      </c>
      <c r="H51" s="209">
        <f>'Balance Sheet '!I41</f>
        <v>614.5</v>
      </c>
      <c r="I51" s="209">
        <f>'Balance Sheet '!J41</f>
        <v>708</v>
      </c>
      <c r="J51" s="209">
        <f>'Balance Sheet '!K41</f>
        <v>289.39999999999998</v>
      </c>
      <c r="K51" s="209">
        <f>'Balance Sheet '!L41</f>
        <v>161.1</v>
      </c>
      <c r="L51" s="48">
        <f>'Company Information'!L262</f>
        <v>421.81</v>
      </c>
      <c r="M51" s="48">
        <f ca="1">M147+159+30</f>
        <v>2836.5867624379634</v>
      </c>
      <c r="N51" s="48">
        <f t="shared" ref="N51:U51" ca="1" si="19">N147+159+30</f>
        <v>4016.7846244874881</v>
      </c>
      <c r="O51" s="48">
        <f t="shared" ca="1" si="19"/>
        <v>5472.4815575386856</v>
      </c>
      <c r="P51" s="48">
        <f t="shared" ca="1" si="19"/>
        <v>7282.8798325571624</v>
      </c>
      <c r="Q51" s="48">
        <f t="shared" ca="1" si="19"/>
        <v>4541.2653036781958</v>
      </c>
      <c r="R51" s="48">
        <f t="shared" ca="1" si="19"/>
        <v>7687.8886428822325</v>
      </c>
      <c r="S51" s="48">
        <f t="shared" ca="1" si="19"/>
        <v>10662.293408490157</v>
      </c>
      <c r="T51" s="48">
        <f t="shared" ca="1" si="19"/>
        <v>14344.03117800074</v>
      </c>
      <c r="U51" s="48">
        <f t="shared" ca="1" si="19"/>
        <v>18681.553800251419</v>
      </c>
    </row>
    <row r="52" spans="1:26">
      <c r="A52" s="299" t="s">
        <v>29</v>
      </c>
      <c r="B52" s="62" t="s">
        <v>649</v>
      </c>
      <c r="C52" s="81"/>
      <c r="D52" s="81"/>
      <c r="E52" s="209">
        <f>'Company Information'!E259</f>
        <v>654.12</v>
      </c>
      <c r="F52" s="209">
        <f>'Company Information'!F259</f>
        <v>2311.04</v>
      </c>
      <c r="G52" s="209">
        <f>'Company Information'!G259</f>
        <v>32.74</v>
      </c>
      <c r="H52" s="209">
        <f>'Company Information'!H259</f>
        <v>3086.32</v>
      </c>
      <c r="I52" s="209">
        <f>'Company Information'!I259</f>
        <v>3801.47</v>
      </c>
      <c r="J52" s="209">
        <f>'Company Information'!J259</f>
        <v>3526.3</v>
      </c>
      <c r="K52" s="209">
        <f>'Company Information'!K259</f>
        <v>3397.89</v>
      </c>
      <c r="L52" s="209">
        <f>Schedules!L158</f>
        <v>5264</v>
      </c>
      <c r="M52" s="209">
        <f>Schedules!M158</f>
        <v>5432.4480000000003</v>
      </c>
      <c r="N52" s="209">
        <f>Schedules!N158</f>
        <v>5606.2863360000001</v>
      </c>
      <c r="O52" s="209">
        <f>Schedules!O158</f>
        <v>5785.6874987520005</v>
      </c>
      <c r="P52" s="209">
        <f>Schedules!P158</f>
        <v>5970.8294987120644</v>
      </c>
      <c r="Q52" s="209">
        <f>Schedules!Q158</f>
        <v>6161.8960426708509</v>
      </c>
      <c r="R52" s="209">
        <f>Schedules!R158</f>
        <v>6359.0767160363184</v>
      </c>
      <c r="S52" s="209">
        <f>Schedules!S158</f>
        <v>6562.5671709494809</v>
      </c>
      <c r="T52" s="209">
        <f>Schedules!T158</f>
        <v>6772.5693204198642</v>
      </c>
      <c r="U52" s="209">
        <f>Schedules!U158</f>
        <v>6989.2915386733002</v>
      </c>
    </row>
    <row r="53" spans="1:26">
      <c r="A53" s="299"/>
      <c r="B53" s="62" t="s">
        <v>650</v>
      </c>
      <c r="C53" s="81"/>
      <c r="D53" s="81"/>
      <c r="E53" s="209">
        <f>'Company Information'!E263</f>
        <v>86.12</v>
      </c>
      <c r="F53" s="209">
        <f>'Company Information'!F263</f>
        <v>118.92</v>
      </c>
      <c r="G53" s="209">
        <f>'Company Information'!G263</f>
        <v>170.77</v>
      </c>
      <c r="H53" s="209">
        <f>'Company Information'!H263</f>
        <v>151.16</v>
      </c>
      <c r="I53" s="209">
        <f>'Company Information'!I263</f>
        <v>118.64</v>
      </c>
      <c r="J53" s="209">
        <f>'Company Information'!J263</f>
        <v>150.79</v>
      </c>
      <c r="K53" s="209">
        <f>'Company Information'!K263</f>
        <v>172.87</v>
      </c>
      <c r="L53" s="209">
        <f>Schedules!L162</f>
        <v>171.37</v>
      </c>
      <c r="M53" s="209">
        <f>Schedules!M162</f>
        <v>178.22480000000002</v>
      </c>
      <c r="N53" s="209">
        <f>Schedules!N162</f>
        <v>185.35379200000003</v>
      </c>
      <c r="O53" s="209">
        <f>Schedules!O162</f>
        <v>192.76794368000003</v>
      </c>
      <c r="P53" s="209">
        <f>Schedules!P162</f>
        <v>200.47866142720005</v>
      </c>
      <c r="Q53" s="209">
        <f>Schedules!Q162</f>
        <v>208.49780788428805</v>
      </c>
      <c r="R53" s="209">
        <f>Schedules!R162</f>
        <v>216.83772019965957</v>
      </c>
      <c r="S53" s="209">
        <f>Schedules!S162</f>
        <v>225.51122900764597</v>
      </c>
      <c r="T53" s="209">
        <f>Schedules!T162</f>
        <v>234.53167816795181</v>
      </c>
      <c r="U53" s="209">
        <f>Schedules!U162</f>
        <v>243.9129452946699</v>
      </c>
    </row>
    <row r="54" spans="1:26">
      <c r="B54" s="62" t="s">
        <v>10</v>
      </c>
      <c r="C54" s="81"/>
      <c r="D54" s="82"/>
      <c r="E54" s="209">
        <f>Schedules!E174</f>
        <v>1314</v>
      </c>
      <c r="F54" s="209">
        <f>Schedules!F174</f>
        <v>1569</v>
      </c>
      <c r="G54" s="209">
        <f>Schedules!G174</f>
        <v>1870</v>
      </c>
      <c r="H54" s="209">
        <f>Schedules!H174</f>
        <v>1713</v>
      </c>
      <c r="I54" s="209">
        <f>Schedules!I174</f>
        <v>1716</v>
      </c>
      <c r="J54" s="209">
        <f>Schedules!J174</f>
        <v>2497</v>
      </c>
      <c r="K54" s="209">
        <f>Schedules!K174</f>
        <v>2760</v>
      </c>
      <c r="L54" s="209">
        <f>Schedules!L174</f>
        <v>3555.07</v>
      </c>
      <c r="M54" s="209">
        <f ca="1">Schedules!M174</f>
        <v>3555.0700000000006</v>
      </c>
      <c r="N54" s="209">
        <f ca="1">Schedules!N174</f>
        <v>3555.0700000000015</v>
      </c>
      <c r="O54" s="209">
        <f ca="1">Schedules!O174</f>
        <v>3555.0700000000015</v>
      </c>
      <c r="P54" s="209">
        <f ca="1">Schedules!P174</f>
        <v>3555.0700000000029</v>
      </c>
      <c r="Q54" s="209">
        <f ca="1">Schedules!Q174</f>
        <v>3555.0700000000033</v>
      </c>
      <c r="R54" s="209">
        <f ca="1">Schedules!R174</f>
        <v>3555.0700000000047</v>
      </c>
      <c r="S54" s="209">
        <f ca="1">Schedules!S174</f>
        <v>3555.0700000000052</v>
      </c>
      <c r="T54" s="209">
        <f ca="1">Schedules!T174</f>
        <v>3555.0700000000065</v>
      </c>
      <c r="U54" s="209">
        <f ca="1">Schedules!U174</f>
        <v>3555.070000000007</v>
      </c>
      <c r="V54" s="83"/>
    </row>
    <row r="55" spans="1:26">
      <c r="B55" s="62" t="s">
        <v>558</v>
      </c>
      <c r="C55" s="81"/>
      <c r="D55" s="82"/>
      <c r="E55" s="209">
        <f>'Balance Sheet '!F36</f>
        <v>335</v>
      </c>
      <c r="F55" s="209">
        <f>'Balance Sheet '!G36</f>
        <v>459</v>
      </c>
      <c r="G55" s="209">
        <f>'Balance Sheet '!H36</f>
        <v>1024</v>
      </c>
      <c r="H55" s="209">
        <f>'Balance Sheet '!I36</f>
        <v>1080</v>
      </c>
      <c r="I55" s="209">
        <f>'Balance Sheet '!J36</f>
        <v>679</v>
      </c>
      <c r="J55" s="209">
        <f>'Balance Sheet '!K36</f>
        <v>788</v>
      </c>
      <c r="K55" s="209">
        <f>'Balance Sheet '!L36</f>
        <v>1212</v>
      </c>
      <c r="L55" s="209">
        <f>'Balance Sheet '!M36</f>
        <v>1286.53</v>
      </c>
      <c r="M55" s="209">
        <f>Schedules!M167</f>
        <v>1347.9569349999999</v>
      </c>
      <c r="N55" s="209">
        <f>Schedules!N167</f>
        <v>1537.6144757545001</v>
      </c>
      <c r="O55" s="209">
        <f>Schedules!O167</f>
        <v>1742.776178662315</v>
      </c>
      <c r="P55" s="209">
        <f>Schedules!P167</f>
        <v>1962.6398420018422</v>
      </c>
      <c r="Q55" s="209">
        <f>Schedules!Q167</f>
        <v>2195.9696815038328</v>
      </c>
      <c r="R55" s="209">
        <f>Schedules!R167</f>
        <v>2441.0712689551101</v>
      </c>
      <c r="S55" s="209">
        <f>Schedules!S167</f>
        <v>2695.7796196472264</v>
      </c>
      <c r="T55" s="209">
        <f>Schedules!T167</f>
        <v>2957.462798440125</v>
      </c>
      <c r="U55" s="209">
        <f>Schedules!U167</f>
        <v>3223.0429577400487</v>
      </c>
      <c r="V55" s="51"/>
    </row>
    <row r="56" spans="1:26">
      <c r="B56" s="84" t="s">
        <v>56</v>
      </c>
      <c r="C56" s="81"/>
      <c r="D56" s="82"/>
      <c r="E56" s="209">
        <f>Schedules!E180</f>
        <v>780.9</v>
      </c>
      <c r="F56" s="209">
        <f>Schedules!F180</f>
        <v>1120.5</v>
      </c>
      <c r="G56" s="209">
        <f>Schedules!G180</f>
        <v>1181.9000000000001</v>
      </c>
      <c r="H56" s="209">
        <f>Schedules!H180</f>
        <v>1248.5999999999999</v>
      </c>
      <c r="I56" s="209">
        <f>Schedules!I180</f>
        <v>1164</v>
      </c>
      <c r="J56" s="209">
        <f>Schedules!J180</f>
        <v>1218</v>
      </c>
      <c r="K56" s="209">
        <f>Schedules!K180</f>
        <v>1264</v>
      </c>
      <c r="L56" s="209">
        <f>Schedules!L180</f>
        <v>1513.39</v>
      </c>
      <c r="M56" s="209">
        <f>Schedules!M180</f>
        <v>1439.1982540000001</v>
      </c>
      <c r="N56" s="209">
        <f>Schedules!N180</f>
        <v>1641.6934483378002</v>
      </c>
      <c r="O56" s="209">
        <f>Schedules!O180</f>
        <v>1860.7422598731582</v>
      </c>
      <c r="P56" s="209">
        <f>Schedules!P180</f>
        <v>2095.488186972299</v>
      </c>
      <c r="Q56" s="209">
        <f>Schedules!Q180</f>
        <v>2344.6117968577773</v>
      </c>
      <c r="R56" s="209">
        <f>Schedules!R180</f>
        <v>2606.3039678413461</v>
      </c>
      <c r="S56" s="209">
        <f>Schedules!S180</f>
        <v>2878.2531704286775</v>
      </c>
      <c r="T56" s="209">
        <f>Schedules!T180</f>
        <v>3157.6493174724333</v>
      </c>
      <c r="U56" s="209">
        <f>Schedules!U180</f>
        <v>3441.2062261814581</v>
      </c>
      <c r="V56" s="208"/>
    </row>
    <row r="57" spans="1:26">
      <c r="B57" s="78" t="s">
        <v>97</v>
      </c>
      <c r="C57" s="85"/>
      <c r="D57" s="86"/>
      <c r="E57" s="277">
        <f t="shared" ref="E57:M57" si="20">SUM(E51:E56)</f>
        <v>3280.84</v>
      </c>
      <c r="F57" s="277">
        <f t="shared" si="20"/>
        <v>5699.0599999999995</v>
      </c>
      <c r="G57" s="277">
        <f t="shared" si="20"/>
        <v>4718.3099999999995</v>
      </c>
      <c r="H57" s="277">
        <f t="shared" si="20"/>
        <v>7893.58</v>
      </c>
      <c r="I57" s="277">
        <f t="shared" si="20"/>
        <v>8187.11</v>
      </c>
      <c r="J57" s="277">
        <f t="shared" si="20"/>
        <v>8469.49</v>
      </c>
      <c r="K57" s="277">
        <f t="shared" si="20"/>
        <v>8967.86</v>
      </c>
      <c r="L57" s="73">
        <f t="shared" si="20"/>
        <v>12212.17</v>
      </c>
      <c r="M57" s="73">
        <f t="shared" ca="1" si="20"/>
        <v>14934.137847437964</v>
      </c>
      <c r="N57" s="73">
        <f t="shared" ref="N57:U57" ca="1" si="21">SUM(N51:N56)</f>
        <v>16674.532439152241</v>
      </c>
      <c r="O57" s="73">
        <f t="shared" ca="1" si="21"/>
        <v>18726.620048475866</v>
      </c>
      <c r="P57" s="73">
        <f t="shared" ca="1" si="21"/>
        <v>21169.089411577646</v>
      </c>
      <c r="Q57" s="73">
        <f t="shared" ca="1" si="21"/>
        <v>19094.125624596803</v>
      </c>
      <c r="R57" s="73">
        <f t="shared" ca="1" si="21"/>
        <v>22940.244122692977</v>
      </c>
      <c r="S57" s="73">
        <f t="shared" ca="1" si="21"/>
        <v>26644.583464527466</v>
      </c>
      <c r="T57" s="73">
        <f t="shared" ca="1" si="21"/>
        <v>31083.59990374159</v>
      </c>
      <c r="U57" s="73">
        <f t="shared" ca="1" si="21"/>
        <v>36201.95632727076</v>
      </c>
    </row>
    <row r="58" spans="1:26">
      <c r="B58" s="78"/>
      <c r="C58" s="88"/>
      <c r="D58" s="89"/>
      <c r="E58" s="90"/>
      <c r="F58" s="90"/>
      <c r="G58" s="90"/>
      <c r="H58" s="90"/>
      <c r="I58" s="90"/>
      <c r="J58" s="90"/>
      <c r="K58" s="78"/>
      <c r="L58" s="88"/>
      <c r="M58" s="89"/>
      <c r="N58" s="90"/>
      <c r="O58" s="90"/>
      <c r="P58" s="90"/>
      <c r="Q58" s="90"/>
      <c r="R58" s="90"/>
      <c r="S58" s="90"/>
      <c r="T58" s="90"/>
      <c r="U58" s="90"/>
    </row>
    <row r="59" spans="1:26">
      <c r="B59" s="74"/>
      <c r="C59" s="81"/>
      <c r="D59" s="82"/>
      <c r="E59" s="91"/>
      <c r="F59" s="91"/>
      <c r="G59" s="91"/>
      <c r="H59" s="91"/>
      <c r="I59" s="91"/>
      <c r="J59" s="91"/>
      <c r="K59" s="74"/>
      <c r="L59" s="81"/>
      <c r="M59" s="82"/>
      <c r="N59" s="91"/>
      <c r="O59" s="91"/>
      <c r="P59" s="91"/>
      <c r="Q59" s="91"/>
      <c r="R59" s="91"/>
      <c r="S59" s="91"/>
      <c r="T59" s="91"/>
      <c r="U59" s="91"/>
      <c r="Y59" s="3">
        <v>1580</v>
      </c>
      <c r="Z59" s="3">
        <v>76</v>
      </c>
    </row>
    <row r="60" spans="1:26">
      <c r="B60" s="62" t="s">
        <v>634</v>
      </c>
      <c r="C60" s="81"/>
      <c r="D60" s="82"/>
      <c r="E60" s="209">
        <f>'Balance Sheet '!F8</f>
        <v>2586.34</v>
      </c>
      <c r="F60" s="209">
        <f>'Balance Sheet '!G8</f>
        <v>3577.11</v>
      </c>
      <c r="G60" s="209">
        <f>'Balance Sheet '!H8</f>
        <v>6138.16</v>
      </c>
      <c r="H60" s="209">
        <f>'Balance Sheet '!I8</f>
        <v>5697.35</v>
      </c>
      <c r="I60" s="209">
        <f>'Balance Sheet '!J8</f>
        <v>5714.5</v>
      </c>
      <c r="J60" s="209">
        <f>'Balance Sheet '!K8</f>
        <v>6724.19</v>
      </c>
      <c r="K60" s="209">
        <f>'Balance Sheet '!L8</f>
        <v>6794.74</v>
      </c>
      <c r="L60" s="209">
        <f>'Balance Sheet '!M8</f>
        <v>8836</v>
      </c>
      <c r="M60" s="209">
        <f>Schedules!M63</f>
        <v>10659.363200013344</v>
      </c>
      <c r="N60" s="209">
        <f>Schedules!N63</f>
        <v>11887.583542883833</v>
      </c>
      <c r="O60" s="209">
        <f>Schedules!O63</f>
        <v>12520.661028611463</v>
      </c>
      <c r="P60" s="209">
        <f>Schedules!P63</f>
        <v>12263.452800053379</v>
      </c>
      <c r="Q60" s="209">
        <f>Schedules!Q63</f>
        <v>11165.149333400057</v>
      </c>
      <c r="R60" s="209">
        <f>Schedules!R63</f>
        <v>9274.9411048419752</v>
      </c>
      <c r="S60" s="209">
        <f>Schedules!S63</f>
        <v>6642.0185905696062</v>
      </c>
      <c r="T60" s="209">
        <f>Schedules!T63</f>
        <v>3315.5722667734281</v>
      </c>
      <c r="U60" s="209">
        <f>Schedules!U63</f>
        <v>-655.20739035608312</v>
      </c>
      <c r="V60" s="83"/>
      <c r="Z60" s="3">
        <f>Z59+Y59</f>
        <v>1656</v>
      </c>
    </row>
    <row r="61" spans="1:26">
      <c r="B61" s="62" t="s">
        <v>637</v>
      </c>
      <c r="C61" s="81"/>
      <c r="D61" s="82"/>
      <c r="E61" s="209">
        <f>'Balance Sheet '!F9</f>
        <v>0</v>
      </c>
      <c r="F61" s="209">
        <f>'Balance Sheet '!G9</f>
        <v>0</v>
      </c>
      <c r="G61" s="209">
        <f>'Balance Sheet '!H9</f>
        <v>0</v>
      </c>
      <c r="H61" s="209">
        <f>'Balance Sheet '!I9</f>
        <v>412.46</v>
      </c>
      <c r="I61" s="209">
        <f>'Balance Sheet '!J9</f>
        <v>441.5</v>
      </c>
      <c r="J61" s="209">
        <f>'Balance Sheet '!K9</f>
        <v>500.8</v>
      </c>
      <c r="K61" s="209">
        <f>'Balance Sheet '!L9</f>
        <v>612.46</v>
      </c>
      <c r="L61" s="209">
        <f>'Balance Sheet '!M9</f>
        <v>632.51</v>
      </c>
      <c r="M61" s="209">
        <f>Schedules!M71</f>
        <v>519.16523880041211</v>
      </c>
      <c r="N61" s="209">
        <f>Schedules!N71</f>
        <v>393.17027760082414</v>
      </c>
      <c r="O61" s="209">
        <f>Schedules!O71</f>
        <v>267.17531640123616</v>
      </c>
      <c r="P61" s="209">
        <f>Schedules!P71</f>
        <v>141.18035520164818</v>
      </c>
      <c r="Q61" s="209">
        <f>Schedules!Q71</f>
        <v>15.185394002060221</v>
      </c>
      <c r="R61" s="209">
        <f>Schedules!R71</f>
        <v>-110.80956719752774</v>
      </c>
      <c r="S61" s="209">
        <f>Schedules!S71</f>
        <v>-236.80452839711569</v>
      </c>
      <c r="T61" s="209">
        <f>Schedules!T71</f>
        <v>-362.79948959670367</v>
      </c>
      <c r="U61" s="209">
        <f>Schedules!U71</f>
        <v>-488.79445079629164</v>
      </c>
      <c r="V61" s="83"/>
    </row>
    <row r="62" spans="1:26">
      <c r="B62" s="62" t="s">
        <v>575</v>
      </c>
      <c r="C62" s="81"/>
      <c r="D62" s="82"/>
      <c r="E62" s="209">
        <f>'Balance Sheet '!F10</f>
        <v>12.88</v>
      </c>
      <c r="F62" s="209">
        <f>'Balance Sheet '!G10</f>
        <v>12.07</v>
      </c>
      <c r="G62" s="209">
        <f>'Balance Sheet '!H10</f>
        <v>46.49</v>
      </c>
      <c r="H62" s="209">
        <f>'Balance Sheet '!I10</f>
        <v>53.21</v>
      </c>
      <c r="I62" s="209">
        <f>'Balance Sheet '!J10</f>
        <v>60.25</v>
      </c>
      <c r="J62" s="209">
        <f>'Balance Sheet '!K10</f>
        <v>57.25</v>
      </c>
      <c r="K62" s="209">
        <f>'Balance Sheet '!L10</f>
        <v>74.67</v>
      </c>
      <c r="L62" s="209">
        <f>'Balance Sheet '!M10</f>
        <v>123.45</v>
      </c>
      <c r="M62" s="209">
        <f>Schedules!M80</f>
        <v>99.035318329100619</v>
      </c>
      <c r="N62" s="209">
        <f>Schedules!N80</f>
        <v>74.620636658201249</v>
      </c>
      <c r="O62" s="209">
        <f>Schedules!O80</f>
        <v>50.205954987301872</v>
      </c>
      <c r="P62" s="209">
        <f>Schedules!P80</f>
        <v>25.791273316402496</v>
      </c>
      <c r="Q62" s="209">
        <f>Schedules!Q80</f>
        <v>1.3765916455031189</v>
      </c>
      <c r="R62" s="209">
        <f>Schedules!R80</f>
        <v>-23.038090025396258</v>
      </c>
      <c r="S62" s="209">
        <f>Schedules!S80</f>
        <v>-47.452771696295635</v>
      </c>
      <c r="T62" s="209">
        <f>Schedules!T80</f>
        <v>-71.867453367195012</v>
      </c>
      <c r="U62" s="209">
        <f>Schedules!U80</f>
        <v>-96.282135038094395</v>
      </c>
      <c r="V62" s="83"/>
    </row>
    <row r="63" spans="1:26">
      <c r="B63" s="62" t="s">
        <v>7</v>
      </c>
      <c r="C63" s="81"/>
      <c r="D63" s="82"/>
      <c r="E63" s="209">
        <f>Schedules!E87</f>
        <v>710</v>
      </c>
      <c r="F63" s="209">
        <f>Schedules!F87</f>
        <v>1427</v>
      </c>
      <c r="G63" s="209">
        <f>Schedules!G87</f>
        <v>1129</v>
      </c>
      <c r="H63" s="209">
        <f>Schedules!H87</f>
        <v>1198</v>
      </c>
      <c r="I63" s="209">
        <f>Schedules!I87</f>
        <v>997</v>
      </c>
      <c r="J63" s="209">
        <f>Schedules!J87</f>
        <v>1054</v>
      </c>
      <c r="K63" s="209">
        <f>Schedules!K87</f>
        <v>2797</v>
      </c>
      <c r="L63" s="209">
        <f>Schedules!L87</f>
        <v>1929.67</v>
      </c>
      <c r="M63" s="209">
        <f>Schedules!M87</f>
        <v>1929.67</v>
      </c>
      <c r="N63" s="209">
        <f>Schedules!N87</f>
        <v>1929.67</v>
      </c>
      <c r="O63" s="209">
        <f>Schedules!O87</f>
        <v>1929.67</v>
      </c>
      <c r="P63" s="209">
        <f>Schedules!P87</f>
        <v>1929.67</v>
      </c>
      <c r="Q63" s="209">
        <f>Schedules!Q87</f>
        <v>1929.67</v>
      </c>
      <c r="R63" s="209">
        <f>Schedules!R87</f>
        <v>1929.67</v>
      </c>
      <c r="S63" s="209">
        <f>Schedules!S87</f>
        <v>1929.67</v>
      </c>
      <c r="T63" s="209">
        <f>Schedules!T87</f>
        <v>1929.67</v>
      </c>
      <c r="U63" s="209">
        <f>Schedules!U87</f>
        <v>1929.67</v>
      </c>
      <c r="V63" s="83"/>
    </row>
    <row r="64" spans="1:26">
      <c r="B64" s="62" t="s">
        <v>601</v>
      </c>
      <c r="C64" s="81"/>
      <c r="D64" s="82"/>
      <c r="E64" s="209">
        <f>Schedules!E96</f>
        <v>3845</v>
      </c>
      <c r="F64" s="209">
        <f>Schedules!F96</f>
        <v>3675</v>
      </c>
      <c r="G64" s="209">
        <f>Schedules!G96</f>
        <v>2778</v>
      </c>
      <c r="H64" s="209">
        <f>Schedules!H96</f>
        <v>3743</v>
      </c>
      <c r="I64" s="209">
        <f>Schedules!I96</f>
        <v>5179</v>
      </c>
      <c r="J64" s="209">
        <f>Schedules!J96</f>
        <v>6100</v>
      </c>
      <c r="K64" s="209">
        <f>Schedules!K96</f>
        <v>6149</v>
      </c>
      <c r="L64" s="209">
        <f>Schedules!L96</f>
        <v>3378</v>
      </c>
      <c r="M64" s="209">
        <f>Schedules!M96</f>
        <v>3378</v>
      </c>
      <c r="N64" s="209">
        <f>Schedules!N96</f>
        <v>3378</v>
      </c>
      <c r="O64" s="209">
        <f>Schedules!O96</f>
        <v>3378</v>
      </c>
      <c r="P64" s="209">
        <f>Schedules!P96</f>
        <v>3378</v>
      </c>
      <c r="Q64" s="209">
        <f>Schedules!Q96</f>
        <v>3378</v>
      </c>
      <c r="R64" s="209">
        <f>Schedules!R96</f>
        <v>3378</v>
      </c>
      <c r="S64" s="209">
        <f>Schedules!S96</f>
        <v>3378</v>
      </c>
      <c r="T64" s="209">
        <f>Schedules!T96</f>
        <v>3378</v>
      </c>
      <c r="U64" s="209">
        <f>Schedules!U96</f>
        <v>3378</v>
      </c>
      <c r="V64" s="83"/>
    </row>
    <row r="65" spans="2:24">
      <c r="B65" s="62" t="s">
        <v>98</v>
      </c>
      <c r="C65" s="81"/>
      <c r="D65" s="82"/>
      <c r="E65" s="209">
        <f>Schedules!E91</f>
        <v>221</v>
      </c>
      <c r="F65" s="209">
        <f>Schedules!F91</f>
        <v>237</v>
      </c>
      <c r="G65" s="209">
        <f>Schedules!G91</f>
        <v>72</v>
      </c>
      <c r="H65" s="209">
        <f>Schedules!H91</f>
        <v>204</v>
      </c>
      <c r="I65" s="209">
        <f>Schedules!I91</f>
        <v>148</v>
      </c>
      <c r="J65" s="209">
        <f>Schedules!J91</f>
        <v>168</v>
      </c>
      <c r="K65" s="209">
        <f>Schedules!K91</f>
        <v>257</v>
      </c>
      <c r="L65" s="209">
        <f>Schedules!L91</f>
        <v>184.45</v>
      </c>
      <c r="M65" s="209">
        <f>Schedules!M91</f>
        <v>184.45</v>
      </c>
      <c r="N65" s="209">
        <f>Schedules!N91</f>
        <v>184.45</v>
      </c>
      <c r="O65" s="209">
        <f>Schedules!O91</f>
        <v>184.45</v>
      </c>
      <c r="P65" s="209">
        <f>Schedules!P91</f>
        <v>184.45</v>
      </c>
      <c r="Q65" s="209">
        <f>Schedules!Q91</f>
        <v>184.45</v>
      </c>
      <c r="R65" s="209">
        <f>Schedules!R91</f>
        <v>184.45</v>
      </c>
      <c r="S65" s="209">
        <f>Schedules!S91</f>
        <v>184.45</v>
      </c>
      <c r="T65" s="209">
        <f>Schedules!T91</f>
        <v>184.45</v>
      </c>
      <c r="U65" s="209">
        <f>Schedules!U91</f>
        <v>184.45</v>
      </c>
      <c r="V65" s="99"/>
    </row>
    <row r="66" spans="2:24">
      <c r="B66" s="62" t="s">
        <v>610</v>
      </c>
      <c r="C66" s="81"/>
      <c r="D66" s="82"/>
      <c r="E66" s="209">
        <f>Schedules!E101</f>
        <v>507.7</v>
      </c>
      <c r="F66" s="209">
        <f>Schedules!F101</f>
        <v>513</v>
      </c>
      <c r="G66" s="209">
        <f>Schedules!G101</f>
        <v>612.4</v>
      </c>
      <c r="H66" s="209">
        <f>Schedules!H101</f>
        <v>743.6</v>
      </c>
      <c r="I66" s="209">
        <f>Schedules!I101</f>
        <v>786.1</v>
      </c>
      <c r="J66" s="209">
        <f>Schedules!J101</f>
        <v>674.4</v>
      </c>
      <c r="K66" s="209">
        <f>Schedules!K101</f>
        <v>682.3</v>
      </c>
      <c r="L66" s="209">
        <f>Schedules!L101</f>
        <v>629.27</v>
      </c>
      <c r="M66" s="209">
        <f>Schedules!M101</f>
        <v>629.27</v>
      </c>
      <c r="N66" s="209">
        <f>Schedules!N101</f>
        <v>629.27</v>
      </c>
      <c r="O66" s="209">
        <f>Schedules!O101</f>
        <v>629.27</v>
      </c>
      <c r="P66" s="209">
        <f>Schedules!P101</f>
        <v>629.27</v>
      </c>
      <c r="Q66" s="209">
        <f>Schedules!Q101</f>
        <v>629.27</v>
      </c>
      <c r="R66" s="209">
        <f>Schedules!R101</f>
        <v>629.27</v>
      </c>
      <c r="S66" s="209">
        <f>Schedules!S101</f>
        <v>629.27</v>
      </c>
      <c r="T66" s="209">
        <f>Schedules!T101</f>
        <v>629.27</v>
      </c>
      <c r="U66" s="209">
        <f>Schedules!U101</f>
        <v>629.27</v>
      </c>
      <c r="V66" s="99"/>
    </row>
    <row r="67" spans="2:24">
      <c r="B67" s="283" t="s">
        <v>99</v>
      </c>
      <c r="C67" s="85"/>
      <c r="D67" s="86"/>
      <c r="E67" s="277">
        <f t="shared" ref="E67:P67" si="22">SUM(E60:E66)</f>
        <v>7882.92</v>
      </c>
      <c r="F67" s="277">
        <f t="shared" si="22"/>
        <v>9441.18</v>
      </c>
      <c r="G67" s="277">
        <f t="shared" si="22"/>
        <v>10776.05</v>
      </c>
      <c r="H67" s="277">
        <f t="shared" si="22"/>
        <v>12051.62</v>
      </c>
      <c r="I67" s="277">
        <f t="shared" si="22"/>
        <v>13326.35</v>
      </c>
      <c r="J67" s="277">
        <f t="shared" si="22"/>
        <v>15278.64</v>
      </c>
      <c r="K67" s="277">
        <f t="shared" si="22"/>
        <v>17367.169999999998</v>
      </c>
      <c r="L67" s="277">
        <f t="shared" si="22"/>
        <v>15713.350000000002</v>
      </c>
      <c r="M67" s="277">
        <f t="shared" si="22"/>
        <v>17398.953757142859</v>
      </c>
      <c r="N67" s="277">
        <f t="shared" si="22"/>
        <v>18476.764457142861</v>
      </c>
      <c r="O67" s="277">
        <f t="shared" si="22"/>
        <v>18959.4323</v>
      </c>
      <c r="P67" s="277">
        <f t="shared" si="22"/>
        <v>18551.81442857143</v>
      </c>
      <c r="Q67" s="277">
        <f>SUM(Q60:Q66)</f>
        <v>17303.101319047622</v>
      </c>
      <c r="R67" s="277">
        <f>SUM(R60:R66)</f>
        <v>15262.483447619052</v>
      </c>
      <c r="S67" s="277">
        <f>SUM(S60:S66)</f>
        <v>12479.151290476195</v>
      </c>
      <c r="T67" s="277">
        <f>SUM(T60:T66)</f>
        <v>9002.2953238095306</v>
      </c>
      <c r="U67" s="277">
        <f>SUM(U60:U66)</f>
        <v>4881.1060238095306</v>
      </c>
    </row>
    <row r="68" spans="2:24">
      <c r="B68" s="62"/>
      <c r="C68" s="81"/>
      <c r="D68" s="82"/>
      <c r="E68" s="83"/>
      <c r="F68" s="83"/>
      <c r="G68" s="83"/>
      <c r="H68" s="83"/>
      <c r="I68" s="83"/>
      <c r="J68" s="83"/>
      <c r="K68" s="62"/>
      <c r="L68" s="81"/>
      <c r="M68" s="82"/>
      <c r="N68" s="83"/>
      <c r="O68" s="83"/>
      <c r="P68" s="83"/>
      <c r="Q68" s="83"/>
      <c r="R68" s="83"/>
      <c r="S68" s="83"/>
      <c r="T68" s="83"/>
      <c r="U68" s="83"/>
    </row>
    <row r="69" spans="2:24" ht="15.75" thickBot="1">
      <c r="B69" s="96" t="s">
        <v>100</v>
      </c>
      <c r="C69" s="96"/>
      <c r="D69" s="97"/>
      <c r="E69" s="98">
        <f t="shared" ref="E69:P69" si="23">E67+E57</f>
        <v>11163.76</v>
      </c>
      <c r="F69" s="98">
        <f t="shared" si="23"/>
        <v>15140.24</v>
      </c>
      <c r="G69" s="98">
        <f t="shared" si="23"/>
        <v>15494.359999999999</v>
      </c>
      <c r="H69" s="98">
        <f t="shared" si="23"/>
        <v>19945.2</v>
      </c>
      <c r="I69" s="98">
        <f t="shared" si="23"/>
        <v>21513.46</v>
      </c>
      <c r="J69" s="98">
        <f t="shared" si="23"/>
        <v>23748.129999999997</v>
      </c>
      <c r="K69" s="98">
        <f t="shared" si="23"/>
        <v>26335.03</v>
      </c>
      <c r="L69" s="98">
        <f t="shared" si="23"/>
        <v>27925.520000000004</v>
      </c>
      <c r="M69" s="98">
        <f t="shared" ca="1" si="23"/>
        <v>32321.344990295107</v>
      </c>
      <c r="N69" s="98">
        <f t="shared" ca="1" si="23"/>
        <v>35140.453867723671</v>
      </c>
      <c r="O69" s="98">
        <f t="shared" ca="1" si="23"/>
        <v>37676.112905618727</v>
      </c>
      <c r="P69" s="98">
        <f t="shared" ca="1" si="23"/>
        <v>39711.867983006217</v>
      </c>
      <c r="Q69" s="98">
        <f ca="1">Q67+Q57</f>
        <v>36389.094672215855</v>
      </c>
      <c r="R69" s="98">
        <f ca="1">R67+R57</f>
        <v>38195.498884597742</v>
      </c>
      <c r="S69" s="98">
        <f ca="1">S67+S57</f>
        <v>39117.409655003663</v>
      </c>
      <c r="T69" s="98">
        <f ca="1">T67+T57</f>
        <v>40080.473713265405</v>
      </c>
      <c r="U69" s="98">
        <f ca="1">U67+U57</f>
        <v>41078.544422508865</v>
      </c>
    </row>
    <row r="70" spans="2:24">
      <c r="B70" s="81"/>
      <c r="C70" s="81"/>
      <c r="D70" s="82"/>
      <c r="E70" s="83"/>
      <c r="F70" s="83"/>
      <c r="G70" s="83"/>
      <c r="H70" s="83"/>
      <c r="I70" s="83"/>
      <c r="J70" s="83"/>
      <c r="K70" s="81"/>
      <c r="L70" s="81"/>
      <c r="M70" s="82"/>
      <c r="N70" s="83"/>
      <c r="O70" s="83"/>
      <c r="P70" s="83"/>
      <c r="Q70" s="83"/>
      <c r="R70" s="83"/>
      <c r="S70" s="83"/>
      <c r="T70" s="83"/>
      <c r="U70" s="83"/>
    </row>
    <row r="71" spans="2:24">
      <c r="B71" s="81"/>
      <c r="C71" s="81"/>
      <c r="D71" s="82"/>
      <c r="E71" s="83"/>
      <c r="F71" s="83"/>
      <c r="G71" s="83"/>
      <c r="H71" s="83"/>
      <c r="I71" s="83"/>
      <c r="J71" s="83"/>
      <c r="K71" s="81"/>
      <c r="L71" s="81"/>
      <c r="M71" s="82"/>
      <c r="N71" s="83"/>
      <c r="O71" s="83"/>
      <c r="P71" s="83"/>
      <c r="Q71" s="83"/>
      <c r="R71" s="83"/>
      <c r="S71" s="83"/>
      <c r="T71" s="83"/>
      <c r="U71" s="83"/>
    </row>
    <row r="72" spans="2:24">
      <c r="B72" s="80" t="s">
        <v>101</v>
      </c>
      <c r="C72" s="81"/>
      <c r="D72" s="82"/>
      <c r="E72" s="83"/>
      <c r="F72" s="83"/>
      <c r="G72" s="83"/>
      <c r="H72" s="83"/>
      <c r="I72" s="83"/>
      <c r="J72" s="83"/>
      <c r="K72" s="80"/>
      <c r="L72" s="81"/>
      <c r="M72" s="82"/>
      <c r="N72" s="83"/>
      <c r="O72" s="83"/>
      <c r="P72" s="83"/>
      <c r="Q72" s="83"/>
      <c r="R72" s="83"/>
      <c r="S72" s="83"/>
      <c r="T72" s="83"/>
      <c r="U72" s="83"/>
    </row>
    <row r="73" spans="2:24">
      <c r="B73" s="80"/>
      <c r="C73" s="81"/>
      <c r="D73" s="82"/>
      <c r="E73" s="83"/>
      <c r="F73" s="83"/>
      <c r="G73" s="83"/>
      <c r="H73" s="83"/>
      <c r="I73" s="83"/>
      <c r="J73" s="83"/>
      <c r="K73" s="80"/>
      <c r="L73" s="81"/>
      <c r="M73" s="82"/>
      <c r="N73" s="83"/>
      <c r="O73" s="83"/>
      <c r="P73" s="83"/>
      <c r="Q73" s="83"/>
      <c r="R73" s="83"/>
      <c r="S73" s="83"/>
      <c r="T73" s="83"/>
      <c r="U73" s="83"/>
    </row>
    <row r="74" spans="2:24">
      <c r="B74" s="303" t="s">
        <v>335</v>
      </c>
      <c r="C74" s="81"/>
      <c r="D74" s="82"/>
      <c r="E74" s="209">
        <f>'Balance Sheet '!F70</f>
        <v>35</v>
      </c>
      <c r="F74" s="209">
        <f>'Balance Sheet '!G70</f>
        <v>35</v>
      </c>
      <c r="G74" s="209">
        <f>'Balance Sheet '!H70</f>
        <v>35</v>
      </c>
      <c r="H74" s="209">
        <f>'Balance Sheet '!I70</f>
        <v>36</v>
      </c>
      <c r="I74" s="209">
        <f>'Balance Sheet '!J70</f>
        <v>36</v>
      </c>
      <c r="J74" s="209">
        <f>'Balance Sheet '!K70</f>
        <v>36</v>
      </c>
      <c r="K74" s="209">
        <f>'Balance Sheet '!L70</f>
        <v>36</v>
      </c>
      <c r="L74" s="209">
        <f>'Balance Sheet '!M70</f>
        <v>36.08</v>
      </c>
      <c r="M74" s="316">
        <f t="shared" ref="M74:U74" si="24">L74</f>
        <v>36.08</v>
      </c>
      <c r="N74" s="316">
        <f>M74</f>
        <v>36.08</v>
      </c>
      <c r="O74" s="316">
        <f t="shared" si="24"/>
        <v>36.08</v>
      </c>
      <c r="P74" s="316">
        <f t="shared" si="24"/>
        <v>36.08</v>
      </c>
      <c r="Q74" s="316">
        <f>P74</f>
        <v>36.08</v>
      </c>
      <c r="R74" s="316">
        <f t="shared" si="24"/>
        <v>36.08</v>
      </c>
      <c r="S74" s="316">
        <f t="shared" si="24"/>
        <v>36.08</v>
      </c>
      <c r="T74" s="316">
        <f t="shared" si="24"/>
        <v>36.08</v>
      </c>
      <c r="U74" s="316">
        <f t="shared" si="24"/>
        <v>36.08</v>
      </c>
      <c r="V74" s="208">
        <f>'Balance Sheet '!R70</f>
        <v>0</v>
      </c>
    </row>
    <row r="75" spans="2:24">
      <c r="B75" s="80" t="s">
        <v>339</v>
      </c>
      <c r="C75" s="81"/>
      <c r="D75" s="82"/>
      <c r="E75" s="209">
        <f>'Balance Sheet '!F75</f>
        <v>7663.5</v>
      </c>
      <c r="F75" s="209">
        <f>'Balance Sheet '!G75</f>
        <v>8862.2999999999993</v>
      </c>
      <c r="G75" s="209">
        <f>'Balance Sheet '!H75</f>
        <v>9636.6</v>
      </c>
      <c r="H75" s="209">
        <f>'Balance Sheet '!I75</f>
        <v>13134</v>
      </c>
      <c r="I75" s="209">
        <f>'Balance Sheet '!J75</f>
        <v>15362</v>
      </c>
      <c r="J75" s="209">
        <f>'Balance Sheet '!K75</f>
        <v>17425</v>
      </c>
      <c r="K75" s="209">
        <f>'Balance Sheet '!L75</f>
        <v>18600</v>
      </c>
      <c r="L75" s="209">
        <f>'Balance Sheet '!M75</f>
        <v>20666.84</v>
      </c>
      <c r="M75" s="209">
        <f>Schedules!M150</f>
        <v>22401.874595017031</v>
      </c>
      <c r="N75" s="209">
        <f>Schedules!N150</f>
        <v>23432.1256234133</v>
      </c>
      <c r="O75" s="209">
        <f>Schedules!O150</f>
        <v>23785.616797057559</v>
      </c>
      <c r="P75" s="209">
        <f>Schedules!P150</f>
        <v>23724.148754818027</v>
      </c>
      <c r="Q75" s="209">
        <f>Schedules!Q150</f>
        <v>23410.584506499396</v>
      </c>
      <c r="R75" s="209">
        <f>Schedules!R150</f>
        <v>22797.423954817379</v>
      </c>
      <c r="S75" s="209">
        <f>Schedules!S150</f>
        <v>22797.423954817379</v>
      </c>
      <c r="T75" s="209">
        <f>Schedules!T150</f>
        <v>22797.423954817379</v>
      </c>
      <c r="U75" s="209">
        <f>Schedules!U150</f>
        <v>22797.423954817379</v>
      </c>
      <c r="W75" s="44">
        <f>_xlfn.RRI($P$8-$K$8,K75,P75)</f>
        <v>4.9870031193678832E-2</v>
      </c>
      <c r="X75" s="44">
        <f>_xlfn.RRI($P$8-$M$8,M75,P75)</f>
        <v>1.9300159679535245E-2</v>
      </c>
    </row>
    <row r="76" spans="2:24">
      <c r="B76" s="304" t="s">
        <v>651</v>
      </c>
      <c r="C76" s="283"/>
      <c r="D76" s="305"/>
      <c r="E76" s="277">
        <f>E74+E75</f>
        <v>7698.5</v>
      </c>
      <c r="F76" s="277">
        <f t="shared" ref="F76:P76" si="25">F74+F75</f>
        <v>8897.2999999999993</v>
      </c>
      <c r="G76" s="277">
        <f t="shared" si="25"/>
        <v>9671.6</v>
      </c>
      <c r="H76" s="277">
        <f t="shared" si="25"/>
        <v>13170</v>
      </c>
      <c r="I76" s="277">
        <f t="shared" si="25"/>
        <v>15398</v>
      </c>
      <c r="J76" s="277">
        <f t="shared" si="25"/>
        <v>17461</v>
      </c>
      <c r="K76" s="277">
        <f t="shared" si="25"/>
        <v>18636</v>
      </c>
      <c r="L76" s="277">
        <f t="shared" si="25"/>
        <v>20702.920000000002</v>
      </c>
      <c r="M76" s="277">
        <f t="shared" si="25"/>
        <v>22437.954595017032</v>
      </c>
      <c r="N76" s="277">
        <f t="shared" si="25"/>
        <v>23468.205623413302</v>
      </c>
      <c r="O76" s="277">
        <f t="shared" si="25"/>
        <v>23821.696797057561</v>
      </c>
      <c r="P76" s="277">
        <f t="shared" si="25"/>
        <v>23760.228754818028</v>
      </c>
      <c r="Q76" s="277">
        <f>Q74+Q75</f>
        <v>23446.664506499397</v>
      </c>
      <c r="R76" s="277">
        <f>R74+R75</f>
        <v>22833.503954817381</v>
      </c>
      <c r="S76" s="277">
        <f>S74+S75</f>
        <v>22833.503954817381</v>
      </c>
      <c r="T76" s="277">
        <f>T74+T75</f>
        <v>22833.503954817381</v>
      </c>
      <c r="U76" s="277">
        <f>U74+U75</f>
        <v>22833.503954817381</v>
      </c>
      <c r="V76" s="87"/>
    </row>
    <row r="77" spans="2:24">
      <c r="B77" s="80"/>
      <c r="C77" s="81"/>
      <c r="D77" s="82"/>
      <c r="E77" s="83"/>
      <c r="F77" s="83"/>
      <c r="G77" s="83"/>
      <c r="H77" s="83"/>
      <c r="I77" s="83"/>
      <c r="J77" s="83"/>
      <c r="K77" s="80"/>
      <c r="L77" s="81"/>
      <c r="M77" s="82"/>
      <c r="N77" s="83"/>
      <c r="O77" s="83"/>
      <c r="P77" s="83"/>
      <c r="Q77" s="83"/>
      <c r="R77" s="83"/>
      <c r="S77" s="83"/>
      <c r="T77" s="83"/>
      <c r="U77" s="83"/>
    </row>
    <row r="78" spans="2:24">
      <c r="B78" s="80" t="s">
        <v>655</v>
      </c>
      <c r="C78" s="81"/>
      <c r="D78" s="82"/>
      <c r="E78" s="83"/>
      <c r="F78" s="83"/>
      <c r="G78" s="83"/>
      <c r="H78" s="83"/>
      <c r="I78" s="83"/>
      <c r="J78" s="83"/>
      <c r="K78" s="80"/>
      <c r="L78" s="81"/>
      <c r="M78" s="82"/>
      <c r="N78" s="83"/>
      <c r="O78" s="83"/>
      <c r="P78" s="83"/>
      <c r="Q78" s="83"/>
      <c r="R78" s="83"/>
      <c r="S78" s="83"/>
      <c r="T78" s="83"/>
      <c r="U78" s="83"/>
    </row>
    <row r="79" spans="2:24">
      <c r="B79" s="80"/>
      <c r="C79" s="81"/>
      <c r="D79" s="82"/>
      <c r="E79" s="83"/>
      <c r="F79" s="83"/>
      <c r="G79" s="83"/>
      <c r="H79" s="83"/>
      <c r="I79" s="83"/>
      <c r="J79" s="83"/>
      <c r="K79" s="80"/>
      <c r="L79" s="81"/>
      <c r="M79" s="82"/>
      <c r="N79" s="83"/>
      <c r="O79" s="83"/>
      <c r="P79" s="83"/>
      <c r="Q79" s="83"/>
      <c r="R79" s="83"/>
      <c r="S79" s="83"/>
      <c r="T79" s="83"/>
      <c r="U79" s="83"/>
    </row>
    <row r="80" spans="2:24">
      <c r="B80" s="80" t="s">
        <v>346</v>
      </c>
      <c r="C80" s="81"/>
      <c r="D80" s="82"/>
      <c r="E80" s="83"/>
      <c r="F80" s="83"/>
      <c r="G80" s="83"/>
      <c r="H80" s="83"/>
      <c r="I80" s="83"/>
      <c r="J80" s="83"/>
      <c r="K80" s="80"/>
      <c r="L80" s="81"/>
      <c r="M80" s="82"/>
      <c r="N80" s="83"/>
      <c r="O80" s="83"/>
      <c r="P80" s="83"/>
      <c r="Q80" s="83"/>
      <c r="R80" s="83"/>
      <c r="S80" s="83"/>
      <c r="T80" s="83"/>
      <c r="U80" s="83"/>
    </row>
    <row r="81" spans="2:22">
      <c r="B81" s="165" t="s">
        <v>652</v>
      </c>
      <c r="C81" s="81"/>
      <c r="D81" s="82"/>
      <c r="E81" s="209">
        <f>'Balance Sheet '!F85</f>
        <v>519</v>
      </c>
      <c r="F81" s="209">
        <f>'Balance Sheet '!G85</f>
        <v>2208</v>
      </c>
      <c r="G81" s="209">
        <f>'Balance Sheet '!H85</f>
        <v>2310</v>
      </c>
      <c r="H81" s="209">
        <f>'Balance Sheet '!I85</f>
        <v>1639</v>
      </c>
      <c r="I81" s="209">
        <f>'Balance Sheet '!J85</f>
        <v>1332</v>
      </c>
      <c r="J81" s="209">
        <f>'Balance Sheet '!K85</f>
        <v>1298</v>
      </c>
      <c r="K81" s="209">
        <f>'Balance Sheet '!L85</f>
        <v>581</v>
      </c>
      <c r="L81" s="209">
        <f>'Balance Sheet '!M85</f>
        <v>713.08</v>
      </c>
      <c r="M81" s="209">
        <f>Schedules!M227</f>
        <v>770.1264000000001</v>
      </c>
      <c r="N81" s="209">
        <f>Schedules!N227</f>
        <v>831.73651200000018</v>
      </c>
      <c r="O81" s="209">
        <f>Schedules!O227</f>
        <v>898.27543296000022</v>
      </c>
      <c r="P81" s="209">
        <f>Schedules!P227</f>
        <v>970.13746759680032</v>
      </c>
      <c r="Q81" s="209">
        <f>Schedules!Q227</f>
        <v>1008.9429663006724</v>
      </c>
      <c r="R81" s="209">
        <f>Schedules!R227</f>
        <v>1049.3006849526994</v>
      </c>
      <c r="S81" s="209">
        <f>Schedules!S227</f>
        <v>1091.2727123508073</v>
      </c>
      <c r="T81" s="209">
        <f>Schedules!T227</f>
        <v>1134.9236208448397</v>
      </c>
      <c r="U81" s="209">
        <f>Schedules!U227</f>
        <v>1180.3205656786333</v>
      </c>
      <c r="V81" s="208"/>
    </row>
    <row r="82" spans="2:22">
      <c r="B82" s="165"/>
      <c r="C82" s="81"/>
      <c r="D82" s="82"/>
      <c r="E82" s="209"/>
      <c r="F82" s="209"/>
      <c r="G82" s="209"/>
      <c r="H82" s="209"/>
      <c r="I82" s="209"/>
      <c r="J82" s="209"/>
      <c r="K82" s="209"/>
      <c r="L82" s="81"/>
      <c r="M82" s="82"/>
      <c r="N82" s="83"/>
      <c r="O82" s="83"/>
      <c r="P82" s="83"/>
      <c r="Q82" s="83"/>
      <c r="R82" s="83"/>
      <c r="S82" s="83"/>
      <c r="T82" s="83"/>
      <c r="U82" s="83"/>
    </row>
    <row r="83" spans="2:22">
      <c r="B83" s="165" t="s">
        <v>653</v>
      </c>
      <c r="C83" s="81"/>
      <c r="D83" s="82"/>
      <c r="E83" s="209">
        <f>'Balance Sheet '!F93</f>
        <v>960.3</v>
      </c>
      <c r="F83" s="209">
        <f>'Balance Sheet '!G93</f>
        <v>1069.5999999999999</v>
      </c>
      <c r="G83" s="209">
        <f>'Balance Sheet '!H93</f>
        <v>1324</v>
      </c>
      <c r="H83" s="209">
        <f>'Balance Sheet '!I93</f>
        <v>1051</v>
      </c>
      <c r="I83" s="209">
        <f>'Balance Sheet '!J93</f>
        <v>290</v>
      </c>
      <c r="J83" s="209">
        <f>'Balance Sheet '!K93</f>
        <v>254</v>
      </c>
      <c r="K83" s="209">
        <f>'Balance Sheet '!L93</f>
        <v>344</v>
      </c>
      <c r="L83" s="209">
        <f>'Balance Sheet '!M93</f>
        <v>339.64</v>
      </c>
      <c r="M83" s="332">
        <f t="shared" ref="M83:U83" si="26">L83</f>
        <v>339.64</v>
      </c>
      <c r="N83" s="332">
        <f>M83</f>
        <v>339.64</v>
      </c>
      <c r="O83" s="332">
        <f t="shared" si="26"/>
        <v>339.64</v>
      </c>
      <c r="P83" s="332">
        <f t="shared" si="26"/>
        <v>339.64</v>
      </c>
      <c r="Q83" s="332">
        <f>P83</f>
        <v>339.64</v>
      </c>
      <c r="R83" s="332">
        <f t="shared" si="26"/>
        <v>339.64</v>
      </c>
      <c r="S83" s="332">
        <f t="shared" si="26"/>
        <v>339.64</v>
      </c>
      <c r="T83" s="332">
        <f t="shared" si="26"/>
        <v>339.64</v>
      </c>
      <c r="U83" s="332">
        <f t="shared" si="26"/>
        <v>339.64</v>
      </c>
      <c r="V83" s="332"/>
    </row>
    <row r="84" spans="2:22">
      <c r="B84" s="165"/>
      <c r="C84" s="81"/>
      <c r="D84" s="82"/>
      <c r="E84" s="99"/>
      <c r="F84" s="99"/>
      <c r="G84" s="99"/>
      <c r="H84" s="99"/>
      <c r="I84" s="99"/>
      <c r="J84" s="99"/>
      <c r="K84" s="99"/>
      <c r="L84" s="81"/>
      <c r="M84" s="82"/>
      <c r="N84" s="99"/>
      <c r="O84" s="99"/>
      <c r="P84" s="99"/>
      <c r="Q84" s="99"/>
      <c r="R84" s="99"/>
      <c r="S84" s="99"/>
      <c r="T84" s="99"/>
      <c r="U84" s="99"/>
    </row>
    <row r="85" spans="2:22">
      <c r="B85" s="169" t="s">
        <v>654</v>
      </c>
      <c r="C85" s="85"/>
      <c r="D85" s="86"/>
      <c r="E85" s="277">
        <f t="shared" ref="E85:K85" si="27">SUM(E83,E81,E76)</f>
        <v>9177.7999999999993</v>
      </c>
      <c r="F85" s="277">
        <f t="shared" si="27"/>
        <v>12174.9</v>
      </c>
      <c r="G85" s="277">
        <f t="shared" si="27"/>
        <v>13305.6</v>
      </c>
      <c r="H85" s="277">
        <f t="shared" si="27"/>
        <v>15860</v>
      </c>
      <c r="I85" s="277">
        <f t="shared" si="27"/>
        <v>17020</v>
      </c>
      <c r="J85" s="277">
        <f t="shared" si="27"/>
        <v>19013</v>
      </c>
      <c r="K85" s="277">
        <f t="shared" si="27"/>
        <v>19561</v>
      </c>
      <c r="L85" s="277">
        <f t="shared" ref="L85:U85" si="28">SUM(L83,L81,L76)</f>
        <v>21755.640000000003</v>
      </c>
      <c r="M85" s="277">
        <f t="shared" si="28"/>
        <v>23547.720995017033</v>
      </c>
      <c r="N85" s="277">
        <f t="shared" si="28"/>
        <v>24639.5821354133</v>
      </c>
      <c r="O85" s="277">
        <f t="shared" si="28"/>
        <v>25059.612230017559</v>
      </c>
      <c r="P85" s="277">
        <f t="shared" si="28"/>
        <v>25070.006222414828</v>
      </c>
      <c r="Q85" s="277">
        <f t="shared" si="28"/>
        <v>24795.247472800071</v>
      </c>
      <c r="R85" s="277">
        <f t="shared" si="28"/>
        <v>24222.444639770081</v>
      </c>
      <c r="S85" s="277">
        <f t="shared" si="28"/>
        <v>24264.416667168189</v>
      </c>
      <c r="T85" s="277">
        <f t="shared" si="28"/>
        <v>24308.067575662222</v>
      </c>
      <c r="U85" s="277">
        <f t="shared" si="28"/>
        <v>24353.464520496014</v>
      </c>
      <c r="V85" s="277"/>
    </row>
    <row r="86" spans="2:22">
      <c r="B86" s="165"/>
      <c r="C86" s="81"/>
      <c r="D86" s="82"/>
      <c r="E86" s="99"/>
      <c r="F86" s="99"/>
      <c r="G86" s="99"/>
      <c r="H86" s="99"/>
      <c r="I86" s="99"/>
      <c r="J86" s="99"/>
      <c r="K86" s="99"/>
      <c r="L86" s="81"/>
      <c r="M86" s="82"/>
      <c r="N86" s="99"/>
      <c r="O86" s="99"/>
      <c r="P86" s="99"/>
      <c r="Q86" s="99"/>
      <c r="R86" s="99"/>
      <c r="S86" s="99"/>
      <c r="T86" s="99"/>
      <c r="U86" s="99"/>
    </row>
    <row r="87" spans="2:22">
      <c r="B87" s="306" t="s">
        <v>656</v>
      </c>
      <c r="C87" s="81"/>
      <c r="D87" s="82"/>
      <c r="E87" s="99"/>
      <c r="F87" s="99"/>
      <c r="G87" s="99"/>
      <c r="H87" s="99"/>
      <c r="I87" s="99"/>
      <c r="J87" s="99"/>
      <c r="K87" s="99"/>
      <c r="L87" s="81"/>
      <c r="M87" s="82"/>
      <c r="N87" s="99"/>
      <c r="O87" s="99"/>
      <c r="P87" s="99"/>
      <c r="Q87" s="99"/>
      <c r="R87" s="99"/>
      <c r="S87" s="99"/>
      <c r="T87" s="99"/>
      <c r="U87" s="99"/>
    </row>
    <row r="88" spans="2:22">
      <c r="B88" s="165"/>
      <c r="C88" s="81"/>
      <c r="D88" s="82"/>
      <c r="E88" s="99"/>
      <c r="F88" s="99"/>
      <c r="G88" s="99"/>
      <c r="H88" s="99"/>
      <c r="I88" s="99"/>
      <c r="J88" s="99"/>
      <c r="K88" s="99"/>
      <c r="L88" s="81"/>
      <c r="M88" s="82"/>
      <c r="N88" s="99"/>
      <c r="O88" s="99"/>
      <c r="P88" s="99"/>
      <c r="Q88" s="99"/>
      <c r="R88" s="99"/>
      <c r="S88" s="99"/>
      <c r="T88" s="99"/>
      <c r="U88" s="99"/>
    </row>
    <row r="89" spans="2:22">
      <c r="B89" s="161" t="s">
        <v>364</v>
      </c>
      <c r="C89" s="81"/>
      <c r="D89" s="82"/>
      <c r="E89" s="209">
        <f>'Balance Sheet '!F103</f>
        <v>352</v>
      </c>
      <c r="F89" s="209">
        <f>'Balance Sheet '!G103</f>
        <v>727</v>
      </c>
      <c r="G89" s="209">
        <f>'Balance Sheet '!H103</f>
        <v>538</v>
      </c>
      <c r="H89" s="209">
        <f>'Balance Sheet '!I103</f>
        <v>658</v>
      </c>
      <c r="I89" s="209">
        <f>'Balance Sheet '!J103</f>
        <v>883</v>
      </c>
      <c r="J89" s="209">
        <f>'Balance Sheet '!K103</f>
        <v>890</v>
      </c>
      <c r="K89" s="209">
        <f>'Balance Sheet '!L103</f>
        <v>1196</v>
      </c>
      <c r="L89" s="209">
        <f>'Balance Sheet '!M103</f>
        <v>1214.23</v>
      </c>
      <c r="M89" s="209">
        <f>Schedules!M185</f>
        <v>1391.0789423196559</v>
      </c>
      <c r="N89" s="209">
        <f>Schedules!N185</f>
        <v>2576.1518448387419</v>
      </c>
      <c r="O89" s="209">
        <f>Schedules!O185</f>
        <v>4041.2395036194544</v>
      </c>
      <c r="P89" s="209">
        <f>Schedules!P185</f>
        <v>5813.8931245204103</v>
      </c>
      <c r="Q89" s="209">
        <f>Schedules!Q185</f>
        <v>7918.0358949649253</v>
      </c>
      <c r="R89" s="209">
        <f>Schedules!R185</f>
        <v>10372.461593237556</v>
      </c>
      <c r="S89" s="209">
        <f>Schedules!S185</f>
        <v>13189.300777870296</v>
      </c>
      <c r="T89" s="209">
        <f>Schedules!T185</f>
        <v>16372.526898753613</v>
      </c>
      <c r="U89" s="209">
        <f>Schedules!U185</f>
        <v>19916.584049134912</v>
      </c>
    </row>
    <row r="90" spans="2:22">
      <c r="B90" s="161" t="s">
        <v>366</v>
      </c>
      <c r="C90" s="81"/>
      <c r="D90" s="82"/>
      <c r="E90" s="209">
        <f>'Balance Sheet '!F113</f>
        <v>2.2000000000000002</v>
      </c>
      <c r="F90" s="209">
        <f>'Balance Sheet '!G113</f>
        <v>23</v>
      </c>
      <c r="G90" s="209">
        <f>'Balance Sheet '!H113</f>
        <v>28</v>
      </c>
      <c r="H90" s="209">
        <f>'Balance Sheet '!I113</f>
        <v>71.5</v>
      </c>
      <c r="I90" s="209">
        <f>'Balance Sheet '!J113</f>
        <v>76.3</v>
      </c>
      <c r="J90" s="209">
        <f>'Balance Sheet '!K113</f>
        <v>322.40000000000003</v>
      </c>
      <c r="K90" s="209">
        <f>'Balance Sheet '!L113</f>
        <v>324.2</v>
      </c>
      <c r="L90" s="209">
        <f>'Balance Sheet '!M113</f>
        <v>409.19</v>
      </c>
      <c r="M90" s="209">
        <f>Schedules!M193</f>
        <v>417.37380000000002</v>
      </c>
      <c r="N90" s="209">
        <f>Schedules!N193</f>
        <v>425.72127600000005</v>
      </c>
      <c r="O90" s="209">
        <f>Schedules!O193</f>
        <v>434.23570152000008</v>
      </c>
      <c r="P90" s="209">
        <f>Schedules!P193</f>
        <v>442.92041555040009</v>
      </c>
      <c r="Q90" s="209">
        <f>Schedules!Q193</f>
        <v>451.77882386140811</v>
      </c>
      <c r="R90" s="209">
        <f>Schedules!R193</f>
        <v>460.81440033863629</v>
      </c>
      <c r="S90" s="209">
        <f>Schedules!S193</f>
        <v>470.03068834540903</v>
      </c>
      <c r="T90" s="209">
        <f>Schedules!T193</f>
        <v>479.43130211231721</v>
      </c>
      <c r="U90" s="209">
        <f>Schedules!U193</f>
        <v>489.01992815456356</v>
      </c>
    </row>
    <row r="91" spans="2:22">
      <c r="B91" s="161" t="s">
        <v>373</v>
      </c>
      <c r="C91" s="81"/>
      <c r="D91" s="82"/>
      <c r="E91" s="209">
        <f>'Balance Sheet '!F121</f>
        <v>0</v>
      </c>
      <c r="F91" s="209">
        <f>'Balance Sheet '!G121</f>
        <v>0</v>
      </c>
      <c r="G91" s="209">
        <f>'Balance Sheet '!H121</f>
        <v>62</v>
      </c>
      <c r="H91" s="209">
        <f>'Balance Sheet '!I121</f>
        <v>70</v>
      </c>
      <c r="I91" s="209">
        <f>'Balance Sheet '!J121</f>
        <v>51</v>
      </c>
      <c r="J91" s="209">
        <f>'Balance Sheet '!K121</f>
        <v>50</v>
      </c>
      <c r="K91" s="209">
        <f>'Balance Sheet '!L121</f>
        <v>41</v>
      </c>
      <c r="L91" s="209">
        <f>'Balance Sheet '!M121</f>
        <v>41.12</v>
      </c>
      <c r="M91" s="209">
        <f>Schedules!M189</f>
        <v>41.12</v>
      </c>
      <c r="N91" s="209">
        <f>Schedules!N189</f>
        <v>41.12</v>
      </c>
      <c r="O91" s="209">
        <f>Schedules!O189</f>
        <v>41.12</v>
      </c>
      <c r="P91" s="209">
        <f>Schedules!P189</f>
        <v>41.12</v>
      </c>
      <c r="Q91" s="209">
        <f>Schedules!Q189</f>
        <v>41.12</v>
      </c>
      <c r="R91" s="209">
        <f>Schedules!R189</f>
        <v>41.12</v>
      </c>
      <c r="S91" s="209">
        <f>Schedules!S189</f>
        <v>41.12</v>
      </c>
      <c r="T91" s="209">
        <f>Schedules!T189</f>
        <v>41.12</v>
      </c>
      <c r="U91" s="209">
        <f>Schedules!U189</f>
        <v>41.12</v>
      </c>
    </row>
    <row r="92" spans="2:22">
      <c r="B92" s="161" t="s">
        <v>682</v>
      </c>
      <c r="C92" s="81"/>
      <c r="D92" s="82"/>
      <c r="E92" s="209">
        <f>'Balance Sheet '!F106</f>
        <v>774.4</v>
      </c>
      <c r="F92" s="209">
        <f>'Balance Sheet '!G106</f>
        <v>1186</v>
      </c>
      <c r="G92" s="209">
        <f>'Balance Sheet '!H106</f>
        <v>473.3</v>
      </c>
      <c r="H92" s="209">
        <f>'Balance Sheet '!I106</f>
        <v>709.8</v>
      </c>
      <c r="I92" s="209">
        <f>'Balance Sheet '!J106</f>
        <v>509.2</v>
      </c>
      <c r="J92" s="209">
        <f>'Balance Sheet '!K106</f>
        <v>319.5</v>
      </c>
      <c r="K92" s="209">
        <f>'Balance Sheet '!L106</f>
        <v>972.4</v>
      </c>
      <c r="L92" s="209">
        <f>'Balance Sheet '!M106</f>
        <v>475.91999999999996</v>
      </c>
      <c r="M92" s="209">
        <f>Schedules!M197</f>
        <v>1107.0755800000002</v>
      </c>
      <c r="N92" s="209">
        <f>Schedules!N197</f>
        <v>1262.8411141060003</v>
      </c>
      <c r="O92" s="209">
        <f>Schedules!O197</f>
        <v>1431.3401999024295</v>
      </c>
      <c r="P92" s="209">
        <f>Schedules!P197</f>
        <v>1611.9139899786917</v>
      </c>
      <c r="Q92" s="209">
        <f>Schedules!Q197</f>
        <v>-3607.0950720888886</v>
      </c>
      <c r="R92" s="209">
        <f>Schedules!R197</f>
        <v>-4009.6984120636098</v>
      </c>
      <c r="S92" s="209">
        <f>Schedules!S197</f>
        <v>-4428.0818006595036</v>
      </c>
      <c r="T92" s="209">
        <f>Schedules!T197</f>
        <v>-4857.9220268806666</v>
      </c>
      <c r="U92" s="209">
        <f>Schedules!U197</f>
        <v>-5294.1634248945511</v>
      </c>
      <c r="V92" s="318"/>
    </row>
    <row r="93" spans="2:22">
      <c r="B93" s="161" t="s">
        <v>102</v>
      </c>
      <c r="C93" s="81"/>
      <c r="D93" s="82"/>
      <c r="E93" s="209">
        <f>'Balance Sheet '!F123</f>
        <v>857.9</v>
      </c>
      <c r="F93" s="209">
        <f>'Balance Sheet '!G123</f>
        <v>1029</v>
      </c>
      <c r="G93" s="209">
        <f>'Balance Sheet '!H123</f>
        <v>1087.4000000000001</v>
      </c>
      <c r="H93" s="209">
        <f>'Balance Sheet '!I123</f>
        <v>2576.4</v>
      </c>
      <c r="I93" s="209">
        <f>'Balance Sheet '!J123</f>
        <v>2974.2</v>
      </c>
      <c r="J93" s="209">
        <f>'Balance Sheet '!K123</f>
        <v>3153.3</v>
      </c>
      <c r="K93" s="209">
        <f>'Balance Sheet '!L123</f>
        <v>4240.3</v>
      </c>
      <c r="L93" s="209">
        <f>'Balance Sheet '!M123</f>
        <v>4028.49</v>
      </c>
      <c r="M93" s="209">
        <f>Schedules!M203</f>
        <v>5258.960921176069</v>
      </c>
      <c r="N93" s="209">
        <f>Schedules!N203</f>
        <v>5998.8967227855419</v>
      </c>
      <c r="O93" s="209">
        <f>Schedules!O203</f>
        <v>6799.3209426543563</v>
      </c>
      <c r="P93" s="209">
        <f>Schedules!P203</f>
        <v>7657.1038461483658</v>
      </c>
      <c r="Q93" s="209">
        <f>Schedules!Q203</f>
        <v>8567.4241062576039</v>
      </c>
      <c r="R93" s="209">
        <f>Schedules!R203</f>
        <v>9523.6710282888998</v>
      </c>
      <c r="S93" s="209">
        <f>Schedules!S203</f>
        <v>10517.398073869215</v>
      </c>
      <c r="T93" s="209">
        <f>Schedules!T203</f>
        <v>11538.336929754092</v>
      </c>
      <c r="U93" s="209">
        <f>Schedules!U203</f>
        <v>12574.479586046011</v>
      </c>
    </row>
    <row r="94" spans="2:22">
      <c r="B94" s="165"/>
      <c r="C94" s="81"/>
      <c r="D94" s="82"/>
      <c r="E94" s="99"/>
      <c r="F94" s="99"/>
      <c r="G94" s="99"/>
      <c r="H94" s="99"/>
      <c r="I94" s="99"/>
      <c r="J94" s="99"/>
      <c r="K94" s="99"/>
      <c r="L94" s="81"/>
      <c r="M94" s="82"/>
      <c r="N94" s="99"/>
      <c r="O94" s="99"/>
      <c r="P94" s="99"/>
      <c r="Q94" s="99"/>
      <c r="R94" s="99"/>
      <c r="S94" s="99"/>
      <c r="T94" s="99"/>
      <c r="U94" s="99"/>
    </row>
    <row r="95" spans="2:22">
      <c r="B95" s="169" t="s">
        <v>103</v>
      </c>
      <c r="C95" s="283"/>
      <c r="D95" s="305"/>
      <c r="E95" s="277">
        <f t="shared" ref="E95:L95" si="29">SUM(E89:E93)</f>
        <v>1986.5</v>
      </c>
      <c r="F95" s="277">
        <f t="shared" si="29"/>
        <v>2965</v>
      </c>
      <c r="G95" s="277">
        <f t="shared" si="29"/>
        <v>2188.6999999999998</v>
      </c>
      <c r="H95" s="277">
        <f t="shared" si="29"/>
        <v>4085.7</v>
      </c>
      <c r="I95" s="277">
        <f t="shared" si="29"/>
        <v>4493.7</v>
      </c>
      <c r="J95" s="277">
        <f t="shared" si="29"/>
        <v>4735.2000000000007</v>
      </c>
      <c r="K95" s="277">
        <f t="shared" si="29"/>
        <v>6773.9</v>
      </c>
      <c r="L95" s="277">
        <f t="shared" si="29"/>
        <v>6168.95</v>
      </c>
      <c r="M95" s="277">
        <f t="shared" ref="M95:U95" si="30">SUM(M89:M93)</f>
        <v>8215.6092434957245</v>
      </c>
      <c r="N95" s="277">
        <f t="shared" si="30"/>
        <v>10304.730957730284</v>
      </c>
      <c r="O95" s="277">
        <f t="shared" si="30"/>
        <v>12747.25634769624</v>
      </c>
      <c r="P95" s="277">
        <f t="shared" si="30"/>
        <v>15566.951376197867</v>
      </c>
      <c r="Q95" s="277">
        <f t="shared" si="30"/>
        <v>13371.26375299505</v>
      </c>
      <c r="R95" s="277">
        <f t="shared" si="30"/>
        <v>16388.368609801484</v>
      </c>
      <c r="S95" s="277">
        <f t="shared" si="30"/>
        <v>19789.767739425417</v>
      </c>
      <c r="T95" s="277">
        <f t="shared" si="30"/>
        <v>23573.493103739354</v>
      </c>
      <c r="U95" s="277">
        <f t="shared" si="30"/>
        <v>27727.040138440934</v>
      </c>
      <c r="V95" s="307"/>
    </row>
    <row r="96" spans="2:22">
      <c r="B96" s="165"/>
      <c r="C96" s="81"/>
      <c r="D96" s="82"/>
      <c r="E96" s="99"/>
      <c r="F96" s="99"/>
      <c r="G96" s="99"/>
      <c r="H96" s="99"/>
      <c r="I96" s="99"/>
      <c r="J96" s="99"/>
      <c r="K96" s="99"/>
      <c r="L96" s="81"/>
      <c r="M96" s="82"/>
      <c r="N96" s="99"/>
      <c r="O96" s="99"/>
      <c r="P96" s="99"/>
      <c r="Q96" s="99"/>
      <c r="R96" s="99"/>
      <c r="S96" s="99"/>
      <c r="T96" s="99"/>
      <c r="U96" s="99"/>
    </row>
    <row r="97" spans="1:22" ht="15.75" thickBot="1">
      <c r="B97" s="171" t="s">
        <v>381</v>
      </c>
      <c r="C97" s="96"/>
      <c r="D97" s="97"/>
      <c r="E97" s="98">
        <f t="shared" ref="E97:K97" si="31">SUM(E95,E85)</f>
        <v>11164.3</v>
      </c>
      <c r="F97" s="98">
        <f t="shared" si="31"/>
        <v>15139.9</v>
      </c>
      <c r="G97" s="98">
        <f t="shared" si="31"/>
        <v>15494.3</v>
      </c>
      <c r="H97" s="98">
        <f t="shared" si="31"/>
        <v>19945.7</v>
      </c>
      <c r="I97" s="98">
        <f t="shared" si="31"/>
        <v>21513.7</v>
      </c>
      <c r="J97" s="98">
        <f t="shared" si="31"/>
        <v>23748.2</v>
      </c>
      <c r="K97" s="98">
        <f t="shared" si="31"/>
        <v>26334.9</v>
      </c>
      <c r="L97" s="98">
        <f t="shared" ref="L97:U97" si="32">SUM(L95,L85)</f>
        <v>27924.590000000004</v>
      </c>
      <c r="M97" s="98">
        <f t="shared" si="32"/>
        <v>31763.330238512757</v>
      </c>
      <c r="N97" s="98">
        <f t="shared" si="32"/>
        <v>34944.313093143588</v>
      </c>
      <c r="O97" s="98">
        <f t="shared" si="32"/>
        <v>37806.868577713802</v>
      </c>
      <c r="P97" s="98">
        <f t="shared" si="32"/>
        <v>40636.957598612695</v>
      </c>
      <c r="Q97" s="98">
        <f t="shared" si="32"/>
        <v>38166.511225795119</v>
      </c>
      <c r="R97" s="98">
        <f t="shared" si="32"/>
        <v>40610.813249571569</v>
      </c>
      <c r="S97" s="98">
        <f t="shared" si="32"/>
        <v>44054.184406593602</v>
      </c>
      <c r="T97" s="98">
        <f t="shared" si="32"/>
        <v>47881.560679401577</v>
      </c>
      <c r="U97" s="98">
        <f t="shared" si="32"/>
        <v>52080.504658936945</v>
      </c>
      <c r="V97" s="99"/>
    </row>
    <row r="98" spans="1:22">
      <c r="B98" s="165"/>
      <c r="C98" s="81"/>
      <c r="D98" s="82"/>
      <c r="E98" s="99"/>
      <c r="F98" s="99"/>
      <c r="G98" s="99"/>
      <c r="H98" s="99"/>
      <c r="I98" s="99"/>
      <c r="J98" s="99"/>
      <c r="K98" s="99"/>
      <c r="L98" s="81"/>
      <c r="M98" s="82"/>
      <c r="N98" s="99"/>
      <c r="O98" s="99"/>
      <c r="P98" s="99"/>
      <c r="Q98" s="99"/>
      <c r="R98" s="99"/>
      <c r="S98" s="99"/>
      <c r="T98" s="99"/>
      <c r="U98" s="99"/>
    </row>
    <row r="99" spans="1:22">
      <c r="B99" s="165" t="s">
        <v>657</v>
      </c>
      <c r="C99" s="81"/>
      <c r="D99" s="82"/>
      <c r="E99" s="99">
        <f>E69-E97</f>
        <v>-0.53999999999905413</v>
      </c>
      <c r="F99" s="99">
        <f t="shared" ref="F99:K99" si="33">F69-F97</f>
        <v>0.34000000000014552</v>
      </c>
      <c r="G99" s="99">
        <f t="shared" si="33"/>
        <v>5.9999999999490683E-2</v>
      </c>
      <c r="H99" s="99">
        <f t="shared" si="33"/>
        <v>-0.5</v>
      </c>
      <c r="I99" s="99">
        <f t="shared" si="33"/>
        <v>-0.24000000000160071</v>
      </c>
      <c r="J99" s="99">
        <f t="shared" si="33"/>
        <v>-7.0000000003346941E-2</v>
      </c>
      <c r="K99" s="99">
        <f t="shared" si="33"/>
        <v>0.12999999999738066</v>
      </c>
      <c r="L99" s="99">
        <f t="shared" ref="L99:U99" si="34">L69-L97</f>
        <v>0.93000000000029104</v>
      </c>
      <c r="M99" s="99">
        <f t="shared" ca="1" si="34"/>
        <v>-9.9999999998544808E-2</v>
      </c>
      <c r="N99" s="99">
        <f t="shared" ca="1" si="34"/>
        <v>-9.9999999991268851E-2</v>
      </c>
      <c r="O99" s="99">
        <f t="shared" ca="1" si="34"/>
        <v>-9.9999999991268851E-2</v>
      </c>
      <c r="P99" s="99">
        <f t="shared" ca="1" si="34"/>
        <v>-9.9999999998544808E-2</v>
      </c>
      <c r="Q99" s="99">
        <f t="shared" ca="1" si="34"/>
        <v>-9.9999999991268851E-2</v>
      </c>
      <c r="R99" s="99">
        <f t="shared" ca="1" si="34"/>
        <v>-9.9999999998544808E-2</v>
      </c>
      <c r="S99" s="99">
        <f t="shared" ca="1" si="34"/>
        <v>-9.9999999983992893E-2</v>
      </c>
      <c r="T99" s="99">
        <f t="shared" ca="1" si="34"/>
        <v>-9.9999999983992893E-2</v>
      </c>
      <c r="U99" s="99">
        <f t="shared" ca="1" si="34"/>
        <v>-9.9999999991268851E-2</v>
      </c>
      <c r="V99" s="99"/>
    </row>
    <row r="100" spans="1:22">
      <c r="B100" s="165"/>
      <c r="C100" s="81"/>
      <c r="D100" s="82"/>
      <c r="E100" s="99"/>
      <c r="F100" s="99"/>
      <c r="G100" s="99"/>
      <c r="H100" s="99"/>
      <c r="I100" s="99"/>
      <c r="J100" s="99"/>
      <c r="K100" s="99"/>
      <c r="L100" s="81"/>
      <c r="M100" s="82"/>
      <c r="N100" s="82"/>
      <c r="O100" s="82"/>
      <c r="P100" s="82"/>
      <c r="Q100" s="82"/>
      <c r="R100" s="82"/>
      <c r="S100" s="82"/>
      <c r="T100" s="82"/>
      <c r="U100" s="82"/>
    </row>
    <row r="101" spans="1:22" hidden="1" outlineLevel="1"/>
    <row r="102" spans="1:22" hidden="1" outlineLevel="1">
      <c r="B102" s="3" t="s">
        <v>108</v>
      </c>
      <c r="I102" s="48" t="e">
        <f>I57-#REF!</f>
        <v>#REF!</v>
      </c>
      <c r="J102" s="48" t="e">
        <f>J57-#REF!</f>
        <v>#REF!</v>
      </c>
      <c r="K102" s="48" t="e">
        <f>K57-#REF!</f>
        <v>#REF!</v>
      </c>
      <c r="L102" s="48" t="e">
        <f>L57-#REF!</f>
        <v>#REF!</v>
      </c>
      <c r="M102" s="48" t="e">
        <f ca="1">M57-#REF!</f>
        <v>#REF!</v>
      </c>
      <c r="N102" s="48" t="e">
        <f ca="1">N57-#REF!</f>
        <v>#REF!</v>
      </c>
      <c r="O102" s="48" t="e">
        <f ca="1">O57-#REF!</f>
        <v>#REF!</v>
      </c>
      <c r="P102" s="48" t="e">
        <f ca="1">P57-#REF!</f>
        <v>#REF!</v>
      </c>
      <c r="Q102" s="48" t="e">
        <f ca="1">Q57-#REF!</f>
        <v>#REF!</v>
      </c>
      <c r="R102" s="48" t="e">
        <f ca="1">R57-#REF!</f>
        <v>#REF!</v>
      </c>
      <c r="S102" s="48" t="e">
        <f ca="1">S57-#REF!</f>
        <v>#REF!</v>
      </c>
      <c r="T102" s="48" t="e">
        <f ca="1">T57-#REF!</f>
        <v>#REF!</v>
      </c>
      <c r="U102" s="48" t="e">
        <f ca="1">U57-#REF!</f>
        <v>#REF!</v>
      </c>
    </row>
    <row r="103" spans="1:22" hidden="1" outlineLevel="1">
      <c r="B103" s="3" t="s">
        <v>11</v>
      </c>
      <c r="I103" s="100">
        <f>I55/I13*365</f>
        <v>18.277321769655671</v>
      </c>
      <c r="J103" s="100">
        <f>J55/J13*365</f>
        <v>19.16304108840637</v>
      </c>
      <c r="K103" s="100">
        <f>K55/K13*365</f>
        <v>24.779445125947337</v>
      </c>
      <c r="L103" s="100">
        <f>L55/L13*365</f>
        <v>22.883737646439638</v>
      </c>
      <c r="M103" s="100">
        <f>M55/M13*365</f>
        <v>22.220898471764681</v>
      </c>
      <c r="N103" s="100">
        <f t="shared" ref="N103:U103" si="35">N55/N13*365</f>
        <v>22.220898471764681</v>
      </c>
      <c r="O103" s="100">
        <f t="shared" si="35"/>
        <v>22.220898471764684</v>
      </c>
      <c r="P103" s="100">
        <f t="shared" si="35"/>
        <v>22.220898471764684</v>
      </c>
      <c r="Q103" s="100">
        <f t="shared" si="35"/>
        <v>22.220898471764684</v>
      </c>
      <c r="R103" s="100">
        <f t="shared" si="35"/>
        <v>22.220898471764681</v>
      </c>
      <c r="S103" s="100">
        <f t="shared" si="35"/>
        <v>22.220898471764681</v>
      </c>
      <c r="T103" s="100">
        <f t="shared" si="35"/>
        <v>22.220898471764677</v>
      </c>
      <c r="U103" s="100">
        <f t="shared" si="35"/>
        <v>22.220898471764681</v>
      </c>
    </row>
    <row r="104" spans="1:22" hidden="1" outlineLevel="1">
      <c r="B104" s="3" t="s">
        <v>54</v>
      </c>
      <c r="I104" s="100">
        <f>I54/I14*365*-1</f>
        <v>594.25047438330171</v>
      </c>
      <c r="J104" s="100">
        <f>J54/J14*365*-1</f>
        <v>901.93468579910939</v>
      </c>
      <c r="K104" s="100">
        <f>K54/K14*365*-1</f>
        <v>735.54322429906551</v>
      </c>
      <c r="L104" s="100">
        <f>L54/L14*365*-1</f>
        <v>845.34237785016285</v>
      </c>
      <c r="M104" s="100">
        <f ca="1">M54/M14*365*-1</f>
        <v>675.31343324028228</v>
      </c>
      <c r="N104" s="100">
        <f t="shared" ref="N104:U104" ca="1" si="36">N54/N14*365*-1</f>
        <v>591.24774592071526</v>
      </c>
      <c r="O104" s="100">
        <f t="shared" ca="1" si="36"/>
        <v>520.31532127934156</v>
      </c>
      <c r="P104" s="100">
        <f t="shared" ca="1" si="36"/>
        <v>460.26346808823575</v>
      </c>
      <c r="Q104" s="100">
        <f t="shared" ca="1" si="36"/>
        <v>409.25980250329724</v>
      </c>
      <c r="R104" s="100">
        <f t="shared" ca="1" si="36"/>
        <v>365.80904401683074</v>
      </c>
      <c r="S104" s="100">
        <f t="shared" ca="1" si="36"/>
        <v>328.68718412694898</v>
      </c>
      <c r="T104" s="100">
        <f t="shared" ca="1" si="36"/>
        <v>296.88924097939281</v>
      </c>
      <c r="U104" s="100">
        <f t="shared" ca="1" si="36"/>
        <v>269.58767179224793</v>
      </c>
    </row>
    <row r="105" spans="1:22" hidden="1" outlineLevel="1">
      <c r="B105" s="3" t="s">
        <v>59</v>
      </c>
      <c r="I105" s="100">
        <f>I89/I14*365*-1</f>
        <v>305.78273244781786</v>
      </c>
      <c r="J105" s="100">
        <f>J89/J14*365*-1</f>
        <v>321.4745175655616</v>
      </c>
      <c r="K105" s="100">
        <f>K89/K14*365*-1</f>
        <v>318.73539719626172</v>
      </c>
      <c r="L105" s="100">
        <f>L89/L14*365*-1</f>
        <v>288.72570032573293</v>
      </c>
      <c r="M105" s="100">
        <f>M89/M14*365*-1</f>
        <v>277.96071845794393</v>
      </c>
      <c r="N105" s="100">
        <f t="shared" ref="N105:U105" si="37">N89/N14*365*-1</f>
        <v>277.96071845794387</v>
      </c>
      <c r="O105" s="100">
        <f t="shared" si="37"/>
        <v>277.96071845794393</v>
      </c>
      <c r="P105" s="100">
        <f t="shared" si="37"/>
        <v>277.96071845794387</v>
      </c>
      <c r="Q105" s="100">
        <f t="shared" si="37"/>
        <v>277.96071845794393</v>
      </c>
      <c r="R105" s="100">
        <f t="shared" si="37"/>
        <v>277.96071845794393</v>
      </c>
      <c r="S105" s="100">
        <f t="shared" si="37"/>
        <v>277.96071845794393</v>
      </c>
      <c r="T105" s="100">
        <f t="shared" si="37"/>
        <v>277.96071845794393</v>
      </c>
      <c r="U105" s="100">
        <f t="shared" si="37"/>
        <v>277.96071845794387</v>
      </c>
    </row>
    <row r="106" spans="1:22" hidden="1" outlineLevel="1">
      <c r="B106" s="3" t="s">
        <v>109</v>
      </c>
      <c r="I106" s="44">
        <f>I56/I13</f>
        <v>8.5842607137326041E-2</v>
      </c>
      <c r="J106" s="44">
        <f>J56/J13</f>
        <v>8.115076853375619E-2</v>
      </c>
      <c r="K106" s="44">
        <f>K56/K13</f>
        <v>7.0801615441921942E-2</v>
      </c>
      <c r="L106" s="44">
        <f>L56/L13</f>
        <v>7.3750511685932052E-2</v>
      </c>
      <c r="M106" s="44">
        <f>M56/M13</f>
        <v>6.5000000000000002E-2</v>
      </c>
      <c r="N106" s="44">
        <f t="shared" ref="N106:U106" si="38">N56/N13</f>
        <v>6.5000000000000002E-2</v>
      </c>
      <c r="O106" s="44">
        <f t="shared" si="38"/>
        <v>6.5000000000000002E-2</v>
      </c>
      <c r="P106" s="44">
        <f t="shared" si="38"/>
        <v>6.5000000000000002E-2</v>
      </c>
      <c r="Q106" s="44">
        <f t="shared" si="38"/>
        <v>6.5000000000000002E-2</v>
      </c>
      <c r="R106" s="44">
        <f t="shared" si="38"/>
        <v>6.5000000000000002E-2</v>
      </c>
      <c r="S106" s="44">
        <f t="shared" si="38"/>
        <v>6.5000000000000002E-2</v>
      </c>
      <c r="T106" s="44">
        <f t="shared" si="38"/>
        <v>6.5000000000000002E-2</v>
      </c>
      <c r="U106" s="44">
        <f t="shared" si="38"/>
        <v>6.5000000000000002E-2</v>
      </c>
    </row>
    <row r="107" spans="1:22" hidden="1" outlineLevel="1">
      <c r="B107" s="3" t="s">
        <v>110</v>
      </c>
      <c r="I107" s="44" t="e">
        <f>#REF!/I13</f>
        <v>#REF!</v>
      </c>
      <c r="J107" s="44" t="e">
        <f>#REF!/J13</f>
        <v>#REF!</v>
      </c>
      <c r="K107" s="44" t="e">
        <f>#REF!/K13</f>
        <v>#REF!</v>
      </c>
      <c r="L107" s="44" t="e">
        <f>#REF!/L13</f>
        <v>#REF!</v>
      </c>
      <c r="M107" s="44" t="e">
        <f>#REF!/M13</f>
        <v>#REF!</v>
      </c>
      <c r="N107" s="44" t="e">
        <f>#REF!/N13</f>
        <v>#REF!</v>
      </c>
      <c r="O107" s="44" t="e">
        <f>#REF!/O13</f>
        <v>#REF!</v>
      </c>
      <c r="P107" s="44" t="e">
        <f>#REF!/P13</f>
        <v>#REF!</v>
      </c>
      <c r="Q107" s="44" t="e">
        <f>#REF!/Q13</f>
        <v>#REF!</v>
      </c>
      <c r="R107" s="44" t="e">
        <f>#REF!/R13</f>
        <v>#REF!</v>
      </c>
      <c r="S107" s="44" t="e">
        <f>#REF!/S13</f>
        <v>#REF!</v>
      </c>
      <c r="T107" s="44" t="e">
        <f>#REF!/T13</f>
        <v>#REF!</v>
      </c>
      <c r="U107" s="44" t="e">
        <f>#REF!/U13</f>
        <v>#REF!</v>
      </c>
    </row>
    <row r="108" spans="1:22" hidden="1" outlineLevel="1">
      <c r="B108" s="3" t="s">
        <v>60</v>
      </c>
      <c r="I108" s="44" t="e">
        <f>#REF!/I13</f>
        <v>#REF!</v>
      </c>
      <c r="J108" s="44" t="e">
        <f>#REF!/J13</f>
        <v>#REF!</v>
      </c>
      <c r="K108" s="44" t="e">
        <f>#REF!/K13</f>
        <v>#REF!</v>
      </c>
      <c r="L108" s="44" t="e">
        <f>#REF!/L13</f>
        <v>#REF!</v>
      </c>
      <c r="M108" s="44" t="e">
        <f>#REF!/M13</f>
        <v>#REF!</v>
      </c>
      <c r="N108" s="44" t="e">
        <f>#REF!/N13</f>
        <v>#REF!</v>
      </c>
      <c r="O108" s="44" t="e">
        <f>#REF!/O13</f>
        <v>#REF!</v>
      </c>
      <c r="P108" s="44" t="e">
        <f>#REF!/P13</f>
        <v>#REF!</v>
      </c>
      <c r="Q108" s="44" t="e">
        <f>#REF!/Q13</f>
        <v>#REF!</v>
      </c>
      <c r="R108" s="44" t="e">
        <f>#REF!/R13</f>
        <v>#REF!</v>
      </c>
      <c r="S108" s="44" t="e">
        <f>#REF!/S13</f>
        <v>#REF!</v>
      </c>
      <c r="T108" s="44" t="e">
        <f>#REF!/T13</f>
        <v>#REF!</v>
      </c>
      <c r="U108" s="44" t="e">
        <f>#REF!/U13</f>
        <v>#REF!</v>
      </c>
    </row>
    <row r="109" spans="1:22" collapsed="1"/>
    <row r="110" spans="1:22">
      <c r="A110" s="3" t="s">
        <v>21</v>
      </c>
      <c r="B110" s="489" t="s">
        <v>111</v>
      </c>
      <c r="C110" s="490"/>
      <c r="D110" s="490"/>
      <c r="E110" s="490"/>
      <c r="F110" s="490"/>
      <c r="G110" s="490"/>
      <c r="H110" s="490"/>
      <c r="I110" s="490"/>
      <c r="J110" s="490"/>
      <c r="K110" s="490"/>
      <c r="L110" s="490"/>
      <c r="M110" s="490"/>
      <c r="N110" s="490"/>
      <c r="O110" s="490"/>
      <c r="P110" s="490"/>
      <c r="Q110" s="490"/>
      <c r="R110" s="490"/>
      <c r="S110" s="490"/>
      <c r="T110" s="490"/>
      <c r="U110" s="490"/>
    </row>
    <row r="112" spans="1:22">
      <c r="B112" s="14" t="s">
        <v>658</v>
      </c>
      <c r="E112" s="209">
        <f>'Cash Flow Statemenet'!F7</f>
        <v>1531</v>
      </c>
      <c r="F112" s="209">
        <f>'Cash Flow Statemenet'!G7</f>
        <v>1827</v>
      </c>
      <c r="G112" s="209">
        <f>'Cash Flow Statemenet'!H7</f>
        <v>1324</v>
      </c>
      <c r="H112" s="209">
        <f>'Cash Flow Statemenet'!I7</f>
        <v>1934</v>
      </c>
      <c r="I112" s="209">
        <f>'Cash Flow Statemenet'!J7</f>
        <v>3004</v>
      </c>
      <c r="J112" s="209">
        <f>'Cash Flow Statemenet'!K7</f>
        <v>2892</v>
      </c>
      <c r="K112" s="209">
        <f>'Cash Flow Statemenet'!L7</f>
        <v>1495</v>
      </c>
      <c r="L112" s="209">
        <f>'Cash Flow Statemenet'!M7</f>
        <v>2959.2</v>
      </c>
      <c r="M112" s="48">
        <f>M36</f>
        <v>3559.0453231118563</v>
      </c>
      <c r="N112" s="48">
        <f t="shared" ref="N112:U112" si="39">N36</f>
        <v>2497.5782506576211</v>
      </c>
      <c r="O112" s="48">
        <f t="shared" si="39"/>
        <v>1178.3039121475347</v>
      </c>
      <c r="P112" s="48">
        <f t="shared" si="39"/>
        <v>-409.78694826356491</v>
      </c>
      <c r="Q112" s="48">
        <f t="shared" si="39"/>
        <v>-2090.4283221242176</v>
      </c>
      <c r="R112" s="48">
        <f t="shared" si="39"/>
        <v>-4087.7370112134545</v>
      </c>
      <c r="S112" s="48">
        <f t="shared" si="39"/>
        <v>-6644.2494119879202</v>
      </c>
      <c r="T112" s="48">
        <f t="shared" si="39"/>
        <v>-9590.348781442015</v>
      </c>
      <c r="U112" s="48">
        <f t="shared" si="39"/>
        <v>-12937.380776920883</v>
      </c>
    </row>
    <row r="113" spans="2:22">
      <c r="B113" s="310" t="s">
        <v>659</v>
      </c>
      <c r="E113" s="209">
        <f>'Cash Flow Statemenet'!F9</f>
        <v>1215</v>
      </c>
      <c r="F113" s="209">
        <f>'Cash Flow Statemenet'!G9</f>
        <v>899</v>
      </c>
      <c r="G113" s="209">
        <f>'Cash Flow Statemenet'!H9</f>
        <v>1472</v>
      </c>
      <c r="H113" s="209">
        <f>'Cash Flow Statemenet'!I9</f>
        <v>1808</v>
      </c>
      <c r="I113" s="209">
        <f>'Cash Flow Statemenet'!J9</f>
        <v>1262</v>
      </c>
      <c r="J113" s="209">
        <f>'Cash Flow Statemenet'!K9</f>
        <v>1146</v>
      </c>
      <c r="K113" s="209">
        <f>'Cash Flow Statemenet'!L9</f>
        <v>1661</v>
      </c>
      <c r="L113" s="209">
        <f>'Cash Flow Statemenet'!M9</f>
        <v>1897.32</v>
      </c>
      <c r="M113" s="48">
        <f>M27</f>
        <v>2493.0464428571427</v>
      </c>
      <c r="N113" s="48">
        <f t="shared" ref="N113:U113" si="40">N27</f>
        <v>3088.1892999999995</v>
      </c>
      <c r="O113" s="48">
        <f t="shared" si="40"/>
        <v>3683.3321571428564</v>
      </c>
      <c r="P113" s="48">
        <f t="shared" si="40"/>
        <v>4229.2845380952367</v>
      </c>
      <c r="Q113" s="48">
        <f t="shared" si="40"/>
        <v>4726.0464428571413</v>
      </c>
      <c r="R113" s="48">
        <f t="shared" si="40"/>
        <v>5173.6178714285697</v>
      </c>
      <c r="S113" s="48">
        <f t="shared" si="40"/>
        <v>5571.998823809522</v>
      </c>
      <c r="T113" s="48">
        <f t="shared" si="40"/>
        <v>5921.1892999999982</v>
      </c>
      <c r="U113" s="48">
        <f t="shared" si="40"/>
        <v>6221.1892999999982</v>
      </c>
    </row>
    <row r="114" spans="2:22">
      <c r="B114" s="310" t="s">
        <v>660</v>
      </c>
      <c r="E114" s="209">
        <f>'Cash Flow Statemenet'!F10</f>
        <v>129</v>
      </c>
      <c r="F114" s="209">
        <f>'Cash Flow Statemenet'!G10</f>
        <v>135</v>
      </c>
      <c r="G114" s="209">
        <f>'Cash Flow Statemenet'!H10</f>
        <v>248</v>
      </c>
      <c r="H114" s="209">
        <f>'Cash Flow Statemenet'!I10</f>
        <v>291</v>
      </c>
      <c r="I114" s="209">
        <f>'Cash Flow Statemenet'!J10</f>
        <v>251</v>
      </c>
      <c r="J114" s="209">
        <f>'Cash Flow Statemenet'!K10</f>
        <v>216</v>
      </c>
      <c r="K114" s="209">
        <f>'Cash Flow Statemenet'!L10</f>
        <v>263</v>
      </c>
      <c r="L114" s="209">
        <f>'Cash Flow Statemenet'!M10</f>
        <v>258.33999999999997</v>
      </c>
      <c r="M114" s="48">
        <f>M32</f>
        <v>120.96166811100001</v>
      </c>
      <c r="N114" s="48">
        <f t="shared" ref="N114:U114" si="41">N32</f>
        <v>156.68670546088174</v>
      </c>
      <c r="O114" s="48">
        <f t="shared" si="41"/>
        <v>174.53442406630458</v>
      </c>
      <c r="P114" s="48">
        <f t="shared" si="41"/>
        <v>193.765266717776</v>
      </c>
      <c r="Q114" s="48">
        <f t="shared" si="41"/>
        <v>-0.6351705719919829</v>
      </c>
      <c r="R114" s="48">
        <f t="shared" si="41"/>
        <v>-219.28479090787056</v>
      </c>
      <c r="S114" s="48">
        <f t="shared" si="41"/>
        <v>-248.42480886830347</v>
      </c>
      <c r="T114" s="48">
        <f t="shared" si="41"/>
        <v>-278.50940565189143</v>
      </c>
      <c r="U114" s="48">
        <f t="shared" si="41"/>
        <v>-309.16338791418133</v>
      </c>
    </row>
    <row r="115" spans="2:22">
      <c r="B115" s="310" t="s">
        <v>661</v>
      </c>
      <c r="E115" s="209">
        <f>'Cash Flow Statemenet'!F11</f>
        <v>4</v>
      </c>
      <c r="F115" s="209">
        <f>'Cash Flow Statemenet'!G11</f>
        <v>1.1000000000000001</v>
      </c>
      <c r="G115" s="209">
        <f>'Cash Flow Statemenet'!H11</f>
        <v>22</v>
      </c>
      <c r="H115" s="209">
        <f>'Cash Flow Statemenet'!I11</f>
        <v>-1.4</v>
      </c>
      <c r="I115" s="209">
        <f>'Cash Flow Statemenet'!J11</f>
        <v>-3.7</v>
      </c>
      <c r="J115" s="209">
        <f>'Cash Flow Statemenet'!K11</f>
        <v>-5.0999999999999996</v>
      </c>
      <c r="K115" s="209">
        <f>'Cash Flow Statemenet'!L11</f>
        <v>-6.8</v>
      </c>
      <c r="L115" s="209">
        <f>'Cash Flow Statemenet'!M11</f>
        <v>-9.7200000000000006</v>
      </c>
      <c r="M115" s="48">
        <v>0</v>
      </c>
      <c r="N115" s="48">
        <v>0</v>
      </c>
      <c r="O115" s="48">
        <v>0</v>
      </c>
      <c r="P115" s="48">
        <v>0</v>
      </c>
      <c r="Q115" s="48">
        <v>0</v>
      </c>
      <c r="R115" s="48">
        <v>0</v>
      </c>
      <c r="S115" s="48">
        <v>0</v>
      </c>
      <c r="T115" s="48">
        <v>0</v>
      </c>
      <c r="U115" s="48">
        <v>0</v>
      </c>
      <c r="V115" s="48"/>
    </row>
    <row r="116" spans="2:22">
      <c r="B116" s="310" t="s">
        <v>662</v>
      </c>
      <c r="E116" s="209">
        <f>'Cash Flow Statemenet'!F12</f>
        <v>-11.4</v>
      </c>
      <c r="F116" s="209">
        <f>'Cash Flow Statemenet'!G12</f>
        <v>-36.4</v>
      </c>
      <c r="G116" s="209">
        <f>'Cash Flow Statemenet'!H12</f>
        <v>-9.9</v>
      </c>
      <c r="H116" s="209">
        <f>'Cash Flow Statemenet'!I12</f>
        <v>3.4</v>
      </c>
      <c r="I116" s="209">
        <f>'Cash Flow Statemenet'!J12</f>
        <v>-35.1</v>
      </c>
      <c r="J116" s="209">
        <f>'Cash Flow Statemenet'!K12</f>
        <v>-102.5</v>
      </c>
      <c r="K116" s="209">
        <f>'Cash Flow Statemenet'!L12</f>
        <v>1.9</v>
      </c>
      <c r="L116" s="209">
        <f>'Cash Flow Statemenet'!M12</f>
        <v>16.5</v>
      </c>
      <c r="M116" s="48">
        <v>0</v>
      </c>
      <c r="N116" s="48">
        <v>0</v>
      </c>
      <c r="O116" s="48">
        <v>0</v>
      </c>
      <c r="P116" s="48">
        <v>0</v>
      </c>
      <c r="Q116" s="48">
        <v>0</v>
      </c>
      <c r="R116" s="48">
        <v>0</v>
      </c>
      <c r="S116" s="48">
        <v>0</v>
      </c>
      <c r="T116" s="48">
        <v>0</v>
      </c>
      <c r="U116" s="48">
        <v>0</v>
      </c>
      <c r="V116" s="48"/>
    </row>
    <row r="117" spans="2:22">
      <c r="B117" s="310" t="s">
        <v>663</v>
      </c>
      <c r="E117" s="209">
        <f>'Cash Flow Statemenet'!F13</f>
        <v>-58.2</v>
      </c>
      <c r="F117" s="209">
        <f>'Cash Flow Statemenet'!G13</f>
        <v>-82.5</v>
      </c>
      <c r="G117" s="209">
        <f>'Cash Flow Statemenet'!H13</f>
        <v>-52.8</v>
      </c>
      <c r="H117" s="209">
        <f>'Cash Flow Statemenet'!I13</f>
        <v>-40.799999999999997</v>
      </c>
      <c r="I117" s="209">
        <f>'Cash Flow Statemenet'!J13</f>
        <v>-9.1999999999999993</v>
      </c>
      <c r="J117" s="209">
        <f>'Cash Flow Statemenet'!K13</f>
        <v>-6.3</v>
      </c>
      <c r="K117" s="209">
        <f>'Cash Flow Statemenet'!L13</f>
        <v>-6.1</v>
      </c>
      <c r="L117" s="209">
        <f>'Cash Flow Statemenet'!M13</f>
        <v>-6.15</v>
      </c>
      <c r="M117" s="48">
        <f t="shared" ref="M117:U117" si="42">L117</f>
        <v>-6.15</v>
      </c>
      <c r="N117" s="48">
        <f>M117</f>
        <v>-6.15</v>
      </c>
      <c r="O117" s="48">
        <f t="shared" si="42"/>
        <v>-6.15</v>
      </c>
      <c r="P117" s="48">
        <f t="shared" si="42"/>
        <v>-6.15</v>
      </c>
      <c r="Q117" s="48">
        <f>P117</f>
        <v>-6.15</v>
      </c>
      <c r="R117" s="48">
        <f t="shared" si="42"/>
        <v>-6.15</v>
      </c>
      <c r="S117" s="48">
        <f t="shared" si="42"/>
        <v>-6.15</v>
      </c>
      <c r="T117" s="48">
        <f t="shared" si="42"/>
        <v>-6.15</v>
      </c>
      <c r="U117" s="48">
        <f t="shared" si="42"/>
        <v>-6.15</v>
      </c>
    </row>
    <row r="118" spans="2:22">
      <c r="B118" s="310" t="s">
        <v>664</v>
      </c>
      <c r="E118" s="209">
        <f>'Cash Flow Statemenet'!F14</f>
        <v>-250.4</v>
      </c>
      <c r="F118" s="209">
        <f>'Cash Flow Statemenet'!G14</f>
        <v>-209.3</v>
      </c>
      <c r="G118" s="209">
        <f>'Cash Flow Statemenet'!H14</f>
        <v>-165.3</v>
      </c>
      <c r="H118" s="209">
        <f>'Cash Flow Statemenet'!I14</f>
        <v>-176</v>
      </c>
      <c r="I118" s="209">
        <f>'Cash Flow Statemenet'!J14</f>
        <v>-229.9</v>
      </c>
      <c r="J118" s="209">
        <f>'Cash Flow Statemenet'!K14</f>
        <v>-315.7</v>
      </c>
      <c r="K118" s="209">
        <f>'Cash Flow Statemenet'!L14</f>
        <v>-306.3</v>
      </c>
      <c r="L118" s="209">
        <f>'Cash Flow Statemenet'!M14</f>
        <v>-270.98</v>
      </c>
      <c r="M118" s="48"/>
      <c r="N118" s="48"/>
      <c r="O118" s="48"/>
      <c r="P118" s="48"/>
      <c r="Q118" s="48"/>
      <c r="R118" s="48"/>
      <c r="S118" s="48"/>
      <c r="T118" s="48"/>
      <c r="U118" s="48"/>
    </row>
    <row r="119" spans="2:22">
      <c r="B119" s="310" t="s">
        <v>665</v>
      </c>
      <c r="E119" s="209">
        <f>'Cash Flow Statemenet'!F15</f>
        <v>22</v>
      </c>
      <c r="F119" s="209">
        <f>'Cash Flow Statemenet'!G15</f>
        <v>21</v>
      </c>
      <c r="G119" s="209">
        <f>'Cash Flow Statemenet'!H15</f>
        <v>142</v>
      </c>
      <c r="H119" s="209">
        <f>'Cash Flow Statemenet'!I15</f>
        <v>-1.4</v>
      </c>
      <c r="I119" s="209">
        <f>'Cash Flow Statemenet'!J15</f>
        <v>2.2999999999999998</v>
      </c>
      <c r="J119" s="209">
        <f>'Cash Flow Statemenet'!K15</f>
        <v>1.4</v>
      </c>
      <c r="K119" s="209">
        <f>'Cash Flow Statemenet'!L15</f>
        <v>-3.4</v>
      </c>
      <c r="L119" s="209">
        <f>'Cash Flow Statemenet'!M15</f>
        <v>-0.56000000000000005</v>
      </c>
      <c r="M119" s="48"/>
      <c r="N119" s="48"/>
      <c r="O119" s="48"/>
      <c r="P119" s="48"/>
      <c r="Q119" s="48"/>
      <c r="R119" s="48"/>
      <c r="S119" s="48"/>
      <c r="T119" s="48"/>
      <c r="U119" s="48"/>
      <c r="V119" s="48"/>
    </row>
    <row r="120" spans="2:22">
      <c r="B120" s="310" t="s">
        <v>666</v>
      </c>
      <c r="E120" s="209">
        <f>'Cash Flow Statemenet'!F16</f>
        <v>-39.700000000000003</v>
      </c>
      <c r="F120" s="209">
        <f>'Cash Flow Statemenet'!G16</f>
        <v>-57.1</v>
      </c>
      <c r="G120" s="209">
        <f>'Cash Flow Statemenet'!H16</f>
        <v>-19.100000000000001</v>
      </c>
      <c r="H120" s="209">
        <f>'Cash Flow Statemenet'!I16</f>
        <v>-50.7</v>
      </c>
      <c r="I120" s="209">
        <f>'Cash Flow Statemenet'!J16</f>
        <v>-135.9</v>
      </c>
      <c r="J120" s="209">
        <f>'Cash Flow Statemenet'!K16</f>
        <v>-108.6</v>
      </c>
      <c r="K120" s="209">
        <f>'Cash Flow Statemenet'!L16</f>
        <v>-144.30000000000001</v>
      </c>
      <c r="L120" s="209">
        <f>'Cash Flow Statemenet'!M16</f>
        <v>-326.99</v>
      </c>
      <c r="M120" s="48"/>
      <c r="N120" s="48"/>
      <c r="O120" s="48"/>
      <c r="P120" s="48"/>
      <c r="Q120" s="48"/>
      <c r="R120" s="48"/>
      <c r="S120" s="48"/>
      <c r="T120" s="48"/>
      <c r="U120" s="48"/>
    </row>
    <row r="121" spans="2:22">
      <c r="B121" s="309" t="s">
        <v>112</v>
      </c>
      <c r="E121" s="209">
        <f>'Cash Flow Statemenet'!F20</f>
        <v>-50.9</v>
      </c>
      <c r="F121" s="209">
        <f>'Cash Flow Statemenet'!G20</f>
        <v>-113.1</v>
      </c>
      <c r="G121" s="209">
        <f>'Cash Flow Statemenet'!H20</f>
        <v>-650.5</v>
      </c>
      <c r="H121" s="209">
        <f>'Cash Flow Statemenet'!I20</f>
        <v>693</v>
      </c>
      <c r="I121" s="209">
        <f>'Cash Flow Statemenet'!J20</f>
        <v>893</v>
      </c>
      <c r="J121" s="209">
        <f>'Cash Flow Statemenet'!K20</f>
        <v>-847.7</v>
      </c>
      <c r="K121" s="209">
        <f>'Cash Flow Statemenet'!L20</f>
        <v>-51.6</v>
      </c>
      <c r="L121" s="209">
        <f>'Cash Flow Statemenet'!M20</f>
        <v>-725.28</v>
      </c>
      <c r="M121" s="209">
        <f ca="1">Schedules!M222*-1</f>
        <v>1453.4490310960587</v>
      </c>
      <c r="N121" s="209">
        <f ca="1">Schedules!N222*-1</f>
        <v>371.75578619263661</v>
      </c>
      <c r="O121" s="209">
        <f ca="1">Schedules!O222*-1</f>
        <v>412.77894659228377</v>
      </c>
      <c r="P121" s="209">
        <f ca="1">Schedules!P222*-1</f>
        <v>453.14613912076879</v>
      </c>
      <c r="Q121" s="209">
        <f ca="1">Schedules!Q222*-1</f>
        <v>491.99947389472595</v>
      </c>
      <c r="R121" s="209">
        <f ca="1">Schedules!R222*-1</f>
        <v>528.39691670086131</v>
      </c>
      <c r="S121" s="209">
        <f ca="1">Schedules!S222*-1</f>
        <v>561.32765777927887</v>
      </c>
      <c r="T121" s="209">
        <f ca="1">Schedules!T222*-1</f>
        <v>589.73187716877669</v>
      </c>
      <c r="U121" s="209">
        <f ca="1">Schedules!U222*-1</f>
        <v>612.52470766244483</v>
      </c>
      <c r="V121" s="48"/>
    </row>
    <row r="122" spans="2:22">
      <c r="B122" s="309" t="s">
        <v>667</v>
      </c>
      <c r="E122" s="209">
        <f>'Cash Flow Statemenet'!F25</f>
        <v>-289.10000000000002</v>
      </c>
      <c r="F122" s="209">
        <f>'Cash Flow Statemenet'!G25</f>
        <v>-506.8</v>
      </c>
      <c r="G122" s="209">
        <f>'Cash Flow Statemenet'!H25</f>
        <v>-230.2</v>
      </c>
      <c r="H122" s="209">
        <f>'Cash Flow Statemenet'!I25</f>
        <v>-486.2</v>
      </c>
      <c r="I122" s="209">
        <f>'Cash Flow Statemenet'!J25</f>
        <v>-745.1</v>
      </c>
      <c r="J122" s="209">
        <f>'Cash Flow Statemenet'!K25</f>
        <v>-201.3</v>
      </c>
      <c r="K122" s="209">
        <f>'Cash Flow Statemenet'!L25</f>
        <v>-333.2</v>
      </c>
      <c r="L122" s="209">
        <f>'Cash Flow Statemenet'!M25</f>
        <v>-444.19</v>
      </c>
      <c r="M122" s="48">
        <f>M38*-1</f>
        <v>-889.76133077796408</v>
      </c>
      <c r="N122" s="48">
        <f t="shared" ref="N122:U122" si="43">N38*-1</f>
        <v>-624.39456266440527</v>
      </c>
      <c r="O122" s="48">
        <f t="shared" si="43"/>
        <v>-294.57597803688367</v>
      </c>
      <c r="P122" s="48">
        <f t="shared" si="43"/>
        <v>102.44673706589123</v>
      </c>
      <c r="Q122" s="48">
        <f t="shared" si="43"/>
        <v>522.60708053105441</v>
      </c>
      <c r="R122" s="48">
        <f t="shared" si="43"/>
        <v>1021.9342528033636</v>
      </c>
      <c r="S122" s="48">
        <f t="shared" si="43"/>
        <v>1661.0623529969801</v>
      </c>
      <c r="T122" s="48">
        <f t="shared" si="43"/>
        <v>2397.5871953605038</v>
      </c>
      <c r="U122" s="48">
        <f t="shared" si="43"/>
        <v>3234.3451942302208</v>
      </c>
    </row>
    <row r="123" spans="2:22">
      <c r="B123" s="39" t="s">
        <v>668</v>
      </c>
      <c r="C123" s="40"/>
      <c r="D123" s="40"/>
      <c r="E123" s="312">
        <f>SUM(E112:E122)</f>
        <v>2201.3000000000002</v>
      </c>
      <c r="F123" s="312">
        <f t="shared" ref="F123:L123" si="44">SUM(F112:F122)</f>
        <v>1877.8999999999999</v>
      </c>
      <c r="G123" s="312">
        <f t="shared" si="44"/>
        <v>2080.1999999999998</v>
      </c>
      <c r="H123" s="312">
        <f t="shared" si="44"/>
        <v>3972.9000000000005</v>
      </c>
      <c r="I123" s="312">
        <f t="shared" si="44"/>
        <v>4253.4000000000005</v>
      </c>
      <c r="J123" s="312">
        <f t="shared" si="44"/>
        <v>2668.2</v>
      </c>
      <c r="K123" s="312">
        <f t="shared" si="44"/>
        <v>2569.1999999999998</v>
      </c>
      <c r="L123" s="312">
        <f t="shared" si="44"/>
        <v>3347.4900000000002</v>
      </c>
      <c r="M123" s="312">
        <f t="shared" ref="M123:U123" ca="1" si="45">SUM(M112:M122)</f>
        <v>6971.2175846555247</v>
      </c>
      <c r="N123" s="312">
        <f t="shared" ca="1" si="45"/>
        <v>6659.2071483110767</v>
      </c>
      <c r="O123" s="312">
        <f t="shared" ca="1" si="45"/>
        <v>7510.6524247747539</v>
      </c>
      <c r="P123" s="312">
        <f t="shared" ca="1" si="45"/>
        <v>8393.6484512103561</v>
      </c>
      <c r="Q123" s="312">
        <f t="shared" ca="1" si="45"/>
        <v>9249.9510135051241</v>
      </c>
      <c r="R123" s="312">
        <f t="shared" ca="1" si="45"/>
        <v>10123.506849344967</v>
      </c>
      <c r="S123" s="312">
        <f t="shared" ca="1" si="45"/>
        <v>11063.036087791865</v>
      </c>
      <c r="T123" s="312">
        <f t="shared" ca="1" si="45"/>
        <v>12012.870243500109</v>
      </c>
      <c r="U123" s="312">
        <f t="shared" ca="1" si="45"/>
        <v>12965.155985929792</v>
      </c>
    </row>
    <row r="124" spans="2:22">
      <c r="B124" s="14"/>
      <c r="L124" s="48"/>
      <c r="M124" s="48"/>
      <c r="N124" s="48"/>
      <c r="O124" s="48"/>
      <c r="P124" s="48"/>
      <c r="Q124" s="48"/>
      <c r="R124" s="48"/>
      <c r="S124" s="48"/>
      <c r="T124" s="48"/>
      <c r="U124" s="48"/>
    </row>
    <row r="125" spans="2:22">
      <c r="B125" s="14"/>
      <c r="L125" s="48"/>
      <c r="M125" s="48"/>
      <c r="N125" s="48"/>
      <c r="O125" s="48"/>
      <c r="P125" s="48"/>
      <c r="Q125" s="48"/>
      <c r="R125" s="48"/>
      <c r="S125" s="48"/>
      <c r="T125" s="48"/>
      <c r="U125" s="48"/>
    </row>
    <row r="126" spans="2:22">
      <c r="B126" s="309" t="s">
        <v>669</v>
      </c>
      <c r="E126" s="209">
        <f>'Cash Flow Statemenet'!F34+'Cash Flow Statemenet'!F35</f>
        <v>-1294.6000000000001</v>
      </c>
      <c r="F126" s="209">
        <f>'Cash Flow Statemenet'!G34+'Cash Flow Statemenet'!G35</f>
        <v>-2526.2000000000003</v>
      </c>
      <c r="G126" s="209">
        <f>'Cash Flow Statemenet'!H34+'Cash Flow Statemenet'!H35</f>
        <v>-1922.4</v>
      </c>
      <c r="H126" s="209">
        <f>'Cash Flow Statemenet'!I34+'Cash Flow Statemenet'!I35</f>
        <v>-1540.3999999999999</v>
      </c>
      <c r="I126" s="209">
        <f>'Cash Flow Statemenet'!J34+'Cash Flow Statemenet'!J35</f>
        <v>-1129.0999999999999</v>
      </c>
      <c r="J126" s="209">
        <f>'Cash Flow Statemenet'!K34+'Cash Flow Statemenet'!K35</f>
        <v>-2209.3999999999996</v>
      </c>
      <c r="K126" s="209">
        <f>'Cash Flow Statemenet'!L34+'Cash Flow Statemenet'!L35</f>
        <v>-3279.4</v>
      </c>
      <c r="L126" s="209">
        <f>'Cash Flow Statemenet'!M34+'Cash Flow Statemenet'!M35</f>
        <v>-3169.5</v>
      </c>
      <c r="M126" s="48">
        <f>Schedules!M61*-1</f>
        <v>-4166</v>
      </c>
      <c r="N126" s="48">
        <f>Schedules!N61*-1</f>
        <v>-4166</v>
      </c>
      <c r="O126" s="48">
        <f>Schedules!O61*-1</f>
        <v>-4166</v>
      </c>
      <c r="P126" s="48">
        <f>Schedules!P61*-1</f>
        <v>-3821.6666666666665</v>
      </c>
      <c r="Q126" s="48">
        <f>Schedules!Q61*-1</f>
        <v>-3477.333333333333</v>
      </c>
      <c r="R126" s="48">
        <f>Schedules!R61*-1</f>
        <v>-3132.9999999999995</v>
      </c>
      <c r="S126" s="48">
        <f>Schedules!S61*-1</f>
        <v>-2788.6666666666661</v>
      </c>
      <c r="T126" s="48">
        <f>Schedules!T61*-1</f>
        <v>-2444.3333333333326</v>
      </c>
      <c r="U126" s="48">
        <f>Schedules!U61*-1</f>
        <v>-2100</v>
      </c>
    </row>
    <row r="127" spans="2:22">
      <c r="B127" s="309" t="s">
        <v>670</v>
      </c>
      <c r="E127" s="209">
        <f>'Cash Flow Statemenet'!F36+'Cash Flow Statemenet'!F37</f>
        <v>-1156</v>
      </c>
      <c r="F127" s="209">
        <f>'Cash Flow Statemenet'!G36+'Cash Flow Statemenet'!G37</f>
        <v>-1835.9</v>
      </c>
      <c r="G127" s="209">
        <f>'Cash Flow Statemenet'!H36+'Cash Flow Statemenet'!H37</f>
        <v>950.30000000000018</v>
      </c>
      <c r="H127" s="209">
        <f>'Cash Flow Statemenet'!I36+'Cash Flow Statemenet'!I37</f>
        <v>-4249.7</v>
      </c>
      <c r="I127" s="209">
        <f>'Cash Flow Statemenet'!J36+'Cash Flow Statemenet'!J37</f>
        <v>-1719.6999999999998</v>
      </c>
      <c r="J127" s="209">
        <f>'Cash Flow Statemenet'!K36+'Cash Flow Statemenet'!K37</f>
        <v>-211.59999999999991</v>
      </c>
      <c r="K127" s="209">
        <f>'Cash Flow Statemenet'!L36+'Cash Flow Statemenet'!L37</f>
        <v>482.6</v>
      </c>
      <c r="L127" s="209">
        <f>'Cash Flow Statemenet'!M36+'Cash Flow Statemenet'!M37</f>
        <v>1399.2199999999998</v>
      </c>
      <c r="M127" s="48"/>
      <c r="N127" s="48">
        <f>M127</f>
        <v>0</v>
      </c>
      <c r="O127" s="48">
        <f t="shared" ref="O127:U128" si="46">N127</f>
        <v>0</v>
      </c>
      <c r="P127" s="48">
        <f t="shared" si="46"/>
        <v>0</v>
      </c>
      <c r="Q127" s="48">
        <f>P127</f>
        <v>0</v>
      </c>
      <c r="R127" s="48">
        <f t="shared" si="46"/>
        <v>0</v>
      </c>
      <c r="S127" s="48">
        <f t="shared" si="46"/>
        <v>0</v>
      </c>
      <c r="T127" s="48">
        <f t="shared" si="46"/>
        <v>0</v>
      </c>
      <c r="U127" s="48">
        <f t="shared" si="46"/>
        <v>0</v>
      </c>
    </row>
    <row r="128" spans="2:22">
      <c r="B128" s="309" t="s">
        <v>404</v>
      </c>
      <c r="E128" s="209">
        <f>'Cash Flow Statemenet'!F38</f>
        <v>38</v>
      </c>
      <c r="F128" s="209">
        <f>'Cash Flow Statemenet'!G38</f>
        <v>96</v>
      </c>
      <c r="G128" s="209">
        <f>'Cash Flow Statemenet'!H38</f>
        <v>59</v>
      </c>
      <c r="H128" s="209">
        <f>'Cash Flow Statemenet'!I38</f>
        <v>44</v>
      </c>
      <c r="I128" s="209">
        <f>'Cash Flow Statemenet'!J38</f>
        <v>9.1999999999999993</v>
      </c>
      <c r="J128" s="209">
        <f>'Cash Flow Statemenet'!K38</f>
        <v>6.3</v>
      </c>
      <c r="K128" s="209">
        <f>'Cash Flow Statemenet'!L38</f>
        <v>6.1</v>
      </c>
      <c r="L128" s="209">
        <f>'Cash Flow Statemenet'!M38</f>
        <v>6.15</v>
      </c>
      <c r="M128" s="48">
        <f>L128</f>
        <v>6.15</v>
      </c>
      <c r="N128" s="48">
        <f>M128</f>
        <v>6.15</v>
      </c>
      <c r="O128" s="48">
        <f t="shared" si="46"/>
        <v>6.15</v>
      </c>
      <c r="P128" s="48">
        <f t="shared" si="46"/>
        <v>6.15</v>
      </c>
      <c r="Q128" s="48">
        <f>P128</f>
        <v>6.15</v>
      </c>
      <c r="R128" s="48">
        <f t="shared" si="46"/>
        <v>6.15</v>
      </c>
      <c r="S128" s="48">
        <f t="shared" si="46"/>
        <v>6.15</v>
      </c>
      <c r="T128" s="48">
        <f t="shared" si="46"/>
        <v>6.15</v>
      </c>
      <c r="U128" s="48">
        <f t="shared" si="46"/>
        <v>6.15</v>
      </c>
    </row>
    <row r="129" spans="2:22">
      <c r="B129" s="309" t="s">
        <v>282</v>
      </c>
      <c r="E129" s="209">
        <f>'Cash Flow Statemenet'!F39</f>
        <v>367</v>
      </c>
      <c r="F129" s="209">
        <f>'Cash Flow Statemenet'!G39</f>
        <v>672</v>
      </c>
      <c r="G129" s="209">
        <f>'Cash Flow Statemenet'!H39</f>
        <v>191</v>
      </c>
      <c r="H129" s="209">
        <f>'Cash Flow Statemenet'!I39</f>
        <v>149</v>
      </c>
      <c r="I129" s="209">
        <f>'Cash Flow Statemenet'!J39</f>
        <v>209</v>
      </c>
      <c r="J129" s="209">
        <f>'Cash Flow Statemenet'!K39</f>
        <v>297</v>
      </c>
      <c r="K129" s="209">
        <f>'Cash Flow Statemenet'!L39</f>
        <v>357</v>
      </c>
      <c r="L129" s="209">
        <f>'Cash Flow Statemenet'!M39</f>
        <v>343.51</v>
      </c>
      <c r="M129" s="48"/>
      <c r="N129" s="48"/>
      <c r="O129" s="48"/>
      <c r="P129" s="48"/>
      <c r="Q129" s="48"/>
      <c r="R129" s="48"/>
      <c r="S129" s="48"/>
      <c r="T129" s="48"/>
      <c r="U129" s="48"/>
    </row>
    <row r="130" spans="2:22">
      <c r="B130" s="309" t="s">
        <v>671</v>
      </c>
      <c r="E130" s="209">
        <f>'Cash Flow Statemenet'!F40</f>
        <v>-1.8</v>
      </c>
      <c r="F130" s="209">
        <f>'Cash Flow Statemenet'!G40</f>
        <v>-0.1</v>
      </c>
      <c r="G130" s="209">
        <f>'Cash Flow Statemenet'!H40</f>
        <v>-0.1</v>
      </c>
      <c r="H130" s="209">
        <f>'Cash Flow Statemenet'!I40</f>
        <v>-2.4</v>
      </c>
      <c r="I130" s="209">
        <f>'Cash Flow Statemenet'!J40</f>
        <v>-14.6</v>
      </c>
      <c r="J130" s="209">
        <f>'Cash Flow Statemenet'!K40</f>
        <v>-33.4</v>
      </c>
      <c r="K130" s="209">
        <f>'Cash Flow Statemenet'!L40</f>
        <v>19</v>
      </c>
      <c r="L130" s="209">
        <f>'Cash Flow Statemenet'!M40</f>
        <v>2.16</v>
      </c>
      <c r="M130" s="48"/>
      <c r="N130" s="48"/>
      <c r="O130" s="48"/>
      <c r="P130" s="48"/>
      <c r="Q130" s="48"/>
      <c r="R130" s="48"/>
      <c r="S130" s="48"/>
      <c r="T130" s="48"/>
      <c r="U130" s="48"/>
    </row>
    <row r="131" spans="2:22">
      <c r="B131" s="39" t="s">
        <v>672</v>
      </c>
      <c r="C131" s="39"/>
      <c r="D131" s="39"/>
      <c r="E131" s="313">
        <f t="shared" ref="E131:L131" si="47">SUM(E126:E130)</f>
        <v>-2047.4000000000003</v>
      </c>
      <c r="F131" s="313">
        <f t="shared" si="47"/>
        <v>-3594.2000000000003</v>
      </c>
      <c r="G131" s="313">
        <f t="shared" si="47"/>
        <v>-722.19999999999993</v>
      </c>
      <c r="H131" s="313">
        <f t="shared" si="47"/>
        <v>-5599.4999999999991</v>
      </c>
      <c r="I131" s="313">
        <f t="shared" si="47"/>
        <v>-2645.2</v>
      </c>
      <c r="J131" s="313">
        <f t="shared" si="47"/>
        <v>-2151.0999999999995</v>
      </c>
      <c r="K131" s="313">
        <f t="shared" si="47"/>
        <v>-2414.7000000000003</v>
      </c>
      <c r="L131" s="313">
        <f t="shared" si="47"/>
        <v>-1418.46</v>
      </c>
      <c r="M131" s="313">
        <f t="shared" ref="M131:U131" si="48">SUM(M126:M130)</f>
        <v>-4159.8500000000004</v>
      </c>
      <c r="N131" s="313">
        <f t="shared" si="48"/>
        <v>-4159.8500000000004</v>
      </c>
      <c r="O131" s="313">
        <f t="shared" si="48"/>
        <v>-4159.8500000000004</v>
      </c>
      <c r="P131" s="313">
        <f t="shared" si="48"/>
        <v>-3815.5166666666664</v>
      </c>
      <c r="Q131" s="313">
        <f t="shared" si="48"/>
        <v>-3471.1833333333329</v>
      </c>
      <c r="R131" s="313">
        <f t="shared" si="48"/>
        <v>-3126.8499999999995</v>
      </c>
      <c r="S131" s="313">
        <f t="shared" si="48"/>
        <v>-2782.516666666666</v>
      </c>
      <c r="T131" s="313">
        <f t="shared" si="48"/>
        <v>-2438.1833333333325</v>
      </c>
      <c r="U131" s="313">
        <f t="shared" si="48"/>
        <v>-2093.85</v>
      </c>
    </row>
    <row r="132" spans="2:22">
      <c r="B132" s="309"/>
      <c r="E132" s="311"/>
      <c r="F132" s="311"/>
      <c r="G132" s="311"/>
      <c r="H132" s="311"/>
      <c r="I132" s="311"/>
      <c r="J132" s="311"/>
      <c r="K132" s="311"/>
      <c r="L132" s="48"/>
      <c r="M132" s="48"/>
      <c r="N132" s="48"/>
      <c r="O132" s="48"/>
      <c r="P132" s="48"/>
      <c r="Q132" s="48"/>
      <c r="R132" s="48"/>
      <c r="S132" s="48"/>
      <c r="T132" s="48"/>
      <c r="U132" s="48"/>
    </row>
    <row r="133" spans="2:22">
      <c r="B133" s="321" t="s">
        <v>700</v>
      </c>
      <c r="E133" s="209">
        <f>'Cash Flow Statemenet'!F47</f>
        <v>0</v>
      </c>
      <c r="F133" s="209">
        <f>'Cash Flow Statemenet'!G47</f>
        <v>0</v>
      </c>
      <c r="G133" s="209">
        <f>'Cash Flow Statemenet'!H47</f>
        <v>0</v>
      </c>
      <c r="H133" s="209">
        <f>'Cash Flow Statemenet'!I47</f>
        <v>2383</v>
      </c>
      <c r="I133" s="209">
        <f>'Cash Flow Statemenet'!J47</f>
        <v>0</v>
      </c>
      <c r="J133" s="209">
        <f>'Cash Flow Statemenet'!K47</f>
        <v>0</v>
      </c>
      <c r="K133" s="209">
        <f>'Cash Flow Statemenet'!L47</f>
        <v>0</v>
      </c>
      <c r="L133" s="48">
        <v>0</v>
      </c>
      <c r="M133" s="48">
        <v>0</v>
      </c>
      <c r="N133" s="48">
        <v>0</v>
      </c>
      <c r="O133" s="48">
        <v>0</v>
      </c>
      <c r="P133" s="48"/>
      <c r="Q133" s="48"/>
      <c r="R133" s="48"/>
      <c r="S133" s="48"/>
      <c r="T133" s="48"/>
      <c r="U133" s="48"/>
    </row>
    <row r="134" spans="2:22">
      <c r="B134" s="321" t="s">
        <v>699</v>
      </c>
      <c r="E134" s="209">
        <f>'Cash Flow Statemenet'!F48+'Cash Flow Statemenet'!F49</f>
        <v>-146.30000000000001</v>
      </c>
      <c r="F134" s="209">
        <f>'Cash Flow Statemenet'!G48+'Cash Flow Statemenet'!G49</f>
        <v>1685</v>
      </c>
      <c r="G134" s="209">
        <f>'Cash Flow Statemenet'!H48+'Cash Flow Statemenet'!H49</f>
        <v>-7.5</v>
      </c>
      <c r="H134" s="209">
        <f>'Cash Flow Statemenet'!I48+'Cash Flow Statemenet'!I49</f>
        <v>-67.5</v>
      </c>
      <c r="I134" s="209">
        <f>'Cash Flow Statemenet'!J48+'Cash Flow Statemenet'!J49</f>
        <v>-710.3</v>
      </c>
      <c r="J134" s="209">
        <f>'Cash Flow Statemenet'!K48+'Cash Flow Statemenet'!K49</f>
        <v>31.800000000000011</v>
      </c>
      <c r="K134" s="209">
        <f>'Cash Flow Statemenet'!L48+'Cash Flow Statemenet'!L49</f>
        <v>-184.89999999999998</v>
      </c>
      <c r="L134" s="209">
        <f>'Cash Flow Statemenet'!M48+'Cash Flow Statemenet'!M49</f>
        <v>-469.91999999999996</v>
      </c>
      <c r="M134" s="48">
        <f t="shared" ref="M134:U134" si="49">M81-L81</f>
        <v>57.046400000000062</v>
      </c>
      <c r="N134" s="48">
        <f>N81-M81</f>
        <v>61.610112000000072</v>
      </c>
      <c r="O134" s="48">
        <f t="shared" si="49"/>
        <v>66.538920960000041</v>
      </c>
      <c r="P134" s="48">
        <f t="shared" si="49"/>
        <v>71.862034636800104</v>
      </c>
      <c r="Q134" s="48">
        <f>Q81-P81</f>
        <v>38.805498703872104</v>
      </c>
      <c r="R134" s="48">
        <f t="shared" si="49"/>
        <v>40.357718652026961</v>
      </c>
      <c r="S134" s="48">
        <f t="shared" si="49"/>
        <v>41.972027398107912</v>
      </c>
      <c r="T134" s="48">
        <f t="shared" si="49"/>
        <v>43.650908494032365</v>
      </c>
      <c r="U134" s="48">
        <f t="shared" si="49"/>
        <v>45.396944833793668</v>
      </c>
    </row>
    <row r="135" spans="2:22">
      <c r="B135" s="321" t="s">
        <v>701</v>
      </c>
      <c r="E135" s="209">
        <f>'Cash Flow Statemenet'!F50</f>
        <v>592</v>
      </c>
      <c r="F135" s="209">
        <f>'Cash Flow Statemenet'!G50</f>
        <v>354</v>
      </c>
      <c r="G135" s="209">
        <f>'Cash Flow Statemenet'!H50</f>
        <v>-750.1</v>
      </c>
      <c r="H135" s="209">
        <f>'Cash Flow Statemenet'!I50</f>
        <v>230</v>
      </c>
      <c r="I135" s="209">
        <f>'Cash Flow Statemenet'!J50</f>
        <v>-189.2</v>
      </c>
      <c r="J135" s="209">
        <f>'Cash Flow Statemenet'!K50</f>
        <v>-188.9</v>
      </c>
      <c r="K135" s="209">
        <f>'Cash Flow Statemenet'!L50</f>
        <v>640</v>
      </c>
      <c r="L135" s="209">
        <f>'Cash Flow Statemenet'!M50</f>
        <v>-492.3</v>
      </c>
      <c r="M135" s="48">
        <f t="shared" ref="M135:U135" si="50">M92-L92</f>
        <v>631.15558000000021</v>
      </c>
      <c r="N135" s="48">
        <f>N92-M92</f>
        <v>155.76553410600013</v>
      </c>
      <c r="O135" s="48">
        <f t="shared" si="50"/>
        <v>168.4990857964292</v>
      </c>
      <c r="P135" s="48">
        <f t="shared" si="50"/>
        <v>180.57379007626218</v>
      </c>
      <c r="Q135" s="48">
        <f>Q92-P92</f>
        <v>-5219.0090620675801</v>
      </c>
      <c r="R135" s="48">
        <f t="shared" si="50"/>
        <v>-402.60333997472117</v>
      </c>
      <c r="S135" s="48">
        <f t="shared" si="50"/>
        <v>-418.38338859589385</v>
      </c>
      <c r="T135" s="48">
        <f t="shared" si="50"/>
        <v>-429.84022622116299</v>
      </c>
      <c r="U135" s="48">
        <f t="shared" si="50"/>
        <v>-436.24139801388446</v>
      </c>
      <c r="V135" s="48"/>
    </row>
    <row r="136" spans="2:22">
      <c r="B136" s="183" t="s">
        <v>412</v>
      </c>
      <c r="E136" s="209">
        <f>'Cash Flow Statemenet'!F51</f>
        <v>-484.6</v>
      </c>
      <c r="F136" s="209">
        <f>'Cash Flow Statemenet'!G51</f>
        <v>-184.3</v>
      </c>
      <c r="G136" s="209">
        <f>'Cash Flow Statemenet'!H51</f>
        <v>-240.7</v>
      </c>
      <c r="H136" s="209">
        <f>'Cash Flow Statemenet'!I51</f>
        <v>-628.4</v>
      </c>
      <c r="I136" s="209">
        <f>'Cash Flow Statemenet'!J51</f>
        <v>-11.1</v>
      </c>
      <c r="J136" s="209">
        <f>'Cash Flow Statemenet'!K51</f>
        <v>-384.3</v>
      </c>
      <c r="K136" s="209">
        <f>'Cash Flow Statemenet'!L51</f>
        <v>-324.5</v>
      </c>
      <c r="L136" s="209">
        <f>'Cash Flow Statemenet'!M51</f>
        <v>-379.03</v>
      </c>
      <c r="M136" s="209">
        <f>Schedules!M149</f>
        <v>-934.24939731686231</v>
      </c>
      <c r="N136" s="209">
        <f>Schedules!N149</f>
        <v>-842.93265959694713</v>
      </c>
      <c r="O136" s="209">
        <f>Schedules!O149</f>
        <v>-530.23676046639059</v>
      </c>
      <c r="P136" s="209">
        <f>Schedules!P149</f>
        <v>245.87216895813896</v>
      </c>
      <c r="Q136" s="209">
        <f>Schedules!Q149</f>
        <v>1254.2569932745307</v>
      </c>
      <c r="R136" s="209">
        <f>Schedules!R149</f>
        <v>2452.6422067280728</v>
      </c>
      <c r="S136" s="209">
        <f>Schedules!S149</f>
        <v>4983.1870589909404</v>
      </c>
      <c r="T136" s="209">
        <f>Schedules!T149</f>
        <v>7192.7615860815113</v>
      </c>
      <c r="U136" s="209">
        <f>Schedules!U149</f>
        <v>9703.0355826906634</v>
      </c>
      <c r="V136" s="48"/>
    </row>
    <row r="137" spans="2:22">
      <c r="B137" s="183" t="s">
        <v>413</v>
      </c>
      <c r="E137" s="209">
        <f>'Cash Flow Statemenet'!F52</f>
        <v>-127.8</v>
      </c>
      <c r="F137" s="209">
        <f>'Cash Flow Statemenet'!G52</f>
        <v>-124.8</v>
      </c>
      <c r="G137" s="209">
        <f>'Cash Flow Statemenet'!H52</f>
        <v>-276.10000000000002</v>
      </c>
      <c r="H137" s="209">
        <f>'Cash Flow Statemenet'!I52</f>
        <v>-289.2</v>
      </c>
      <c r="I137" s="209">
        <f>'Cash Flow Statemenet'!J52</f>
        <v>-254</v>
      </c>
      <c r="J137" s="209">
        <f>'Cash Flow Statemenet'!K52</f>
        <v>-209.1</v>
      </c>
      <c r="K137" s="209">
        <f>'Cash Flow Statemenet'!L52</f>
        <v>-258.60000000000002</v>
      </c>
      <c r="L137" s="209">
        <f>'Cash Flow Statemenet'!M52</f>
        <v>-219.71</v>
      </c>
      <c r="M137" s="48">
        <f>M32*-1</f>
        <v>-120.96166811100001</v>
      </c>
      <c r="N137" s="48">
        <f t="shared" ref="N137:U137" si="51">N32*-1</f>
        <v>-156.68670546088174</v>
      </c>
      <c r="O137" s="48">
        <f t="shared" si="51"/>
        <v>-174.53442406630458</v>
      </c>
      <c r="P137" s="48">
        <f t="shared" si="51"/>
        <v>-193.765266717776</v>
      </c>
      <c r="Q137" s="48">
        <f t="shared" si="51"/>
        <v>0.6351705719919829</v>
      </c>
      <c r="R137" s="48">
        <f t="shared" si="51"/>
        <v>219.28479090787056</v>
      </c>
      <c r="S137" s="48">
        <f t="shared" si="51"/>
        <v>248.42480886830347</v>
      </c>
      <c r="T137" s="48">
        <f t="shared" si="51"/>
        <v>278.50940565189143</v>
      </c>
      <c r="U137" s="48">
        <f t="shared" si="51"/>
        <v>309.16338791418133</v>
      </c>
    </row>
    <row r="138" spans="2:22">
      <c r="B138" s="183" t="s">
        <v>414</v>
      </c>
      <c r="E138" s="209">
        <f>'Cash Flow Statemenet'!F53</f>
        <v>0</v>
      </c>
      <c r="F138" s="209">
        <f>'Cash Flow Statemenet'!G53</f>
        <v>0</v>
      </c>
      <c r="G138" s="209">
        <f>'Cash Flow Statemenet'!H53</f>
        <v>0</v>
      </c>
      <c r="H138" s="209">
        <f>'Cash Flow Statemenet'!I53</f>
        <v>0</v>
      </c>
      <c r="I138" s="209">
        <f>'Cash Flow Statemenet'!J53</f>
        <v>0</v>
      </c>
      <c r="J138" s="209">
        <f>'Cash Flow Statemenet'!K53</f>
        <v>0</v>
      </c>
      <c r="K138" s="209">
        <f>'Cash Flow Statemenet'!L53</f>
        <v>0</v>
      </c>
      <c r="L138" s="209">
        <f>'Cash Flow Statemenet'!M53</f>
        <v>0</v>
      </c>
      <c r="M138" s="48">
        <v>0</v>
      </c>
      <c r="N138" s="48">
        <v>0</v>
      </c>
      <c r="O138" s="48">
        <v>0</v>
      </c>
      <c r="P138" s="48">
        <v>0</v>
      </c>
      <c r="Q138" s="48">
        <v>0</v>
      </c>
      <c r="R138" s="48">
        <v>0</v>
      </c>
      <c r="S138" s="48">
        <v>0</v>
      </c>
      <c r="T138" s="48">
        <v>0</v>
      </c>
      <c r="U138" s="48">
        <v>0</v>
      </c>
    </row>
    <row r="139" spans="2:22">
      <c r="B139" s="183" t="s">
        <v>415</v>
      </c>
      <c r="E139" s="209">
        <f>'Cash Flow Statemenet'!F54</f>
        <v>0</v>
      </c>
      <c r="F139" s="209">
        <f>'Cash Flow Statemenet'!G54</f>
        <v>-3.98</v>
      </c>
      <c r="G139" s="209">
        <f>'Cash Flow Statemenet'!H54</f>
        <v>-1.52</v>
      </c>
      <c r="H139" s="209">
        <f>'Cash Flow Statemenet'!I54</f>
        <v>-44.51</v>
      </c>
      <c r="I139" s="209">
        <f>'Cash Flow Statemenet'!J54</f>
        <v>-61.55</v>
      </c>
      <c r="J139" s="209">
        <f>'Cash Flow Statemenet'!K54</f>
        <v>-98.38</v>
      </c>
      <c r="K139" s="209">
        <f>'Cash Flow Statemenet'!L54</f>
        <v>-147.61000000000001</v>
      </c>
      <c r="L139" s="209">
        <f>'Cash Flow Statemenet'!M54</f>
        <v>-148.9</v>
      </c>
      <c r="M139" s="48"/>
      <c r="N139" s="48"/>
      <c r="O139" s="48"/>
      <c r="P139" s="48"/>
      <c r="Q139" s="48"/>
      <c r="R139" s="48"/>
      <c r="S139" s="48"/>
      <c r="T139" s="48"/>
      <c r="U139" s="48"/>
    </row>
    <row r="140" spans="2:22" ht="45">
      <c r="B140" s="186" t="s">
        <v>416</v>
      </c>
      <c r="E140" s="209">
        <f>'Cash Flow Statemenet'!F55</f>
        <v>0</v>
      </c>
      <c r="F140" s="209">
        <f>'Cash Flow Statemenet'!G55</f>
        <v>0</v>
      </c>
      <c r="G140" s="209">
        <f>'Cash Flow Statemenet'!H55</f>
        <v>0</v>
      </c>
      <c r="H140" s="209">
        <f>'Cash Flow Statemenet'!I55</f>
        <v>-2.12</v>
      </c>
      <c r="I140" s="209">
        <f>'Cash Flow Statemenet'!J55</f>
        <v>-6.53</v>
      </c>
      <c r="J140" s="209">
        <f>'Cash Flow Statemenet'!K55</f>
        <v>-0.81</v>
      </c>
      <c r="K140" s="209">
        <f>'Cash Flow Statemenet'!L55</f>
        <v>-0.87</v>
      </c>
      <c r="L140" s="209">
        <f>'Cash Flow Statemenet'!M55</f>
        <v>-0.19</v>
      </c>
      <c r="M140" s="48">
        <v>0</v>
      </c>
      <c r="N140" s="48">
        <v>0</v>
      </c>
      <c r="O140" s="48">
        <v>0</v>
      </c>
      <c r="P140" s="48">
        <v>0</v>
      </c>
      <c r="Q140" s="48">
        <v>0</v>
      </c>
      <c r="R140" s="48">
        <v>0</v>
      </c>
      <c r="S140" s="48">
        <v>0</v>
      </c>
      <c r="T140" s="48">
        <v>0</v>
      </c>
      <c r="U140" s="48">
        <v>0</v>
      </c>
    </row>
    <row r="141" spans="2:22">
      <c r="B141" s="309"/>
      <c r="E141" s="311"/>
      <c r="F141" s="311"/>
      <c r="G141" s="311"/>
      <c r="H141" s="311"/>
      <c r="I141" s="311"/>
      <c r="J141" s="311"/>
      <c r="K141" s="311"/>
      <c r="L141" s="48"/>
      <c r="M141" s="48"/>
      <c r="N141" s="48"/>
      <c r="O141" s="48"/>
      <c r="P141" s="48"/>
      <c r="Q141" s="48"/>
      <c r="R141" s="48"/>
      <c r="S141" s="48"/>
      <c r="T141" s="48"/>
      <c r="U141" s="48"/>
    </row>
    <row r="142" spans="2:22" s="40" customFormat="1">
      <c r="B142" s="39" t="s">
        <v>743</v>
      </c>
      <c r="E142" s="312">
        <f>SUM(E133:E140)</f>
        <v>-166.70000000000005</v>
      </c>
      <c r="F142" s="312">
        <f t="shared" ref="F142:P142" si="52">SUM(F133:F140)</f>
        <v>1725.92</v>
      </c>
      <c r="G142" s="312">
        <f t="shared" si="52"/>
        <v>-1275.92</v>
      </c>
      <c r="H142" s="312">
        <f t="shared" si="52"/>
        <v>1581.27</v>
      </c>
      <c r="I142" s="312">
        <f t="shared" si="52"/>
        <v>-1232.6799999999998</v>
      </c>
      <c r="J142" s="312">
        <f t="shared" si="52"/>
        <v>-849.68999999999994</v>
      </c>
      <c r="K142" s="312">
        <f t="shared" si="52"/>
        <v>-276.48</v>
      </c>
      <c r="L142" s="312">
        <f t="shared" si="52"/>
        <v>-1710.0500000000002</v>
      </c>
      <c r="M142" s="312">
        <f t="shared" si="52"/>
        <v>-367.00908542786203</v>
      </c>
      <c r="N142" s="312">
        <f t="shared" si="52"/>
        <v>-782.24371895182867</v>
      </c>
      <c r="O142" s="312">
        <f t="shared" si="52"/>
        <v>-469.73317777626596</v>
      </c>
      <c r="P142" s="312">
        <f t="shared" si="52"/>
        <v>304.54272695342524</v>
      </c>
      <c r="Q142" s="312">
        <f>SUM(Q133:Q140)</f>
        <v>-3925.3113995171848</v>
      </c>
      <c r="R142" s="312">
        <f>SUM(R133:R140)</f>
        <v>2309.6813763132491</v>
      </c>
      <c r="S142" s="312">
        <f>SUM(S133:S140)</f>
        <v>4855.2005066614583</v>
      </c>
      <c r="T142" s="312">
        <f>SUM(T133:T140)</f>
        <v>7085.0816740062719</v>
      </c>
      <c r="U142" s="312">
        <f>SUM(U133:U140)</f>
        <v>9621.3545174247538</v>
      </c>
    </row>
    <row r="144" spans="2:22">
      <c r="B144" s="40" t="s">
        <v>113</v>
      </c>
      <c r="C144" s="40"/>
      <c r="D144" s="40"/>
      <c r="E144" s="340">
        <f t="shared" ref="E144:L144" si="53">E142+E131+E123</f>
        <v>-12.800000000000182</v>
      </c>
      <c r="F144" s="340">
        <f t="shared" si="53"/>
        <v>9.6199999999996635</v>
      </c>
      <c r="G144" s="340">
        <f t="shared" si="53"/>
        <v>82.079999999999927</v>
      </c>
      <c r="H144" s="340">
        <f t="shared" si="53"/>
        <v>-45.329999999998563</v>
      </c>
      <c r="I144" s="340">
        <f t="shared" si="53"/>
        <v>375.52000000000089</v>
      </c>
      <c r="J144" s="340">
        <f t="shared" si="53"/>
        <v>-332.58999999999969</v>
      </c>
      <c r="K144" s="340">
        <f t="shared" si="53"/>
        <v>-121.98000000000047</v>
      </c>
      <c r="L144" s="340">
        <f t="shared" si="53"/>
        <v>218.98000000000002</v>
      </c>
      <c r="M144" s="312">
        <f t="shared" ref="M144:U144" ca="1" si="54">M142+M131+M123</f>
        <v>2415.8067624379619</v>
      </c>
      <c r="N144" s="312">
        <f t="shared" ca="1" si="54"/>
        <v>1180.1978620495247</v>
      </c>
      <c r="O144" s="312">
        <f t="shared" ca="1" si="54"/>
        <v>1455.6969330511974</v>
      </c>
      <c r="P144" s="312">
        <f t="shared" ca="1" si="54"/>
        <v>1810.3982750184769</v>
      </c>
      <c r="Q144" s="312">
        <f t="shared" ca="1" si="54"/>
        <v>-2741.6145288789667</v>
      </c>
      <c r="R144" s="312">
        <f t="shared" ca="1" si="54"/>
        <v>3146.6233392040367</v>
      </c>
      <c r="S144" s="312">
        <f t="shared" ca="1" si="54"/>
        <v>2974.4047656079256</v>
      </c>
      <c r="T144" s="312">
        <f t="shared" ca="1" si="54"/>
        <v>3681.7377695105824</v>
      </c>
      <c r="U144" s="312">
        <f t="shared" ca="1" si="54"/>
        <v>4337.522622250679</v>
      </c>
    </row>
    <row r="145" spans="2:21">
      <c r="B145" s="3" t="s">
        <v>114</v>
      </c>
      <c r="E145" s="308">
        <f>('Cash Flow Statemenet'!F62)+0</f>
        <v>36.380000000000003</v>
      </c>
      <c r="F145" s="308">
        <f>E147</f>
        <v>23.579999999999821</v>
      </c>
      <c r="G145" s="308">
        <f>(F147)+1.7</f>
        <v>34.899999999999487</v>
      </c>
      <c r="H145" s="308">
        <f>(G147)+8.4</f>
        <v>125.37999999999943</v>
      </c>
      <c r="I145" s="308">
        <f>(H147)+-5.8</f>
        <v>74.250000000000867</v>
      </c>
      <c r="J145" s="308">
        <f>(I147)+8.5</f>
        <v>458.27000000000174</v>
      </c>
      <c r="K145" s="308">
        <f>(J147)+9.1</f>
        <v>134.78000000000205</v>
      </c>
      <c r="L145" s="341">
        <f t="shared" ref="L145:U145" si="55">K147</f>
        <v>12.800000000001575</v>
      </c>
      <c r="M145" s="48">
        <f t="shared" si="55"/>
        <v>231.78000000000159</v>
      </c>
      <c r="N145" s="48">
        <f ca="1">M147</f>
        <v>2647.5867624379634</v>
      </c>
      <c r="O145" s="48">
        <f t="shared" ca="1" si="55"/>
        <v>3827.7846244874881</v>
      </c>
      <c r="P145" s="48">
        <f t="shared" ca="1" si="55"/>
        <v>5283.4815575386856</v>
      </c>
      <c r="Q145" s="48">
        <f ca="1">P147</f>
        <v>7093.8798325571624</v>
      </c>
      <c r="R145" s="48">
        <f t="shared" ca="1" si="55"/>
        <v>4352.2653036781958</v>
      </c>
      <c r="S145" s="48">
        <f t="shared" ca="1" si="55"/>
        <v>7498.8886428822325</v>
      </c>
      <c r="T145" s="48">
        <f t="shared" ca="1" si="55"/>
        <v>10473.293408490157</v>
      </c>
      <c r="U145" s="48">
        <f t="shared" ca="1" si="55"/>
        <v>14155.03117800074</v>
      </c>
    </row>
    <row r="146" spans="2:21">
      <c r="E146" s="170"/>
      <c r="F146" s="170"/>
      <c r="G146" s="170"/>
      <c r="H146" s="170"/>
      <c r="I146" s="170"/>
      <c r="J146" s="170"/>
      <c r="K146" s="170"/>
      <c r="L146" s="311"/>
      <c r="M146" s="48"/>
      <c r="N146" s="48"/>
      <c r="O146" s="48"/>
      <c r="P146" s="48"/>
      <c r="Q146" s="48"/>
      <c r="R146" s="48"/>
      <c r="S146" s="48"/>
      <c r="T146" s="48"/>
      <c r="U146" s="48"/>
    </row>
    <row r="147" spans="2:21">
      <c r="B147" s="40" t="s">
        <v>115</v>
      </c>
      <c r="C147" s="40"/>
      <c r="D147" s="40"/>
      <c r="E147" s="314">
        <f>E144+E145-E146</f>
        <v>23.579999999999821</v>
      </c>
      <c r="F147" s="314">
        <f>F144+F145-F146</f>
        <v>33.199999999999484</v>
      </c>
      <c r="G147" s="314">
        <f>G144+G145-G146</f>
        <v>116.97999999999942</v>
      </c>
      <c r="H147" s="314">
        <f>H144+H145-H146</f>
        <v>80.050000000000864</v>
      </c>
      <c r="I147" s="314">
        <f>I144+I145</f>
        <v>449.77000000000174</v>
      </c>
      <c r="J147" s="314">
        <f>J144+J145</f>
        <v>125.68000000000205</v>
      </c>
      <c r="K147" s="314">
        <f>K144+K145</f>
        <v>12.800000000001575</v>
      </c>
      <c r="L147" s="101">
        <f t="shared" ref="L147:U147" si="56">SUM(L144:L145)</f>
        <v>231.78000000000159</v>
      </c>
      <c r="M147" s="101">
        <f t="shared" ca="1" si="56"/>
        <v>2647.5867624379634</v>
      </c>
      <c r="N147" s="101">
        <f t="shared" ca="1" si="56"/>
        <v>3827.7846244874881</v>
      </c>
      <c r="O147" s="101">
        <f t="shared" ca="1" si="56"/>
        <v>5283.4815575386856</v>
      </c>
      <c r="P147" s="101">
        <f t="shared" ca="1" si="56"/>
        <v>7093.8798325571624</v>
      </c>
      <c r="Q147" s="101">
        <f t="shared" ca="1" si="56"/>
        <v>4352.2653036781958</v>
      </c>
      <c r="R147" s="101">
        <f t="shared" ca="1" si="56"/>
        <v>7498.8886428822325</v>
      </c>
      <c r="S147" s="101">
        <f t="shared" ca="1" si="56"/>
        <v>10473.293408490157</v>
      </c>
      <c r="T147" s="101">
        <f t="shared" ca="1" si="56"/>
        <v>14155.03117800074</v>
      </c>
      <c r="U147" s="101">
        <f t="shared" ca="1" si="56"/>
        <v>18492.553800251419</v>
      </c>
    </row>
    <row r="148" spans="2:21">
      <c r="E148" s="28"/>
      <c r="F148" s="28"/>
      <c r="G148" s="28"/>
      <c r="H148" s="28"/>
      <c r="I148" s="28"/>
      <c r="J148" s="28"/>
      <c r="K148" s="28"/>
    </row>
    <row r="149" spans="2:21">
      <c r="E149" s="208"/>
      <c r="F149" s="208"/>
      <c r="G149" s="208"/>
      <c r="H149" s="208"/>
      <c r="I149" s="208"/>
      <c r="J149" s="208"/>
      <c r="K149" s="208"/>
    </row>
    <row r="150" spans="2:21">
      <c r="K150" s="334"/>
      <c r="L150" s="334"/>
      <c r="M150" s="334"/>
      <c r="N150" s="334"/>
      <c r="O150" s="334"/>
      <c r="P150" s="334"/>
      <c r="Q150" s="334"/>
      <c r="R150" s="334"/>
      <c r="S150" s="334"/>
      <c r="T150" s="334"/>
      <c r="U150" s="334"/>
    </row>
    <row r="151" spans="2:21">
      <c r="L151" s="48"/>
      <c r="M151" s="48"/>
      <c r="N151" s="48"/>
      <c r="O151" s="48"/>
      <c r="P151" s="48"/>
      <c r="Q151" s="48"/>
      <c r="R151" s="48"/>
      <c r="S151" s="48"/>
      <c r="T151" s="48"/>
      <c r="U151" s="48"/>
    </row>
    <row r="152" spans="2:21">
      <c r="E152" s="251"/>
      <c r="F152" s="251"/>
      <c r="G152" s="251"/>
      <c r="H152" s="251"/>
      <c r="I152" s="251"/>
      <c r="J152" s="251"/>
      <c r="K152" s="251"/>
    </row>
    <row r="154" spans="2:21">
      <c r="F154" s="317"/>
      <c r="L154" s="109"/>
    </row>
  </sheetData>
  <mergeCells count="1">
    <mergeCell ref="M7:P7"/>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4" r:id="rId4" name="Drop Down 2">
              <controlPr defaultSize="0" autoLine="0" autoPict="0">
                <anchor moveWithCells="1">
                  <from>
                    <xdr:col>12</xdr:col>
                    <xdr:colOff>342900</xdr:colOff>
                    <xdr:row>3</xdr:row>
                    <xdr:rowOff>57150</xdr:rowOff>
                  </from>
                  <to>
                    <xdr:col>13</xdr:col>
                    <xdr:colOff>771525</xdr:colOff>
                    <xdr:row>4</xdr:row>
                    <xdr:rowOff>76200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707FB-1918-4961-A6FB-930B37F4D5BF}">
  <sheetPr codeName="Sheet12"/>
  <dimension ref="A2:AL83"/>
  <sheetViews>
    <sheetView showGridLines="0" topLeftCell="B1" workbookViewId="0">
      <pane ySplit="9" topLeftCell="A58" activePane="bottomLeft" state="frozen"/>
      <selection pane="bottomLeft" activeCell="L56" sqref="L56"/>
    </sheetView>
  </sheetViews>
  <sheetFormatPr defaultColWidth="8.85546875" defaultRowHeight="15"/>
  <cols>
    <col min="1" max="1" width="1.85546875" style="3" customWidth="1"/>
    <col min="2" max="2" width="33.5703125" style="3" customWidth="1"/>
    <col min="3" max="12" width="8.85546875" style="3"/>
    <col min="13" max="13" width="9.42578125" style="3" bestFit="1" customWidth="1"/>
    <col min="14" max="22" width="8.85546875" style="3"/>
    <col min="23" max="23" width="1.5703125" style="3" customWidth="1"/>
    <col min="24" max="16384" width="8.85546875" style="3"/>
  </cols>
  <sheetData>
    <row r="2" spans="1:22" ht="18.75">
      <c r="B2" s="4" t="str">
        <f>'Control Sheet'!B2</f>
        <v>Shree Cement LTD</v>
      </c>
    </row>
    <row r="3" spans="1:22" ht="15.75">
      <c r="B3" s="5" t="s">
        <v>17</v>
      </c>
    </row>
    <row r="4" spans="1:22" ht="15.75">
      <c r="B4" s="5"/>
    </row>
    <row r="5" spans="1:22" ht="15.75">
      <c r="B5" s="5"/>
    </row>
    <row r="7" spans="1:22">
      <c r="F7" s="6"/>
      <c r="G7" s="6"/>
      <c r="H7" s="6" t="s">
        <v>19</v>
      </c>
      <c r="I7" s="6"/>
      <c r="J7" s="6" t="s">
        <v>72</v>
      </c>
      <c r="K7" s="67"/>
      <c r="L7" s="26"/>
      <c r="M7" s="26"/>
      <c r="N7" s="488" t="s">
        <v>1135</v>
      </c>
      <c r="O7" s="488"/>
      <c r="P7" s="488"/>
      <c r="Q7" s="488"/>
      <c r="R7" s="456"/>
      <c r="S7" s="457" t="s">
        <v>1128</v>
      </c>
      <c r="T7" s="456"/>
      <c r="U7" s="456"/>
      <c r="V7" s="456"/>
    </row>
    <row r="8" spans="1:22">
      <c r="F8" s="70">
        <v>2017</v>
      </c>
      <c r="G8" s="7">
        <f>F8+1</f>
        <v>2018</v>
      </c>
      <c r="H8" s="7">
        <f>G8+1</f>
        <v>2019</v>
      </c>
      <c r="I8" s="7">
        <f>H8+1</f>
        <v>2020</v>
      </c>
      <c r="J8" s="70">
        <v>2021</v>
      </c>
      <c r="K8" s="7">
        <f t="shared" ref="K8:V8" si="0">J8+1</f>
        <v>2022</v>
      </c>
      <c r="L8" s="7">
        <f t="shared" si="0"/>
        <v>2023</v>
      </c>
      <c r="M8" s="7">
        <f t="shared" si="0"/>
        <v>2024</v>
      </c>
      <c r="N8" s="7">
        <f t="shared" si="0"/>
        <v>2025</v>
      </c>
      <c r="O8" s="7">
        <f t="shared" si="0"/>
        <v>2026</v>
      </c>
      <c r="P8" s="7">
        <f t="shared" si="0"/>
        <v>2027</v>
      </c>
      <c r="Q8" s="7">
        <f t="shared" si="0"/>
        <v>2028</v>
      </c>
      <c r="R8" s="7">
        <f t="shared" si="0"/>
        <v>2029</v>
      </c>
      <c r="S8" s="7">
        <f t="shared" si="0"/>
        <v>2030</v>
      </c>
      <c r="T8" s="7">
        <f t="shared" si="0"/>
        <v>2031</v>
      </c>
      <c r="U8" s="7">
        <f t="shared" si="0"/>
        <v>2032</v>
      </c>
      <c r="V8" s="7">
        <f t="shared" si="0"/>
        <v>2033</v>
      </c>
    </row>
    <row r="9" spans="1:22">
      <c r="B9" s="8" t="s">
        <v>20</v>
      </c>
      <c r="C9" s="9"/>
      <c r="D9" s="9"/>
      <c r="E9" s="9"/>
      <c r="F9" s="9"/>
      <c r="G9" s="9"/>
      <c r="H9" s="9"/>
      <c r="I9" s="9"/>
      <c r="J9" s="9"/>
      <c r="K9" s="9"/>
      <c r="L9" s="9"/>
      <c r="M9" s="9"/>
      <c r="N9" s="9"/>
      <c r="O9" s="9"/>
      <c r="P9" s="9"/>
      <c r="Q9" s="9"/>
    </row>
    <row r="11" spans="1:22">
      <c r="A11" s="3" t="s">
        <v>21</v>
      </c>
      <c r="B11" s="489" t="s">
        <v>76</v>
      </c>
      <c r="C11" s="490"/>
      <c r="D11" s="490"/>
      <c r="E11" s="490"/>
      <c r="F11" s="490"/>
      <c r="G11" s="490"/>
      <c r="H11" s="490"/>
      <c r="I11" s="490"/>
      <c r="J11" s="490"/>
      <c r="K11" s="490"/>
      <c r="L11" s="490"/>
      <c r="M11" s="490"/>
      <c r="N11" s="490"/>
      <c r="O11" s="490"/>
      <c r="P11" s="490"/>
      <c r="Q11" s="490"/>
      <c r="R11" s="490"/>
      <c r="S11" s="490"/>
      <c r="T11" s="490"/>
      <c r="U11" s="490"/>
      <c r="V11" s="490"/>
    </row>
    <row r="13" spans="1:22">
      <c r="B13" s="71" t="s">
        <v>1</v>
      </c>
      <c r="F13" s="323">
        <f>'3 Statment Model'!E13/'3 Statment Model'!E$13</f>
        <v>1</v>
      </c>
      <c r="G13" s="323">
        <f>'3 Statment Model'!F13/'3 Statment Model'!F$13</f>
        <v>1</v>
      </c>
      <c r="H13" s="323">
        <f>'3 Statment Model'!G13/'3 Statment Model'!G$13</f>
        <v>1</v>
      </c>
      <c r="I13" s="323">
        <f>'3 Statment Model'!H13/'3 Statment Model'!H$13</f>
        <v>1</v>
      </c>
      <c r="J13" s="323">
        <f>'3 Statment Model'!I13/'3 Statment Model'!I$13</f>
        <v>1</v>
      </c>
      <c r="K13" s="323">
        <f>'3 Statment Model'!J13/'3 Statment Model'!J$13</f>
        <v>1</v>
      </c>
      <c r="L13" s="323">
        <f>'3 Statment Model'!K13/'3 Statment Model'!K$13</f>
        <v>1</v>
      </c>
      <c r="M13" s="323">
        <f>'3 Statment Model'!L13/'3 Statment Model'!L$13</f>
        <v>1</v>
      </c>
      <c r="N13" s="323">
        <f>'3 Statment Model'!M13/'3 Statment Model'!M$13</f>
        <v>1</v>
      </c>
      <c r="O13" s="323">
        <f>'3 Statment Model'!N13/'3 Statment Model'!N$13</f>
        <v>1</v>
      </c>
      <c r="P13" s="323">
        <f>'3 Statment Model'!O13/'3 Statment Model'!O$13</f>
        <v>1</v>
      </c>
      <c r="Q13" s="323">
        <f>'3 Statment Model'!P13/'3 Statment Model'!P$13</f>
        <v>1</v>
      </c>
      <c r="R13" s="323">
        <f>'3 Statment Model'!Q13/'3 Statment Model'!Q$13</f>
        <v>1</v>
      </c>
      <c r="S13" s="323">
        <f>'3 Statment Model'!R13/'3 Statment Model'!R$13</f>
        <v>1</v>
      </c>
      <c r="T13" s="323">
        <f>'3 Statment Model'!S13/'3 Statment Model'!S$13</f>
        <v>1</v>
      </c>
      <c r="U13" s="323">
        <f>'3 Statment Model'!T13/'3 Statment Model'!T$13</f>
        <v>1</v>
      </c>
      <c r="V13" s="323">
        <f>'3 Statment Model'!U13/'3 Statment Model'!U$13</f>
        <v>1</v>
      </c>
    </row>
    <row r="14" spans="1:22">
      <c r="B14" s="62" t="s">
        <v>77</v>
      </c>
      <c r="F14" s="323">
        <f>'3 Statment Model'!E14/'3 Statment Model'!E$13</f>
        <v>-8.1300813008130079E-2</v>
      </c>
      <c r="G14" s="323">
        <f>'3 Statment Model'!F14/'3 Statment Model'!F$13</f>
        <v>-7.1456172462883882E-2</v>
      </c>
      <c r="H14" s="323">
        <f>'3 Statment Model'!G14/'3 Statment Model'!G$13</f>
        <v>-7.7826187385005061E-2</v>
      </c>
      <c r="I14" s="323">
        <f>'3 Statment Model'!H14/'3 Statment Model'!H$13</f>
        <v>-7.4992811569875431E-2</v>
      </c>
      <c r="J14" s="323">
        <f>'3 Statment Model'!I14/'3 Statment Model'!I$13</f>
        <v>-7.7730333266960175E-2</v>
      </c>
      <c r="K14" s="323">
        <f>'3 Statment Model'!J14/'3 Statment Model'!J$13</f>
        <v>-6.7325822334450433E-2</v>
      </c>
      <c r="L14" s="323">
        <f>'3 Statment Model'!K14/'3 Statment Model'!K$13</f>
        <v>-7.671668711175339E-2</v>
      </c>
      <c r="M14" s="323">
        <f>'3 Statment Model'!L14/'3 Statment Model'!L$13</f>
        <v>-7.4803610066080578E-2</v>
      </c>
      <c r="N14" s="323">
        <f>'3 Statment Model'!M14/'3 Statment Model'!M$13</f>
        <v>-8.2500000000000018E-2</v>
      </c>
      <c r="O14" s="323">
        <f>'3 Statment Model'!N14/'3 Statment Model'!N$13</f>
        <v>-0.13393750000000004</v>
      </c>
      <c r="P14" s="323">
        <f>'3 Statment Model'!O14/'3 Statment Model'!O$13</f>
        <v>-0.18537500000000007</v>
      </c>
      <c r="Q14" s="323">
        <f>'3 Statment Model'!P14/'3 Statment Model'!P$13</f>
        <v>-0.23681250000000009</v>
      </c>
      <c r="R14" s="323">
        <f>'3 Statment Model'!Q14/'3 Statment Model'!Q$13</f>
        <v>-0.28825000000000012</v>
      </c>
      <c r="S14" s="323">
        <f>'3 Statment Model'!R14/'3 Statment Model'!R$13</f>
        <v>-0.33968750000000014</v>
      </c>
      <c r="T14" s="323">
        <f>'3 Statment Model'!S14/'3 Statment Model'!S$13</f>
        <v>-0.39112500000000011</v>
      </c>
      <c r="U14" s="323">
        <f>'3 Statment Model'!T14/'3 Statment Model'!T$13</f>
        <v>-0.44256250000000019</v>
      </c>
      <c r="V14" s="323">
        <f>'3 Statment Model'!U14/'3 Statment Model'!U$13</f>
        <v>-0.49399999999999999</v>
      </c>
    </row>
    <row r="15" spans="1:22">
      <c r="B15" s="72" t="s">
        <v>78</v>
      </c>
      <c r="C15" s="39"/>
      <c r="D15" s="39"/>
      <c r="E15" s="39"/>
      <c r="F15" s="468">
        <f>SUM(F13:F14)</f>
        <v>0.91869918699186992</v>
      </c>
      <c r="G15" s="468">
        <f t="shared" ref="G15:V15" si="1">SUM(G13:G14)</f>
        <v>0.92854382753711606</v>
      </c>
      <c r="H15" s="468">
        <f t="shared" si="1"/>
        <v>0.92217381261499498</v>
      </c>
      <c r="I15" s="468">
        <f t="shared" si="1"/>
        <v>0.92500718843012453</v>
      </c>
      <c r="J15" s="468">
        <f t="shared" si="1"/>
        <v>0.92226966673303978</v>
      </c>
      <c r="K15" s="468">
        <f t="shared" si="1"/>
        <v>0.93267417766554961</v>
      </c>
      <c r="L15" s="468">
        <f t="shared" si="1"/>
        <v>0.92328331288824661</v>
      </c>
      <c r="M15" s="468">
        <f t="shared" si="1"/>
        <v>0.92519638993391939</v>
      </c>
      <c r="N15" s="468">
        <f t="shared" si="1"/>
        <v>0.91749999999999998</v>
      </c>
      <c r="O15" s="468">
        <f t="shared" si="1"/>
        <v>0.86606249999999996</v>
      </c>
      <c r="P15" s="468">
        <f t="shared" si="1"/>
        <v>0.81462499999999993</v>
      </c>
      <c r="Q15" s="468">
        <f t="shared" si="1"/>
        <v>0.76318749999999991</v>
      </c>
      <c r="R15" s="468">
        <f t="shared" si="1"/>
        <v>0.71174999999999988</v>
      </c>
      <c r="S15" s="468">
        <f t="shared" si="1"/>
        <v>0.66031249999999986</v>
      </c>
      <c r="T15" s="468">
        <f t="shared" si="1"/>
        <v>0.60887499999999983</v>
      </c>
      <c r="U15" s="468">
        <f t="shared" si="1"/>
        <v>0.55743749999999981</v>
      </c>
      <c r="V15" s="468">
        <f t="shared" si="1"/>
        <v>0.50600000000000001</v>
      </c>
    </row>
    <row r="16" spans="1:22">
      <c r="B16" s="74"/>
    </row>
    <row r="17" spans="2:23">
      <c r="B17" s="75" t="s">
        <v>79</v>
      </c>
    </row>
    <row r="18" spans="2:23">
      <c r="B18" s="62" t="s">
        <v>485</v>
      </c>
      <c r="F18" s="323">
        <f>'3 Statment Model'!E19/'3 Statment Model'!E$13</f>
        <v>6.3296806881112291E-2</v>
      </c>
      <c r="G18" s="323">
        <f>'3 Statment Model'!F19/'3 Statment Model'!F$13</f>
        <v>5.9792556436851739E-2</v>
      </c>
      <c r="H18" s="323">
        <f>'3 Statment Model'!G19/'3 Statment Model'!G$13</f>
        <v>6.1107615353368012E-2</v>
      </c>
      <c r="I18" s="323">
        <f>'3 Statment Model'!H19/'3 Statment Model'!H$13</f>
        <v>6.6366695420387173E-2</v>
      </c>
      <c r="J18" s="323">
        <f>'3 Statment Model'!I19/'3 Statment Model'!I$13</f>
        <v>6.4101713164745527E-2</v>
      </c>
      <c r="K18" s="323">
        <f>'3 Statment Model'!J19/'3 Statment Model'!J$13</f>
        <v>6.086307640031715E-2</v>
      </c>
      <c r="L18" s="323">
        <f>'3 Statment Model'!K19/'3 Statment Model'!K$13</f>
        <v>5.477042688220829E-2</v>
      </c>
      <c r="M18" s="323">
        <f>'3 Statment Model'!L19/'3 Statment Model'!L$13</f>
        <v>5.1870333911619659E-2</v>
      </c>
      <c r="N18" s="323">
        <f>'3 Statment Model'!M19/'3 Statment Model'!M$13</f>
        <v>6.0299999999999999E-2</v>
      </c>
      <c r="O18" s="323">
        <f>'3 Statment Model'!N19/'3 Statment Model'!N$13</f>
        <v>6.0299999999999999E-2</v>
      </c>
      <c r="P18" s="323">
        <f>'3 Statment Model'!O19/'3 Statment Model'!O$13</f>
        <v>6.0300000000000006E-2</v>
      </c>
      <c r="Q18" s="323">
        <f>'3 Statment Model'!P19/'3 Statment Model'!P$13</f>
        <v>6.0299999999999999E-2</v>
      </c>
      <c r="R18" s="323">
        <f>'3 Statment Model'!Q19/'3 Statment Model'!Q$13</f>
        <v>6.0299999999999992E-2</v>
      </c>
      <c r="S18" s="323">
        <f>'3 Statment Model'!R19/'3 Statment Model'!R$13</f>
        <v>6.0299999999999999E-2</v>
      </c>
      <c r="T18" s="323">
        <f>'3 Statment Model'!S19/'3 Statment Model'!S$13</f>
        <v>6.0299999999999999E-2</v>
      </c>
      <c r="U18" s="323">
        <f>'3 Statment Model'!T19/'3 Statment Model'!T$13</f>
        <v>6.0299999999999999E-2</v>
      </c>
      <c r="V18" s="323">
        <f>'3 Statment Model'!U19/'3 Statment Model'!U$13</f>
        <v>6.0299999999999999E-2</v>
      </c>
      <c r="W18" s="323">
        <f>'3 Statment Model'!R19/'3 Statment Model'!R13</f>
        <v>6.0299999999999999E-2</v>
      </c>
    </row>
    <row r="19" spans="2:23">
      <c r="B19" s="62" t="s">
        <v>516</v>
      </c>
      <c r="F19" s="323">
        <f>'3 Statment Model'!E20/'3 Statment Model'!E$13</f>
        <v>0.17014257099092731</v>
      </c>
      <c r="G19" s="323">
        <f>'3 Statment Model'!F20/'3 Statment Model'!F$13</f>
        <v>0.20134228187919462</v>
      </c>
      <c r="H19" s="323">
        <f>'3 Statment Model'!G20/'3 Statment Model'!G$13</f>
        <v>0.24635799568296043</v>
      </c>
      <c r="I19" s="323">
        <f>'3 Statment Model'!H20/'3 Statment Model'!H$13</f>
        <v>0.21005758515375469</v>
      </c>
      <c r="J19" s="323">
        <f>'3 Statment Model'!I20/'3 Statment Model'!I$13</f>
        <v>0.1768475703739758</v>
      </c>
      <c r="K19" s="323">
        <f>'3 Statment Model'!J20/'3 Statment Model'!J$13</f>
        <v>0.24118701321198474</v>
      </c>
      <c r="L19" s="323">
        <f>'3 Statment Model'!K20/'3 Statment Model'!K$13</f>
        <v>0.34062074644171469</v>
      </c>
      <c r="M19" s="323">
        <f>'3 Statment Model'!L20/'3 Statment Model'!L$13</f>
        <v>0.30921424533634817</v>
      </c>
      <c r="N19" s="323">
        <f>'3 Statment Model'!M20/'3 Statment Model'!M$13</f>
        <v>0.23699999999999999</v>
      </c>
      <c r="O19" s="323">
        <f>'3 Statment Model'!N20/'3 Statment Model'!N$13</f>
        <v>0.23699999999999999</v>
      </c>
      <c r="P19" s="323">
        <f>'3 Statment Model'!O20/'3 Statment Model'!O$13</f>
        <v>0.23699999999999999</v>
      </c>
      <c r="Q19" s="323">
        <f>'3 Statment Model'!P20/'3 Statment Model'!P$13</f>
        <v>0.23699999999999999</v>
      </c>
      <c r="R19" s="323">
        <f>'3 Statment Model'!Q20/'3 Statment Model'!Q$13</f>
        <v>0.23699999999999999</v>
      </c>
      <c r="S19" s="323">
        <f>'3 Statment Model'!R20/'3 Statment Model'!R$13</f>
        <v>0.23699999999999999</v>
      </c>
      <c r="T19" s="323">
        <f>'3 Statment Model'!S20/'3 Statment Model'!S$13</f>
        <v>0.23699999999999999</v>
      </c>
      <c r="U19" s="323">
        <f>'3 Statment Model'!T20/'3 Statment Model'!T$13</f>
        <v>0.23699999999999999</v>
      </c>
      <c r="V19" s="323">
        <f>'3 Statment Model'!U20/'3 Statment Model'!U$13</f>
        <v>0.23700000000000002</v>
      </c>
      <c r="W19" s="323">
        <f>'3 Statment Model'!R20/'3 Statment Model'!R13</f>
        <v>0.23699999999999999</v>
      </c>
    </row>
    <row r="20" spans="2:23">
      <c r="B20" s="62" t="s">
        <v>517</v>
      </c>
      <c r="F20" s="323">
        <f>'3 Statment Model'!E21/'3 Statment Model'!E$13</f>
        <v>0.12206904677742429</v>
      </c>
      <c r="G20" s="323">
        <f>'3 Statment Model'!F21/'3 Statment Model'!F$13</f>
        <v>0.11104331909701037</v>
      </c>
      <c r="H20" s="323">
        <f>'3 Statment Model'!G21/'3 Statment Model'!G$13</f>
        <v>0.1019522258241802</v>
      </c>
      <c r="I20" s="323">
        <f>'3 Statment Model'!H21/'3 Statment Model'!H$13</f>
        <v>0.1012597238088577</v>
      </c>
      <c r="J20" s="323">
        <f>'3 Statment Model'!I21/'3 Statment Model'!I$13</f>
        <v>9.8453505608531153E-2</v>
      </c>
      <c r="K20" s="323">
        <f>'3 Statment Model'!J21/'3 Statment Model'!J$13</f>
        <v>0.11346449820442266</v>
      </c>
      <c r="L20" s="323">
        <f>'3 Statment Model'!K21/'3 Statment Model'!K$13</f>
        <v>0.10603438135408089</v>
      </c>
      <c r="M20" s="323">
        <f>'3 Statment Model'!L21/'3 Statment Model'!L$13</f>
        <v>9.9900586733202068E-2</v>
      </c>
      <c r="N20" s="323">
        <f>'3 Statment Model'!M21/'3 Statment Model'!M$13</f>
        <v>0.10680000000000002</v>
      </c>
      <c r="O20" s="323">
        <f>'3 Statment Model'!N21/'3 Statment Model'!N$13</f>
        <v>0.10680000000000001</v>
      </c>
      <c r="P20" s="323">
        <f>'3 Statment Model'!O21/'3 Statment Model'!O$13</f>
        <v>0.10680000000000001</v>
      </c>
      <c r="Q20" s="323">
        <f>'3 Statment Model'!P21/'3 Statment Model'!P$13</f>
        <v>0.10680000000000001</v>
      </c>
      <c r="R20" s="323">
        <f>'3 Statment Model'!Q21/'3 Statment Model'!Q$13</f>
        <v>0.10680000000000001</v>
      </c>
      <c r="S20" s="323">
        <f>'3 Statment Model'!R21/'3 Statment Model'!R$13</f>
        <v>0.10680000000000001</v>
      </c>
      <c r="T20" s="323">
        <f>'3 Statment Model'!S21/'3 Statment Model'!S$13</f>
        <v>0.10680000000000001</v>
      </c>
      <c r="U20" s="323">
        <f>'3 Statment Model'!T21/'3 Statment Model'!T$13</f>
        <v>0.10680000000000001</v>
      </c>
      <c r="V20" s="323">
        <f>'3 Statment Model'!U21/'3 Statment Model'!U$13</f>
        <v>0.10680000000000001</v>
      </c>
      <c r="W20" s="323">
        <f>'3 Statment Model'!R21/'3 Statment Model'!R13</f>
        <v>0.10680000000000001</v>
      </c>
    </row>
    <row r="21" spans="2:23">
      <c r="B21" s="62" t="s">
        <v>518</v>
      </c>
      <c r="F21" s="323">
        <f>'3 Statment Model'!E22/'3 Statment Model'!E$13</f>
        <v>0.24708377518557795</v>
      </c>
      <c r="G21" s="323">
        <f>'3 Statment Model'!F22/'3 Statment Model'!F$13</f>
        <v>0.27760829774252593</v>
      </c>
      <c r="H21" s="323">
        <f>'3 Statment Model'!G22/'3 Statment Model'!G$13</f>
        <v>0.25217245856199572</v>
      </c>
      <c r="I21" s="323">
        <f>'3 Statment Model'!H22/'3 Statment Model'!H$13</f>
        <v>0.22855322158238719</v>
      </c>
      <c r="J21" s="323">
        <f>'3 Statment Model'!I22/'3 Statment Model'!I$13</f>
        <v>0.25258670914548254</v>
      </c>
      <c r="K21" s="323">
        <f>'3 Statment Model'!J22/'3 Statment Model'!J$13</f>
        <v>0.2461839817177579</v>
      </c>
      <c r="L21" s="323">
        <f>'3 Statment Model'!K22/'3 Statment Model'!K$13</f>
        <v>0.23475440689643581</v>
      </c>
      <c r="M21" s="323">
        <f>'3 Statment Model'!L22/'3 Statment Model'!L$13</f>
        <v>0.22452778698270986</v>
      </c>
      <c r="N21" s="323">
        <f>'3 Statment Model'!M22/'3 Statment Model'!M$13</f>
        <v>0.24540000000000001</v>
      </c>
      <c r="O21" s="323">
        <f>'3 Statment Model'!N22/'3 Statment Model'!N$13</f>
        <v>0.24540000000000001</v>
      </c>
      <c r="P21" s="323">
        <f>'3 Statment Model'!O22/'3 Statment Model'!O$13</f>
        <v>0.24540000000000001</v>
      </c>
      <c r="Q21" s="323">
        <f>'3 Statment Model'!P22/'3 Statment Model'!P$13</f>
        <v>0.24540000000000001</v>
      </c>
      <c r="R21" s="323">
        <f>'3 Statment Model'!Q22/'3 Statment Model'!Q$13</f>
        <v>0.24540000000000003</v>
      </c>
      <c r="S21" s="323">
        <f>'3 Statment Model'!R22/'3 Statment Model'!R$13</f>
        <v>0.24539999999999998</v>
      </c>
      <c r="T21" s="323">
        <f>'3 Statment Model'!S22/'3 Statment Model'!S$13</f>
        <v>0.24540000000000001</v>
      </c>
      <c r="U21" s="323">
        <f>'3 Statment Model'!T22/'3 Statment Model'!T$13</f>
        <v>0.24540000000000001</v>
      </c>
      <c r="V21" s="323">
        <f>'3 Statment Model'!U22/'3 Statment Model'!U$13</f>
        <v>0.24540000000000001</v>
      </c>
      <c r="W21" s="323">
        <f>'3 Statment Model'!R22/'3 Statment Model'!R13</f>
        <v>0.24539999999999998</v>
      </c>
    </row>
    <row r="22" spans="2:23">
      <c r="B22" s="62" t="s">
        <v>16</v>
      </c>
      <c r="F22" s="323">
        <f>'3 Statment Model'!E23/'3 Statment Model'!E$13</f>
        <v>3.7127371273712739E-2</v>
      </c>
      <c r="G22" s="323">
        <f>'3 Statment Model'!F23/'3 Statment Model'!F$13</f>
        <v>2.7354077689648159E-2</v>
      </c>
      <c r="H22" s="323">
        <f>'3 Statment Model'!G23/'3 Statment Model'!G$13</f>
        <v>3.7937379031294551E-2</v>
      </c>
      <c r="I22" s="323">
        <f>'3 Statment Model'!H23/'3 Statment Model'!H$13</f>
        <v>2.6943013234482709E-2</v>
      </c>
      <c r="J22" s="323">
        <f>'3 Statment Model'!I23/'3 Statment Model'!I$13</f>
        <v>2.9395930588434847E-2</v>
      </c>
      <c r="K22" s="323">
        <f>'3 Statment Model'!J23/'3 Statment Model'!J$13</f>
        <v>2.4185327567942116E-2</v>
      </c>
      <c r="L22" s="323">
        <f>'3 Statment Model'!K23/'3 Statment Model'!K$13</f>
        <v>2.1643784973701456E-2</v>
      </c>
      <c r="M22" s="323">
        <f>'3 Statment Model'!L23/'3 Statment Model'!L$13</f>
        <v>2.1027855207500827E-2</v>
      </c>
      <c r="N22" s="323">
        <f>'3 Statment Model'!M23/'3 Statment Model'!M$13</f>
        <v>2.8199999999999996E-2</v>
      </c>
      <c r="O22" s="323">
        <f>'3 Statment Model'!N23/'3 Statment Model'!N$13</f>
        <v>2.8199999999999999E-2</v>
      </c>
      <c r="P22" s="323">
        <f>'3 Statment Model'!O23/'3 Statment Model'!O$13</f>
        <v>2.8199999999999996E-2</v>
      </c>
      <c r="Q22" s="323">
        <f>'3 Statment Model'!P23/'3 Statment Model'!P$13</f>
        <v>2.8199999999999999E-2</v>
      </c>
      <c r="R22" s="323">
        <f>'3 Statment Model'!Q23/'3 Statment Model'!Q$13</f>
        <v>2.8199999999999999E-2</v>
      </c>
      <c r="S22" s="323">
        <f>'3 Statment Model'!R23/'3 Statment Model'!R$13</f>
        <v>2.8199999999999999E-2</v>
      </c>
      <c r="T22" s="323">
        <f>'3 Statment Model'!S23/'3 Statment Model'!S$13</f>
        <v>2.8200000000000003E-2</v>
      </c>
      <c r="U22" s="323">
        <f>'3 Statment Model'!T23/'3 Statment Model'!T$13</f>
        <v>2.8199999999999996E-2</v>
      </c>
      <c r="V22" s="323">
        <f>'3 Statment Model'!U23/'3 Statment Model'!U$13</f>
        <v>2.8199999999999996E-2</v>
      </c>
      <c r="W22" s="323">
        <f>'3 Statment Model'!R23/'3 Statment Model'!R13</f>
        <v>2.8199999999999999E-2</v>
      </c>
    </row>
    <row r="23" spans="2:23">
      <c r="B23" s="76" t="s">
        <v>80</v>
      </c>
      <c r="C23" s="72"/>
      <c r="D23" s="72"/>
      <c r="E23" s="72"/>
      <c r="F23" s="108">
        <f>F15-SUM(F18:F22)</f>
        <v>0.27897961588311526</v>
      </c>
      <c r="G23" s="108">
        <f t="shared" ref="G23:V23" si="2">G15-SUM(G18:G22)</f>
        <v>0.25140329469188527</v>
      </c>
      <c r="H23" s="108">
        <f t="shared" si="2"/>
        <v>0.22264613816119605</v>
      </c>
      <c r="I23" s="108">
        <f t="shared" si="2"/>
        <v>0.29182694923025509</v>
      </c>
      <c r="J23" s="108">
        <f t="shared" si="2"/>
        <v>0.30088423785187002</v>
      </c>
      <c r="K23" s="108">
        <f t="shared" si="2"/>
        <v>0.24679028056312502</v>
      </c>
      <c r="L23" s="108">
        <f t="shared" si="2"/>
        <v>0.1654595663401055</v>
      </c>
      <c r="M23" s="108">
        <f t="shared" si="2"/>
        <v>0.21865558176253885</v>
      </c>
      <c r="N23" s="108">
        <f t="shared" si="2"/>
        <v>0.23980000000000001</v>
      </c>
      <c r="O23" s="108">
        <f t="shared" si="2"/>
        <v>0.18836249999999999</v>
      </c>
      <c r="P23" s="108">
        <f t="shared" si="2"/>
        <v>0.13692499999999996</v>
      </c>
      <c r="Q23" s="108">
        <f t="shared" si="2"/>
        <v>8.5487499999999939E-2</v>
      </c>
      <c r="R23" s="108">
        <f t="shared" si="2"/>
        <v>3.4049999999999803E-2</v>
      </c>
      <c r="S23" s="108">
        <f t="shared" si="2"/>
        <v>-1.7387500000000111E-2</v>
      </c>
      <c r="T23" s="108">
        <f t="shared" si="2"/>
        <v>-6.8825000000000136E-2</v>
      </c>
      <c r="U23" s="108">
        <f t="shared" si="2"/>
        <v>-0.12026250000000016</v>
      </c>
      <c r="V23" s="108">
        <f t="shared" si="2"/>
        <v>-0.17169999999999996</v>
      </c>
      <c r="W23" s="107">
        <f>W21+W22</f>
        <v>0.27359999999999995</v>
      </c>
    </row>
    <row r="24" spans="2:23">
      <c r="B24" s="77"/>
    </row>
    <row r="25" spans="2:23">
      <c r="B25" s="77" t="s">
        <v>81</v>
      </c>
    </row>
    <row r="26" spans="2:23">
      <c r="B26" s="62" t="s">
        <v>2</v>
      </c>
      <c r="F26" s="323">
        <f>'3 Statment Model'!E27/'3 Statment Model'!E13</f>
        <v>0.14316012725344646</v>
      </c>
      <c r="G26" s="323">
        <f>'3 Statment Model'!F27/'3 Statment Model'!F13</f>
        <v>9.1417531014846454E-2</v>
      </c>
      <c r="H26" s="323">
        <f>'3 Statment Model'!G27/'3 Statment Model'!G13</f>
        <v>0.11724505969780723</v>
      </c>
      <c r="I26" s="323">
        <f>'3 Statment Model'!H27/'3 Statment Model'!H13</f>
        <v>0.14050466665112413</v>
      </c>
      <c r="J26" s="323">
        <f>'3 Statment Model'!I27/'3 Statment Model'!I13</f>
        <v>9.3069905676379266E-2</v>
      </c>
      <c r="K26" s="323">
        <f>'3 Statment Model'!J27/'3 Statment Model'!J13</f>
        <v>7.6353678768213959E-2</v>
      </c>
      <c r="L26" s="323">
        <f>'3 Statment Model'!K27/'3 Statment Model'!K13</f>
        <v>9.3039148140057246E-2</v>
      </c>
      <c r="M26" s="323">
        <f>'3 Statment Model'!L27/'3 Statment Model'!L13</f>
        <v>9.2444591723358213E-2</v>
      </c>
      <c r="N26" s="323">
        <f>'3 Statment Model'!M27/'3 Statment Model'!M13</f>
        <v>0.11259603625513727</v>
      </c>
      <c r="O26" s="323">
        <f>'3 Statment Model'!N27/'3 Statment Model'!N13</f>
        <v>0.12227149027319298</v>
      </c>
      <c r="P26" s="323">
        <f>'3 Statment Model'!O27/'3 Statment Model'!O13</f>
        <v>0.12866725036416707</v>
      </c>
      <c r="Q26" s="323">
        <f>'3 Statment Model'!P27/'3 Statment Model'!P13</f>
        <v>0.13118828189310353</v>
      </c>
      <c r="R26" s="323">
        <f>'3 Statment Model'!Q27/'3 Statment Model'!Q13</f>
        <v>0.13102084498483324</v>
      </c>
      <c r="S26" s="323">
        <f>'3 Statment Model'!R27/'3 Statment Model'!R13</f>
        <v>0.12902760606291944</v>
      </c>
      <c r="T26" s="323">
        <f>'3 Statment Model'!S27/'3 Statment Model'!S13</f>
        <v>0.12583324054627101</v>
      </c>
      <c r="U26" s="323">
        <f>'3 Statment Model'!T27/'3 Statment Model'!T13</f>
        <v>0.12188728570026204</v>
      </c>
      <c r="V26" s="323">
        <f>'3 Statment Model'!U27/'3 Statment Model'!U13</f>
        <v>0.11751033734142637</v>
      </c>
    </row>
    <row r="27" spans="2:23">
      <c r="B27" s="76" t="s">
        <v>82</v>
      </c>
      <c r="C27" s="76"/>
      <c r="D27" s="76"/>
      <c r="E27" s="76"/>
      <c r="F27" s="469">
        <f>F23-F26</f>
        <v>0.13581948862966881</v>
      </c>
      <c r="G27" s="469">
        <f t="shared" ref="G27:V27" si="3">G23-G26</f>
        <v>0.15998576367703882</v>
      </c>
      <c r="H27" s="469">
        <f t="shared" si="3"/>
        <v>0.10540107846338882</v>
      </c>
      <c r="I27" s="469">
        <f t="shared" si="3"/>
        <v>0.15132228257913097</v>
      </c>
      <c r="J27" s="469">
        <f t="shared" si="3"/>
        <v>0.20781433217549075</v>
      </c>
      <c r="K27" s="469">
        <f t="shared" si="3"/>
        <v>0.17043660179491105</v>
      </c>
      <c r="L27" s="469">
        <f t="shared" si="3"/>
        <v>7.2420418200048256E-2</v>
      </c>
      <c r="M27" s="469">
        <f t="shared" si="3"/>
        <v>0.12621099003918063</v>
      </c>
      <c r="N27" s="469">
        <f t="shared" si="3"/>
        <v>0.12720396374486276</v>
      </c>
      <c r="O27" s="469">
        <f t="shared" si="3"/>
        <v>6.609100972680701E-2</v>
      </c>
      <c r="P27" s="469">
        <f t="shared" si="3"/>
        <v>8.257749635832895E-3</v>
      </c>
      <c r="Q27" s="469">
        <f t="shared" si="3"/>
        <v>-4.5700781893103587E-2</v>
      </c>
      <c r="R27" s="469">
        <f t="shared" si="3"/>
        <v>-9.6970844984833438E-2</v>
      </c>
      <c r="S27" s="469">
        <f t="shared" si="3"/>
        <v>-0.14641510606291955</v>
      </c>
      <c r="T27" s="469">
        <f t="shared" si="3"/>
        <v>-0.19465824054627115</v>
      </c>
      <c r="U27" s="469">
        <f t="shared" si="3"/>
        <v>-0.24214978570026219</v>
      </c>
      <c r="V27" s="469">
        <f t="shared" si="3"/>
        <v>-0.28921033734142632</v>
      </c>
    </row>
    <row r="28" spans="2:23">
      <c r="B28" s="77"/>
    </row>
    <row r="29" spans="2:23">
      <c r="B29" s="77" t="s">
        <v>83</v>
      </c>
    </row>
    <row r="30" spans="2:23">
      <c r="B30" s="62" t="s">
        <v>84</v>
      </c>
      <c r="F30" s="323">
        <f>'3 Statment Model'!E32/'3 Statment Model'!E13</f>
        <v>1.5305761753269708E-2</v>
      </c>
      <c r="G30" s="323">
        <f>'3 Statment Model'!F32/'3 Statment Model'!F13</f>
        <v>1.3768558063860077E-2</v>
      </c>
      <c r="H30" s="323">
        <f>'3 Statment Model'!G32/'3 Statment Model'!G13</f>
        <v>1.9705453647579831E-2</v>
      </c>
      <c r="I30" s="323">
        <f>'3 Statment Model'!H32/'3 Statment Model'!H13</f>
        <v>2.2676582814600676E-2</v>
      </c>
      <c r="J30" s="323">
        <f>'3 Statment Model'!I32/'3 Statment Model'!I13</f>
        <v>1.8532858396572194E-2</v>
      </c>
      <c r="K30" s="323">
        <f>'3 Statment Model'!J32/'3 Statment Model'!J13</f>
        <v>1.4424582419998536E-2</v>
      </c>
      <c r="L30" s="323">
        <f>'3 Statment Model'!K32/'3 Statment Model'!K13</f>
        <v>1.4748469419191494E-2</v>
      </c>
      <c r="M30" s="323">
        <f>'3 Statment Model'!L32/'3 Statment Model'!L13</f>
        <v>2.7207071986900835E-2</v>
      </c>
      <c r="N30" s="323">
        <f>'3 Statment Model'!M32/'3 Statment Model'!M13</f>
        <v>5.4631169856984834E-3</v>
      </c>
      <c r="O30" s="323">
        <f>'3 Statment Model'!N32/'3 Statment Model'!N13</f>
        <v>6.2037378934959907E-3</v>
      </c>
      <c r="P30" s="323">
        <f>'3 Statment Model'!O32/'3 Statment Model'!O13</f>
        <v>6.0968882198027454E-3</v>
      </c>
      <c r="Q30" s="323">
        <f>'3 Statment Model'!P32/'3 Statment Model'!P13</f>
        <v>6.0104096100170156E-3</v>
      </c>
      <c r="R30" s="323">
        <f>'3 Statment Model'!Q32/'3 Statment Model'!Q13</f>
        <v>-1.7608922395942068E-5</v>
      </c>
      <c r="S30" s="323">
        <f>'3 Statment Model'!R32/'3 Statment Model'!R13</f>
        <v>-5.468859958348205E-3</v>
      </c>
      <c r="T30" s="323">
        <f>'3 Statment Model'!S32/'3 Statment Model'!S13</f>
        <v>-5.6102127298394517E-3</v>
      </c>
      <c r="U30" s="323">
        <f>'3 Statment Model'!T32/'3 Statment Model'!T13</f>
        <v>-5.7330974871724295E-3</v>
      </c>
      <c r="V30" s="323">
        <f>'3 Statment Model'!U32/'3 Statment Model'!U13</f>
        <v>-5.8397023873576264E-3</v>
      </c>
    </row>
    <row r="31" spans="2:23">
      <c r="B31" s="62" t="s">
        <v>646</v>
      </c>
      <c r="F31" s="323">
        <f>'3 Statment Model'!E33/'3 Statment Model'!E13</f>
        <v>5.9750206197714151E-2</v>
      </c>
      <c r="G31" s="323">
        <f>'3 Statment Model'!F33/'3 Statment Model'!F13</f>
        <v>3.9607484238356722E-2</v>
      </c>
      <c r="H31" s="323">
        <f>'3 Statment Model'!G33/'3 Statment Model'!G13</f>
        <v>1.9896614071000168E-2</v>
      </c>
      <c r="I31" s="323">
        <f>'3 Statment Model'!H33/'3 Statment Model'!H13</f>
        <v>2.1596375476962051E-2</v>
      </c>
      <c r="J31" s="323">
        <f>'3 Statment Model'!I33/'3 Statment Model'!I13</f>
        <v>3.2345848359476979E-2</v>
      </c>
      <c r="K31" s="323">
        <f>'3 Statment Model'!J33/'3 Statment Model'!J13</f>
        <v>3.6537833714213389E-2</v>
      </c>
      <c r="L31" s="323">
        <f>'3 Statment Model'!K33/'3 Statment Model'!K13</f>
        <v>2.6074487332448312E-2</v>
      </c>
      <c r="M31" s="323">
        <f>'3 Statment Model'!L33/'3 Statment Model'!L13</f>
        <v>3.0364905167540587E-2</v>
      </c>
      <c r="N31" s="323">
        <f>'3 Statment Model'!M33/'3 Statment Model'!M13</f>
        <v>3.9E-2</v>
      </c>
      <c r="O31" s="323">
        <f>'3 Statment Model'!N33/'3 Statment Model'!N13</f>
        <v>3.9E-2</v>
      </c>
      <c r="P31" s="323">
        <f>'3 Statment Model'!O33/'3 Statment Model'!O13</f>
        <v>3.9E-2</v>
      </c>
      <c r="Q31" s="323">
        <f>'3 Statment Model'!P33/'3 Statment Model'!P13</f>
        <v>3.9E-2</v>
      </c>
      <c r="R31" s="323">
        <f>'3 Statment Model'!Q33/'3 Statment Model'!Q13</f>
        <v>3.9E-2</v>
      </c>
      <c r="S31" s="323">
        <f>'3 Statment Model'!R33/'3 Statment Model'!R13</f>
        <v>3.9E-2</v>
      </c>
      <c r="T31" s="323">
        <f>'3 Statment Model'!S33/'3 Statment Model'!S13</f>
        <v>3.9E-2</v>
      </c>
      <c r="U31" s="323">
        <f>'3 Statment Model'!T33/'3 Statment Model'!T13</f>
        <v>3.9E-2</v>
      </c>
      <c r="V31" s="323">
        <f>'3 Statment Model'!U33/'3 Statment Model'!U13</f>
        <v>3.9E-2</v>
      </c>
    </row>
    <row r="32" spans="2:23">
      <c r="B32" s="76" t="s">
        <v>85</v>
      </c>
      <c r="C32" s="76"/>
      <c r="D32" s="76"/>
      <c r="E32" s="76"/>
      <c r="F32" s="469">
        <f>F27-F30+F31</f>
        <v>0.18026393307411326</v>
      </c>
      <c r="G32" s="469">
        <f t="shared" ref="G32:V32" si="4">G27-G30+G31</f>
        <v>0.18582468985153547</v>
      </c>
      <c r="H32" s="469">
        <f t="shared" si="4"/>
        <v>0.10559223888680916</v>
      </c>
      <c r="I32" s="469">
        <f t="shared" si="4"/>
        <v>0.15024207524149236</v>
      </c>
      <c r="J32" s="469">
        <f t="shared" si="4"/>
        <v>0.22162732213839553</v>
      </c>
      <c r="K32" s="469">
        <f t="shared" si="4"/>
        <v>0.19254985308912592</v>
      </c>
      <c r="L32" s="469">
        <f t="shared" si="4"/>
        <v>8.3746436113305067E-2</v>
      </c>
      <c r="M32" s="469">
        <f t="shared" si="4"/>
        <v>0.12936882321982038</v>
      </c>
      <c r="N32" s="469">
        <f t="shared" si="4"/>
        <v>0.16074084675916428</v>
      </c>
      <c r="O32" s="469">
        <f t="shared" si="4"/>
        <v>9.8887271833311016E-2</v>
      </c>
      <c r="P32" s="469">
        <f t="shared" si="4"/>
        <v>4.1160861416030148E-2</v>
      </c>
      <c r="Q32" s="469">
        <f t="shared" si="4"/>
        <v>-1.2711191503120604E-2</v>
      </c>
      <c r="R32" s="469">
        <f t="shared" si="4"/>
        <v>-5.7953236062437498E-2</v>
      </c>
      <c r="S32" s="469">
        <f t="shared" si="4"/>
        <v>-0.10194624610457134</v>
      </c>
      <c r="T32" s="469">
        <f t="shared" si="4"/>
        <v>-0.1500480278164317</v>
      </c>
      <c r="U32" s="469">
        <f t="shared" si="4"/>
        <v>-0.19741668821308975</v>
      </c>
      <c r="V32" s="469">
        <f t="shared" si="4"/>
        <v>-0.24437063495406866</v>
      </c>
    </row>
    <row r="33" spans="1:23">
      <c r="B33" s="77" t="s">
        <v>1131</v>
      </c>
      <c r="F33" s="323">
        <f>'3 Statment Model'!E35/'3 Statment Model'!E13</f>
        <v>0</v>
      </c>
      <c r="G33" s="323">
        <f>'3 Statment Model'!F35/'3 Statment Model'!F13</f>
        <v>0</v>
      </c>
      <c r="H33" s="323">
        <f>'3 Statment Model'!G35/'3 Statment Model'!G13</f>
        <v>1.4185696421317574E-2</v>
      </c>
      <c r="I33" s="323">
        <f>'3 Statment Model'!H35/'3 Statment Model'!H13</f>
        <v>0</v>
      </c>
      <c r="J33" s="323">
        <f>'3 Statment Model'!I35/'3 Statment Model'!I13</f>
        <v>0</v>
      </c>
      <c r="K33" s="323">
        <f>'3 Statment Model'!J35/'3 Statment Model'!J13</f>
        <v>0</v>
      </c>
      <c r="L33" s="323">
        <f>'3 Statment Model'!K35/'3 Statment Model'!K13</f>
        <v>0</v>
      </c>
      <c r="M33" s="323">
        <f>'3 Statment Model'!L35/'3 Statment Model'!L13</f>
        <v>0</v>
      </c>
      <c r="N33" s="323">
        <f>'3 Statment Model'!M35/'3 Statment Model'!M13</f>
        <v>0</v>
      </c>
      <c r="O33" s="323">
        <f>'3 Statment Model'!N35/'3 Statment Model'!N13</f>
        <v>0</v>
      </c>
      <c r="P33" s="323">
        <f>'3 Statment Model'!O35/'3 Statment Model'!O13</f>
        <v>0</v>
      </c>
      <c r="Q33" s="323">
        <f>'3 Statment Model'!P35/'3 Statment Model'!P13</f>
        <v>0</v>
      </c>
      <c r="R33" s="323">
        <f>'3 Statment Model'!Q35/'3 Statment Model'!Q13</f>
        <v>0</v>
      </c>
      <c r="S33" s="323">
        <f>'3 Statment Model'!R35/'3 Statment Model'!R13</f>
        <v>0</v>
      </c>
      <c r="T33" s="323">
        <f>'3 Statment Model'!S35/'3 Statment Model'!S13</f>
        <v>0</v>
      </c>
      <c r="U33" s="323">
        <f>'3 Statment Model'!T35/'3 Statment Model'!T13</f>
        <v>0</v>
      </c>
      <c r="V33" s="323">
        <f>'3 Statment Model'!U35/'3 Statment Model'!U13</f>
        <v>0</v>
      </c>
    </row>
    <row r="34" spans="1:23">
      <c r="B34" s="77"/>
      <c r="F34" s="288"/>
      <c r="G34" s="288"/>
      <c r="H34" s="288"/>
      <c r="I34" s="288"/>
      <c r="J34" s="288"/>
      <c r="K34" s="288"/>
      <c r="L34" s="288"/>
      <c r="M34" s="288"/>
      <c r="N34" s="288"/>
      <c r="O34" s="288"/>
      <c r="P34" s="288"/>
      <c r="Q34" s="288"/>
      <c r="R34" s="288"/>
      <c r="S34" s="288"/>
      <c r="T34" s="288"/>
      <c r="U34" s="288"/>
      <c r="V34" s="288"/>
    </row>
    <row r="35" spans="1:23">
      <c r="B35" s="72" t="s">
        <v>86</v>
      </c>
      <c r="C35" s="40"/>
      <c r="D35" s="40"/>
      <c r="E35" s="40"/>
      <c r="F35" s="471">
        <f>F32-F33</f>
        <v>0.18026393307411326</v>
      </c>
      <c r="G35" s="471">
        <f t="shared" ref="G35:V35" si="5">G32-G33</f>
        <v>0.18582468985153547</v>
      </c>
      <c r="H35" s="471">
        <f t="shared" si="5"/>
        <v>9.1406542465491583E-2</v>
      </c>
      <c r="I35" s="471">
        <f t="shared" si="5"/>
        <v>0.15024207524149236</v>
      </c>
      <c r="J35" s="471">
        <f t="shared" si="5"/>
        <v>0.22162732213839553</v>
      </c>
      <c r="K35" s="471">
        <f t="shared" si="5"/>
        <v>0.19254985308912592</v>
      </c>
      <c r="L35" s="471">
        <f t="shared" si="5"/>
        <v>8.3746436113305067E-2</v>
      </c>
      <c r="M35" s="471">
        <f t="shared" si="5"/>
        <v>0.12936882321982038</v>
      </c>
      <c r="N35" s="471">
        <f t="shared" si="5"/>
        <v>0.16074084675916428</v>
      </c>
      <c r="O35" s="471">
        <f t="shared" si="5"/>
        <v>9.8887271833311016E-2</v>
      </c>
      <c r="P35" s="471">
        <f t="shared" si="5"/>
        <v>4.1160861416030148E-2</v>
      </c>
      <c r="Q35" s="471">
        <f t="shared" si="5"/>
        <v>-1.2711191503120604E-2</v>
      </c>
      <c r="R35" s="471">
        <f t="shared" si="5"/>
        <v>-5.7953236062437498E-2</v>
      </c>
      <c r="S35" s="471">
        <f t="shared" si="5"/>
        <v>-0.10194624610457134</v>
      </c>
      <c r="T35" s="471">
        <f t="shared" si="5"/>
        <v>-0.1500480278164317</v>
      </c>
      <c r="U35" s="471">
        <f t="shared" si="5"/>
        <v>-0.19741668821308975</v>
      </c>
      <c r="V35" s="471">
        <f t="shared" si="5"/>
        <v>-0.24437063495406866</v>
      </c>
      <c r="W35" s="40"/>
    </row>
    <row r="36" spans="1:23">
      <c r="B36" s="74"/>
    </row>
    <row r="37" spans="1:23">
      <c r="B37" s="62" t="s">
        <v>87</v>
      </c>
      <c r="F37" s="323">
        <f>'3 Statment Model'!E38/'3 Statment Model'!E13</f>
        <v>2.2563921291386829E-2</v>
      </c>
      <c r="G37" s="323">
        <f>'3 Statment Model'!F38/'3 Statment Model'!F13</f>
        <v>4.5017286963595686E-2</v>
      </c>
      <c r="H37" s="323">
        <f>'3 Statment Model'!G38/'3 Statment Model'!G13</f>
        <v>1.0434173111693442E-2</v>
      </c>
      <c r="I37" s="323">
        <f>'3 Statment Model'!H38/'3 Statment Model'!H13</f>
        <v>3.0292433108743463E-2</v>
      </c>
      <c r="J37" s="323">
        <f>'3 Statment Model'!I38/'3 Statment Model'!I13</f>
        <v>5.2670781801957271E-2</v>
      </c>
      <c r="K37" s="323">
        <f>'3 Statment Model'!J38/'3 Statment Model'!J13</f>
        <v>3.7010880066093238E-2</v>
      </c>
      <c r="L37" s="323">
        <f>'3 Statment Model'!K38/'3 Statment Model'!K13</f>
        <v>1.2642345415539385E-2</v>
      </c>
      <c r="M37" s="323">
        <f>'3 Statment Model'!L38/'3 Statment Model'!L13</f>
        <v>2.7436112356484278E-2</v>
      </c>
      <c r="N37" s="323">
        <f>'3 Statment Model'!M38/'3 Statment Model'!M13</f>
        <v>4.0185211689791042E-2</v>
      </c>
      <c r="O37" s="323">
        <f>'3 Statment Model'!N38/'3 Statment Model'!N13</f>
        <v>2.4721817958327692E-2</v>
      </c>
      <c r="P37" s="323">
        <f>'3 Statment Model'!O38/'3 Statment Model'!O13</f>
        <v>1.0290215354007528E-2</v>
      </c>
      <c r="Q37" s="323">
        <f>'3 Statment Model'!P38/'3 Statment Model'!P13</f>
        <v>-3.1777978757801307E-3</v>
      </c>
      <c r="R37" s="323">
        <f>'3 Statment Model'!Q38/'3 Statment Model'!Q13</f>
        <v>-1.4488309015609335E-2</v>
      </c>
      <c r="S37" s="323">
        <f>'3 Statment Model'!R38/'3 Statment Model'!R13</f>
        <v>-2.5486561526142825E-2</v>
      </c>
      <c r="T37" s="323">
        <f>'3 Statment Model'!S38/'3 Statment Model'!S13</f>
        <v>-3.7512006954107918E-2</v>
      </c>
      <c r="U37" s="323">
        <f>'3 Statment Model'!T38/'3 Statment Model'!T13</f>
        <v>-4.9354172053272437E-2</v>
      </c>
      <c r="V37" s="323">
        <f>'3 Statment Model'!U38/'3 Statment Model'!U13</f>
        <v>-6.1092658738517179E-2</v>
      </c>
    </row>
    <row r="38" spans="1:23" ht="15.75" thickBot="1">
      <c r="B38" s="79" t="s">
        <v>46</v>
      </c>
      <c r="C38" s="34"/>
      <c r="D38" s="34"/>
      <c r="E38" s="34"/>
      <c r="F38" s="470">
        <f>F35-F37</f>
        <v>0.15770001178272644</v>
      </c>
      <c r="G38" s="470">
        <f t="shared" ref="G38:V38" si="6">G35-G37</f>
        <v>0.14080740288793978</v>
      </c>
      <c r="H38" s="470">
        <f t="shared" si="6"/>
        <v>8.0972369353798146E-2</v>
      </c>
      <c r="I38" s="470">
        <f t="shared" si="6"/>
        <v>0.11994964213274889</v>
      </c>
      <c r="J38" s="470">
        <f t="shared" si="6"/>
        <v>0.16895654033643825</v>
      </c>
      <c r="K38" s="470">
        <f t="shared" si="6"/>
        <v>0.15553897302303268</v>
      </c>
      <c r="L38" s="470">
        <f t="shared" si="6"/>
        <v>7.1104090697765687E-2</v>
      </c>
      <c r="M38" s="470">
        <f t="shared" si="6"/>
        <v>0.10193271086333611</v>
      </c>
      <c r="N38" s="470">
        <f t="shared" si="6"/>
        <v>0.12055563506937324</v>
      </c>
      <c r="O38" s="470">
        <f t="shared" si="6"/>
        <v>7.4165453874983328E-2</v>
      </c>
      <c r="P38" s="470">
        <f t="shared" si="6"/>
        <v>3.0870646062022618E-2</v>
      </c>
      <c r="Q38" s="470">
        <f t="shared" si="6"/>
        <v>-9.5333936273404741E-3</v>
      </c>
      <c r="R38" s="470">
        <f t="shared" si="6"/>
        <v>-4.3464927046828167E-2</v>
      </c>
      <c r="S38" s="470">
        <f t="shared" si="6"/>
        <v>-7.6459684578428513E-2</v>
      </c>
      <c r="T38" s="470">
        <f t="shared" si="6"/>
        <v>-0.11253602086232378</v>
      </c>
      <c r="U38" s="470">
        <f t="shared" si="6"/>
        <v>-0.1480625161598173</v>
      </c>
      <c r="V38" s="470">
        <f t="shared" si="6"/>
        <v>-0.18327797621555147</v>
      </c>
    </row>
    <row r="39" spans="1:23">
      <c r="F39" s="288"/>
      <c r="G39" s="288"/>
      <c r="H39" s="288"/>
      <c r="I39" s="288"/>
      <c r="J39" s="288"/>
      <c r="K39" s="288"/>
      <c r="L39" s="288"/>
      <c r="M39" s="288"/>
      <c r="N39" s="288"/>
      <c r="O39" s="288"/>
      <c r="P39" s="288"/>
      <c r="Q39" s="288"/>
      <c r="R39" s="288"/>
      <c r="S39" s="288"/>
      <c r="T39" s="288"/>
      <c r="U39" s="288"/>
      <c r="V39" s="288"/>
    </row>
    <row r="41" spans="1:23">
      <c r="A41" s="3" t="s">
        <v>21</v>
      </c>
      <c r="B41" s="489" t="s">
        <v>94</v>
      </c>
      <c r="C41" s="490"/>
      <c r="D41" s="490"/>
      <c r="E41" s="490"/>
      <c r="F41" s="490"/>
      <c r="G41" s="490"/>
      <c r="H41" s="490"/>
      <c r="I41" s="490"/>
      <c r="J41" s="490"/>
      <c r="K41" s="490"/>
      <c r="L41" s="490"/>
      <c r="M41" s="490"/>
      <c r="N41" s="490"/>
      <c r="O41" s="490"/>
      <c r="P41" s="490"/>
      <c r="Q41" s="490"/>
      <c r="R41" s="490"/>
      <c r="S41" s="490"/>
      <c r="T41" s="490"/>
      <c r="U41" s="490"/>
      <c r="V41" s="490"/>
    </row>
    <row r="43" spans="1:23">
      <c r="B43" s="80" t="s">
        <v>95</v>
      </c>
    </row>
    <row r="44" spans="1:23">
      <c r="B44" s="62" t="s">
        <v>96</v>
      </c>
      <c r="C44" s="81"/>
      <c r="D44" s="81"/>
      <c r="E44" s="81"/>
      <c r="F44" s="323">
        <f>'3 Statment Model'!E51/'3 Statment Model'!E69</f>
        <v>9.9160139594545206E-3</v>
      </c>
      <c r="G44" s="323">
        <f>'3 Statment Model'!F51/'3 Statment Model'!F69</f>
        <v>7.9655276270389364E-3</v>
      </c>
      <c r="H44" s="323">
        <f>'3 Statment Model'!G51/'3 Statment Model'!G69</f>
        <v>2.8326436200010845E-2</v>
      </c>
      <c r="I44" s="323">
        <f>'3 Statment Model'!H51/'3 Statment Model'!H69</f>
        <v>3.0809417804785109E-2</v>
      </c>
      <c r="J44" s="323">
        <f>'3 Statment Model'!I51/'3 Statment Model'!I69</f>
        <v>3.2909629599329908E-2</v>
      </c>
      <c r="K44" s="323">
        <f>'3 Statment Model'!J51/'3 Statment Model'!J69</f>
        <v>1.2186222662584381E-2</v>
      </c>
      <c r="L44" s="323">
        <f>'3 Statment Model'!K51/'3 Statment Model'!K69</f>
        <v>6.1173273772613893E-3</v>
      </c>
      <c r="M44" s="323">
        <f>'3 Statment Model'!L51/'3 Statment Model'!L69</f>
        <v>1.5104821682819155E-2</v>
      </c>
      <c r="N44" s="323">
        <f ca="1">'3 Statment Model'!M51/'3 Statment Model'!M69</f>
        <v>8.7762027331773615E-2</v>
      </c>
      <c r="O44" s="323">
        <f ca="1">'3 Statment Model'!N51/'3 Statment Model'!N69</f>
        <v>0.11430656643216792</v>
      </c>
      <c r="P44" s="323">
        <f ca="1">'3 Statment Model'!O51/'3 Statment Model'!O69</f>
        <v>0.14525069428599577</v>
      </c>
      <c r="Q44" s="323">
        <f ca="1">'3 Statment Model'!P51/'3 Statment Model'!P69</f>
        <v>0.18339303091140674</v>
      </c>
      <c r="R44" s="323">
        <f ca="1">'3 Statment Model'!Q51/'3 Statment Model'!Q69</f>
        <v>0.12479742473905474</v>
      </c>
      <c r="S44" s="323">
        <f ca="1">'3 Statment Model'!R51/'3 Statment Model'!R69</f>
        <v>0.20127734595403748</v>
      </c>
      <c r="T44" s="323">
        <f ca="1">'3 Statment Model'!S51/'3 Statment Model'!S69</f>
        <v>0.27257156091178703</v>
      </c>
      <c r="U44" s="323">
        <f ca="1">'3 Statment Model'!T51/'3 Statment Model'!T69</f>
        <v>0.3578807795690625</v>
      </c>
      <c r="V44" s="323">
        <f ca="1">'3 Statment Model'!U51/'3 Statment Model'!U69</f>
        <v>0.4547764304427232</v>
      </c>
    </row>
    <row r="45" spans="1:23">
      <c r="B45" s="62" t="s">
        <v>649</v>
      </c>
      <c r="C45" s="81"/>
      <c r="D45" s="82"/>
      <c r="E45" s="83"/>
      <c r="F45" s="323">
        <f>'3 Statment Model'!E52/'3 Statment Model'!E69</f>
        <v>5.8593162160419071E-2</v>
      </c>
      <c r="G45" s="323">
        <f>'3 Statment Model'!F52/'3 Statment Model'!F69</f>
        <v>0.15264223024205692</v>
      </c>
      <c r="H45" s="323">
        <f>'3 Statment Model'!G52/'3 Statment Model'!G69</f>
        <v>2.1130269336713491E-3</v>
      </c>
      <c r="I45" s="323">
        <f>'3 Statment Model'!H52/'3 Statment Model'!H69</f>
        <v>0.15473998756593066</v>
      </c>
      <c r="J45" s="323">
        <f>'3 Statment Model'!I52/'3 Statment Model'!I69</f>
        <v>0.17670193450983709</v>
      </c>
      <c r="K45" s="323">
        <f>'3 Statment Model'!J52/'3 Statment Model'!J69</f>
        <v>0.14848748090902317</v>
      </c>
      <c r="L45" s="323">
        <f>'3 Statment Model'!K52/'3 Statment Model'!K69</f>
        <v>0.12902548430740349</v>
      </c>
      <c r="M45" s="323">
        <f>'3 Statment Model'!L52/'3 Statment Model'!L69</f>
        <v>0.18850141376060317</v>
      </c>
      <c r="N45" s="323">
        <f ca="1">'3 Statment Model'!M52/'3 Statment Model'!M69</f>
        <v>0.16807617386068438</v>
      </c>
      <c r="O45" s="323">
        <f ca="1">'3 Statment Model'!N52/'3 Statment Model'!N69</f>
        <v>0.15953938321637176</v>
      </c>
      <c r="P45" s="323">
        <f ca="1">'3 Statment Model'!O52/'3 Statment Model'!O69</f>
        <v>0.15356381145914783</v>
      </c>
      <c r="Q45" s="323">
        <f ca="1">'3 Statment Model'!P52/'3 Statment Model'!P69</f>
        <v>0.15035378092179255</v>
      </c>
      <c r="R45" s="323">
        <f ca="1">'3 Statment Model'!Q52/'3 Statment Model'!Q69</f>
        <v>0.16933359013670762</v>
      </c>
      <c r="S45" s="323">
        <f ca="1">'3 Statment Model'!R52/'3 Statment Model'!R69</f>
        <v>0.16648759413378425</v>
      </c>
      <c r="T45" s="323">
        <f ca="1">'3 Statment Model'!S52/'3 Statment Model'!S69</f>
        <v>0.16776589321297344</v>
      </c>
      <c r="U45" s="323">
        <f ca="1">'3 Statment Model'!T52/'3 Statment Model'!T69</f>
        <v>0.16897428330988892</v>
      </c>
      <c r="V45" s="323">
        <f ca="1">'3 Statment Model'!U52/'3 Statment Model'!U69</f>
        <v>0.17014457637022648</v>
      </c>
      <c r="W45" s="51"/>
    </row>
    <row r="46" spans="1:23">
      <c r="B46" s="62" t="s">
        <v>650</v>
      </c>
      <c r="C46" s="81"/>
      <c r="D46" s="82"/>
      <c r="E46" s="83"/>
      <c r="F46" s="323">
        <f>'3 Statment Model'!E53/'3 Statment Model'!E69</f>
        <v>7.7142468129017469E-3</v>
      </c>
      <c r="G46" s="323">
        <f>'3 Statment Model'!F53/'3 Statment Model'!F69</f>
        <v>7.8545650531299371E-3</v>
      </c>
      <c r="H46" s="323">
        <f>'3 Statment Model'!G53/'3 Statment Model'!G69</f>
        <v>1.1021429733141609E-2</v>
      </c>
      <c r="I46" s="323">
        <f>'3 Statment Model'!H53/'3 Statment Model'!H69</f>
        <v>7.5787658183422571E-3</v>
      </c>
      <c r="J46" s="323">
        <f>'3 Statment Model'!I53/'3 Statment Model'!I69</f>
        <v>5.5146870842718932E-3</v>
      </c>
      <c r="K46" s="323">
        <f>'3 Statment Model'!J53/'3 Statment Model'!J69</f>
        <v>6.349552575297508E-3</v>
      </c>
      <c r="L46" s="323">
        <f>'3 Statment Model'!K53/'3 Statment Model'!K69</f>
        <v>6.564260606500164E-3</v>
      </c>
      <c r="M46" s="323">
        <f>'3 Statment Model'!L53/'3 Statment Model'!L69</f>
        <v>6.1366807135551987E-3</v>
      </c>
      <c r="N46" s="323">
        <f ca="1">'3 Statment Model'!M53/'3 Statment Model'!M69</f>
        <v>5.5141517178048834E-3</v>
      </c>
      <c r="O46" s="323">
        <f ca="1">'3 Statment Model'!N53/'3 Statment Model'!N69</f>
        <v>5.2746556062625745E-3</v>
      </c>
      <c r="P46" s="323">
        <f ca="1">'3 Statment Model'!O53/'3 Statment Model'!O69</f>
        <v>5.1164498886309496E-3</v>
      </c>
      <c r="Q46" s="323">
        <f ca="1">'3 Statment Model'!P53/'3 Statment Model'!P69</f>
        <v>5.0483311818268102E-3</v>
      </c>
      <c r="R46" s="323">
        <f ca="1">'3 Statment Model'!Q53/'3 Statment Model'!Q69</f>
        <v>5.7296783490324715E-3</v>
      </c>
      <c r="S46" s="323">
        <f ca="1">'3 Statment Model'!R53/'3 Statment Model'!R69</f>
        <v>5.6770490380241879E-3</v>
      </c>
      <c r="T46" s="323">
        <f ca="1">'3 Statment Model'!S53/'3 Statment Model'!S69</f>
        <v>5.7649836989858028E-3</v>
      </c>
      <c r="U46" s="323">
        <f ca="1">'3 Statment Model'!T53/'3 Statment Model'!T69</f>
        <v>5.8515196164043602E-3</v>
      </c>
      <c r="V46" s="323">
        <f ca="1">'3 Statment Model'!U53/'3 Statment Model'!U69</f>
        <v>5.9377212295043868E-3</v>
      </c>
      <c r="W46" s="51"/>
    </row>
    <row r="47" spans="1:23">
      <c r="B47" s="62" t="s">
        <v>10</v>
      </c>
      <c r="C47" s="81"/>
      <c r="D47" s="82"/>
      <c r="E47" s="83"/>
      <c r="F47" s="323">
        <f>'3 Statment Model'!E54/'3 Statment Model'!E69</f>
        <v>0.11770227951872846</v>
      </c>
      <c r="G47" s="323">
        <f>'3 Statment Model'!F54/'3 Statment Model'!F69</f>
        <v>0.10363111813286975</v>
      </c>
      <c r="H47" s="323">
        <f>'3 Statment Model'!G54/'3 Statment Model'!G69</f>
        <v>0.12068907654139958</v>
      </c>
      <c r="I47" s="323">
        <f>'3 Statment Model'!H54/'3 Statment Model'!H69</f>
        <v>8.5885325792671913E-2</v>
      </c>
      <c r="J47" s="323">
        <f>'3 Statment Model'!I54/'3 Statment Model'!I69</f>
        <v>7.9764017503460627E-2</v>
      </c>
      <c r="K47" s="323">
        <f>'3 Statment Model'!J54/'3 Statment Model'!J69</f>
        <v>0.10514512090004562</v>
      </c>
      <c r="L47" s="323">
        <f>'3 Statment Model'!K54/'3 Statment Model'!K69</f>
        <v>0.10480337406108899</v>
      </c>
      <c r="M47" s="323">
        <f>'3 Statment Model'!L54/'3 Statment Model'!L69</f>
        <v>0.1273054181265022</v>
      </c>
      <c r="N47" s="323">
        <f ca="1">'3 Statment Model'!M54/'3 Statment Model'!M69</f>
        <v>0.1099914004527799</v>
      </c>
      <c r="O47" s="323">
        <f ca="1">'3 Statment Model'!N54/'3 Statment Model'!N69</f>
        <v>0.10116744687994242</v>
      </c>
      <c r="P47" s="323">
        <f ca="1">'3 Statment Model'!O54/'3 Statment Model'!O69</f>
        <v>9.435872561762669E-2</v>
      </c>
      <c r="Q47" s="323">
        <f ca="1">'3 Statment Model'!P54/'3 Statment Model'!P69</f>
        <v>8.9521600986418301E-2</v>
      </c>
      <c r="R47" s="323">
        <f ca="1">'3 Statment Model'!Q54/'3 Statment Model'!Q69</f>
        <v>9.7696027670465896E-2</v>
      </c>
      <c r="S47" s="323">
        <f ca="1">'3 Statment Model'!R54/'3 Statment Model'!R69</f>
        <v>9.3075626809879936E-2</v>
      </c>
      <c r="T47" s="323">
        <f ca="1">'3 Statment Model'!S54/'3 Statment Model'!S69</f>
        <v>9.0882040282165316E-2</v>
      </c>
      <c r="U47" s="323">
        <f ca="1">'3 Statment Model'!T54/'3 Statment Model'!T69</f>
        <v>8.8698302955021902E-2</v>
      </c>
      <c r="V47" s="323">
        <f ca="1">'3 Statment Model'!U54/'3 Statment Model'!U69</f>
        <v>8.6543231995630715E-2</v>
      </c>
      <c r="W47" s="51"/>
    </row>
    <row r="48" spans="1:23">
      <c r="B48" s="62" t="s">
        <v>558</v>
      </c>
      <c r="C48" s="81"/>
      <c r="D48" s="82"/>
      <c r="E48" s="83"/>
      <c r="F48" s="323">
        <f>'3 Statment Model'!E55/'3 Statment Model'!E69</f>
        <v>3.0007810988412504E-2</v>
      </c>
      <c r="G48" s="323">
        <f>'3 Statment Model'!F55/'3 Statment Model'!F69</f>
        <v>3.0316560371566104E-2</v>
      </c>
      <c r="H48" s="323">
        <f>'3 Statment Model'!G55/'3 Statment Model'!G69</f>
        <v>6.6088563838712935E-2</v>
      </c>
      <c r="I48" s="323">
        <f>'3 Statment Model'!H55/'3 Statment Model'!H69</f>
        <v>5.4148366524276514E-2</v>
      </c>
      <c r="J48" s="323">
        <f>'3 Statment Model'!I55/'3 Statment Model'!I69</f>
        <v>3.1561636296532497E-2</v>
      </c>
      <c r="K48" s="323">
        <f>'3 Statment Model'!J55/'3 Statment Model'!J69</f>
        <v>3.3181559979669983E-2</v>
      </c>
      <c r="L48" s="323">
        <f>'3 Statment Model'!K55/'3 Statment Model'!K69</f>
        <v>4.6022351218130378E-2</v>
      </c>
      <c r="M48" s="323">
        <f>'3 Statment Model'!L55/'3 Statment Model'!L69</f>
        <v>4.607004632321976E-2</v>
      </c>
      <c r="N48" s="323">
        <f ca="1">'3 Statment Model'!M55/'3 Statment Model'!M69</f>
        <v>4.3869330791331457E-2</v>
      </c>
      <c r="O48" s="323">
        <f ca="1">'3 Statment Model'!N55/'3 Statment Model'!N69</f>
        <v>4.5569223053406757E-2</v>
      </c>
      <c r="P48" s="323">
        <f ca="1">'3 Statment Model'!O55/'3 Statment Model'!O69</f>
        <v>4.7759886016672554E-2</v>
      </c>
      <c r="Q48" s="323">
        <f ca="1">'3 Statment Model'!P55/'3 Statment Model'!P69</f>
        <v>5.066059441883812E-2</v>
      </c>
      <c r="R48" s="323">
        <f ca="1">'3 Statment Model'!Q55/'3 Statment Model'!Q69</f>
        <v>6.1500737905014105E-2</v>
      </c>
      <c r="S48" s="323">
        <f ca="1">'3 Statment Model'!R55/'3 Statment Model'!R69</f>
        <v>6.4846855465838585E-2</v>
      </c>
      <c r="T48" s="323">
        <f ca="1">'3 Statment Model'!S55/'3 Statment Model'!S69</f>
        <v>6.9720064877121554E-2</v>
      </c>
      <c r="U48" s="323">
        <f ca="1">'3 Statment Model'!T55/'3 Statment Model'!T69</f>
        <v>7.4539690406350043E-2</v>
      </c>
      <c r="V48" s="323">
        <f ca="1">'3 Statment Model'!U55/'3 Statment Model'!U69</f>
        <v>7.9259656826974209E-2</v>
      </c>
      <c r="W48" s="51"/>
    </row>
    <row r="49" spans="2:38">
      <c r="B49" s="84" t="s">
        <v>56</v>
      </c>
      <c r="C49" s="81"/>
      <c r="D49" s="82"/>
      <c r="E49" s="83"/>
      <c r="F49" s="323">
        <f>'3 Statment Model'!E56/'3 Statment Model'!E69</f>
        <v>6.9949551047317385E-2</v>
      </c>
      <c r="G49" s="323">
        <f>'3 Statment Model'!F56/'3 Statment Model'!F69</f>
        <v>7.4008073848234907E-2</v>
      </c>
      <c r="H49" s="323">
        <f>'3 Statment Model'!G56/'3 Statment Model'!G69</f>
        <v>7.6279368750951967E-2</v>
      </c>
      <c r="I49" s="323">
        <f>'3 Statment Model'!H56/'3 Statment Model'!H69</f>
        <v>6.260152818723301E-2</v>
      </c>
      <c r="J49" s="323">
        <f>'3 Statment Model'!I56/'3 Statment Model'!I69</f>
        <v>5.4105662222627138E-2</v>
      </c>
      <c r="K49" s="323">
        <f>'3 Statment Model'!J56/'3 Statment Model'!J69</f>
        <v>5.1288248801063502E-2</v>
      </c>
      <c r="L49" s="323">
        <f>'3 Statment Model'!K56/'3 Statment Model'!K69</f>
        <v>4.7996907541020463E-2</v>
      </c>
      <c r="M49" s="323">
        <f>'3 Statment Model'!L56/'3 Statment Model'!L69</f>
        <v>5.4193798360782537E-2</v>
      </c>
      <c r="N49" s="323">
        <f ca="1">'3 Statment Model'!M56/'3 Statment Model'!M69</f>
        <v>4.6838784414898749E-2</v>
      </c>
      <c r="O49" s="323">
        <f ca="1">'3 Statment Model'!N56/'3 Statment Model'!N69</f>
        <v>4.8653740005870111E-2</v>
      </c>
      <c r="P49" s="323">
        <f ca="1">'3 Statment Model'!O56/'3 Statment Model'!O69</f>
        <v>5.0992685880156964E-2</v>
      </c>
      <c r="Q49" s="323">
        <f ca="1">'3 Statment Model'!P56/'3 Statment Model'!P69</f>
        <v>5.4089739175676256E-2</v>
      </c>
      <c r="R49" s="323">
        <f ca="1">'3 Statment Model'!Q56/'3 Statment Model'!Q69</f>
        <v>6.5663636807957768E-2</v>
      </c>
      <c r="S49" s="323">
        <f ca="1">'3 Statment Model'!R56/'3 Statment Model'!R69</f>
        <v>6.9236248384912449E-2</v>
      </c>
      <c r="T49" s="323">
        <f ca="1">'3 Statment Model'!S56/'3 Statment Model'!S69</f>
        <v>7.4439318523124839E-2</v>
      </c>
      <c r="U49" s="323">
        <f ca="1">'3 Statment Model'!T56/'3 Statment Model'!T69</f>
        <v>7.9585177761275855E-2</v>
      </c>
      <c r="V49" s="323">
        <f ca="1">'3 Statment Model'!U56/'3 Statment Model'!U69</f>
        <v>8.4624632105194428E-2</v>
      </c>
      <c r="W49" s="51"/>
    </row>
    <row r="50" spans="2:38">
      <c r="B50" s="78" t="s">
        <v>97</v>
      </c>
      <c r="C50" s="85"/>
      <c r="D50" s="86"/>
      <c r="E50" s="87"/>
      <c r="F50" s="108">
        <f>SUM(F44:F49)</f>
        <v>0.29388306448723372</v>
      </c>
      <c r="G50" s="108">
        <f t="shared" ref="G50:V50" si="7">SUM(G44:G49)</f>
        <v>0.37641807527489657</v>
      </c>
      <c r="H50" s="108">
        <f t="shared" si="7"/>
        <v>0.30451790199788831</v>
      </c>
      <c r="I50" s="108">
        <f t="shared" si="7"/>
        <v>0.39576339169323949</v>
      </c>
      <c r="J50" s="108">
        <f t="shared" si="7"/>
        <v>0.38055756721605916</v>
      </c>
      <c r="K50" s="108">
        <f t="shared" si="7"/>
        <v>0.35663818582768414</v>
      </c>
      <c r="L50" s="108">
        <f t="shared" si="7"/>
        <v>0.3405297051114049</v>
      </c>
      <c r="M50" s="108">
        <f t="shared" si="7"/>
        <v>0.43731217896748198</v>
      </c>
      <c r="N50" s="108">
        <f t="shared" ca="1" si="7"/>
        <v>0.46205186856927294</v>
      </c>
      <c r="O50" s="108">
        <f t="shared" ca="1" si="7"/>
        <v>0.47451101519402161</v>
      </c>
      <c r="P50" s="108">
        <f t="shared" ca="1" si="7"/>
        <v>0.49704225314823075</v>
      </c>
      <c r="Q50" s="108">
        <f t="shared" ca="1" si="7"/>
        <v>0.53306707759595884</v>
      </c>
      <c r="R50" s="108">
        <f t="shared" ca="1" si="7"/>
        <v>0.52472109560823255</v>
      </c>
      <c r="S50" s="108">
        <f t="shared" ca="1" si="7"/>
        <v>0.60060071978647689</v>
      </c>
      <c r="T50" s="108">
        <f t="shared" ca="1" si="7"/>
        <v>0.68114386150615791</v>
      </c>
      <c r="U50" s="108">
        <f t="shared" ca="1" si="7"/>
        <v>0.77552975361800358</v>
      </c>
      <c r="V50" s="108">
        <f t="shared" ca="1" si="7"/>
        <v>0.88128624897025354</v>
      </c>
    </row>
    <row r="51" spans="2:38">
      <c r="B51" s="78"/>
      <c r="C51" s="88"/>
      <c r="D51" s="89"/>
      <c r="E51" s="90"/>
      <c r="F51" s="90"/>
      <c r="G51" s="90"/>
      <c r="H51" s="90"/>
      <c r="I51" s="90"/>
      <c r="J51" s="464"/>
      <c r="K51" s="464"/>
      <c r="L51" s="464"/>
      <c r="M51" s="464"/>
      <c r="N51" s="464"/>
      <c r="O51" s="464"/>
      <c r="P51" s="464"/>
      <c r="Q51" s="464"/>
      <c r="R51" s="464"/>
      <c r="S51" s="464"/>
      <c r="T51" s="464"/>
      <c r="U51" s="464"/>
      <c r="V51" s="464"/>
    </row>
    <row r="52" spans="2:38">
      <c r="B52" s="74"/>
      <c r="C52" s="81"/>
      <c r="D52" s="82"/>
      <c r="E52" s="91"/>
      <c r="F52" s="91"/>
      <c r="G52" s="91"/>
      <c r="H52" s="91"/>
      <c r="I52" s="91"/>
      <c r="J52" s="91"/>
      <c r="K52" s="91"/>
      <c r="L52" s="74"/>
      <c r="M52" s="81"/>
      <c r="N52" s="82"/>
      <c r="O52" s="91"/>
      <c r="P52" s="91"/>
      <c r="Q52" s="91"/>
      <c r="R52" s="91"/>
      <c r="S52" s="91"/>
      <c r="T52" s="91"/>
      <c r="U52" s="91"/>
      <c r="V52" s="91"/>
    </row>
    <row r="53" spans="2:38">
      <c r="B53" s="62" t="s">
        <v>634</v>
      </c>
      <c r="C53" s="81"/>
      <c r="D53" s="82"/>
      <c r="E53" s="83"/>
      <c r="F53" s="323">
        <f>'3 Statment Model'!E60/'3 Statment Model'!E$69</f>
        <v>0.23167284140827105</v>
      </c>
      <c r="G53" s="323">
        <f>'3 Statment Model'!F60/'3 Statment Model'!F$69</f>
        <v>0.23626507902120444</v>
      </c>
      <c r="H53" s="323">
        <f>'3 Statment Model'!G60/'3 Statment Model'!G$69</f>
        <v>0.39615447169163492</v>
      </c>
      <c r="I53" s="323">
        <f>'3 Statment Model'!H60/'3 Statment Model'!H$69</f>
        <v>0.28565018149730259</v>
      </c>
      <c r="J53" s="323">
        <f>'3 Statment Model'!I60/'3 Statment Model'!I$69</f>
        <v>0.26562440444261409</v>
      </c>
      <c r="K53" s="323">
        <f>'3 Statment Model'!J60/'3 Statment Model'!J$69</f>
        <v>0.28314608350215364</v>
      </c>
      <c r="L53" s="323">
        <f>'3 Statment Model'!K60/'3 Statment Model'!K$69</f>
        <v>0.25801147748834918</v>
      </c>
      <c r="M53" s="323">
        <f>'3 Statment Model'!L60/'3 Statment Model'!L$69</f>
        <v>0.31641308738386964</v>
      </c>
      <c r="N53" s="323">
        <f ca="1">'3 Statment Model'!M60/'3 Statment Model'!M$69</f>
        <v>0.32979330542135399</v>
      </c>
      <c r="O53" s="323">
        <f ca="1">'3 Statment Model'!N60/'3 Statment Model'!N$69</f>
        <v>0.3382877064602321</v>
      </c>
      <c r="P53" s="323">
        <f ca="1">'3 Statment Model'!O60/'3 Statment Model'!O$69</f>
        <v>0.33232358815721214</v>
      </c>
      <c r="Q53" s="323">
        <f ca="1">'3 Statment Model'!P60/'3 Statment Model'!P$69</f>
        <v>0.30881077680106217</v>
      </c>
      <c r="R53" s="323">
        <f ca="1">'3 Statment Model'!Q60/'3 Statment Model'!Q$69</f>
        <v>0.3068267961589321</v>
      </c>
      <c r="S53" s="323">
        <f ca="1">'3 Statment Model'!R60/'3 Statment Model'!R$69</f>
        <v>0.2428281178592506</v>
      </c>
      <c r="T53" s="323">
        <f ca="1">'3 Statment Model'!S60/'3 Statment Model'!S$69</f>
        <v>0.16979699446228538</v>
      </c>
      <c r="U53" s="323">
        <f ca="1">'3 Statment Model'!T60/'3 Statment Model'!T$69</f>
        <v>8.2722881233713449E-2</v>
      </c>
      <c r="V53" s="323">
        <f ca="1">'3 Statment Model'!U60/'3 Statment Model'!U$69</f>
        <v>-1.5950112146550746E-2</v>
      </c>
      <c r="W53" s="323">
        <f ca="1">'3 Statment Model'!R60/'3 Statment Model'!R69</f>
        <v>0.2428281178592506</v>
      </c>
      <c r="Y53"/>
      <c r="Z53"/>
      <c r="AA53"/>
      <c r="AB53"/>
      <c r="AC53"/>
      <c r="AD53"/>
      <c r="AE53"/>
      <c r="AF53"/>
      <c r="AG53"/>
      <c r="AH53"/>
      <c r="AI53"/>
      <c r="AJ53"/>
      <c r="AK53"/>
      <c r="AL53"/>
    </row>
    <row r="54" spans="2:38">
      <c r="B54" s="62" t="s">
        <v>637</v>
      </c>
      <c r="C54" s="81"/>
      <c r="D54" s="82"/>
      <c r="E54" s="83"/>
      <c r="F54" s="323">
        <f>'3 Statment Model'!E61/'3 Statment Model'!E$69</f>
        <v>0</v>
      </c>
      <c r="G54" s="323">
        <f>'3 Statment Model'!F61/'3 Statment Model'!F$69</f>
        <v>0</v>
      </c>
      <c r="H54" s="323">
        <f>'3 Statment Model'!G61/'3 Statment Model'!G$69</f>
        <v>0</v>
      </c>
      <c r="I54" s="323">
        <f>'3 Statment Model'!H61/'3 Statment Model'!H$69</f>
        <v>2.0679662274632492E-2</v>
      </c>
      <c r="J54" s="323">
        <f>'3 Statment Model'!I61/'3 Statment Model'!I$69</f>
        <v>2.0522035971898524E-2</v>
      </c>
      <c r="K54" s="323">
        <f>'3 Statment Model'!J61/'3 Statment Model'!J$69</f>
        <v>2.1087976190125288E-2</v>
      </c>
      <c r="L54" s="323">
        <f>'3 Statment Model'!K61/'3 Statment Model'!K$69</f>
        <v>2.3256476259947305E-2</v>
      </c>
      <c r="M54" s="323">
        <f>'3 Statment Model'!L61/'3 Statment Model'!L$69</f>
        <v>2.2649891568715635E-2</v>
      </c>
      <c r="N54" s="323">
        <f ca="1">'3 Statment Model'!M61/'3 Statment Model'!M$69</f>
        <v>1.5699180361060366E-2</v>
      </c>
      <c r="O54" s="323">
        <f ca="1">'3 Statment Model'!N61/'3 Statment Model'!N$69</f>
        <v>1.0879974700058189E-2</v>
      </c>
      <c r="P54" s="323">
        <f ca="1">'3 Statment Model'!O61/'3 Statment Model'!O$69</f>
        <v>6.8275587290145059E-3</v>
      </c>
      <c r="Q54" s="323">
        <f ca="1">'3 Statment Model'!P61/'3 Statment Model'!P$69</f>
        <v>3.3275820244804198E-3</v>
      </c>
      <c r="R54" s="323">
        <f ca="1">'3 Statment Model'!Q61/'3 Statment Model'!Q$69</f>
        <v>1.9382517309159665E-4</v>
      </c>
      <c r="S54" s="323">
        <f ca="1">'3 Statment Model'!R61/'3 Statment Model'!R$69</f>
        <v>-3.090370759875379E-3</v>
      </c>
      <c r="T54" s="323">
        <f ca="1">'3 Statment Model'!S61/'3 Statment Model'!S$69</f>
        <v>-6.2153816047994907E-3</v>
      </c>
      <c r="U54" s="323">
        <f ca="1">'3 Statment Model'!T61/'3 Statment Model'!T$69</f>
        <v>-9.1870422120422235E-3</v>
      </c>
      <c r="V54" s="323">
        <f ca="1">'3 Statment Model'!U61/'3 Statment Model'!U$69</f>
        <v>-1.2009003393445733E-2</v>
      </c>
      <c r="W54" s="323">
        <f>'3 Statment Model'!R61/'3 Statment Model'!R67</f>
        <v>-7.2602579768768919E-3</v>
      </c>
      <c r="Y54"/>
      <c r="Z54"/>
      <c r="AA54"/>
      <c r="AB54"/>
      <c r="AC54"/>
      <c r="AD54"/>
      <c r="AE54"/>
      <c r="AF54"/>
      <c r="AG54"/>
      <c r="AH54"/>
      <c r="AI54"/>
      <c r="AJ54"/>
      <c r="AK54"/>
      <c r="AL54"/>
    </row>
    <row r="55" spans="2:38">
      <c r="B55" s="62" t="s">
        <v>575</v>
      </c>
      <c r="C55" s="81"/>
      <c r="D55" s="82"/>
      <c r="E55" s="83"/>
      <c r="F55" s="323">
        <f>'3 Statment Model'!E62/'3 Statment Model'!E$69</f>
        <v>1.1537331508380689E-3</v>
      </c>
      <c r="G55" s="323">
        <f>'3 Statment Model'!F62/'3 Statment Model'!F$69</f>
        <v>7.9721325421525688E-4</v>
      </c>
      <c r="H55" s="323">
        <f>'3 Statment Model'!G62/'3 Statment Model'!G$69</f>
        <v>3.0004466141228168E-3</v>
      </c>
      <c r="I55" s="323">
        <f>'3 Statment Model'!H62/'3 Statment Model'!H$69</f>
        <v>2.6678097988488457E-3</v>
      </c>
      <c r="J55" s="323">
        <f>'3 Statment Model'!I62/'3 Statment Model'!I$69</f>
        <v>2.8005722928808293E-3</v>
      </c>
      <c r="K55" s="323">
        <f>'3 Statment Model'!J62/'3 Statment Model'!J$69</f>
        <v>2.4107161279646023E-3</v>
      </c>
      <c r="L55" s="323">
        <f>'3 Statment Model'!K62/'3 Statment Model'!K$69</f>
        <v>2.8353869351962009E-3</v>
      </c>
      <c r="M55" s="323">
        <f>'3 Statment Model'!L62/'3 Statment Model'!L$69</f>
        <v>4.4206876004457569E-3</v>
      </c>
      <c r="N55" s="323">
        <f ca="1">'3 Statment Model'!M62/'3 Statment Model'!M$69</f>
        <v>3.0640840707228372E-3</v>
      </c>
      <c r="O55" s="323">
        <f ca="1">'3 Statment Model'!N62/'3 Statment Model'!N$69</f>
        <v>2.1234966668071389E-3</v>
      </c>
      <c r="P55" s="323">
        <f ca="1">'3 Statment Model'!O62/'3 Statment Model'!O$69</f>
        <v>1.3325672718167945E-3</v>
      </c>
      <c r="Q55" s="323">
        <f ca="1">'3 Statment Model'!P62/'3 Statment Model'!P$69</f>
        <v>6.494600890454027E-4</v>
      </c>
      <c r="R55" s="323">
        <f ca="1">'3 Statment Model'!Q62/'3 Statment Model'!Q$69</f>
        <v>3.7829785486644356E-5</v>
      </c>
      <c r="S55" s="323">
        <f ca="1">'3 Statment Model'!R62/'3 Statment Model'!R$69</f>
        <v>-6.0316243269927081E-4</v>
      </c>
      <c r="T55" s="323">
        <f ca="1">'3 Statment Model'!S62/'3 Statment Model'!S$69</f>
        <v>-1.2130857363717529E-3</v>
      </c>
      <c r="U55" s="323">
        <f ca="1">'3 Statment Model'!T62/'3 Statment Model'!T$69</f>
        <v>-1.7930789411655355E-3</v>
      </c>
      <c r="V55" s="323">
        <f ca="1">'3 Statment Model'!U62/'3 Statment Model'!U$69</f>
        <v>-2.3438545934781683E-3</v>
      </c>
      <c r="W55" s="323">
        <f ca="1">'3 Statment Model'!R62/'3 Statment Model'!R69</f>
        <v>-6.0316243269927081E-4</v>
      </c>
      <c r="Y55"/>
      <c r="Z55"/>
      <c r="AA55"/>
      <c r="AB55"/>
      <c r="AC55"/>
      <c r="AD55"/>
      <c r="AE55"/>
      <c r="AF55"/>
      <c r="AG55"/>
      <c r="AH55"/>
      <c r="AI55"/>
      <c r="AJ55"/>
      <c r="AK55"/>
      <c r="AL55"/>
    </row>
    <row r="56" spans="2:38">
      <c r="B56" s="62" t="s">
        <v>7</v>
      </c>
      <c r="C56" s="81"/>
      <c r="D56" s="82"/>
      <c r="E56" s="99"/>
      <c r="F56" s="323">
        <f>'3 Statment Model'!E63/'3 Statment Model'!E$69</f>
        <v>6.359864418439666E-2</v>
      </c>
      <c r="G56" s="323">
        <f>'3 Statment Model'!F63/'3 Statment Model'!F$69</f>
        <v>9.4252138671513788E-2</v>
      </c>
      <c r="H56" s="323">
        <f>'3 Statment Model'!G63/'3 Statment Model'!G$69</f>
        <v>7.2865223216705952E-2</v>
      </c>
      <c r="I56" s="323">
        <f>'3 Statment Model'!H63/'3 Statment Model'!H$69</f>
        <v>6.0064576940817842E-2</v>
      </c>
      <c r="J56" s="323">
        <f>'3 Statment Model'!I63/'3 Statment Model'!I$69</f>
        <v>4.6343080099621355E-2</v>
      </c>
      <c r="K56" s="323">
        <f>'3 Statment Model'!J63/'3 Statment Model'!J$69</f>
        <v>4.4382441901741322E-2</v>
      </c>
      <c r="L56" s="323">
        <f>'3 Statment Model'!K63/'3 Statment Model'!K$69</f>
        <v>0.10620834682929924</v>
      </c>
      <c r="M56" s="323">
        <f>'3 Statment Model'!L63/'3 Statment Model'!L$69</f>
        <v>6.9100593292443613E-2</v>
      </c>
      <c r="N56" s="323">
        <f ca="1">'3 Statment Model'!M63/'3 Statment Model'!M$69</f>
        <v>5.9702651624782568E-2</v>
      </c>
      <c r="O56" s="323">
        <f ca="1">'3 Statment Model'!N63/'3 Statment Model'!N$69</f>
        <v>5.4913064221187885E-2</v>
      </c>
      <c r="P56" s="323">
        <f ca="1">'3 Statment Model'!O63/'3 Statment Model'!O$69</f>
        <v>5.1217332447058887E-2</v>
      </c>
      <c r="Q56" s="323">
        <f ca="1">'3 Statment Model'!P63/'3 Statment Model'!P$69</f>
        <v>4.8591771125592938E-2</v>
      </c>
      <c r="R56" s="323">
        <f ca="1">'3 Statment Model'!Q63/'3 Statment Model'!Q$69</f>
        <v>5.3028799352718162E-2</v>
      </c>
      <c r="S56" s="323">
        <f ca="1">'3 Statment Model'!R63/'3 Statment Model'!R$69</f>
        <v>5.0520874353028426E-2</v>
      </c>
      <c r="T56" s="323">
        <f ca="1">'3 Statment Model'!S63/'3 Statment Model'!S$69</f>
        <v>4.9330209157987234E-2</v>
      </c>
      <c r="U56" s="323">
        <f ca="1">'3 Statment Model'!T63/'3 Statment Model'!T$69</f>
        <v>4.814489004807692E-2</v>
      </c>
      <c r="V56" s="323">
        <f ca="1">'3 Statment Model'!U63/'3 Statment Model'!U$69</f>
        <v>4.6975130865217395E-2</v>
      </c>
      <c r="W56" s="323">
        <f ca="1">'3 Statment Model'!R63/'3 Statment Model'!R69</f>
        <v>5.0520874353028426E-2</v>
      </c>
      <c r="Y56"/>
      <c r="Z56"/>
      <c r="AA56"/>
      <c r="AB56"/>
      <c r="AC56"/>
      <c r="AD56"/>
      <c r="AE56"/>
      <c r="AF56"/>
      <c r="AG56"/>
      <c r="AH56"/>
      <c r="AI56"/>
      <c r="AJ56"/>
      <c r="AK56"/>
      <c r="AL56"/>
    </row>
    <row r="57" spans="2:38">
      <c r="B57" s="62" t="s">
        <v>601</v>
      </c>
      <c r="C57" s="81"/>
      <c r="D57" s="82"/>
      <c r="E57" s="99"/>
      <c r="F57" s="323">
        <f>'3 Statment Model'!E64/'3 Statment Model'!E$69</f>
        <v>0.34441800970282416</v>
      </c>
      <c r="G57" s="323">
        <f>'3 Statment Model'!F64/'3 Statment Model'!F$69</f>
        <v>0.24273063042593776</v>
      </c>
      <c r="H57" s="323">
        <f>'3 Statment Model'!G64/'3 Statment Model'!G$69</f>
        <v>0.17929104525775832</v>
      </c>
      <c r="I57" s="323">
        <f>'3 Statment Model'!H64/'3 Statment Model'!H$69</f>
        <v>0.18766419990774721</v>
      </c>
      <c r="J57" s="323">
        <f>'3 Statment Model'!I64/'3 Statment Model'!I$69</f>
        <v>0.24073301086854462</v>
      </c>
      <c r="K57" s="323">
        <f>'3 Statment Model'!J64/'3 Statment Model'!J$69</f>
        <v>0.25686232979186152</v>
      </c>
      <c r="L57" s="323">
        <f>'3 Statment Model'!K64/'3 Statment Model'!K$69</f>
        <v>0.23349128518175222</v>
      </c>
      <c r="M57" s="323">
        <f>'3 Statment Model'!L64/'3 Statment Model'!L$69</f>
        <v>0.12096462304014391</v>
      </c>
      <c r="N57" s="323">
        <f ca="1">'3 Statment Model'!M64/'3 Statment Model'!M$69</f>
        <v>0.10451297744615168</v>
      </c>
      <c r="O57" s="323">
        <f ca="1">'3 Statment Model'!N64/'3 Statment Model'!N$69</f>
        <v>9.6128525053077812E-2</v>
      </c>
      <c r="P57" s="323">
        <f ca="1">'3 Statment Model'!O64/'3 Statment Model'!O$69</f>
        <v>8.9658930804834461E-2</v>
      </c>
      <c r="Q57" s="323">
        <f ca="1">'3 Statment Model'!P64/'3 Statment Model'!P$69</f>
        <v>8.5062732416554612E-2</v>
      </c>
      <c r="R57" s="323">
        <f ca="1">'3 Statment Model'!Q64/'3 Statment Model'!Q$69</f>
        <v>9.283000938682881E-2</v>
      </c>
      <c r="S57" s="323">
        <f ca="1">'3 Statment Model'!R64/'3 Statment Model'!R$69</f>
        <v>8.8439740248089066E-2</v>
      </c>
      <c r="T57" s="323">
        <f ca="1">'3 Statment Model'!S64/'3 Statment Model'!S$69</f>
        <v>8.6355411306431096E-2</v>
      </c>
      <c r="U57" s="323">
        <f ca="1">'3 Statment Model'!T64/'3 Statment Model'!T$69</f>
        <v>8.4280440998929257E-2</v>
      </c>
      <c r="V57" s="323">
        <f ca="1">'3 Statment Model'!U64/'3 Statment Model'!U$69</f>
        <v>8.2232709252206007E-2</v>
      </c>
      <c r="W57" s="323">
        <f ca="1">'3 Statment Model'!R64/'3 Statment Model'!R69</f>
        <v>8.8439740248089066E-2</v>
      </c>
      <c r="Y57"/>
      <c r="Z57"/>
      <c r="AA57"/>
      <c r="AB57"/>
      <c r="AC57"/>
      <c r="AD57"/>
      <c r="AE57"/>
      <c r="AF57"/>
      <c r="AG57"/>
      <c r="AH57"/>
      <c r="AI57"/>
      <c r="AJ57"/>
      <c r="AK57"/>
      <c r="AL57"/>
    </row>
    <row r="58" spans="2:38">
      <c r="B58" s="62" t="s">
        <v>98</v>
      </c>
      <c r="C58" s="81"/>
      <c r="D58" s="82"/>
      <c r="E58" s="99"/>
      <c r="F58" s="323">
        <f>'3 Statment Model'!E65/'3 Statment Model'!E$69</f>
        <v>1.9796197696833325E-2</v>
      </c>
      <c r="G58" s="323">
        <f>'3 Statment Model'!F65/'3 Statment Model'!F$69</f>
        <v>1.5653648819305376E-2</v>
      </c>
      <c r="H58" s="323">
        <f>'3 Statment Model'!G65/'3 Statment Model'!G$69</f>
        <v>4.6468521449095027E-3</v>
      </c>
      <c r="I58" s="323">
        <f>'3 Statment Model'!H65/'3 Statment Model'!H$69</f>
        <v>1.0228024787918897E-2</v>
      </c>
      <c r="J58" s="323">
        <f>'3 Statment Model'!I65/'3 Statment Model'!I$69</f>
        <v>6.8794140970350661E-3</v>
      </c>
      <c r="K58" s="323">
        <f>'3 Statment Model'!J65/'3 Statment Model'!J$69</f>
        <v>7.0742412139397932E-3</v>
      </c>
      <c r="L58" s="323">
        <f>'3 Statment Model'!K65/'3 Statment Model'!K$69</f>
        <v>9.7588649035144446E-3</v>
      </c>
      <c r="M58" s="323">
        <f>'3 Statment Model'!L65/'3 Statment Model'!L$69</f>
        <v>6.6050694848296459E-3</v>
      </c>
      <c r="N58" s="323">
        <f ca="1">'3 Statment Model'!M65/'3 Statment Model'!M$69</f>
        <v>5.7067550887929764E-3</v>
      </c>
      <c r="O58" s="323">
        <f ca="1">'3 Statment Model'!N65/'3 Statment Model'!N$69</f>
        <v>5.2489361888810541E-3</v>
      </c>
      <c r="P58" s="323">
        <f ca="1">'3 Statment Model'!O65/'3 Statment Model'!O$69</f>
        <v>4.8956748925256706E-3</v>
      </c>
      <c r="Q58" s="323">
        <f ca="1">'3 Statment Model'!P65/'3 Statment Model'!P$69</f>
        <v>4.6447072215019232E-3</v>
      </c>
      <c r="R58" s="323">
        <f ca="1">'3 Statment Model'!Q65/'3 Statment Model'!Q$69</f>
        <v>5.0688262970398383E-3</v>
      </c>
      <c r="S58" s="323">
        <f ca="1">'3 Statment Model'!R65/'3 Statment Model'!R$69</f>
        <v>4.8291030458140994E-3</v>
      </c>
      <c r="T58" s="323">
        <f ca="1">'3 Statment Model'!S65/'3 Statment Model'!S$69</f>
        <v>4.7152917748582634E-3</v>
      </c>
      <c r="U58" s="323">
        <f ca="1">'3 Statment Model'!T65/'3 Statment Model'!T$69</f>
        <v>4.6019915163565718E-3</v>
      </c>
      <c r="V58" s="323">
        <f ca="1">'3 Statment Model'!U65/'3 Statment Model'!U$69</f>
        <v>4.490178573584783E-3</v>
      </c>
      <c r="W58" s="323">
        <f ca="1">'3 Statment Model'!R65/'3 Statment Model'!R69</f>
        <v>4.8291030458140994E-3</v>
      </c>
      <c r="Y58"/>
      <c r="Z58"/>
      <c r="AA58"/>
      <c r="AB58"/>
      <c r="AC58"/>
      <c r="AD58"/>
      <c r="AE58"/>
      <c r="AF58"/>
      <c r="AG58"/>
      <c r="AH58"/>
      <c r="AI58"/>
      <c r="AJ58"/>
      <c r="AK58"/>
      <c r="AL58"/>
    </row>
    <row r="59" spans="2:38">
      <c r="B59" s="62" t="s">
        <v>610</v>
      </c>
      <c r="C59" s="81"/>
      <c r="D59" s="82"/>
      <c r="E59" s="99"/>
      <c r="F59" s="323">
        <f>'3 Statment Model'!E66/'3 Statment Model'!E$69</f>
        <v>4.547750936960307E-2</v>
      </c>
      <c r="G59" s="323">
        <f>'3 Statment Model'!F66/'3 Statment Model'!F$69</f>
        <v>3.3883214532926823E-2</v>
      </c>
      <c r="H59" s="323">
        <f>'3 Statment Model'!G66/'3 Statment Model'!G$69</f>
        <v>3.952405907698027E-2</v>
      </c>
      <c r="I59" s="323">
        <f>'3 Statment Model'!H66/'3 Statment Model'!H$69</f>
        <v>3.7282153099492607E-2</v>
      </c>
      <c r="J59" s="323">
        <f>'3 Statment Model'!I66/'3 Statment Model'!I$69</f>
        <v>3.6539915011346388E-2</v>
      </c>
      <c r="K59" s="323">
        <f>'3 Statment Model'!J66/'3 Statment Model'!J$69</f>
        <v>2.839802544452974E-2</v>
      </c>
      <c r="L59" s="323">
        <f>'3 Statment Model'!K66/'3 Statment Model'!K$69</f>
        <v>2.5908457290536598E-2</v>
      </c>
      <c r="M59" s="323">
        <f>'3 Statment Model'!L66/'3 Statment Model'!L$69</f>
        <v>2.2533868662069672E-2</v>
      </c>
      <c r="N59" s="323">
        <f ca="1">'3 Statment Model'!M66/'3 Statment Model'!M$69</f>
        <v>1.9469177417862599E-2</v>
      </c>
      <c r="O59" s="323">
        <f ca="1">'3 Statment Model'!N66/'3 Statment Model'!N$69</f>
        <v>1.7907281515734244E-2</v>
      </c>
      <c r="P59" s="323">
        <f ca="1">'3 Statment Model'!O66/'3 Statment Model'!O$69</f>
        <v>1.6702094549306743E-2</v>
      </c>
      <c r="Q59" s="323">
        <f ca="1">'3 Statment Model'!P66/'3 Statment Model'!P$69</f>
        <v>1.5845892725803824E-2</v>
      </c>
      <c r="R59" s="323">
        <f ca="1">'3 Statment Model'!Q66/'3 Statment Model'!Q$69</f>
        <v>1.7292818237670149E-2</v>
      </c>
      <c r="S59" s="323">
        <f ca="1">'3 Statment Model'!R66/'3 Statment Model'!R$69</f>
        <v>1.6474977899915633E-2</v>
      </c>
      <c r="T59" s="323">
        <f ca="1">'3 Statment Model'!S66/'3 Statment Model'!S$69</f>
        <v>1.6086699133451121E-2</v>
      </c>
      <c r="U59" s="323">
        <f ca="1">'3 Statment Model'!T66/'3 Statment Model'!T$69</f>
        <v>1.5700163738127951E-2</v>
      </c>
      <c r="V59" s="323">
        <f ca="1">'3 Statment Model'!U66/'3 Statment Model'!U$69</f>
        <v>1.5318702472213046E-2</v>
      </c>
      <c r="W59" s="323">
        <f ca="1">'3 Statment Model'!R66/'3 Statment Model'!R69</f>
        <v>1.6474977899915633E-2</v>
      </c>
      <c r="Y59"/>
      <c r="Z59"/>
      <c r="AA59"/>
      <c r="AB59"/>
      <c r="AC59"/>
      <c r="AD59"/>
      <c r="AE59"/>
      <c r="AF59"/>
      <c r="AG59"/>
      <c r="AH59"/>
      <c r="AI59"/>
      <c r="AJ59"/>
      <c r="AK59"/>
      <c r="AL59"/>
    </row>
    <row r="60" spans="2:38">
      <c r="B60" s="283" t="s">
        <v>99</v>
      </c>
      <c r="C60" s="85"/>
      <c r="D60" s="86"/>
      <c r="E60" s="277"/>
      <c r="F60" s="108">
        <f>SUM(F53:F59)</f>
        <v>0.70611693551276622</v>
      </c>
      <c r="G60" s="108">
        <f t="shared" ref="G60:V60" si="8">SUM(G53:G59)</f>
        <v>0.62358192472510354</v>
      </c>
      <c r="H60" s="108">
        <f t="shared" si="8"/>
        <v>0.6954820980021118</v>
      </c>
      <c r="I60" s="108">
        <f t="shared" si="8"/>
        <v>0.6042366083067604</v>
      </c>
      <c r="J60" s="108">
        <f t="shared" si="8"/>
        <v>0.61944243278394084</v>
      </c>
      <c r="K60" s="108">
        <f t="shared" si="8"/>
        <v>0.64336181417231597</v>
      </c>
      <c r="L60" s="108">
        <f t="shared" si="8"/>
        <v>0.65947029488859521</v>
      </c>
      <c r="M60" s="108">
        <f t="shared" si="8"/>
        <v>0.56268782103251791</v>
      </c>
      <c r="N60" s="108">
        <f t="shared" ca="1" si="8"/>
        <v>0.53794813143072695</v>
      </c>
      <c r="O60" s="108">
        <f t="shared" ca="1" si="8"/>
        <v>0.52548898480597839</v>
      </c>
      <c r="P60" s="108">
        <f t="shared" ca="1" si="8"/>
        <v>0.50295774685176919</v>
      </c>
      <c r="Q60" s="108">
        <f t="shared" ca="1" si="8"/>
        <v>0.46693292240404127</v>
      </c>
      <c r="R60" s="108">
        <f t="shared" ca="1" si="8"/>
        <v>0.47527890439176734</v>
      </c>
      <c r="S60" s="108">
        <f t="shared" ca="1" si="8"/>
        <v>0.39939928021352317</v>
      </c>
      <c r="T60" s="108">
        <f t="shared" ca="1" si="8"/>
        <v>0.31885613849384187</v>
      </c>
      <c r="U60" s="108">
        <f t="shared" ca="1" si="8"/>
        <v>0.22447024638199636</v>
      </c>
      <c r="V60" s="108">
        <f t="shared" ca="1" si="8"/>
        <v>0.1187137510297466</v>
      </c>
      <c r="W60" s="107">
        <f ca="1">SUM(W53:W59)</f>
        <v>0.39475210382953979</v>
      </c>
      <c r="Y60"/>
      <c r="Z60"/>
      <c r="AA60"/>
      <c r="AB60"/>
      <c r="AC60"/>
      <c r="AD60"/>
      <c r="AE60"/>
      <c r="AF60"/>
      <c r="AG60"/>
      <c r="AH60"/>
      <c r="AI60"/>
      <c r="AJ60"/>
      <c r="AK60"/>
      <c r="AL60"/>
    </row>
    <row r="61" spans="2:38">
      <c r="B61" s="62"/>
      <c r="C61" s="81"/>
      <c r="D61" s="82"/>
      <c r="E61" s="83"/>
      <c r="F61" s="83"/>
      <c r="G61" s="83"/>
      <c r="H61" s="83"/>
      <c r="I61" s="83"/>
      <c r="J61" s="91"/>
      <c r="K61" s="91"/>
      <c r="L61" s="91"/>
      <c r="M61" s="91"/>
      <c r="N61" s="91"/>
      <c r="O61" s="91"/>
      <c r="P61" s="91"/>
      <c r="Q61" s="91"/>
      <c r="R61" s="91"/>
      <c r="S61" s="91"/>
      <c r="T61" s="91"/>
      <c r="U61" s="91"/>
      <c r="V61" s="91"/>
      <c r="Y61"/>
      <c r="Z61"/>
      <c r="AA61"/>
      <c r="AB61"/>
      <c r="AC61"/>
      <c r="AD61"/>
      <c r="AE61"/>
      <c r="AF61"/>
      <c r="AG61"/>
      <c r="AH61"/>
      <c r="AI61"/>
      <c r="AJ61"/>
      <c r="AK61"/>
      <c r="AL61"/>
    </row>
    <row r="62" spans="2:38" ht="15.75" thickBot="1">
      <c r="B62" s="96" t="s">
        <v>100</v>
      </c>
      <c r="C62" s="96"/>
      <c r="D62" s="97"/>
      <c r="E62" s="98"/>
      <c r="F62" s="472">
        <f>F60+F50</f>
        <v>1</v>
      </c>
      <c r="G62" s="472">
        <f>G60+G50</f>
        <v>1</v>
      </c>
      <c r="H62" s="472">
        <f>H60+H50</f>
        <v>1</v>
      </c>
      <c r="I62" s="472">
        <f>I60+I50</f>
        <v>0.99999999999999989</v>
      </c>
      <c r="J62" s="465">
        <f>J50+J60</f>
        <v>1</v>
      </c>
      <c r="K62" s="465">
        <f t="shared" ref="K62:V62" si="9">K50+K60</f>
        <v>1</v>
      </c>
      <c r="L62" s="465">
        <f t="shared" si="9"/>
        <v>1</v>
      </c>
      <c r="M62" s="465">
        <f t="shared" si="9"/>
        <v>0.99999999999999989</v>
      </c>
      <c r="N62" s="465">
        <f t="shared" ca="1" si="9"/>
        <v>0.99999999999999989</v>
      </c>
      <c r="O62" s="465">
        <f t="shared" ca="1" si="9"/>
        <v>1</v>
      </c>
      <c r="P62" s="465">
        <f t="shared" ca="1" si="9"/>
        <v>1</v>
      </c>
      <c r="Q62" s="465">
        <f t="shared" ca="1" si="9"/>
        <v>1</v>
      </c>
      <c r="R62" s="465">
        <f t="shared" ca="1" si="9"/>
        <v>0.99999999999999989</v>
      </c>
      <c r="S62" s="465">
        <f t="shared" ca="1" si="9"/>
        <v>1</v>
      </c>
      <c r="T62" s="465">
        <f t="shared" ca="1" si="9"/>
        <v>0.99999999999999978</v>
      </c>
      <c r="U62" s="465">
        <f t="shared" ca="1" si="9"/>
        <v>1</v>
      </c>
      <c r="V62" s="465">
        <f t="shared" ca="1" si="9"/>
        <v>1.0000000000000002</v>
      </c>
      <c r="Y62"/>
      <c r="Z62"/>
      <c r="AA62"/>
      <c r="AB62"/>
      <c r="AC62"/>
      <c r="AD62"/>
      <c r="AE62"/>
      <c r="AF62"/>
      <c r="AG62"/>
      <c r="AH62"/>
      <c r="AI62"/>
      <c r="AJ62"/>
      <c r="AK62"/>
      <c r="AL62"/>
    </row>
    <row r="63" spans="2:38">
      <c r="B63" s="81"/>
      <c r="C63" s="81"/>
      <c r="D63" s="82"/>
      <c r="E63" s="83"/>
      <c r="F63" s="83"/>
      <c r="G63" s="83"/>
      <c r="H63" s="83"/>
      <c r="I63" s="83"/>
      <c r="J63" s="83"/>
      <c r="K63" s="83"/>
      <c r="L63" s="81"/>
      <c r="M63" s="81"/>
      <c r="N63" s="82"/>
      <c r="O63" s="83"/>
      <c r="P63" s="83"/>
      <c r="Q63" s="83"/>
      <c r="R63" s="83"/>
      <c r="S63" s="83"/>
      <c r="T63" s="83"/>
      <c r="U63" s="83"/>
      <c r="V63" s="83"/>
    </row>
    <row r="64" spans="2:38">
      <c r="B64" s="81"/>
      <c r="C64" s="81"/>
      <c r="D64" s="82"/>
      <c r="E64" s="83"/>
      <c r="F64" s="83"/>
      <c r="G64" s="83"/>
      <c r="H64" s="83"/>
      <c r="I64" s="83"/>
      <c r="J64" s="83"/>
      <c r="K64" s="83"/>
      <c r="L64" s="81"/>
      <c r="M64" s="81"/>
      <c r="N64" s="82"/>
      <c r="O64" s="83"/>
      <c r="P64" s="83"/>
      <c r="Q64" s="83"/>
      <c r="R64" s="83"/>
      <c r="S64" s="83"/>
      <c r="T64" s="83"/>
      <c r="U64" s="83"/>
      <c r="V64" s="83"/>
    </row>
    <row r="65" spans="2:23">
      <c r="B65" s="80" t="s">
        <v>101</v>
      </c>
      <c r="C65" s="81"/>
      <c r="D65" s="82"/>
      <c r="E65" s="83"/>
      <c r="F65" s="83"/>
      <c r="G65" s="83"/>
      <c r="H65" s="83"/>
      <c r="I65" s="83"/>
      <c r="J65" s="83"/>
      <c r="K65" s="83"/>
      <c r="L65" s="80"/>
      <c r="M65" s="81"/>
      <c r="N65" s="82"/>
      <c r="O65" s="83"/>
      <c r="P65" s="83"/>
      <c r="Q65" s="83"/>
      <c r="R65" s="83"/>
      <c r="S65" s="83"/>
      <c r="T65" s="83"/>
      <c r="U65" s="83"/>
      <c r="V65" s="83"/>
    </row>
    <row r="66" spans="2:23">
      <c r="B66" s="161" t="s">
        <v>364</v>
      </c>
      <c r="C66" s="81"/>
      <c r="D66" s="82"/>
      <c r="E66" s="83"/>
      <c r="F66" s="478">
        <f>'3 Statment Model'!E89/'3 Statment Model'!E$97</f>
        <v>3.1529070340281073E-2</v>
      </c>
      <c r="G66" s="478">
        <f>'3 Statment Model'!F89/'3 Statment Model'!F$97</f>
        <v>4.8018811220681773E-2</v>
      </c>
      <c r="H66" s="478">
        <f>'3 Statment Model'!G89/'3 Statment Model'!G$97</f>
        <v>3.4722446318968911E-2</v>
      </c>
      <c r="I66" s="478">
        <f>'3 Statment Model'!H89/'3 Statment Model'!H$97</f>
        <v>3.29895666735186E-2</v>
      </c>
      <c r="J66" s="478">
        <f>'3 Statment Model'!I89/'3 Statment Model'!I$97</f>
        <v>4.1043614069174526E-2</v>
      </c>
      <c r="K66" s="478">
        <f>'3 Statment Model'!J89/'3 Statment Model'!J$97</f>
        <v>3.7476524536596459E-2</v>
      </c>
      <c r="L66" s="478">
        <f>'3 Statment Model'!K89/'3 Statment Model'!K$97</f>
        <v>4.5415019612757214E-2</v>
      </c>
      <c r="M66" s="478">
        <f>'3 Statment Model'!L89/'3 Statment Model'!L$97</f>
        <v>4.3482464738067772E-2</v>
      </c>
      <c r="N66" s="478">
        <f>'3 Statment Model'!M89/'3 Statment Model'!M$97</f>
        <v>4.3795122610694799E-2</v>
      </c>
      <c r="O66" s="478">
        <f>'3 Statment Model'!N89/'3 Statment Model'!N$97</f>
        <v>7.3721633559430524E-2</v>
      </c>
      <c r="P66" s="478">
        <f>'3 Statment Model'!O89/'3 Statment Model'!O$97</f>
        <v>0.10689167486358983</v>
      </c>
      <c r="Q66" s="478">
        <f>'3 Statment Model'!P89/'3 Statment Model'!P$97</f>
        <v>0.14306910428547659</v>
      </c>
      <c r="R66" s="478">
        <f>'3 Statment Model'!Q89/'3 Statment Model'!Q$97</f>
        <v>0.20746030068405788</v>
      </c>
      <c r="S66" s="478">
        <f>'3 Statment Model'!R89/'3 Statment Model'!R$97</f>
        <v>0.25541132430651292</v>
      </c>
      <c r="T66" s="478">
        <f>'3 Statment Model'!S89/'3 Statment Model'!S$97</f>
        <v>0.2993881501956997</v>
      </c>
      <c r="U66" s="478">
        <f>'3 Statment Model'!T89/'3 Statment Model'!T$97</f>
        <v>0.34193803765876407</v>
      </c>
      <c r="V66" s="478">
        <f>'3 Statment Model'!U89/'3 Statment Model'!U$97</f>
        <v>0.38241918313894935</v>
      </c>
      <c r="W66" s="478">
        <f>'3 Statment Model'!R89/'3 Statment Model'!$E$97</f>
        <v>0.92907406583821261</v>
      </c>
    </row>
    <row r="67" spans="2:23">
      <c r="B67" s="161" t="s">
        <v>366</v>
      </c>
      <c r="C67" s="81"/>
      <c r="D67" s="82"/>
      <c r="E67" s="83"/>
      <c r="F67" s="478">
        <f>'3 Statment Model'!E90/'3 Statment Model'!E$97</f>
        <v>1.9705668962675675E-4</v>
      </c>
      <c r="G67" s="478">
        <f>'3 Statment Model'!F90/'3 Statment Model'!F$97</f>
        <v>1.5191645915759021E-3</v>
      </c>
      <c r="H67" s="478">
        <f>'3 Statment Model'!G90/'3 Statment Model'!G$97</f>
        <v>1.8071161652994973E-3</v>
      </c>
      <c r="I67" s="478">
        <f>'3 Statment Model'!H90/'3 Statment Model'!H$97</f>
        <v>3.5847325488701826E-3</v>
      </c>
      <c r="J67" s="478">
        <f>'3 Statment Model'!I90/'3 Statment Model'!I$97</f>
        <v>3.5465772972570965E-3</v>
      </c>
      <c r="K67" s="478">
        <f>'3 Statment Model'!J90/'3 Statment Model'!J$97</f>
        <v>1.3575765742245728E-2</v>
      </c>
      <c r="L67" s="478">
        <f>'3 Statment Model'!K90/'3 Statment Model'!K$97</f>
        <v>1.2310659998708937E-2</v>
      </c>
      <c r="M67" s="478">
        <f>'3 Statment Model'!L90/'3 Statment Model'!L$97</f>
        <v>1.4653393299597235E-2</v>
      </c>
      <c r="N67" s="478">
        <f>'3 Statment Model'!M90/'3 Statment Model'!M$97</f>
        <v>1.3140114618521265E-2</v>
      </c>
      <c r="O67" s="478">
        <f>'3 Statment Model'!N90/'3 Statment Model'!N$97</f>
        <v>1.2182848604442326E-2</v>
      </c>
      <c r="P67" s="478">
        <f>'3 Statment Model'!O90/'3 Statment Model'!O$97</f>
        <v>1.1485629935931036E-2</v>
      </c>
      <c r="Q67" s="478">
        <f>'3 Statment Model'!P90/'3 Statment Model'!P$97</f>
        <v>1.0899448229498385E-2</v>
      </c>
      <c r="R67" s="478">
        <f>'3 Statment Model'!Q90/'3 Statment Model'!Q$97</f>
        <v>1.183704796041379E-2</v>
      </c>
      <c r="S67" s="478">
        <f>'3 Statment Model'!R90/'3 Statment Model'!R$97</f>
        <v>1.1347086242935501E-2</v>
      </c>
      <c r="T67" s="478">
        <f>'3 Statment Model'!S90/'3 Statment Model'!S$97</f>
        <v>1.0669376693194652E-2</v>
      </c>
      <c r="U67" s="478">
        <f>'3 Statment Model'!T90/'3 Statment Model'!T$97</f>
        <v>1.0012858714493957E-2</v>
      </c>
      <c r="V67" s="478">
        <f>'3 Statment Model'!U90/'3 Statment Model'!U$97</f>
        <v>9.3896925799210433E-3</v>
      </c>
      <c r="W67" s="478">
        <f>'3 Statment Model'!R90/'3 Statment Model'!$E$97</f>
        <v>4.127570921048667E-2</v>
      </c>
    </row>
    <row r="68" spans="2:23">
      <c r="B68" s="161" t="s">
        <v>373</v>
      </c>
      <c r="C68" s="81"/>
      <c r="D68" s="82"/>
      <c r="E68" s="99"/>
      <c r="F68" s="478">
        <f>'3 Statment Model'!E91/'3 Statment Model'!E$97</f>
        <v>0</v>
      </c>
      <c r="G68" s="478">
        <f>'3 Statment Model'!F91/'3 Statment Model'!F$97</f>
        <v>0</v>
      </c>
      <c r="H68" s="478">
        <f>'3 Statment Model'!G91/'3 Statment Model'!G$97</f>
        <v>4.0014715088774588E-3</v>
      </c>
      <c r="I68" s="478">
        <f>'3 Statment Model'!H91/'3 Statment Model'!H$97</f>
        <v>3.5095283695232554E-3</v>
      </c>
      <c r="J68" s="478">
        <f>'3 Statment Model'!I91/'3 Statment Model'!I$97</f>
        <v>2.3705824660565128E-3</v>
      </c>
      <c r="K68" s="478">
        <f>'3 Statment Model'!J91/'3 Statment Model'!J$97</f>
        <v>2.105422726775082E-3</v>
      </c>
      <c r="L68" s="478">
        <f>'3 Statment Model'!K91/'3 Statment Model'!K$97</f>
        <v>1.5568694014406737E-3</v>
      </c>
      <c r="M68" s="478">
        <f>'3 Statment Model'!L91/'3 Statment Model'!L$97</f>
        <v>1.472537287029102E-3</v>
      </c>
      <c r="N68" s="478">
        <f>'3 Statment Model'!M91/'3 Statment Model'!M$97</f>
        <v>1.29457458305623E-3</v>
      </c>
      <c r="O68" s="478">
        <f>'3 Statment Model'!N91/'3 Statment Model'!N$97</f>
        <v>1.1767293834162714E-3</v>
      </c>
      <c r="P68" s="478">
        <f>'3 Statment Model'!O91/'3 Statment Model'!O$97</f>
        <v>1.0876330557627618E-3</v>
      </c>
      <c r="Q68" s="478">
        <f>'3 Statment Model'!P91/'3 Statment Model'!P$97</f>
        <v>1.0118867757315522E-3</v>
      </c>
      <c r="R68" s="478">
        <f>'3 Statment Model'!Q91/'3 Statment Model'!Q$97</f>
        <v>1.0773843005123492E-3</v>
      </c>
      <c r="S68" s="478">
        <f>'3 Statment Model'!R91/'3 Statment Model'!R$97</f>
        <v>1.0125382061989068E-3</v>
      </c>
      <c r="T68" s="478">
        <f>'3 Statment Model'!S91/'3 Statment Model'!S$97</f>
        <v>9.33396011159511E-4</v>
      </c>
      <c r="U68" s="478">
        <f>'3 Statment Model'!T91/'3 Statment Model'!T$97</f>
        <v>8.5878570824634019E-4</v>
      </c>
      <c r="V68" s="478">
        <f>'3 Statment Model'!U91/'3 Statment Model'!U$97</f>
        <v>7.8954688072408797E-4</v>
      </c>
      <c r="W68" s="478">
        <f>'3 Statment Model'!R91/'3 Statment Model'!$E$97</f>
        <v>3.6831686715691984E-3</v>
      </c>
    </row>
    <row r="69" spans="2:23">
      <c r="B69" s="161" t="s">
        <v>682</v>
      </c>
      <c r="C69" s="81"/>
      <c r="D69" s="82"/>
      <c r="E69" s="99"/>
      <c r="F69" s="478">
        <f>'3 Statment Model'!E92/'3 Statment Model'!E$97</f>
        <v>6.9363954748618367E-2</v>
      </c>
      <c r="G69" s="478">
        <f>'3 Statment Model'!F92/'3 Statment Model'!F$97</f>
        <v>7.8336052417783478E-2</v>
      </c>
      <c r="H69" s="478">
        <f>'3 Statment Model'!G92/'3 Statment Model'!G$97</f>
        <v>3.0546717179866147E-2</v>
      </c>
      <c r="I69" s="478">
        <f>'3 Statment Model'!H92/'3 Statment Model'!H$97</f>
        <v>3.558661766696581E-2</v>
      </c>
      <c r="J69" s="478">
        <f>'3 Statment Model'!I92/'3 Statment Model'!I$97</f>
        <v>2.3668639053254437E-2</v>
      </c>
      <c r="K69" s="478">
        <f>'3 Statment Model'!J92/'3 Statment Model'!J$97</f>
        <v>1.3453651224092773E-2</v>
      </c>
      <c r="L69" s="478">
        <f>'3 Statment Model'!K92/'3 Statment Model'!K$97</f>
        <v>3.6924385511241734E-2</v>
      </c>
      <c r="M69" s="478">
        <f>'3 Statment Model'!L92/'3 Statment Model'!L$97</f>
        <v>1.7043043425167565E-2</v>
      </c>
      <c r="N69" s="478">
        <f>'3 Statment Model'!M92/'3 Statment Model'!M$97</f>
        <v>3.4853888798400644E-2</v>
      </c>
      <c r="O69" s="478">
        <f>'3 Statment Model'!N92/'3 Statment Model'!N$97</f>
        <v>3.6138673286835392E-2</v>
      </c>
      <c r="P69" s="478">
        <f>'3 Statment Model'!O92/'3 Statment Model'!O$97</f>
        <v>3.7859263508170274E-2</v>
      </c>
      <c r="Q69" s="478">
        <f>'3 Statment Model'!P92/'3 Statment Model'!P$97</f>
        <v>3.9666207443485403E-2</v>
      </c>
      <c r="R69" s="478">
        <f>'3 Statment Model'!Q92/'3 Statment Model'!Q$97</f>
        <v>-9.4509426097374255E-2</v>
      </c>
      <c r="S69" s="478">
        <f>'3 Statment Model'!R92/'3 Statment Model'!R$97</f>
        <v>-9.8734747994880676E-2</v>
      </c>
      <c r="T69" s="478">
        <f>'3 Statment Model'!S92/'3 Statment Model'!S$97</f>
        <v>-0.10051444284590481</v>
      </c>
      <c r="U69" s="478">
        <f>'3 Statment Model'!T92/'3 Statment Model'!T$97</f>
        <v>-0.10145705273492729</v>
      </c>
      <c r="V69" s="478">
        <f>'3 Statment Model'!U92/'3 Statment Model'!U$97</f>
        <v>-0.10165345861306049</v>
      </c>
      <c r="W69" s="478">
        <f>'3 Statment Model'!R92/'3 Statment Model'!$E$97</f>
        <v>-0.35915358885587184</v>
      </c>
    </row>
    <row r="70" spans="2:23">
      <c r="B70" s="161" t="s">
        <v>102</v>
      </c>
      <c r="C70" s="81"/>
      <c r="D70" s="82"/>
      <c r="E70" s="99"/>
      <c r="F70" s="478">
        <f>'3 Statment Model'!E93/'3 Statment Model'!E$97</f>
        <v>7.6843151832179366E-2</v>
      </c>
      <c r="G70" s="478">
        <f>'3 Statment Model'!F93/'3 Statment Model'!F$97</f>
        <v>6.7966102814417534E-2</v>
      </c>
      <c r="H70" s="478">
        <f>'3 Statment Model'!G93/'3 Statment Model'!G$97</f>
        <v>7.0180647076666908E-2</v>
      </c>
      <c r="I70" s="478">
        <f>'3 Statment Model'!H93/'3 Statment Model'!H$97</f>
        <v>0.12917069844628165</v>
      </c>
      <c r="J70" s="478">
        <f>'3 Statment Model'!I93/'3 Statment Model'!I$97</f>
        <v>0.13824679157931921</v>
      </c>
      <c r="K70" s="478">
        <f>'3 Statment Model'!J93/'3 Statment Model'!J$97</f>
        <v>0.13278058968679732</v>
      </c>
      <c r="L70" s="478">
        <f>'3 Statment Model'!K93/'3 Statment Model'!K$97</f>
        <v>0.16101447129094851</v>
      </c>
      <c r="M70" s="478">
        <f>'3 Statment Model'!L93/'3 Statment Model'!L$97</f>
        <v>0.14426317449960765</v>
      </c>
      <c r="N70" s="478">
        <f>'3 Statment Model'!M93/'3 Statment Model'!M$97</f>
        <v>0.16556705111479858</v>
      </c>
      <c r="O70" s="478">
        <f>'3 Statment Model'!N93/'3 Statment Model'!N$97</f>
        <v>0.17167018584098548</v>
      </c>
      <c r="P70" s="478">
        <f>'3 Statment Model'!O93/'3 Statment Model'!O$97</f>
        <v>0.17984353633197711</v>
      </c>
      <c r="Q70" s="478">
        <f>'3 Statment Model'!P93/'3 Statment Model'!P$97</f>
        <v>0.18842709441441483</v>
      </c>
      <c r="R70" s="478">
        <f>'3 Statment Model'!Q93/'3 Statment Model'!Q$97</f>
        <v>0.22447490826636643</v>
      </c>
      <c r="S70" s="478">
        <f>'3 Statment Model'!R93/'3 Statment Model'!R$97</f>
        <v>0.23451071934368051</v>
      </c>
      <c r="T70" s="478">
        <f>'3 Statment Model'!S93/'3 Statment Model'!S$97</f>
        <v>0.23873777747875122</v>
      </c>
      <c r="U70" s="478">
        <f>'3 Statment Model'!T93/'3 Statment Model'!T$97</f>
        <v>0.24097662578316564</v>
      </c>
      <c r="V70" s="478">
        <f>'3 Statment Model'!U93/'3 Statment Model'!U$97</f>
        <v>0.24144312096039275</v>
      </c>
      <c r="W70" s="478">
        <f>'3 Statment Model'!R93/'3 Statment Model'!$E$97</f>
        <v>0.85304685724039131</v>
      </c>
    </row>
    <row r="71" spans="2:23">
      <c r="B71" s="72" t="s">
        <v>103</v>
      </c>
      <c r="C71" s="283"/>
      <c r="D71" s="305"/>
      <c r="E71" s="277"/>
      <c r="F71" s="105">
        <f>SUM(F66:F70)</f>
        <v>0.17793323361070557</v>
      </c>
      <c r="G71" s="105">
        <f t="shared" ref="G71:V71" si="10">SUM(G66:G70)</f>
        <v>0.19584013104445869</v>
      </c>
      <c r="H71" s="105">
        <f t="shared" si="10"/>
        <v>0.14125839824967892</v>
      </c>
      <c r="I71" s="105">
        <f t="shared" si="10"/>
        <v>0.20484114370515949</v>
      </c>
      <c r="J71" s="105">
        <f t="shared" si="10"/>
        <v>0.20887620446506178</v>
      </c>
      <c r="K71" s="105">
        <f t="shared" si="10"/>
        <v>0.19939195391650735</v>
      </c>
      <c r="L71" s="105">
        <f t="shared" si="10"/>
        <v>0.25722140581509706</v>
      </c>
      <c r="M71" s="105">
        <f t="shared" si="10"/>
        <v>0.22091461324946932</v>
      </c>
      <c r="N71" s="105">
        <f t="shared" si="10"/>
        <v>0.25865075172547153</v>
      </c>
      <c r="O71" s="105">
        <f t="shared" si="10"/>
        <v>0.29489007067510997</v>
      </c>
      <c r="P71" s="105">
        <f t="shared" si="10"/>
        <v>0.33716773769543101</v>
      </c>
      <c r="Q71" s="105">
        <f t="shared" si="10"/>
        <v>0.38307374114860676</v>
      </c>
      <c r="R71" s="105">
        <f t="shared" si="10"/>
        <v>0.35034021511397617</v>
      </c>
      <c r="S71" s="105">
        <f t="shared" si="10"/>
        <v>0.40354692010444715</v>
      </c>
      <c r="T71" s="105">
        <f t="shared" si="10"/>
        <v>0.44921425753290023</v>
      </c>
      <c r="U71" s="105">
        <f t="shared" si="10"/>
        <v>0.49232925512974274</v>
      </c>
      <c r="V71" s="105">
        <f t="shared" si="10"/>
        <v>0.5323880849469268</v>
      </c>
      <c r="W71" s="108">
        <f>SUM(W66:W70)</f>
        <v>1.4679262121047878</v>
      </c>
    </row>
    <row r="72" spans="2:23">
      <c r="B72" s="81"/>
      <c r="C72" s="81"/>
      <c r="D72" s="82"/>
      <c r="E72" s="83"/>
      <c r="F72" s="83"/>
      <c r="G72" s="83"/>
      <c r="H72" s="83"/>
      <c r="I72" s="83"/>
      <c r="J72" s="83"/>
      <c r="K72" s="83"/>
      <c r="L72" s="83"/>
      <c r="M72" s="83"/>
      <c r="N72" s="83"/>
      <c r="O72" s="83"/>
      <c r="P72" s="83"/>
      <c r="Q72" s="83"/>
      <c r="R72" s="83"/>
      <c r="S72" s="83"/>
      <c r="T72" s="83"/>
      <c r="U72" s="83"/>
      <c r="V72" s="83"/>
    </row>
    <row r="73" spans="2:23">
      <c r="B73" s="165" t="s">
        <v>652</v>
      </c>
      <c r="C73" s="81"/>
      <c r="D73" s="82"/>
      <c r="E73" s="83"/>
      <c r="F73" s="323">
        <f>'3 Statment Model'!E81/'3 Statment Model'!E$97</f>
        <v>4.6487464507403063E-2</v>
      </c>
      <c r="G73" s="323">
        <f>'3 Statment Model'!F81/'3 Statment Model'!F$97</f>
        <v>0.14583980079128661</v>
      </c>
      <c r="H73" s="323">
        <f>'3 Statment Model'!G81/'3 Statment Model'!G$97</f>
        <v>0.14908708363720852</v>
      </c>
      <c r="I73" s="323">
        <f>'3 Statment Model'!H81/'3 Statment Model'!H$97</f>
        <v>8.21730999664088E-2</v>
      </c>
      <c r="J73" s="323">
        <f>'3 Statment Model'!I81/'3 Statment Model'!I$97</f>
        <v>6.1914036172299507E-2</v>
      </c>
      <c r="K73" s="323">
        <f>'3 Statment Model'!J81/'3 Statment Model'!J$97</f>
        <v>5.4656773987081124E-2</v>
      </c>
      <c r="L73" s="323">
        <f>'3 Statment Model'!K81/'3 Statment Model'!K$97</f>
        <v>2.2061978591147106E-2</v>
      </c>
      <c r="M73" s="323">
        <f>'3 Statment Model'!L81/'3 Statment Model'!L$97</f>
        <v>2.5535916552400589E-2</v>
      </c>
      <c r="N73" s="323">
        <f>'3 Statment Model'!M81/'3 Statment Model'!M$97</f>
        <v>2.4245770018983356E-2</v>
      </c>
      <c r="O73" s="323">
        <f>'3 Statment Model'!N81/'3 Statment Model'!N$97</f>
        <v>2.38017702560934E-2</v>
      </c>
      <c r="P73" s="323">
        <f>'3 Statment Model'!O81/'3 Statment Model'!O$97</f>
        <v>2.3759583026918843E-2</v>
      </c>
      <c r="Q73" s="323">
        <f>'3 Statment Model'!P81/'3 Statment Model'!P$97</f>
        <v>2.3873280012230047E-2</v>
      </c>
      <c r="R73" s="323">
        <f>'3 Statment Model'!Q81/'3 Statment Model'!Q$97</f>
        <v>2.6435294552643599E-2</v>
      </c>
      <c r="S73" s="323">
        <f>'3 Statment Model'!R81/'3 Statment Model'!R$97</f>
        <v>2.5837962872210376E-2</v>
      </c>
      <c r="T73" s="323">
        <f>'3 Statment Model'!S81/'3 Statment Model'!S$97</f>
        <v>2.4771147781990858E-2</v>
      </c>
      <c r="U73" s="323">
        <f>'3 Statment Model'!T81/'3 Statment Model'!T$97</f>
        <v>2.3702728247391454E-2</v>
      </c>
      <c r="V73" s="323">
        <f>'3 Statment Model'!U81/'3 Statment Model'!U$97</f>
        <v>2.2663385721937161E-2</v>
      </c>
    </row>
    <row r="74" spans="2:23">
      <c r="B74" s="165" t="s">
        <v>653</v>
      </c>
      <c r="C74" s="92"/>
      <c r="D74" s="93"/>
      <c r="E74" s="94"/>
      <c r="F74" s="323">
        <f>'3 Statment Model'!E83/'3 Statment Model'!E97</f>
        <v>8.6015245022079315E-2</v>
      </c>
      <c r="G74" s="323">
        <f>'3 Statment Model'!F83/'3 Statment Model'!F97</f>
        <v>7.0647758571721078E-2</v>
      </c>
      <c r="H74" s="323">
        <f>'3 Statment Model'!G83/'3 Statment Model'!G97</f>
        <v>8.5450778673447664E-2</v>
      </c>
      <c r="I74" s="323">
        <f>'3 Statment Model'!H83/'3 Statment Model'!H97</f>
        <v>5.269306166241345E-2</v>
      </c>
      <c r="J74" s="323">
        <f>'3 Statment Model'!I83/'3 Statment Model'!I97</f>
        <v>1.3479782650125269E-2</v>
      </c>
      <c r="K74" s="323">
        <f>'3 Statment Model'!J83/'3 Statment Model'!J97</f>
        <v>1.0695547452017416E-2</v>
      </c>
      <c r="L74" s="323">
        <f>'3 Statment Model'!K83/'3 Statment Model'!K97</f>
        <v>1.3062514002331506E-2</v>
      </c>
      <c r="M74" s="323">
        <f>'3 Statment Model'!L83/'3 Statment Model'!L97</f>
        <v>1.2162756910665472E-2</v>
      </c>
      <c r="N74" s="323">
        <f>'3 Statment Model'!M83/'3 Statment Model'!M97</f>
        <v>1.0692833448181371E-2</v>
      </c>
      <c r="O74" s="323">
        <f>'3 Statment Model'!N83/'3 Statment Model'!N97</f>
        <v>9.7194641970696129E-3</v>
      </c>
      <c r="P74" s="323">
        <f>'3 Statment Model'!O83/'3 Statment Model'!O97</f>
        <v>8.9835527981338616E-3</v>
      </c>
      <c r="Q74" s="323">
        <f>'3 Statment Model'!P83/'3 Statment Model'!P97</f>
        <v>8.3579091563585686E-3</v>
      </c>
      <c r="R74" s="323">
        <f>'3 Statment Model'!Q83/'3 Statment Model'!Q97</f>
        <v>8.8989008712552116E-3</v>
      </c>
      <c r="S74" s="323">
        <f>'3 Statment Model'!R83/'3 Statment Model'!R97</f>
        <v>8.3632897945864967E-3</v>
      </c>
      <c r="T74" s="323">
        <f>'3 Statment Model'!S83/'3 Statment Model'!S97</f>
        <v>7.7095968198009806E-3</v>
      </c>
      <c r="U74" s="323">
        <f>'3 Statment Model'!T83/'3 Statment Model'!T97</f>
        <v>7.0933360396105783E-3</v>
      </c>
      <c r="V74" s="323">
        <f>'3 Statment Model'!U83/'3 Statment Model'!U97</f>
        <v>6.5214421831013922E-3</v>
      </c>
    </row>
    <row r="75" spans="2:23">
      <c r="B75" s="72" t="s">
        <v>105</v>
      </c>
      <c r="C75" s="81"/>
      <c r="D75" s="82"/>
      <c r="E75" s="95"/>
      <c r="F75" s="473">
        <f>SUM(F73:F74)</f>
        <v>0.13250270952948237</v>
      </c>
      <c r="G75" s="473">
        <f t="shared" ref="G75:V75" si="11">SUM(G73:G74)</f>
        <v>0.21648755936300768</v>
      </c>
      <c r="H75" s="473">
        <f t="shared" si="11"/>
        <v>0.23453786231065618</v>
      </c>
      <c r="I75" s="473">
        <f t="shared" si="11"/>
        <v>0.13486616162882226</v>
      </c>
      <c r="J75" s="473">
        <f t="shared" si="11"/>
        <v>7.5393818822424769E-2</v>
      </c>
      <c r="K75" s="473">
        <f t="shared" si="11"/>
        <v>6.535232143909854E-2</v>
      </c>
      <c r="L75" s="473">
        <f t="shared" si="11"/>
        <v>3.5124492593478614E-2</v>
      </c>
      <c r="M75" s="473">
        <f t="shared" si="11"/>
        <v>3.769867346306606E-2</v>
      </c>
      <c r="N75" s="473">
        <f t="shared" si="11"/>
        <v>3.4938603467164729E-2</v>
      </c>
      <c r="O75" s="473">
        <f t="shared" si="11"/>
        <v>3.3521234453163011E-2</v>
      </c>
      <c r="P75" s="473">
        <f t="shared" si="11"/>
        <v>3.2743135825052706E-2</v>
      </c>
      <c r="Q75" s="473">
        <f t="shared" si="11"/>
        <v>3.2231189168588616E-2</v>
      </c>
      <c r="R75" s="473">
        <f t="shared" si="11"/>
        <v>3.5334195423898811E-2</v>
      </c>
      <c r="S75" s="473">
        <f t="shared" si="11"/>
        <v>3.4201252666796869E-2</v>
      </c>
      <c r="T75" s="473">
        <f t="shared" si="11"/>
        <v>3.2480744601791837E-2</v>
      </c>
      <c r="U75" s="473">
        <f t="shared" si="11"/>
        <v>3.0796064287002031E-2</v>
      </c>
      <c r="V75" s="473">
        <f t="shared" si="11"/>
        <v>2.9184827905038555E-2</v>
      </c>
    </row>
    <row r="76" spans="2:23">
      <c r="B76" s="81"/>
      <c r="C76" s="81"/>
      <c r="D76" s="82"/>
      <c r="E76" s="83"/>
      <c r="F76" s="83"/>
      <c r="G76" s="83"/>
      <c r="H76" s="83"/>
      <c r="I76" s="83"/>
      <c r="J76" s="83"/>
      <c r="K76" s="83"/>
      <c r="L76" s="83"/>
      <c r="M76" s="83"/>
      <c r="N76" s="83"/>
      <c r="O76" s="83"/>
      <c r="P76" s="83"/>
      <c r="Q76" s="83"/>
      <c r="R76" s="83"/>
      <c r="S76" s="83"/>
      <c r="T76" s="83"/>
      <c r="U76" s="83"/>
      <c r="V76" s="83"/>
    </row>
    <row r="77" spans="2:23">
      <c r="B77" s="466" t="s">
        <v>335</v>
      </c>
      <c r="C77" s="81"/>
      <c r="D77" s="82"/>
      <c r="E77" s="83"/>
      <c r="F77" s="323">
        <f>'3 Statment Model'!E74/'3 Statment Model'!E$97</f>
        <v>3.1349927895165841E-3</v>
      </c>
      <c r="G77" s="323">
        <f>'3 Statment Model'!F74/'3 Statment Model'!F$97</f>
        <v>2.3117722045720248E-3</v>
      </c>
      <c r="H77" s="323">
        <f>'3 Statment Model'!G74/'3 Statment Model'!G$97</f>
        <v>2.2588952066243716E-3</v>
      </c>
      <c r="I77" s="323">
        <f>'3 Statment Model'!H74/'3 Statment Model'!H$97</f>
        <v>1.8049003043262458E-3</v>
      </c>
      <c r="J77" s="323">
        <f>'3 Statment Model'!I74/'3 Statment Model'!I$97</f>
        <v>1.6733523289810678E-3</v>
      </c>
      <c r="K77" s="323">
        <f>'3 Statment Model'!J74/'3 Statment Model'!J$97</f>
        <v>1.5159043632780589E-3</v>
      </c>
      <c r="L77" s="323">
        <f>'3 Statment Model'!K74/'3 Statment Model'!K$97</f>
        <v>1.3670072793137622E-3</v>
      </c>
      <c r="M77" s="323">
        <f>'3 Statment Model'!L74/'3 Statment Model'!L$97</f>
        <v>1.2920511993193093E-3</v>
      </c>
      <c r="N77" s="323">
        <f>'3 Statment Model'!M74/'3 Statment Model'!M$97</f>
        <v>1.1359010446660696E-3</v>
      </c>
      <c r="O77" s="323">
        <f>'3 Statment Model'!N74/'3 Statment Model'!N$97</f>
        <v>1.0324999064605807E-3</v>
      </c>
      <c r="P77" s="323">
        <f>'3 Statment Model'!O74/'3 Statment Model'!O$97</f>
        <v>9.5432394581518581E-4</v>
      </c>
      <c r="Q77" s="323">
        <f>'3 Statment Model'!P74/'3 Statment Model'!P$97</f>
        <v>8.8786174290842422E-4</v>
      </c>
      <c r="R77" s="323">
        <f>'3 Statment Model'!Q74/'3 Statment Model'!Q$97</f>
        <v>9.4533136095538808E-4</v>
      </c>
      <c r="S77" s="323">
        <f>'3 Statment Model'!R74/'3 Statment Model'!R$97</f>
        <v>8.8843332878542217E-4</v>
      </c>
      <c r="T77" s="323">
        <f>'3 Statment Model'!S74/'3 Statment Model'!S$97</f>
        <v>8.1899144169832584E-4</v>
      </c>
      <c r="U77" s="323">
        <f>'3 Statment Model'!T74/'3 Statment Model'!T$97</f>
        <v>7.5352598136011568E-4</v>
      </c>
      <c r="V77" s="323">
        <f>'3 Statment Model'!U74/'3 Statment Model'!U$97</f>
        <v>6.9277362491549353E-4</v>
      </c>
    </row>
    <row r="78" spans="2:23">
      <c r="B78" s="467" t="s">
        <v>339</v>
      </c>
      <c r="C78" s="92"/>
      <c r="D78" s="93"/>
      <c r="E78" s="94"/>
      <c r="F78" s="323">
        <f>'3 Statment Model'!E75/'3 Statment Model'!E$97</f>
        <v>0.68642906407029558</v>
      </c>
      <c r="G78" s="323">
        <f>'3 Statment Model'!F75/'3 Statment Model'!F$97</f>
        <v>0.58536053738796157</v>
      </c>
      <c r="H78" s="323">
        <f>'3 Statment Model'!G75/'3 Statment Model'!G$97</f>
        <v>0.62194484423304064</v>
      </c>
      <c r="I78" s="323">
        <f>'3 Statment Model'!H75/'3 Statment Model'!H$97</f>
        <v>0.65848779436169202</v>
      </c>
      <c r="J78" s="323">
        <f>'3 Statment Model'!I75/'3 Statment Model'!I$97</f>
        <v>0.71405662438353235</v>
      </c>
      <c r="K78" s="323">
        <f>'3 Statment Model'!J75/'3 Statment Model'!J$97</f>
        <v>0.73373982028111606</v>
      </c>
      <c r="L78" s="323">
        <f>'3 Statment Model'!K75/'3 Statment Model'!K$97</f>
        <v>0.70628709431211045</v>
      </c>
      <c r="M78" s="323">
        <f>'3 Statment Model'!L75/'3 Statment Model'!L$97</f>
        <v>0.74009466208814512</v>
      </c>
      <c r="N78" s="323">
        <f>'3 Statment Model'!M75/'3 Statment Model'!M$97</f>
        <v>0.70527474376269761</v>
      </c>
      <c r="O78" s="323">
        <f>'3 Statment Model'!N75/'3 Statment Model'!N$97</f>
        <v>0.67055619496526631</v>
      </c>
      <c r="P78" s="323">
        <f>'3 Statment Model'!O75/'3 Statment Model'!O$97</f>
        <v>0.62913480253370102</v>
      </c>
      <c r="Q78" s="323">
        <f>'3 Statment Model'!P75/'3 Statment Model'!P$97</f>
        <v>0.58380720793989616</v>
      </c>
      <c r="R78" s="323">
        <f>'3 Statment Model'!Q75/'3 Statment Model'!Q$97</f>
        <v>0.61338025810116958</v>
      </c>
      <c r="S78" s="323">
        <f>'3 Statment Model'!R75/'3 Statment Model'!R$97</f>
        <v>0.56136339389997036</v>
      </c>
      <c r="T78" s="323">
        <f>'3 Statment Model'!S75/'3 Statment Model'!S$97</f>
        <v>0.51748600642360965</v>
      </c>
      <c r="U78" s="323">
        <f>'3 Statment Model'!T75/'3 Statment Model'!T$97</f>
        <v>0.47612115460189508</v>
      </c>
      <c r="V78" s="323">
        <f>'3 Statment Model'!U75/'3 Statment Model'!U$97</f>
        <v>0.43773431352311926</v>
      </c>
    </row>
    <row r="79" spans="2:23">
      <c r="B79" s="72" t="s">
        <v>106</v>
      </c>
      <c r="C79" s="81"/>
      <c r="D79" s="82"/>
      <c r="E79" s="95"/>
      <c r="F79" s="108">
        <f>SUM(F77:F78)</f>
        <v>0.68956405685981215</v>
      </c>
      <c r="G79" s="108">
        <f t="shared" ref="G79:V79" si="12">SUM(G77:G78)</f>
        <v>0.58767230959253358</v>
      </c>
      <c r="H79" s="108">
        <f t="shared" si="12"/>
        <v>0.62420373943966501</v>
      </c>
      <c r="I79" s="108">
        <f t="shared" si="12"/>
        <v>0.66029269466601825</v>
      </c>
      <c r="J79" s="108">
        <f t="shared" si="12"/>
        <v>0.71572997671251337</v>
      </c>
      <c r="K79" s="108">
        <f t="shared" si="12"/>
        <v>0.73525572464439415</v>
      </c>
      <c r="L79" s="108">
        <f t="shared" si="12"/>
        <v>0.70765410159142417</v>
      </c>
      <c r="M79" s="108">
        <f t="shared" si="12"/>
        <v>0.74138671328746442</v>
      </c>
      <c r="N79" s="108">
        <f t="shared" si="12"/>
        <v>0.70641064480736371</v>
      </c>
      <c r="O79" s="108">
        <f t="shared" si="12"/>
        <v>0.6715886948717269</v>
      </c>
      <c r="P79" s="108">
        <f t="shared" si="12"/>
        <v>0.6300891264795162</v>
      </c>
      <c r="Q79" s="108">
        <f t="shared" si="12"/>
        <v>0.5846950696828046</v>
      </c>
      <c r="R79" s="108">
        <f t="shared" si="12"/>
        <v>0.61432558946212501</v>
      </c>
      <c r="S79" s="108">
        <f t="shared" si="12"/>
        <v>0.56225182722875577</v>
      </c>
      <c r="T79" s="108">
        <f t="shared" si="12"/>
        <v>0.51830499786530793</v>
      </c>
      <c r="U79" s="108">
        <f t="shared" si="12"/>
        <v>0.47687468058325522</v>
      </c>
      <c r="V79" s="108">
        <f t="shared" si="12"/>
        <v>0.43842708714803474</v>
      </c>
    </row>
    <row r="80" spans="2:23">
      <c r="B80" s="81"/>
      <c r="C80" s="81"/>
      <c r="D80" s="82"/>
      <c r="E80" s="83"/>
      <c r="F80" s="83"/>
      <c r="G80" s="83"/>
      <c r="H80" s="83"/>
      <c r="I80" s="83"/>
      <c r="J80" s="83"/>
      <c r="K80" s="83"/>
      <c r="L80" s="83"/>
      <c r="M80" s="83"/>
      <c r="N80" s="83"/>
      <c r="O80" s="83"/>
      <c r="P80" s="83"/>
      <c r="Q80" s="83"/>
      <c r="R80" s="83"/>
      <c r="S80" s="83"/>
      <c r="T80" s="83"/>
      <c r="U80" s="83"/>
      <c r="V80" s="83"/>
    </row>
    <row r="81" spans="2:22" ht="15.75" thickBot="1">
      <c r="B81" s="96" t="s">
        <v>107</v>
      </c>
      <c r="C81" s="96"/>
      <c r="D81" s="97"/>
      <c r="E81" s="98"/>
      <c r="F81" s="472">
        <f>F79+F75+F71</f>
        <v>1</v>
      </c>
      <c r="G81" s="472">
        <f t="shared" ref="G81:V81" si="13">G79+G75+G71</f>
        <v>1</v>
      </c>
      <c r="H81" s="472">
        <f t="shared" si="13"/>
        <v>1.0000000000000002</v>
      </c>
      <c r="I81" s="472">
        <f t="shared" si="13"/>
        <v>1</v>
      </c>
      <c r="J81" s="472">
        <f t="shared" si="13"/>
        <v>1</v>
      </c>
      <c r="K81" s="472">
        <f t="shared" si="13"/>
        <v>1</v>
      </c>
      <c r="L81" s="472">
        <f t="shared" si="13"/>
        <v>0.99999999999999978</v>
      </c>
      <c r="M81" s="472">
        <f t="shared" si="13"/>
        <v>0.99999999999999978</v>
      </c>
      <c r="N81" s="472">
        <f t="shared" si="13"/>
        <v>1</v>
      </c>
      <c r="O81" s="472">
        <f t="shared" si="13"/>
        <v>0.99999999999999989</v>
      </c>
      <c r="P81" s="472">
        <f t="shared" si="13"/>
        <v>1</v>
      </c>
      <c r="Q81" s="472">
        <f t="shared" si="13"/>
        <v>1</v>
      </c>
      <c r="R81" s="472">
        <f t="shared" si="13"/>
        <v>1</v>
      </c>
      <c r="S81" s="472">
        <f t="shared" si="13"/>
        <v>0.99999999999999978</v>
      </c>
      <c r="T81" s="472">
        <f t="shared" si="13"/>
        <v>1</v>
      </c>
      <c r="U81" s="472">
        <f t="shared" si="13"/>
        <v>1</v>
      </c>
      <c r="V81" s="472">
        <f t="shared" si="13"/>
        <v>1</v>
      </c>
    </row>
    <row r="83" spans="2:22">
      <c r="B83" s="40"/>
      <c r="C83" s="40"/>
      <c r="D83" s="40"/>
      <c r="E83" s="40"/>
      <c r="F83" s="40"/>
      <c r="G83" s="40"/>
      <c r="H83" s="40"/>
      <c r="I83" s="40"/>
      <c r="J83" s="40"/>
      <c r="K83" s="40"/>
      <c r="L83" s="40"/>
      <c r="M83" s="101"/>
      <c r="N83" s="101"/>
      <c r="O83" s="101"/>
      <c r="P83" s="101"/>
      <c r="Q83" s="101"/>
      <c r="R83" s="101"/>
      <c r="S83" s="101"/>
      <c r="T83" s="101"/>
      <c r="U83" s="101"/>
      <c r="V83"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Drop Down 1">
              <controlPr defaultSize="0" autoLine="0" autoPict="0">
                <anchor moveWithCells="1">
                  <from>
                    <xdr:col>13</xdr:col>
                    <xdr:colOff>19050</xdr:colOff>
                    <xdr:row>3</xdr:row>
                    <xdr:rowOff>0</xdr:rowOff>
                  </from>
                  <to>
                    <xdr:col>15</xdr:col>
                    <xdr:colOff>304800</xdr:colOff>
                    <xdr:row>4</xdr:row>
                    <xdr:rowOff>9525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10BC7-C91D-4042-9784-D6682767114D}">
  <sheetPr codeName="Sheet13"/>
  <dimension ref="A2:R91"/>
  <sheetViews>
    <sheetView showGridLines="0" workbookViewId="0">
      <pane ySplit="10" topLeftCell="A24" activePane="bottomLeft" state="frozen"/>
      <selection pane="bottomLeft" activeCell="I18" sqref="I18"/>
    </sheetView>
  </sheetViews>
  <sheetFormatPr defaultColWidth="8.85546875" defaultRowHeight="15"/>
  <cols>
    <col min="1" max="1" width="2.28515625" style="3" customWidth="1"/>
    <col min="2" max="2" width="32.85546875" style="3" customWidth="1"/>
    <col min="3" max="5" width="8.85546875" style="3"/>
    <col min="6" max="13" width="9.5703125" style="3" bestFit="1" customWidth="1"/>
    <col min="14" max="18" width="9.5703125" style="3" customWidth="1"/>
    <col min="19" max="16384" width="8.85546875" style="3"/>
  </cols>
  <sheetData>
    <row r="2" spans="1:18" ht="18.75">
      <c r="B2" s="4"/>
    </row>
    <row r="3" spans="1:18" ht="15.75">
      <c r="B3" s="5"/>
    </row>
    <row r="4" spans="1:18" ht="15.75">
      <c r="B4" s="5"/>
    </row>
    <row r="5" spans="1:18" ht="15.75">
      <c r="B5" s="5"/>
    </row>
    <row r="7" spans="1:18">
      <c r="F7" s="6" t="s">
        <v>72</v>
      </c>
      <c r="G7" s="67"/>
      <c r="H7" s="26"/>
      <c r="I7" s="456" t="s">
        <v>73</v>
      </c>
      <c r="J7" s="488"/>
      <c r="K7" s="488"/>
      <c r="L7" s="488"/>
      <c r="M7" s="488"/>
      <c r="N7" s="456"/>
      <c r="O7" s="457" t="s">
        <v>1128</v>
      </c>
      <c r="P7" s="456"/>
      <c r="Q7" s="456"/>
      <c r="R7" s="456"/>
    </row>
    <row r="8" spans="1:18">
      <c r="F8" s="70">
        <v>2021</v>
      </c>
      <c r="G8" s="7">
        <f>F8+1</f>
        <v>2022</v>
      </c>
      <c r="H8" s="7">
        <f t="shared" ref="H8:R8" si="0">G8+1</f>
        <v>2023</v>
      </c>
      <c r="I8" s="7">
        <f t="shared" si="0"/>
        <v>2024</v>
      </c>
      <c r="J8" s="7">
        <f t="shared" si="0"/>
        <v>2025</v>
      </c>
      <c r="K8" s="7">
        <f t="shared" si="0"/>
        <v>2026</v>
      </c>
      <c r="L8" s="7">
        <f t="shared" si="0"/>
        <v>2027</v>
      </c>
      <c r="M8" s="7">
        <f t="shared" si="0"/>
        <v>2028</v>
      </c>
      <c r="N8" s="7">
        <f t="shared" si="0"/>
        <v>2029</v>
      </c>
      <c r="O8" s="7">
        <f t="shared" si="0"/>
        <v>2030</v>
      </c>
      <c r="P8" s="7">
        <f t="shared" si="0"/>
        <v>2031</v>
      </c>
      <c r="Q8" s="7">
        <f t="shared" si="0"/>
        <v>2032</v>
      </c>
      <c r="R8" s="7">
        <f t="shared" si="0"/>
        <v>2033</v>
      </c>
    </row>
    <row r="9" spans="1:18">
      <c r="B9" s="8" t="s">
        <v>20</v>
      </c>
      <c r="C9" s="9"/>
      <c r="D9" s="9"/>
      <c r="E9" s="9"/>
      <c r="F9" s="9"/>
      <c r="G9" s="9"/>
      <c r="H9" s="9"/>
      <c r="I9" s="9"/>
      <c r="J9" s="9"/>
      <c r="K9" s="9"/>
      <c r="L9" s="9"/>
      <c r="M9" s="9"/>
    </row>
    <row r="10" spans="1:18">
      <c r="N10" s="40"/>
      <c r="O10" s="40"/>
      <c r="P10" s="40"/>
      <c r="Q10" s="40"/>
      <c r="R10" s="40"/>
    </row>
    <row r="12" spans="1:18">
      <c r="A12" s="3" t="s">
        <v>21</v>
      </c>
      <c r="B12" s="489" t="s">
        <v>116</v>
      </c>
      <c r="C12" s="490"/>
      <c r="D12" s="490"/>
      <c r="E12" s="490"/>
      <c r="F12" s="490"/>
      <c r="G12" s="490"/>
      <c r="H12" s="490"/>
      <c r="I12" s="490"/>
      <c r="J12" s="490"/>
      <c r="K12" s="490"/>
      <c r="L12" s="490"/>
      <c r="M12" s="490"/>
      <c r="N12" s="490"/>
      <c r="O12" s="490"/>
      <c r="P12" s="490"/>
      <c r="Q12" s="490"/>
      <c r="R12" s="490"/>
    </row>
    <row r="14" spans="1:18">
      <c r="B14" s="3" t="s">
        <v>117</v>
      </c>
      <c r="F14" s="474">
        <f>'3 Statment Model'!I57</f>
        <v>8187.11</v>
      </c>
      <c r="G14" s="474">
        <f>'3 Statment Model'!J57</f>
        <v>8469.49</v>
      </c>
      <c r="H14" s="474">
        <f>'3 Statment Model'!K57</f>
        <v>8967.86</v>
      </c>
      <c r="I14" s="474">
        <f>'3 Statment Model'!L57</f>
        <v>12212.17</v>
      </c>
      <c r="J14" s="474">
        <f ca="1">'3 Statment Model'!M57</f>
        <v>14934.137847437964</v>
      </c>
      <c r="K14" s="474">
        <f ca="1">'3 Statment Model'!N57</f>
        <v>16674.532439152241</v>
      </c>
      <c r="L14" s="474">
        <f ca="1">'3 Statment Model'!O57</f>
        <v>18726.620048475866</v>
      </c>
      <c r="M14" s="474">
        <f ca="1">'3 Statment Model'!P57</f>
        <v>21169.089411577646</v>
      </c>
      <c r="N14" s="474">
        <f ca="1">'3 Statment Model'!Q57</f>
        <v>19094.125624596803</v>
      </c>
      <c r="O14" s="474">
        <f ca="1">'3 Statment Model'!R57</f>
        <v>22940.244122692977</v>
      </c>
      <c r="P14" s="474">
        <f ca="1">'3 Statment Model'!S57</f>
        <v>26644.583464527466</v>
      </c>
      <c r="Q14" s="474">
        <f ca="1">'3 Statment Model'!T57</f>
        <v>31083.59990374159</v>
      </c>
      <c r="R14" s="474">
        <f ca="1">'3 Statment Model'!U57</f>
        <v>36201.95632727076</v>
      </c>
    </row>
    <row r="15" spans="1:18">
      <c r="B15" s="3" t="s">
        <v>118</v>
      </c>
      <c r="F15" s="475">
        <f>'3 Statment Model'!I95</f>
        <v>4493.7</v>
      </c>
      <c r="G15" s="475">
        <f>'3 Statment Model'!J95</f>
        <v>4735.2000000000007</v>
      </c>
      <c r="H15" s="475">
        <f>'3 Statment Model'!K95</f>
        <v>6773.9</v>
      </c>
      <c r="I15" s="475">
        <f>'3 Statment Model'!L95</f>
        <v>6168.95</v>
      </c>
      <c r="J15" s="475">
        <f>'3 Statment Model'!M95</f>
        <v>8215.6092434957245</v>
      </c>
      <c r="K15" s="475">
        <f>'3 Statment Model'!N95</f>
        <v>10304.730957730284</v>
      </c>
      <c r="L15" s="475">
        <f>'3 Statment Model'!O95</f>
        <v>12747.25634769624</v>
      </c>
      <c r="M15" s="475">
        <f>'3 Statment Model'!P95</f>
        <v>15566.951376197867</v>
      </c>
      <c r="N15" s="475">
        <f>'3 Statment Model'!Q95</f>
        <v>13371.26375299505</v>
      </c>
      <c r="O15" s="475">
        <f>'3 Statment Model'!R95</f>
        <v>16388.368609801484</v>
      </c>
      <c r="P15" s="475">
        <f>'3 Statment Model'!S95</f>
        <v>19789.767739425417</v>
      </c>
      <c r="Q15" s="475">
        <f>'3 Statment Model'!T95</f>
        <v>23573.493103739354</v>
      </c>
      <c r="R15" s="475">
        <f>'3 Statment Model'!U95</f>
        <v>27727.040138440934</v>
      </c>
    </row>
    <row r="16" spans="1:18">
      <c r="B16" s="39" t="s">
        <v>119</v>
      </c>
      <c r="C16" s="40"/>
      <c r="D16" s="40"/>
      <c r="E16" s="40"/>
      <c r="F16" s="102">
        <f>F14/F15</f>
        <v>1.821908449607228</v>
      </c>
      <c r="G16" s="102">
        <f t="shared" ref="G16:R16" si="1">G14/G15</f>
        <v>1.7886235005913158</v>
      </c>
      <c r="H16" s="102">
        <f t="shared" si="1"/>
        <v>1.3238843207015163</v>
      </c>
      <c r="I16" s="102">
        <f t="shared" si="1"/>
        <v>1.9796188978675464</v>
      </c>
      <c r="J16" s="102">
        <f t="shared" ca="1" si="1"/>
        <v>1.732859874166079</v>
      </c>
      <c r="K16" s="102">
        <f t="shared" ca="1" si="1"/>
        <v>1.7188843899717849</v>
      </c>
      <c r="L16" s="102">
        <f t="shared" ca="1" si="1"/>
        <v>1.7223613204769723</v>
      </c>
      <c r="M16" s="102">
        <f t="shared" ca="1" si="1"/>
        <v>1.7448507946423226</v>
      </c>
      <c r="N16" s="102">
        <f t="shared" ca="1" si="1"/>
        <v>2.3979769336186538</v>
      </c>
      <c r="O16" s="102">
        <f t="shared" ca="1" si="1"/>
        <v>2.6074177293969174</v>
      </c>
      <c r="P16" s="102">
        <f t="shared" ca="1" si="1"/>
        <v>2.7531059051874096</v>
      </c>
      <c r="Q16" s="102">
        <f t="shared" ca="1" si="1"/>
        <v>2.9331284293042779</v>
      </c>
      <c r="R16" s="102">
        <f t="shared" ca="1" si="1"/>
        <v>3.1343425108009049</v>
      </c>
    </row>
    <row r="18" spans="1:18">
      <c r="B18" s="3" t="s">
        <v>117</v>
      </c>
      <c r="F18" s="474">
        <f>'3 Statment Model'!I57</f>
        <v>8187.11</v>
      </c>
      <c r="G18" s="474">
        <f>'3 Statment Model'!J57</f>
        <v>8469.49</v>
      </c>
      <c r="H18" s="474">
        <f>'3 Statment Model'!K57</f>
        <v>8967.86</v>
      </c>
      <c r="I18" s="474">
        <f>'3 Statment Model'!L57</f>
        <v>12212.17</v>
      </c>
      <c r="J18" s="474">
        <f ca="1">'3 Statment Model'!M57</f>
        <v>14934.137847437964</v>
      </c>
      <c r="K18" s="474">
        <f ca="1">'3 Statment Model'!N57</f>
        <v>16674.532439152241</v>
      </c>
      <c r="L18" s="474">
        <f ca="1">'3 Statment Model'!O57</f>
        <v>18726.620048475866</v>
      </c>
      <c r="M18" s="474">
        <f ca="1">'3 Statment Model'!P57</f>
        <v>21169.089411577646</v>
      </c>
      <c r="N18" s="474">
        <f ca="1">'3 Statment Model'!Q57</f>
        <v>19094.125624596803</v>
      </c>
      <c r="O18" s="474">
        <f ca="1">'3 Statment Model'!R57</f>
        <v>22940.244122692977</v>
      </c>
      <c r="P18" s="474">
        <f ca="1">'3 Statment Model'!S57</f>
        <v>26644.583464527466</v>
      </c>
      <c r="Q18" s="474">
        <f ca="1">'3 Statment Model'!T57</f>
        <v>31083.59990374159</v>
      </c>
      <c r="R18" s="474">
        <f ca="1">'3 Statment Model'!U57</f>
        <v>36201.95632727076</v>
      </c>
    </row>
    <row r="19" spans="1:18">
      <c r="B19" s="3" t="s">
        <v>120</v>
      </c>
      <c r="F19" s="474">
        <f>'3 Statment Model'!I54</f>
        <v>1716</v>
      </c>
      <c r="G19" s="474">
        <f>'3 Statment Model'!J54</f>
        <v>2497</v>
      </c>
      <c r="H19" s="474">
        <f>'3 Statment Model'!K54</f>
        <v>2760</v>
      </c>
      <c r="I19" s="474">
        <f>'3 Statment Model'!L54</f>
        <v>3555.07</v>
      </c>
      <c r="J19" s="474">
        <f ca="1">'3 Statment Model'!M54</f>
        <v>3555.0700000000006</v>
      </c>
      <c r="K19" s="474">
        <f ca="1">'3 Statment Model'!N54</f>
        <v>3555.0700000000015</v>
      </c>
      <c r="L19" s="474">
        <f ca="1">'3 Statment Model'!O54</f>
        <v>3555.0700000000015</v>
      </c>
      <c r="M19" s="474">
        <f ca="1">'3 Statment Model'!P54</f>
        <v>3555.0700000000029</v>
      </c>
      <c r="N19" s="474">
        <f ca="1">'3 Statment Model'!Q54</f>
        <v>3555.0700000000033</v>
      </c>
      <c r="O19" s="474">
        <f ca="1">'3 Statment Model'!R54</f>
        <v>3555.0700000000047</v>
      </c>
      <c r="P19" s="474">
        <f ca="1">'3 Statment Model'!S54</f>
        <v>3555.0700000000052</v>
      </c>
      <c r="Q19" s="474">
        <f ca="1">'3 Statment Model'!T54</f>
        <v>3555.0700000000065</v>
      </c>
      <c r="R19" s="474">
        <f ca="1">'3 Statment Model'!U54</f>
        <v>3555.070000000007</v>
      </c>
    </row>
    <row r="20" spans="1:18">
      <c r="B20" s="3" t="s">
        <v>118</v>
      </c>
      <c r="F20" s="474">
        <f>'3 Statment Model'!I95</f>
        <v>4493.7</v>
      </c>
      <c r="G20" s="474">
        <f>'3 Statment Model'!J95</f>
        <v>4735.2000000000007</v>
      </c>
      <c r="H20" s="474">
        <f>'3 Statment Model'!K95</f>
        <v>6773.9</v>
      </c>
      <c r="I20" s="474">
        <f>'3 Statment Model'!L95</f>
        <v>6168.95</v>
      </c>
      <c r="J20" s="474">
        <f>'3 Statment Model'!M95</f>
        <v>8215.6092434957245</v>
      </c>
      <c r="K20" s="474">
        <f>'3 Statment Model'!N95</f>
        <v>10304.730957730284</v>
      </c>
      <c r="L20" s="474">
        <f>'3 Statment Model'!O95</f>
        <v>12747.25634769624</v>
      </c>
      <c r="M20" s="474">
        <f>'3 Statment Model'!P95</f>
        <v>15566.951376197867</v>
      </c>
      <c r="N20" s="474">
        <f>'3 Statment Model'!Q95</f>
        <v>13371.26375299505</v>
      </c>
      <c r="O20" s="474">
        <f>'3 Statment Model'!R95</f>
        <v>16388.368609801484</v>
      </c>
      <c r="P20" s="474">
        <f>'3 Statment Model'!S95</f>
        <v>19789.767739425417</v>
      </c>
      <c r="Q20" s="474">
        <f>'3 Statment Model'!T95</f>
        <v>23573.493103739354</v>
      </c>
      <c r="R20" s="474">
        <f>'3 Statment Model'!U95</f>
        <v>27727.040138440934</v>
      </c>
    </row>
    <row r="21" spans="1:18">
      <c r="B21" s="39" t="s">
        <v>121</v>
      </c>
      <c r="C21" s="40"/>
      <c r="D21" s="40"/>
      <c r="E21" s="40"/>
      <c r="F21" s="103">
        <f>(F18-F19)/F20</f>
        <v>1.4400405011460489</v>
      </c>
      <c r="G21" s="103">
        <f t="shared" ref="G21:R21" si="2">(G18-G19)/G20</f>
        <v>1.2612962493664468</v>
      </c>
      <c r="H21" s="103">
        <f t="shared" si="2"/>
        <v>0.91643809326975612</v>
      </c>
      <c r="I21" s="103">
        <f t="shared" si="2"/>
        <v>1.403334441031294</v>
      </c>
      <c r="J21" s="103">
        <f t="shared" ca="1" si="2"/>
        <v>1.3203527568631235</v>
      </c>
      <c r="K21" s="103">
        <f t="shared" ca="1" si="2"/>
        <v>1.3524120855424995</v>
      </c>
      <c r="L21" s="103">
        <f t="shared" ca="1" si="2"/>
        <v>1.3953874702179436</v>
      </c>
      <c r="M21" s="103">
        <f t="shared" ca="1" si="2"/>
        <v>1.4518260643902716</v>
      </c>
      <c r="N21" s="103">
        <f t="shared" ca="1" si="2"/>
        <v>1.9515058029156109</v>
      </c>
      <c r="O21" s="103">
        <f t="shared" ca="1" si="2"/>
        <v>2.2033438887843206</v>
      </c>
      <c r="P21" s="103">
        <f t="shared" ca="1" si="2"/>
        <v>2.385771049929307</v>
      </c>
      <c r="Q21" s="103">
        <f t="shared" ca="1" si="2"/>
        <v>2.5976628809939739</v>
      </c>
      <c r="R21" s="103">
        <f t="shared" ca="1" si="2"/>
        <v>2.8265467958638317</v>
      </c>
    </row>
    <row r="23" spans="1:18">
      <c r="B23" s="3" t="s">
        <v>54</v>
      </c>
      <c r="F23" s="476">
        <f>Schedules!I176</f>
        <v>593.73102466793171</v>
      </c>
      <c r="G23" s="476">
        <f>Schedules!J176</f>
        <v>760.88322612568038</v>
      </c>
      <c r="H23" s="476">
        <f>Schedules!K176</f>
        <v>700.49832067757018</v>
      </c>
      <c r="I23" s="476">
        <f>Schedules!L176</f>
        <v>750.81451140065133</v>
      </c>
      <c r="J23" s="476">
        <f ca="1">Schedules!M176</f>
        <v>675.31343324028228</v>
      </c>
      <c r="K23" s="476">
        <f ca="1">Schedules!N176</f>
        <v>591.24774592071526</v>
      </c>
      <c r="L23" s="476">
        <f ca="1">Schedules!O176</f>
        <v>520.31532127934156</v>
      </c>
      <c r="M23" s="476">
        <f ca="1">Schedules!P176</f>
        <v>460.26346808823575</v>
      </c>
      <c r="N23" s="476">
        <f ca="1">Schedules!Q176</f>
        <v>409.25980250329724</v>
      </c>
      <c r="O23" s="476">
        <f ca="1">Schedules!R176</f>
        <v>365.80904401683074</v>
      </c>
      <c r="P23" s="476">
        <f ca="1">Schedules!S176</f>
        <v>328.68718412694898</v>
      </c>
      <c r="Q23" s="476">
        <f ca="1">Schedules!T176</f>
        <v>296.88924097939275</v>
      </c>
      <c r="R23" s="476">
        <f ca="1">Schedules!U176</f>
        <v>269.58767179224793</v>
      </c>
    </row>
    <row r="24" spans="1:18">
      <c r="B24" s="3" t="s">
        <v>52</v>
      </c>
      <c r="F24" s="476">
        <f>Schedules!I168</f>
        <v>23.674380701637944</v>
      </c>
      <c r="G24" s="476">
        <f>Schedules!J168</f>
        <v>17.837678475058468</v>
      </c>
      <c r="H24" s="476">
        <f>Schedules!K168</f>
        <v>20.445086737580311</v>
      </c>
      <c r="I24" s="476">
        <f>Schedules!L168</f>
        <v>22.220898471764681</v>
      </c>
      <c r="J24" s="476">
        <f>Schedules!M168</f>
        <v>22.220898471764681</v>
      </c>
      <c r="K24" s="476">
        <f>Schedules!N168</f>
        <v>22.220898471764681</v>
      </c>
      <c r="L24" s="476">
        <f>Schedules!O168</f>
        <v>22.220898471764681</v>
      </c>
      <c r="M24" s="476">
        <f>Schedules!P168</f>
        <v>22.220898471764681</v>
      </c>
      <c r="N24" s="476">
        <f>Schedules!Q168</f>
        <v>22.220898471764681</v>
      </c>
      <c r="O24" s="476">
        <f>Schedules!R168</f>
        <v>22.220898471764681</v>
      </c>
      <c r="P24" s="476">
        <f>Schedules!S168</f>
        <v>22.220898471764681</v>
      </c>
      <c r="Q24" s="476">
        <f>Schedules!T168</f>
        <v>22.220898471764681</v>
      </c>
      <c r="R24" s="476">
        <f>Schedules!U168</f>
        <v>22.220898471764681</v>
      </c>
    </row>
    <row r="25" spans="1:18">
      <c r="B25" s="3" t="s">
        <v>59</v>
      </c>
      <c r="F25" s="476">
        <f>Schedules!I186</f>
        <v>266.82400379506646</v>
      </c>
      <c r="G25" s="476">
        <f>Schedules!J186</f>
        <v>320.21029193468581</v>
      </c>
      <c r="H25" s="476">
        <f>Schedules!K186</f>
        <v>277.96071845794393</v>
      </c>
      <c r="I25" s="476">
        <f>Schedules!L186</f>
        <v>277.96071845794393</v>
      </c>
      <c r="J25" s="476">
        <f>Schedules!M186</f>
        <v>277.96071845794393</v>
      </c>
      <c r="K25" s="476">
        <f>Schedules!N186</f>
        <v>277.96071845794393</v>
      </c>
      <c r="L25" s="476">
        <f>Schedules!O186</f>
        <v>277.96071845794393</v>
      </c>
      <c r="M25" s="476">
        <f>Schedules!P186</f>
        <v>277.96071845794393</v>
      </c>
      <c r="N25" s="476">
        <f>Schedules!Q186</f>
        <v>277.96071845794393</v>
      </c>
      <c r="O25" s="476">
        <f>Schedules!R186</f>
        <v>277.96071845794393</v>
      </c>
      <c r="P25" s="476">
        <f>Schedules!S186</f>
        <v>277.96071845794393</v>
      </c>
      <c r="Q25" s="476">
        <f>Schedules!T186</f>
        <v>277.96071845794393</v>
      </c>
      <c r="R25" s="476">
        <f>Schedules!U186</f>
        <v>277.96071845794393</v>
      </c>
    </row>
    <row r="26" spans="1:18">
      <c r="B26" s="40" t="s">
        <v>122</v>
      </c>
      <c r="C26" s="40"/>
      <c r="D26" s="40"/>
      <c r="E26" s="40"/>
      <c r="F26" s="104">
        <f>F23+F24-F25</f>
        <v>350.58140157450316</v>
      </c>
      <c r="G26" s="104">
        <f t="shared" ref="G26:R26" si="3">G23+G24-G25</f>
        <v>458.51061266605308</v>
      </c>
      <c r="H26" s="104">
        <f t="shared" si="3"/>
        <v>442.98268895720651</v>
      </c>
      <c r="I26" s="104">
        <f t="shared" si="3"/>
        <v>495.07469141447211</v>
      </c>
      <c r="J26" s="104">
        <f t="shared" ca="1" si="3"/>
        <v>419.57361325410307</v>
      </c>
      <c r="K26" s="104">
        <f t="shared" ca="1" si="3"/>
        <v>335.50792593453605</v>
      </c>
      <c r="L26" s="104">
        <f t="shared" ca="1" si="3"/>
        <v>264.57550129316235</v>
      </c>
      <c r="M26" s="104">
        <f t="shared" ca="1" si="3"/>
        <v>204.52364810205648</v>
      </c>
      <c r="N26" s="104">
        <f t="shared" ca="1" si="3"/>
        <v>153.51998251711797</v>
      </c>
      <c r="O26" s="104">
        <f t="shared" ca="1" si="3"/>
        <v>110.06922403065147</v>
      </c>
      <c r="P26" s="104">
        <f t="shared" ca="1" si="3"/>
        <v>72.947364140769707</v>
      </c>
      <c r="Q26" s="104">
        <f t="shared" ca="1" si="3"/>
        <v>41.149420993213482</v>
      </c>
      <c r="R26" s="104">
        <f t="shared" ca="1" si="3"/>
        <v>13.847851806068661</v>
      </c>
    </row>
    <row r="28" spans="1:18">
      <c r="A28" s="3" t="s">
        <v>21</v>
      </c>
      <c r="B28" s="489" t="s">
        <v>123</v>
      </c>
      <c r="C28" s="490"/>
      <c r="D28" s="490"/>
      <c r="E28" s="490"/>
      <c r="F28" s="490"/>
      <c r="G28" s="490"/>
      <c r="H28" s="490"/>
      <c r="I28" s="490"/>
      <c r="J28" s="490"/>
      <c r="K28" s="490"/>
      <c r="L28" s="490"/>
      <c r="M28" s="490"/>
      <c r="N28" s="490"/>
      <c r="O28" s="490"/>
      <c r="P28" s="490"/>
      <c r="Q28" s="490"/>
      <c r="R28" s="490"/>
    </row>
    <row r="30" spans="1:18">
      <c r="B30" s="3" t="s">
        <v>124</v>
      </c>
      <c r="F30" s="474">
        <f>'3 Statment Model'!I81+'3 Statment Model'!I92</f>
        <v>1841.2</v>
      </c>
      <c r="G30" s="474">
        <f>'3 Statment Model'!J81+'3 Statment Model'!J92</f>
        <v>1617.5</v>
      </c>
      <c r="H30" s="474">
        <f>'3 Statment Model'!K81+'3 Statment Model'!K92</f>
        <v>1553.4</v>
      </c>
      <c r="I30" s="474">
        <f>'3 Statment Model'!L81+'3 Statment Model'!L92</f>
        <v>1189</v>
      </c>
      <c r="J30" s="474">
        <f>'3 Statment Model'!M81+'3 Statment Model'!M92</f>
        <v>1877.2019800000003</v>
      </c>
      <c r="K30" s="474">
        <f>'3 Statment Model'!N81+'3 Statment Model'!N92</f>
        <v>2094.5776261060005</v>
      </c>
      <c r="L30" s="474">
        <f>'3 Statment Model'!O81+'3 Statment Model'!O92</f>
        <v>2329.6156328624297</v>
      </c>
      <c r="M30" s="474">
        <f>'3 Statment Model'!P81+'3 Statment Model'!P92</f>
        <v>2582.0514575754919</v>
      </c>
      <c r="N30" s="474">
        <f>'3 Statment Model'!Q81+'3 Statment Model'!Q92</f>
        <v>-2598.1521057882164</v>
      </c>
      <c r="O30" s="474">
        <f>'3 Statment Model'!R81+'3 Statment Model'!R92</f>
        <v>-2960.3977271109106</v>
      </c>
      <c r="P30" s="474">
        <f>'3 Statment Model'!S81+'3 Statment Model'!S92</f>
        <v>-3336.8090883086961</v>
      </c>
      <c r="Q30" s="474">
        <f>'3 Statment Model'!T81+'3 Statment Model'!T92</f>
        <v>-3722.998406035827</v>
      </c>
      <c r="R30" s="474">
        <f>'3 Statment Model'!U81+'3 Statment Model'!U92</f>
        <v>-4113.842859215918</v>
      </c>
    </row>
    <row r="31" spans="1:18">
      <c r="B31" s="3" t="s">
        <v>125</v>
      </c>
      <c r="F31" s="474">
        <f>'3 Statment Model'!E76</f>
        <v>7698.5</v>
      </c>
      <c r="G31" s="474">
        <f>'3 Statment Model'!F76</f>
        <v>8897.2999999999993</v>
      </c>
      <c r="H31" s="474">
        <f>'3 Statment Model'!G76</f>
        <v>9671.6</v>
      </c>
      <c r="I31" s="474">
        <f>'3 Statment Model'!H76</f>
        <v>13170</v>
      </c>
      <c r="J31" s="474">
        <f>'3 Statment Model'!I76</f>
        <v>15398</v>
      </c>
      <c r="K31" s="474">
        <f>'3 Statment Model'!J76</f>
        <v>17461</v>
      </c>
      <c r="L31" s="474">
        <f>'3 Statment Model'!K76</f>
        <v>18636</v>
      </c>
      <c r="M31" s="474">
        <f>'3 Statment Model'!L76</f>
        <v>20702.920000000002</v>
      </c>
      <c r="N31" s="474">
        <f>'3 Statment Model'!M76</f>
        <v>22437.954595017032</v>
      </c>
      <c r="O31" s="474">
        <f>'3 Statment Model'!N76</f>
        <v>23468.205623413302</v>
      </c>
      <c r="P31" s="474">
        <f>'3 Statment Model'!O76</f>
        <v>23821.696797057561</v>
      </c>
      <c r="Q31" s="474">
        <f>'3 Statment Model'!P76</f>
        <v>23760.228754818028</v>
      </c>
      <c r="R31" s="474">
        <f>'3 Statment Model'!Q76</f>
        <v>23446.664506499397</v>
      </c>
    </row>
    <row r="32" spans="1:18">
      <c r="B32" s="40" t="s">
        <v>126</v>
      </c>
      <c r="C32" s="40"/>
      <c r="D32" s="40"/>
      <c r="E32" s="40"/>
      <c r="F32" s="105">
        <f>F30/F31</f>
        <v>0.23916347340390987</v>
      </c>
      <c r="G32" s="105">
        <f t="shared" ref="G32:R32" si="4">G30/G31</f>
        <v>0.18179672484911155</v>
      </c>
      <c r="H32" s="105">
        <f t="shared" si="4"/>
        <v>0.1606145829025187</v>
      </c>
      <c r="I32" s="105">
        <f t="shared" si="4"/>
        <v>9.0280941533788919E-2</v>
      </c>
      <c r="J32" s="105">
        <f t="shared" si="4"/>
        <v>0.12191206520327318</v>
      </c>
      <c r="K32" s="105">
        <f t="shared" si="4"/>
        <v>0.11995748388442819</v>
      </c>
      <c r="L32" s="105">
        <f t="shared" si="4"/>
        <v>0.12500620481124863</v>
      </c>
      <c r="M32" s="105">
        <f t="shared" si="4"/>
        <v>0.12471919215142074</v>
      </c>
      <c r="N32" s="105">
        <f t="shared" si="4"/>
        <v>-0.11579273390477436</v>
      </c>
      <c r="O32" s="105">
        <f t="shared" si="4"/>
        <v>-0.12614503957462511</v>
      </c>
      <c r="P32" s="105">
        <f t="shared" si="4"/>
        <v>-0.14007436652123187</v>
      </c>
      <c r="Q32" s="105">
        <f t="shared" si="4"/>
        <v>-0.15669034353387226</v>
      </c>
      <c r="R32" s="105">
        <f t="shared" si="4"/>
        <v>-0.17545535562534126</v>
      </c>
    </row>
    <row r="34" spans="1:18">
      <c r="B34" s="3" t="s">
        <v>124</v>
      </c>
      <c r="F34" s="477">
        <f>F30</f>
        <v>1841.2</v>
      </c>
      <c r="G34" s="477">
        <f t="shared" ref="G34:R34" si="5">G30</f>
        <v>1617.5</v>
      </c>
      <c r="H34" s="477">
        <f t="shared" si="5"/>
        <v>1553.4</v>
      </c>
      <c r="I34" s="477">
        <f t="shared" si="5"/>
        <v>1189</v>
      </c>
      <c r="J34" s="477">
        <f t="shared" si="5"/>
        <v>1877.2019800000003</v>
      </c>
      <c r="K34" s="477">
        <f t="shared" si="5"/>
        <v>2094.5776261060005</v>
      </c>
      <c r="L34" s="477">
        <f t="shared" si="5"/>
        <v>2329.6156328624297</v>
      </c>
      <c r="M34" s="477">
        <f t="shared" si="5"/>
        <v>2582.0514575754919</v>
      </c>
      <c r="N34" s="477">
        <f t="shared" si="5"/>
        <v>-2598.1521057882164</v>
      </c>
      <c r="O34" s="477">
        <f t="shared" si="5"/>
        <v>-2960.3977271109106</v>
      </c>
      <c r="P34" s="477">
        <f t="shared" si="5"/>
        <v>-3336.8090883086961</v>
      </c>
      <c r="Q34" s="477">
        <f t="shared" si="5"/>
        <v>-3722.998406035827</v>
      </c>
      <c r="R34" s="477">
        <f t="shared" si="5"/>
        <v>-4113.842859215918</v>
      </c>
    </row>
    <row r="35" spans="1:18">
      <c r="B35" s="3" t="s">
        <v>127</v>
      </c>
      <c r="F35" s="474">
        <f>'3 Statment Model'!I69</f>
        <v>21513.46</v>
      </c>
      <c r="G35" s="474">
        <f>'3 Statment Model'!J69</f>
        <v>23748.129999999997</v>
      </c>
      <c r="H35" s="474">
        <f>'3 Statment Model'!K69</f>
        <v>26335.03</v>
      </c>
      <c r="I35" s="474">
        <f>'3 Statment Model'!L69</f>
        <v>27925.520000000004</v>
      </c>
      <c r="J35" s="474">
        <f ca="1">'3 Statment Model'!M69</f>
        <v>32321.344990295107</v>
      </c>
      <c r="K35" s="474">
        <f ca="1">'3 Statment Model'!N69</f>
        <v>35140.453867723671</v>
      </c>
      <c r="L35" s="474">
        <f ca="1">'3 Statment Model'!O69</f>
        <v>37676.112905618727</v>
      </c>
      <c r="M35" s="474">
        <f ca="1">'3 Statment Model'!P69</f>
        <v>39711.867983006217</v>
      </c>
      <c r="N35" s="474">
        <f ca="1">'3 Statment Model'!Q69</f>
        <v>36389.094672215855</v>
      </c>
      <c r="O35" s="474">
        <f ca="1">'3 Statment Model'!R69</f>
        <v>38195.498884597742</v>
      </c>
      <c r="P35" s="474">
        <f ca="1">'3 Statment Model'!S69</f>
        <v>39117.409655003663</v>
      </c>
      <c r="Q35" s="474">
        <f ca="1">'3 Statment Model'!T69</f>
        <v>40080.473713265405</v>
      </c>
      <c r="R35" s="474">
        <f ca="1">'3 Statment Model'!U69</f>
        <v>41078.544422508865</v>
      </c>
    </row>
    <row r="36" spans="1:18">
      <c r="B36" s="40" t="s">
        <v>128</v>
      </c>
      <c r="C36" s="40"/>
      <c r="D36" s="40"/>
      <c r="E36" s="40"/>
      <c r="F36" s="105">
        <f>F34/F35</f>
        <v>8.5583629969330832E-2</v>
      </c>
      <c r="G36" s="105">
        <f t="shared" ref="G36:R36" si="6">G34/G35</f>
        <v>6.8110625973497707E-2</v>
      </c>
      <c r="H36" s="105">
        <f t="shared" si="6"/>
        <v>5.8986072922643344E-2</v>
      </c>
      <c r="I36" s="105">
        <f t="shared" si="6"/>
        <v>4.2577541975941713E-2</v>
      </c>
      <c r="J36" s="105">
        <f t="shared" ca="1" si="6"/>
        <v>5.98570109189734E-2</v>
      </c>
      <c r="K36" s="105">
        <f t="shared" ca="1" si="6"/>
        <v>6.109487159233646E-2</v>
      </c>
      <c r="L36" s="105">
        <f t="shared" ca="1" si="6"/>
        <v>6.3067184100024279E-2</v>
      </c>
      <c r="M36" s="105">
        <f t="shared" ca="1" si="6"/>
        <v>6.6036900736196447E-2</v>
      </c>
      <c r="N36" s="105">
        <f t="shared" ca="1" si="6"/>
        <v>-7.3294459564684708E-2</v>
      </c>
      <c r="O36" s="105">
        <f t="shared" ca="1" si="6"/>
        <v>-7.9045463875598243E-2</v>
      </c>
      <c r="P36" s="105">
        <f t="shared" ca="1" si="6"/>
        <v>-8.6624662030999486E-2</v>
      </c>
      <c r="Q36" s="105">
        <f t="shared" ca="1" si="6"/>
        <v>-9.412261208516727E-2</v>
      </c>
      <c r="R36" s="105">
        <f t="shared" ca="1" si="6"/>
        <v>-0.10145848003604503</v>
      </c>
    </row>
    <row r="38" spans="1:18">
      <c r="B38" s="3" t="s">
        <v>125</v>
      </c>
      <c r="F38" s="51">
        <f>F31</f>
        <v>7698.5</v>
      </c>
      <c r="G38" s="51">
        <f t="shared" ref="G38:R38" si="7">G31</f>
        <v>8897.2999999999993</v>
      </c>
      <c r="H38" s="51">
        <f t="shared" si="7"/>
        <v>9671.6</v>
      </c>
      <c r="I38" s="51">
        <f t="shared" si="7"/>
        <v>13170</v>
      </c>
      <c r="J38" s="51">
        <f t="shared" si="7"/>
        <v>15398</v>
      </c>
      <c r="K38" s="51">
        <f t="shared" si="7"/>
        <v>17461</v>
      </c>
      <c r="L38" s="51">
        <f t="shared" si="7"/>
        <v>18636</v>
      </c>
      <c r="M38" s="51">
        <f t="shared" si="7"/>
        <v>20702.920000000002</v>
      </c>
      <c r="N38" s="51">
        <f t="shared" si="7"/>
        <v>22437.954595017032</v>
      </c>
      <c r="O38" s="51">
        <f t="shared" si="7"/>
        <v>23468.205623413302</v>
      </c>
      <c r="P38" s="51">
        <f t="shared" si="7"/>
        <v>23821.696797057561</v>
      </c>
      <c r="Q38" s="51">
        <f t="shared" si="7"/>
        <v>23760.228754818028</v>
      </c>
      <c r="R38" s="51">
        <f t="shared" si="7"/>
        <v>23446.664506499397</v>
      </c>
    </row>
    <row r="39" spans="1:18">
      <c r="B39" s="3" t="s">
        <v>127</v>
      </c>
      <c r="F39" s="51">
        <f>F35</f>
        <v>21513.46</v>
      </c>
      <c r="G39" s="51">
        <f t="shared" ref="G39:R39" si="8">G35</f>
        <v>23748.129999999997</v>
      </c>
      <c r="H39" s="51">
        <f t="shared" si="8"/>
        <v>26335.03</v>
      </c>
      <c r="I39" s="51">
        <f t="shared" si="8"/>
        <v>27925.520000000004</v>
      </c>
      <c r="J39" s="51">
        <f t="shared" ca="1" si="8"/>
        <v>32321.344990295107</v>
      </c>
      <c r="K39" s="51">
        <f t="shared" ca="1" si="8"/>
        <v>35140.453867723671</v>
      </c>
      <c r="L39" s="51">
        <f t="shared" ca="1" si="8"/>
        <v>37676.112905618727</v>
      </c>
      <c r="M39" s="51">
        <f t="shared" ca="1" si="8"/>
        <v>39711.867983006217</v>
      </c>
      <c r="N39" s="51">
        <f t="shared" ca="1" si="8"/>
        <v>36389.094672215855</v>
      </c>
      <c r="O39" s="51">
        <f t="shared" ca="1" si="8"/>
        <v>38195.498884597742</v>
      </c>
      <c r="P39" s="51">
        <f t="shared" ca="1" si="8"/>
        <v>39117.409655003663</v>
      </c>
      <c r="Q39" s="51">
        <f t="shared" ca="1" si="8"/>
        <v>40080.473713265405</v>
      </c>
      <c r="R39" s="51">
        <f t="shared" ca="1" si="8"/>
        <v>41078.544422508865</v>
      </c>
    </row>
    <row r="40" spans="1:18">
      <c r="B40" s="40" t="s">
        <v>129</v>
      </c>
      <c r="C40" s="40"/>
      <c r="D40" s="40"/>
      <c r="E40" s="40"/>
      <c r="F40" s="105">
        <f>F38/F39</f>
        <v>0.35784573936503011</v>
      </c>
      <c r="G40" s="105">
        <f t="shared" ref="G40:R40" si="9">G38/G39</f>
        <v>0.37465265686182447</v>
      </c>
      <c r="H40" s="105">
        <f t="shared" si="9"/>
        <v>0.36725228716276387</v>
      </c>
      <c r="I40" s="105">
        <f t="shared" si="9"/>
        <v>0.47161162979239057</v>
      </c>
      <c r="J40" s="105">
        <f t="shared" ca="1" si="9"/>
        <v>0.47640344189338174</v>
      </c>
      <c r="K40" s="105">
        <f t="shared" ca="1" si="9"/>
        <v>0.49689170395257304</v>
      </c>
      <c r="L40" s="105">
        <f t="shared" ca="1" si="9"/>
        <v>0.49463701435136026</v>
      </c>
      <c r="M40" s="105">
        <f t="shared" ca="1" si="9"/>
        <v>0.52132828425143185</v>
      </c>
      <c r="N40" s="105">
        <f t="shared" ca="1" si="9"/>
        <v>0.62088589940792982</v>
      </c>
      <c r="O40" s="105">
        <f t="shared" ca="1" si="9"/>
        <v>0.63537302634398629</v>
      </c>
      <c r="P40" s="105">
        <f t="shared" ca="1" si="9"/>
        <v>0.65356204634931403</v>
      </c>
      <c r="Q40" s="105">
        <f t="shared" ca="1" si="9"/>
        <v>0.65542812704448516</v>
      </c>
      <c r="R40" s="105">
        <f t="shared" ca="1" si="9"/>
        <v>0.65917656974261385</v>
      </c>
    </row>
    <row r="42" spans="1:18">
      <c r="A42" s="3" t="s">
        <v>21</v>
      </c>
      <c r="B42" s="489" t="s">
        <v>130</v>
      </c>
      <c r="C42" s="490"/>
      <c r="D42" s="490"/>
      <c r="E42" s="490"/>
      <c r="F42" s="490"/>
      <c r="G42" s="490"/>
      <c r="H42" s="490"/>
      <c r="I42" s="490"/>
      <c r="J42" s="490"/>
      <c r="K42" s="490"/>
      <c r="L42" s="490"/>
      <c r="M42" s="490"/>
      <c r="N42" s="490"/>
      <c r="O42" s="490"/>
      <c r="P42" s="490"/>
      <c r="Q42" s="490"/>
      <c r="R42" s="490"/>
    </row>
    <row r="44" spans="1:18">
      <c r="B44" s="3" t="s">
        <v>78</v>
      </c>
      <c r="F44" s="474">
        <f>'3 Statment Model'!I15</f>
        <v>12505.7</v>
      </c>
      <c r="G44" s="474">
        <f>'3 Statment Model'!J15</f>
        <v>13998.599999999999</v>
      </c>
      <c r="H44" s="474">
        <f>'3 Statment Model'!K15</f>
        <v>16483.100000000002</v>
      </c>
      <c r="I44" s="474">
        <f>'3 Statment Model'!L15</f>
        <v>18985.400000000001</v>
      </c>
      <c r="J44" s="474">
        <f>'3 Statment Model'!M15</f>
        <v>20314.836893</v>
      </c>
      <c r="K44" s="474">
        <f>'3 Statment Model'!N15</f>
        <v>21873.986647708552</v>
      </c>
      <c r="L44" s="474">
        <f>'3 Statment Model'!O15</f>
        <v>23320.110206910329</v>
      </c>
      <c r="M44" s="474">
        <f>'3 Statment Model'!P15</f>
        <v>24603.852164537253</v>
      </c>
      <c r="N44" s="474">
        <f>'3 Statment Model'!Q15</f>
        <v>25673.49917559266</v>
      </c>
      <c r="O44" s="474">
        <f>'3 Statment Model'!R15</f>
        <v>26476.539827157518</v>
      </c>
      <c r="P44" s="474">
        <f>'3 Statment Model'!S15</f>
        <v>26961.483063765547</v>
      </c>
      <c r="Q44" s="474">
        <f>'3 Statment Model'!T15</f>
        <v>27079.879098592904</v>
      </c>
      <c r="R44" s="474">
        <f>'3 Statment Model'!U15</f>
        <v>26788.466929966427</v>
      </c>
    </row>
    <row r="45" spans="1:18">
      <c r="B45" s="3" t="s">
        <v>27</v>
      </c>
      <c r="F45" s="474">
        <f>'3 Statment Model'!I13</f>
        <v>13559.7</v>
      </c>
      <c r="G45" s="474">
        <f>'3 Statment Model'!J13</f>
        <v>15009.099999999999</v>
      </c>
      <c r="H45" s="474">
        <f>'3 Statment Model'!K13</f>
        <v>17852.7</v>
      </c>
      <c r="I45" s="474">
        <f>'3 Statment Model'!L13</f>
        <v>20520.400000000001</v>
      </c>
      <c r="J45" s="474">
        <f>'3 Statment Model'!M13</f>
        <v>22141.511600000002</v>
      </c>
      <c r="K45" s="474">
        <f>'3 Statment Model'!N13</f>
        <v>25256.822282120003</v>
      </c>
      <c r="L45" s="474">
        <f>'3 Statment Model'!O13</f>
        <v>28626.803998048588</v>
      </c>
      <c r="M45" s="474">
        <f>'3 Statment Model'!P13</f>
        <v>32238.279799573833</v>
      </c>
      <c r="N45" s="474">
        <f>'3 Statment Model'!Q13</f>
        <v>36070.950720888883</v>
      </c>
      <c r="O45" s="474">
        <f>'3 Statment Model'!R13</f>
        <v>40096.984120636094</v>
      </c>
      <c r="P45" s="474">
        <f>'3 Statment Model'!S13</f>
        <v>44280.818006595036</v>
      </c>
      <c r="Q45" s="474">
        <f>'3 Statment Model'!T13</f>
        <v>48579.220268806661</v>
      </c>
      <c r="R45" s="474">
        <f>'3 Statment Model'!U13</f>
        <v>52941.634248945506</v>
      </c>
    </row>
    <row r="46" spans="1:18">
      <c r="B46" s="39" t="s">
        <v>131</v>
      </c>
      <c r="C46" s="40"/>
      <c r="D46" s="40"/>
      <c r="E46" s="40"/>
      <c r="F46" s="105">
        <f>F44/F45</f>
        <v>0.92226966673303978</v>
      </c>
      <c r="G46" s="105">
        <f t="shared" ref="G46:R46" si="10">G44/G45</f>
        <v>0.93267417766554961</v>
      </c>
      <c r="H46" s="105">
        <f t="shared" si="10"/>
        <v>0.92328331288824672</v>
      </c>
      <c r="I46" s="105">
        <f t="shared" si="10"/>
        <v>0.92519638993391939</v>
      </c>
      <c r="J46" s="105">
        <f t="shared" si="10"/>
        <v>0.91749999999999987</v>
      </c>
      <c r="K46" s="105">
        <f t="shared" si="10"/>
        <v>0.86606249999999985</v>
      </c>
      <c r="L46" s="105">
        <f t="shared" si="10"/>
        <v>0.81462499999999993</v>
      </c>
      <c r="M46" s="105">
        <f t="shared" si="10"/>
        <v>0.76318749999999991</v>
      </c>
      <c r="N46" s="105">
        <f t="shared" si="10"/>
        <v>0.71174999999999999</v>
      </c>
      <c r="O46" s="105">
        <f t="shared" si="10"/>
        <v>0.66031249999999997</v>
      </c>
      <c r="P46" s="105">
        <f t="shared" si="10"/>
        <v>0.60887499999999983</v>
      </c>
      <c r="Q46" s="105">
        <f t="shared" si="10"/>
        <v>0.55743749999999981</v>
      </c>
      <c r="R46" s="105">
        <f t="shared" si="10"/>
        <v>0.50600000000000001</v>
      </c>
    </row>
    <row r="48" spans="1:18">
      <c r="B48" s="3" t="s">
        <v>80</v>
      </c>
      <c r="F48" s="51">
        <f>'3 Statment Model'!I24</f>
        <v>4079.9000000000015</v>
      </c>
      <c r="G48" s="51">
        <f>'3 Statment Model'!J24</f>
        <v>3704.0999999999985</v>
      </c>
      <c r="H48" s="51">
        <f>'3 Statment Model'!K24</f>
        <v>2953.9000000000033</v>
      </c>
      <c r="I48" s="51">
        <f>'3 Statment Model'!L24</f>
        <v>4486.9000000000015</v>
      </c>
      <c r="J48" s="51">
        <f>'3 Statment Model'!M24</f>
        <v>5309.5344816799989</v>
      </c>
      <c r="K48" s="51">
        <f>'3 Statment Model'!N24</f>
        <v>4757.4381871158221</v>
      </c>
      <c r="L48" s="51">
        <f>'3 Statment Model'!O24</f>
        <v>3919.7251374328007</v>
      </c>
      <c r="M48" s="51">
        <f>'3 Statment Model'!P24</f>
        <v>2755.9699443660684</v>
      </c>
      <c r="N48" s="51">
        <f>'3 Statment Model'!Q24</f>
        <v>1228.2158720462648</v>
      </c>
      <c r="O48" s="51">
        <f>'3 Statment Model'!R24</f>
        <v>-697.18631139756326</v>
      </c>
      <c r="P48" s="51">
        <f>'3 Statment Model'!S24</f>
        <v>-3047.6272993039092</v>
      </c>
      <c r="Q48" s="51">
        <f>'3 Statment Model'!T24</f>
        <v>-5842.2584775773685</v>
      </c>
      <c r="R48" s="51">
        <f>'3 Statment Model'!U24</f>
        <v>-9090.0786005439404</v>
      </c>
    </row>
    <row r="49" spans="2:18">
      <c r="B49" s="3" t="s">
        <v>27</v>
      </c>
      <c r="F49" s="48">
        <f>'3 Statment Model'!I13</f>
        <v>13559.7</v>
      </c>
      <c r="G49" s="48">
        <f>'3 Statment Model'!J13</f>
        <v>15009.099999999999</v>
      </c>
      <c r="H49" s="48">
        <f>'3 Statment Model'!K13</f>
        <v>17852.7</v>
      </c>
      <c r="I49" s="48">
        <f>'3 Statment Model'!L13</f>
        <v>20520.400000000001</v>
      </c>
      <c r="J49" s="48">
        <f>'3 Statment Model'!M13</f>
        <v>22141.511600000002</v>
      </c>
      <c r="K49" s="48">
        <f>'3 Statment Model'!N13</f>
        <v>25256.822282120003</v>
      </c>
      <c r="L49" s="48">
        <f>'3 Statment Model'!O13</f>
        <v>28626.803998048588</v>
      </c>
      <c r="M49" s="48">
        <f>'3 Statment Model'!P13</f>
        <v>32238.279799573833</v>
      </c>
      <c r="N49" s="48">
        <f>'3 Statment Model'!Q13</f>
        <v>36070.950720888883</v>
      </c>
      <c r="O49" s="48">
        <f>'3 Statment Model'!R13</f>
        <v>40096.984120636094</v>
      </c>
      <c r="P49" s="48">
        <f>'3 Statment Model'!S13</f>
        <v>44280.818006595036</v>
      </c>
      <c r="Q49" s="48">
        <f>'3 Statment Model'!T13</f>
        <v>48579.220268806661</v>
      </c>
      <c r="R49" s="48">
        <f>'3 Statment Model'!U13</f>
        <v>52941.634248945506</v>
      </c>
    </row>
    <row r="50" spans="2:18">
      <c r="B50" s="39" t="s">
        <v>132</v>
      </c>
      <c r="C50" s="40"/>
      <c r="D50" s="40"/>
      <c r="E50" s="40"/>
      <c r="F50" s="105">
        <f>F48/F49</f>
        <v>0.30088423785186996</v>
      </c>
      <c r="G50" s="105">
        <f t="shared" ref="G50:R50" si="11">G48/G49</f>
        <v>0.24679028056312496</v>
      </c>
      <c r="H50" s="105">
        <f t="shared" si="11"/>
        <v>0.16545956634010558</v>
      </c>
      <c r="I50" s="105">
        <f t="shared" si="11"/>
        <v>0.2186555817625388</v>
      </c>
      <c r="J50" s="105">
        <f t="shared" si="11"/>
        <v>0.23979999999999993</v>
      </c>
      <c r="K50" s="105">
        <f t="shared" si="11"/>
        <v>0.18836249999999971</v>
      </c>
      <c r="L50" s="105">
        <f t="shared" si="11"/>
        <v>0.13692499999999991</v>
      </c>
      <c r="M50" s="105">
        <f t="shared" si="11"/>
        <v>8.5487500000000008E-2</v>
      </c>
      <c r="N50" s="105">
        <f t="shared" si="11"/>
        <v>3.4049999999999955E-2</v>
      </c>
      <c r="O50" s="105">
        <f t="shared" si="11"/>
        <v>-1.738750000000008E-2</v>
      </c>
      <c r="P50" s="105">
        <f t="shared" si="11"/>
        <v>-6.8825000000000136E-2</v>
      </c>
      <c r="Q50" s="105">
        <f t="shared" si="11"/>
        <v>-0.12026250000000015</v>
      </c>
      <c r="R50" s="105">
        <f t="shared" si="11"/>
        <v>-0.17169999999999994</v>
      </c>
    </row>
    <row r="52" spans="2:18">
      <c r="B52" s="3" t="s">
        <v>82</v>
      </c>
      <c r="F52" s="474">
        <f>'3 Statment Model'!I28</f>
        <v>2817.9000000000015</v>
      </c>
      <c r="G52" s="474">
        <f>'3 Statment Model'!J28</f>
        <v>2558.0999999999985</v>
      </c>
      <c r="H52" s="474">
        <f>'3 Statment Model'!K28</f>
        <v>1292.9000000000033</v>
      </c>
      <c r="I52" s="474">
        <f>'3 Statment Model'!L28</f>
        <v>2589.9000000000015</v>
      </c>
      <c r="J52" s="474">
        <f>'3 Statment Model'!M28</f>
        <v>2816.4880388228562</v>
      </c>
      <c r="K52" s="474">
        <f>'3 Statment Model'!N28</f>
        <v>1669.2488871158225</v>
      </c>
      <c r="L52" s="474">
        <f>'3 Statment Model'!O28</f>
        <v>236.39298028994426</v>
      </c>
      <c r="M52" s="474">
        <f>'3 Statment Model'!P28</f>
        <v>-1473.3145937291683</v>
      </c>
      <c r="N52" s="474">
        <f>'3 Statment Model'!Q28</f>
        <v>-3497.8305708108765</v>
      </c>
      <c r="O52" s="474">
        <f>'3 Statment Model'!R28</f>
        <v>-5870.804182826133</v>
      </c>
      <c r="P52" s="474">
        <f>'3 Statment Model'!S28</f>
        <v>-8619.6261231134304</v>
      </c>
      <c r="Q52" s="474">
        <f>'3 Statment Model'!T28</f>
        <v>-11763.447777577367</v>
      </c>
      <c r="R52" s="474">
        <f>'3 Statment Model'!U28</f>
        <v>-15311.267900543939</v>
      </c>
    </row>
    <row r="53" spans="2:18">
      <c r="B53" s="3" t="s">
        <v>27</v>
      </c>
      <c r="F53" s="474">
        <f>'3 Statment Model'!I13</f>
        <v>13559.7</v>
      </c>
      <c r="G53" s="474">
        <f>'3 Statment Model'!J13</f>
        <v>15009.099999999999</v>
      </c>
      <c r="H53" s="474">
        <f>'3 Statment Model'!K13</f>
        <v>17852.7</v>
      </c>
      <c r="I53" s="474">
        <f>'3 Statment Model'!L13</f>
        <v>20520.400000000001</v>
      </c>
      <c r="J53" s="474">
        <f>'3 Statment Model'!M13</f>
        <v>22141.511600000002</v>
      </c>
      <c r="K53" s="474">
        <f>'3 Statment Model'!N13</f>
        <v>25256.822282120003</v>
      </c>
      <c r="L53" s="474">
        <f>'3 Statment Model'!O13</f>
        <v>28626.803998048588</v>
      </c>
      <c r="M53" s="474">
        <f>'3 Statment Model'!P13</f>
        <v>32238.279799573833</v>
      </c>
      <c r="N53" s="474">
        <f>'3 Statment Model'!Q13</f>
        <v>36070.950720888883</v>
      </c>
      <c r="O53" s="474">
        <f>'3 Statment Model'!R13</f>
        <v>40096.984120636094</v>
      </c>
      <c r="P53" s="474">
        <f>'3 Statment Model'!S13</f>
        <v>44280.818006595036</v>
      </c>
      <c r="Q53" s="474">
        <f>'3 Statment Model'!T13</f>
        <v>48579.220268806661</v>
      </c>
      <c r="R53" s="474">
        <f>'3 Statment Model'!U13</f>
        <v>52941.634248945506</v>
      </c>
    </row>
    <row r="54" spans="2:18">
      <c r="B54" s="39" t="s">
        <v>133</v>
      </c>
      <c r="C54" s="40"/>
      <c r="D54" s="40"/>
      <c r="E54" s="40"/>
      <c r="F54" s="105">
        <f>F52/F53</f>
        <v>0.2078143321754907</v>
      </c>
      <c r="G54" s="105">
        <f t="shared" ref="G54:R54" si="12">G52/G53</f>
        <v>0.17043660179491102</v>
      </c>
      <c r="H54" s="105">
        <f t="shared" si="12"/>
        <v>7.2420418200048353E-2</v>
      </c>
      <c r="I54" s="105">
        <f t="shared" si="12"/>
        <v>0.1262109900391806</v>
      </c>
      <c r="J54" s="105">
        <f t="shared" si="12"/>
        <v>0.12720396374486265</v>
      </c>
      <c r="K54" s="105">
        <f t="shared" si="12"/>
        <v>6.6091009726806746E-2</v>
      </c>
      <c r="L54" s="105">
        <f t="shared" si="12"/>
        <v>8.2577496358328551E-3</v>
      </c>
      <c r="M54" s="105">
        <f t="shared" si="12"/>
        <v>-4.5700781893103504E-2</v>
      </c>
      <c r="N54" s="105">
        <f t="shared" si="12"/>
        <v>-9.6970844984833285E-2</v>
      </c>
      <c r="O54" s="105">
        <f t="shared" si="12"/>
        <v>-0.14641510606291952</v>
      </c>
      <c r="P54" s="105">
        <f t="shared" si="12"/>
        <v>-0.19465824054627112</v>
      </c>
      <c r="Q54" s="105">
        <f t="shared" si="12"/>
        <v>-0.24214978570026219</v>
      </c>
      <c r="R54" s="105">
        <f t="shared" si="12"/>
        <v>-0.28921033734142632</v>
      </c>
    </row>
    <row r="56" spans="2:18">
      <c r="B56" s="3" t="s">
        <v>134</v>
      </c>
      <c r="F56" s="474">
        <f>'3 Statment Model'!I39</f>
        <v>2291.0000000000009</v>
      </c>
      <c r="G56" s="474">
        <f>'3 Statment Model'!J39</f>
        <v>2334.4999999999986</v>
      </c>
      <c r="H56" s="474">
        <f>'3 Statment Model'!K39</f>
        <v>1269.4000000000033</v>
      </c>
      <c r="I56" s="474">
        <f>'3 Statment Model'!L39</f>
        <v>2091.7000000000016</v>
      </c>
      <c r="J56" s="474">
        <f>'3 Statment Model'!M39</f>
        <v>2669.2839923338925</v>
      </c>
      <c r="K56" s="474">
        <f>'3 Statment Model'!N39</f>
        <v>1873.1836879932157</v>
      </c>
      <c r="L56" s="474">
        <f>'3 Statment Model'!O39</f>
        <v>883.72793411065095</v>
      </c>
      <c r="M56" s="474">
        <f>'3 Statment Model'!P39</f>
        <v>-307.34021119767368</v>
      </c>
      <c r="N56" s="474">
        <f>'3 Statment Model'!Q39</f>
        <v>-1567.8212415931632</v>
      </c>
      <c r="O56" s="474">
        <f>'3 Statment Model'!R39</f>
        <v>-3065.802758410091</v>
      </c>
      <c r="P56" s="474">
        <f>'3 Statment Model'!S39</f>
        <v>-4983.1870589909404</v>
      </c>
      <c r="Q56" s="474">
        <f>'3 Statment Model'!T39</f>
        <v>-7192.7615860815113</v>
      </c>
      <c r="R56" s="474">
        <f>'3 Statment Model'!U39</f>
        <v>-9703.0355826906634</v>
      </c>
    </row>
    <row r="57" spans="2:18">
      <c r="B57" s="3" t="s">
        <v>27</v>
      </c>
      <c r="F57" s="48">
        <f>F53</f>
        <v>13559.7</v>
      </c>
      <c r="G57" s="48">
        <f t="shared" ref="G57:R57" si="13">G53</f>
        <v>15009.099999999999</v>
      </c>
      <c r="H57" s="48">
        <f t="shared" si="13"/>
        <v>17852.7</v>
      </c>
      <c r="I57" s="48">
        <f t="shared" si="13"/>
        <v>20520.400000000001</v>
      </c>
      <c r="J57" s="48">
        <f t="shared" si="13"/>
        <v>22141.511600000002</v>
      </c>
      <c r="K57" s="48">
        <f t="shared" si="13"/>
        <v>25256.822282120003</v>
      </c>
      <c r="L57" s="48">
        <f t="shared" si="13"/>
        <v>28626.803998048588</v>
      </c>
      <c r="M57" s="48">
        <f t="shared" si="13"/>
        <v>32238.279799573833</v>
      </c>
      <c r="N57" s="48">
        <f t="shared" si="13"/>
        <v>36070.950720888883</v>
      </c>
      <c r="O57" s="48">
        <f t="shared" si="13"/>
        <v>40096.984120636094</v>
      </c>
      <c r="P57" s="48">
        <f t="shared" si="13"/>
        <v>44280.818006595036</v>
      </c>
      <c r="Q57" s="48">
        <f t="shared" si="13"/>
        <v>48579.220268806661</v>
      </c>
      <c r="R57" s="48">
        <f t="shared" si="13"/>
        <v>52941.634248945506</v>
      </c>
    </row>
    <row r="58" spans="2:18">
      <c r="B58" s="39" t="s">
        <v>135</v>
      </c>
      <c r="C58" s="40"/>
      <c r="D58" s="40"/>
      <c r="E58" s="40"/>
      <c r="F58" s="105">
        <f>F56/F57</f>
        <v>0.16895654033643817</v>
      </c>
      <c r="G58" s="105">
        <f t="shared" ref="G58:R58" si="14">G56/G57</f>
        <v>0.15553897302303263</v>
      </c>
      <c r="H58" s="105">
        <f t="shared" si="14"/>
        <v>7.1104090697765784E-2</v>
      </c>
      <c r="I58" s="105">
        <f t="shared" si="14"/>
        <v>0.10193271086333607</v>
      </c>
      <c r="J58" s="105">
        <f t="shared" si="14"/>
        <v>0.12055563506937314</v>
      </c>
      <c r="K58" s="105">
        <f t="shared" si="14"/>
        <v>7.4165453874983064E-2</v>
      </c>
      <c r="L58" s="105">
        <f t="shared" si="14"/>
        <v>3.0870646062022583E-2</v>
      </c>
      <c r="M58" s="105">
        <f t="shared" si="14"/>
        <v>-9.5333936273403926E-3</v>
      </c>
      <c r="N58" s="105">
        <f t="shared" si="14"/>
        <v>-4.3464927046828E-2</v>
      </c>
      <c r="O58" s="105">
        <f t="shared" si="14"/>
        <v>-7.6459684578428472E-2</v>
      </c>
      <c r="P58" s="105">
        <f t="shared" si="14"/>
        <v>-0.11253602086232375</v>
      </c>
      <c r="Q58" s="105">
        <f t="shared" si="14"/>
        <v>-0.14806251615981733</v>
      </c>
      <c r="R58" s="105">
        <f t="shared" si="14"/>
        <v>-0.18327797621555156</v>
      </c>
    </row>
    <row r="60" spans="2:18">
      <c r="B60" s="3" t="s">
        <v>46</v>
      </c>
      <c r="F60" s="48">
        <f>F56</f>
        <v>2291.0000000000009</v>
      </c>
      <c r="G60" s="48">
        <f t="shared" ref="G60:R60" si="15">G56</f>
        <v>2334.4999999999986</v>
      </c>
      <c r="H60" s="48">
        <f t="shared" si="15"/>
        <v>1269.4000000000033</v>
      </c>
      <c r="I60" s="48">
        <f t="shared" si="15"/>
        <v>2091.7000000000016</v>
      </c>
      <c r="J60" s="48">
        <f t="shared" si="15"/>
        <v>2669.2839923338925</v>
      </c>
      <c r="K60" s="48">
        <f t="shared" si="15"/>
        <v>1873.1836879932157</v>
      </c>
      <c r="L60" s="48">
        <f t="shared" si="15"/>
        <v>883.72793411065095</v>
      </c>
      <c r="M60" s="48">
        <f t="shared" si="15"/>
        <v>-307.34021119767368</v>
      </c>
      <c r="N60" s="48">
        <f t="shared" si="15"/>
        <v>-1567.8212415931632</v>
      </c>
      <c r="O60" s="48">
        <f t="shared" si="15"/>
        <v>-3065.802758410091</v>
      </c>
      <c r="P60" s="48">
        <f t="shared" si="15"/>
        <v>-4983.1870589909404</v>
      </c>
      <c r="Q60" s="48">
        <f t="shared" si="15"/>
        <v>-7192.7615860815113</v>
      </c>
      <c r="R60" s="48">
        <f t="shared" si="15"/>
        <v>-9703.0355826906634</v>
      </c>
    </row>
    <row r="61" spans="2:18">
      <c r="B61" s="3" t="s">
        <v>127</v>
      </c>
      <c r="F61" s="48">
        <f>F39</f>
        <v>21513.46</v>
      </c>
      <c r="G61" s="48">
        <f t="shared" ref="G61:R61" si="16">G39</f>
        <v>23748.129999999997</v>
      </c>
      <c r="H61" s="48">
        <f t="shared" si="16"/>
        <v>26335.03</v>
      </c>
      <c r="I61" s="48">
        <f t="shared" si="16"/>
        <v>27925.520000000004</v>
      </c>
      <c r="J61" s="48">
        <f t="shared" ca="1" si="16"/>
        <v>32321.344990295107</v>
      </c>
      <c r="K61" s="48">
        <f t="shared" ca="1" si="16"/>
        <v>35140.453867723671</v>
      </c>
      <c r="L61" s="48">
        <f t="shared" ca="1" si="16"/>
        <v>37676.112905618727</v>
      </c>
      <c r="M61" s="48">
        <f t="shared" ca="1" si="16"/>
        <v>39711.867983006217</v>
      </c>
      <c r="N61" s="48">
        <f t="shared" ca="1" si="16"/>
        <v>36389.094672215855</v>
      </c>
      <c r="O61" s="48">
        <f t="shared" ca="1" si="16"/>
        <v>38195.498884597742</v>
      </c>
      <c r="P61" s="48">
        <f t="shared" ca="1" si="16"/>
        <v>39117.409655003663</v>
      </c>
      <c r="Q61" s="48">
        <f t="shared" ca="1" si="16"/>
        <v>40080.473713265405</v>
      </c>
      <c r="R61" s="48">
        <f t="shared" ca="1" si="16"/>
        <v>41078.544422508865</v>
      </c>
    </row>
    <row r="62" spans="2:18">
      <c r="B62" s="39" t="s">
        <v>136</v>
      </c>
      <c r="C62" s="40"/>
      <c r="D62" s="40"/>
      <c r="E62" s="40"/>
      <c r="F62" s="105">
        <f>F60/F61</f>
        <v>0.10649147092099555</v>
      </c>
      <c r="G62" s="105">
        <f t="shared" ref="G62:R62" si="17">G60/G61</f>
        <v>9.8302476868704983E-2</v>
      </c>
      <c r="H62" s="105">
        <f t="shared" si="17"/>
        <v>4.8201957620705324E-2</v>
      </c>
      <c r="I62" s="105">
        <f t="shared" si="17"/>
        <v>7.490281291091451E-2</v>
      </c>
      <c r="J62" s="105">
        <f t="shared" ca="1" si="17"/>
        <v>8.998843785105283E-2</v>
      </c>
      <c r="K62" s="105">
        <f t="shared" ca="1" si="17"/>
        <v>8.666074982882413E-2</v>
      </c>
      <c r="L62" s="105">
        <f t="shared" ca="1" si="17"/>
        <v>8.6080044021070057E-2</v>
      </c>
      <c r="M62" s="105">
        <f t="shared" ca="1" si="17"/>
        <v>8.8665624497192452E-2</v>
      </c>
      <c r="N62" s="105">
        <f t="shared" ca="1" si="17"/>
        <v>0.11104208455682653</v>
      </c>
      <c r="O62" s="105">
        <f t="shared" ca="1" si="17"/>
        <v>0.12181723805273531</v>
      </c>
      <c r="P62" s="105">
        <f t="shared" ca="1" si="17"/>
        <v>0.13266592875369398</v>
      </c>
      <c r="Q62" s="105">
        <f t="shared" ca="1" si="17"/>
        <v>0.14449690859681488</v>
      </c>
      <c r="R62" s="105">
        <f t="shared" ca="1" si="17"/>
        <v>0.15705858963535493</v>
      </c>
    </row>
    <row r="64" spans="2:18">
      <c r="B64" s="3" t="s">
        <v>46</v>
      </c>
      <c r="F64" s="48">
        <f>F60</f>
        <v>2291.0000000000009</v>
      </c>
      <c r="G64" s="48">
        <f t="shared" ref="G64:R64" si="18">G60</f>
        <v>2334.4999999999986</v>
      </c>
      <c r="H64" s="48">
        <f t="shared" si="18"/>
        <v>1269.4000000000033</v>
      </c>
      <c r="I64" s="48">
        <f t="shared" si="18"/>
        <v>2091.7000000000016</v>
      </c>
      <c r="J64" s="48">
        <f t="shared" si="18"/>
        <v>2669.2839923338925</v>
      </c>
      <c r="K64" s="48">
        <f t="shared" si="18"/>
        <v>1873.1836879932157</v>
      </c>
      <c r="L64" s="48">
        <f t="shared" si="18"/>
        <v>883.72793411065095</v>
      </c>
      <c r="M64" s="48">
        <f t="shared" si="18"/>
        <v>-307.34021119767368</v>
      </c>
      <c r="N64" s="48">
        <f t="shared" si="18"/>
        <v>-1567.8212415931632</v>
      </c>
      <c r="O64" s="48">
        <f t="shared" si="18"/>
        <v>-3065.802758410091</v>
      </c>
      <c r="P64" s="48">
        <f t="shared" si="18"/>
        <v>-4983.1870589909404</v>
      </c>
      <c r="Q64" s="48">
        <f t="shared" si="18"/>
        <v>-7192.7615860815113</v>
      </c>
      <c r="R64" s="48">
        <f t="shared" si="18"/>
        <v>-9703.0355826906634</v>
      </c>
    </row>
    <row r="65" spans="1:18">
      <c r="B65" s="3" t="s">
        <v>125</v>
      </c>
      <c r="F65" s="48">
        <f>F38</f>
        <v>7698.5</v>
      </c>
      <c r="G65" s="48">
        <f t="shared" ref="G65:R65" si="19">G38</f>
        <v>8897.2999999999993</v>
      </c>
      <c r="H65" s="48">
        <f t="shared" si="19"/>
        <v>9671.6</v>
      </c>
      <c r="I65" s="48">
        <f t="shared" si="19"/>
        <v>13170</v>
      </c>
      <c r="J65" s="48">
        <f t="shared" si="19"/>
        <v>15398</v>
      </c>
      <c r="K65" s="48">
        <f t="shared" si="19"/>
        <v>17461</v>
      </c>
      <c r="L65" s="48">
        <f t="shared" si="19"/>
        <v>18636</v>
      </c>
      <c r="M65" s="48">
        <f t="shared" si="19"/>
        <v>20702.920000000002</v>
      </c>
      <c r="N65" s="48">
        <f t="shared" si="19"/>
        <v>22437.954595017032</v>
      </c>
      <c r="O65" s="48">
        <f t="shared" si="19"/>
        <v>23468.205623413302</v>
      </c>
      <c r="P65" s="48">
        <f t="shared" si="19"/>
        <v>23821.696797057561</v>
      </c>
      <c r="Q65" s="48">
        <f t="shared" si="19"/>
        <v>23760.228754818028</v>
      </c>
      <c r="R65" s="48">
        <f t="shared" si="19"/>
        <v>23446.664506499397</v>
      </c>
    </row>
    <row r="66" spans="1:18">
      <c r="B66" s="39" t="s">
        <v>12</v>
      </c>
      <c r="C66" s="40"/>
      <c r="D66" s="40"/>
      <c r="E66" s="40"/>
      <c r="F66" s="105">
        <f>F64/F65</f>
        <v>0.29759043969604482</v>
      </c>
      <c r="G66" s="105">
        <f t="shared" ref="G66:R66" si="20">G64/G65</f>
        <v>0.26238297011452899</v>
      </c>
      <c r="H66" s="105">
        <f t="shared" si="20"/>
        <v>0.13125025848877159</v>
      </c>
      <c r="I66" s="105">
        <f t="shared" si="20"/>
        <v>0.15882308276385737</v>
      </c>
      <c r="J66" s="105">
        <f t="shared" si="20"/>
        <v>0.1733526427025518</v>
      </c>
      <c r="K66" s="105">
        <f t="shared" si="20"/>
        <v>0.10727814489394741</v>
      </c>
      <c r="L66" s="105">
        <f t="shared" si="20"/>
        <v>4.7420472961507351E-2</v>
      </c>
      <c r="M66" s="105">
        <f t="shared" si="20"/>
        <v>-1.4845259084113433E-2</v>
      </c>
      <c r="N66" s="105">
        <f t="shared" si="20"/>
        <v>-6.9873625733307312E-2</v>
      </c>
      <c r="O66" s="105">
        <f t="shared" si="20"/>
        <v>-0.13063643670104291</v>
      </c>
      <c r="P66" s="105">
        <f t="shared" si="20"/>
        <v>-0.20918690643424109</v>
      </c>
      <c r="Q66" s="105">
        <f t="shared" si="20"/>
        <v>-0.302722741447638</v>
      </c>
      <c r="R66" s="105">
        <f t="shared" si="20"/>
        <v>-0.41383436778399713</v>
      </c>
    </row>
    <row r="68" spans="1:18">
      <c r="A68" s="3" t="s">
        <v>21</v>
      </c>
      <c r="B68" s="489" t="s">
        <v>137</v>
      </c>
      <c r="C68" s="490"/>
      <c r="D68" s="490"/>
      <c r="E68" s="490"/>
      <c r="F68" s="490"/>
      <c r="G68" s="490"/>
      <c r="H68" s="490"/>
      <c r="I68" s="490"/>
      <c r="J68" s="490"/>
      <c r="K68" s="490"/>
      <c r="L68" s="490"/>
      <c r="M68" s="490"/>
      <c r="N68" s="490"/>
      <c r="O68" s="490"/>
      <c r="P68" s="490"/>
      <c r="Q68" s="490"/>
      <c r="R68" s="490"/>
    </row>
    <row r="70" spans="1:18">
      <c r="B70" s="3" t="s">
        <v>40</v>
      </c>
      <c r="F70" s="48">
        <f>F57</f>
        <v>13559.7</v>
      </c>
      <c r="G70" s="48">
        <f t="shared" ref="G70:R70" si="21">G57</f>
        <v>15009.099999999999</v>
      </c>
      <c r="H70" s="48">
        <f t="shared" si="21"/>
        <v>17852.7</v>
      </c>
      <c r="I70" s="48">
        <f t="shared" si="21"/>
        <v>20520.400000000001</v>
      </c>
      <c r="J70" s="48">
        <f t="shared" si="21"/>
        <v>22141.511600000002</v>
      </c>
      <c r="K70" s="48">
        <f t="shared" si="21"/>
        <v>25256.822282120003</v>
      </c>
      <c r="L70" s="48">
        <f t="shared" si="21"/>
        <v>28626.803998048588</v>
      </c>
      <c r="M70" s="48">
        <f t="shared" si="21"/>
        <v>32238.279799573833</v>
      </c>
      <c r="N70" s="48">
        <f t="shared" si="21"/>
        <v>36070.950720888883</v>
      </c>
      <c r="O70" s="48">
        <f t="shared" si="21"/>
        <v>40096.984120636094</v>
      </c>
      <c r="P70" s="48">
        <f t="shared" si="21"/>
        <v>44280.818006595036</v>
      </c>
      <c r="Q70" s="48">
        <f t="shared" si="21"/>
        <v>48579.220268806661</v>
      </c>
      <c r="R70" s="48">
        <f t="shared" si="21"/>
        <v>52941.634248945506</v>
      </c>
    </row>
    <row r="71" spans="1:18">
      <c r="B71" s="3" t="s">
        <v>127</v>
      </c>
      <c r="F71" s="48">
        <f>F61</f>
        <v>21513.46</v>
      </c>
      <c r="G71" s="48">
        <f t="shared" ref="G71:R71" si="22">G61</f>
        <v>23748.129999999997</v>
      </c>
      <c r="H71" s="48">
        <f t="shared" si="22"/>
        <v>26335.03</v>
      </c>
      <c r="I71" s="48">
        <f t="shared" si="22"/>
        <v>27925.520000000004</v>
      </c>
      <c r="J71" s="48">
        <f t="shared" ca="1" si="22"/>
        <v>32321.344990295107</v>
      </c>
      <c r="K71" s="48">
        <f t="shared" ca="1" si="22"/>
        <v>35140.453867723671</v>
      </c>
      <c r="L71" s="48">
        <f t="shared" ca="1" si="22"/>
        <v>37676.112905618727</v>
      </c>
      <c r="M71" s="48">
        <f t="shared" ca="1" si="22"/>
        <v>39711.867983006217</v>
      </c>
      <c r="N71" s="48">
        <f t="shared" ca="1" si="22"/>
        <v>36389.094672215855</v>
      </c>
      <c r="O71" s="48">
        <f t="shared" ca="1" si="22"/>
        <v>38195.498884597742</v>
      </c>
      <c r="P71" s="48">
        <f t="shared" ca="1" si="22"/>
        <v>39117.409655003663</v>
      </c>
      <c r="Q71" s="48">
        <f t="shared" ca="1" si="22"/>
        <v>40080.473713265405</v>
      </c>
      <c r="R71" s="48">
        <f t="shared" ca="1" si="22"/>
        <v>41078.544422508865</v>
      </c>
    </row>
    <row r="72" spans="1:18">
      <c r="B72" s="39" t="s">
        <v>138</v>
      </c>
      <c r="C72" s="40"/>
      <c r="D72" s="40"/>
      <c r="E72" s="40"/>
      <c r="F72" s="105">
        <f>F70/F71</f>
        <v>0.63028913061869185</v>
      </c>
      <c r="G72" s="105">
        <f t="shared" ref="G72:R72" si="23">G70/G71</f>
        <v>0.63201186788180796</v>
      </c>
      <c r="H72" s="105">
        <f t="shared" si="23"/>
        <v>0.6779069551088418</v>
      </c>
      <c r="I72" s="105">
        <f t="shared" si="23"/>
        <v>0.73482606590674049</v>
      </c>
      <c r="J72" s="105">
        <f t="shared" ca="1" si="23"/>
        <v>0.72059668330613458</v>
      </c>
      <c r="K72" s="105">
        <f t="shared" ca="1" si="23"/>
        <v>0.74851907701338638</v>
      </c>
      <c r="L72" s="105">
        <f t="shared" ca="1" si="23"/>
        <v>0.78450285969472255</v>
      </c>
      <c r="M72" s="105">
        <f t="shared" ca="1" si="23"/>
        <v>0.83214983347194238</v>
      </c>
      <c r="N72" s="105">
        <f t="shared" ca="1" si="23"/>
        <v>1.010209797045504</v>
      </c>
      <c r="O72" s="105">
        <f t="shared" ca="1" si="23"/>
        <v>1.065173052075576</v>
      </c>
      <c r="P72" s="105">
        <f t="shared" ca="1" si="23"/>
        <v>1.1452202849711512</v>
      </c>
      <c r="Q72" s="105">
        <f t="shared" ca="1" si="23"/>
        <v>1.2243873501734746</v>
      </c>
      <c r="R72" s="105">
        <f t="shared" ca="1" si="23"/>
        <v>1.3019174170029912</v>
      </c>
    </row>
    <row r="74" spans="1:18">
      <c r="B74" s="3" t="s">
        <v>139</v>
      </c>
      <c r="F74" s="48"/>
      <c r="G74" s="48">
        <f>G70-F70</f>
        <v>1449.3999999999978</v>
      </c>
      <c r="H74" s="48">
        <f t="shared" ref="H74:R74" si="24">H70-G70</f>
        <v>2843.6000000000022</v>
      </c>
      <c r="I74" s="48">
        <f t="shared" si="24"/>
        <v>2667.7000000000007</v>
      </c>
      <c r="J74" s="48">
        <f t="shared" si="24"/>
        <v>1621.1116000000002</v>
      </c>
      <c r="K74" s="48">
        <f t="shared" si="24"/>
        <v>3115.3106821200017</v>
      </c>
      <c r="L74" s="48">
        <f t="shared" si="24"/>
        <v>3369.9817159285849</v>
      </c>
      <c r="M74" s="48">
        <f t="shared" si="24"/>
        <v>3611.4758015252446</v>
      </c>
      <c r="N74" s="48">
        <f t="shared" si="24"/>
        <v>3832.6709213150498</v>
      </c>
      <c r="O74" s="48">
        <f t="shared" si="24"/>
        <v>4026.0333997472117</v>
      </c>
      <c r="P74" s="48">
        <f t="shared" si="24"/>
        <v>4183.8338859589421</v>
      </c>
      <c r="Q74" s="48">
        <f t="shared" si="24"/>
        <v>4298.4022622116245</v>
      </c>
      <c r="R74" s="48">
        <f t="shared" si="24"/>
        <v>4362.4139801388446</v>
      </c>
    </row>
    <row r="75" spans="1:18">
      <c r="B75" s="3" t="s">
        <v>140</v>
      </c>
      <c r="F75" s="48"/>
      <c r="G75" s="48">
        <f>G71-F71</f>
        <v>2234.6699999999983</v>
      </c>
      <c r="H75" s="48">
        <f t="shared" ref="H75:R75" si="25">H71-G71</f>
        <v>2586.9000000000015</v>
      </c>
      <c r="I75" s="48">
        <f t="shared" si="25"/>
        <v>1590.4900000000052</v>
      </c>
      <c r="J75" s="48">
        <f t="shared" ca="1" si="25"/>
        <v>4395.8249902951029</v>
      </c>
      <c r="K75" s="48">
        <f t="shared" ca="1" si="25"/>
        <v>2819.1088774285636</v>
      </c>
      <c r="L75" s="48">
        <f t="shared" ca="1" si="25"/>
        <v>2535.6590378950568</v>
      </c>
      <c r="M75" s="48">
        <f t="shared" ca="1" si="25"/>
        <v>2035.75507738749</v>
      </c>
      <c r="N75" s="48">
        <f t="shared" ca="1" si="25"/>
        <v>-3322.7733107903623</v>
      </c>
      <c r="O75" s="48">
        <f t="shared" ca="1" si="25"/>
        <v>1806.4042123818872</v>
      </c>
      <c r="P75" s="48">
        <f t="shared" ca="1" si="25"/>
        <v>921.91077040592063</v>
      </c>
      <c r="Q75" s="48">
        <f t="shared" ca="1" si="25"/>
        <v>963.06405826174159</v>
      </c>
      <c r="R75" s="48">
        <f t="shared" ca="1" si="25"/>
        <v>998.07070924346044</v>
      </c>
    </row>
    <row r="76" spans="1:18">
      <c r="B76" s="39" t="s">
        <v>141</v>
      </c>
      <c r="C76" s="40"/>
      <c r="D76" s="40"/>
      <c r="E76" s="40"/>
      <c r="F76" s="105"/>
      <c r="G76" s="106">
        <f>G74/G75</f>
        <v>0.64859688455118603</v>
      </c>
      <c r="H76" s="106">
        <f t="shared" ref="H76:R76" si="26">H74/H75</f>
        <v>1.0992307394951488</v>
      </c>
      <c r="I76" s="106">
        <f t="shared" si="26"/>
        <v>1.6772818439600323</v>
      </c>
      <c r="J76" s="106">
        <f t="shared" ca="1" si="26"/>
        <v>0.63020115817077305</v>
      </c>
      <c r="K76" s="106">
        <f t="shared" ca="1" si="26"/>
        <v>1.0686519130286212</v>
      </c>
      <c r="L76" s="106">
        <f t="shared" ca="1" si="26"/>
        <v>1.2831844396714149</v>
      </c>
      <c r="M76" s="106">
        <f t="shared" ca="1" si="26"/>
        <v>1.7139615914685531</v>
      </c>
      <c r="N76" s="106">
        <f t="shared" ca="1" si="26"/>
        <v>-1.1178600726412222</v>
      </c>
      <c r="O76" s="106">
        <f t="shared" ca="1" si="26"/>
        <v>2.1723798871090212</v>
      </c>
      <c r="P76" s="106">
        <f t="shared" ca="1" si="26"/>
        <v>4.4616410199538645</v>
      </c>
      <c r="Q76" s="106">
        <f t="shared" ca="1" si="26"/>
        <v>4.4399683846201086</v>
      </c>
      <c r="R76" s="106">
        <f t="shared" ca="1" si="26"/>
        <v>4.4153659700655288</v>
      </c>
    </row>
    <row r="78" spans="1:18">
      <c r="B78" s="3" t="s">
        <v>53</v>
      </c>
      <c r="F78" s="474">
        <f>'3 Statment Model'!I14*-1</f>
        <v>1054</v>
      </c>
      <c r="G78" s="474">
        <f>'3 Statment Model'!J14*-1</f>
        <v>1010.5</v>
      </c>
      <c r="H78" s="474">
        <f>'3 Statment Model'!K14*-1</f>
        <v>1369.6</v>
      </c>
      <c r="I78" s="474">
        <f>'3 Statment Model'!L14*-1</f>
        <v>1535</v>
      </c>
      <c r="J78" s="474">
        <f>'3 Statment Model'!M14*-1</f>
        <v>1826.6747070000006</v>
      </c>
      <c r="K78" s="474">
        <f>'3 Statment Model'!N14*-1</f>
        <v>3382.8356344114491</v>
      </c>
      <c r="L78" s="474">
        <f>'3 Statment Model'!O14*-1</f>
        <v>5306.6937911382593</v>
      </c>
      <c r="M78" s="474">
        <f>'3 Statment Model'!P14*-1</f>
        <v>7634.4276350365817</v>
      </c>
      <c r="N78" s="474">
        <f>'3 Statment Model'!Q14*-1</f>
        <v>10397.451545296224</v>
      </c>
      <c r="O78" s="474">
        <f>'3 Statment Model'!R14*-1</f>
        <v>13620.444293478578</v>
      </c>
      <c r="P78" s="474">
        <f>'3 Statment Model'!S14*-1</f>
        <v>17319.33494282949</v>
      </c>
      <c r="Q78" s="474">
        <f>'3 Statment Model'!T14*-1</f>
        <v>21499.341170213756</v>
      </c>
      <c r="R78" s="474">
        <f>'3 Statment Model'!U14*-1</f>
        <v>26153.167318979078</v>
      </c>
    </row>
    <row r="79" spans="1:18">
      <c r="B79" s="3" t="s">
        <v>10</v>
      </c>
      <c r="F79" s="48">
        <f>F19</f>
        <v>1716</v>
      </c>
      <c r="G79" s="48">
        <f t="shared" ref="G79:R79" si="27">G19</f>
        <v>2497</v>
      </c>
      <c r="H79" s="48">
        <f t="shared" si="27"/>
        <v>2760</v>
      </c>
      <c r="I79" s="48">
        <f t="shared" si="27"/>
        <v>3555.07</v>
      </c>
      <c r="J79" s="48">
        <f t="shared" ca="1" si="27"/>
        <v>3555.0700000000006</v>
      </c>
      <c r="K79" s="48">
        <f t="shared" ca="1" si="27"/>
        <v>3555.0700000000015</v>
      </c>
      <c r="L79" s="48">
        <f t="shared" ca="1" si="27"/>
        <v>3555.0700000000015</v>
      </c>
      <c r="M79" s="48">
        <f t="shared" ca="1" si="27"/>
        <v>3555.0700000000029</v>
      </c>
      <c r="N79" s="48">
        <f t="shared" ca="1" si="27"/>
        <v>3555.0700000000033</v>
      </c>
      <c r="O79" s="48">
        <f t="shared" ca="1" si="27"/>
        <v>3555.0700000000047</v>
      </c>
      <c r="P79" s="48">
        <f t="shared" ca="1" si="27"/>
        <v>3555.0700000000052</v>
      </c>
      <c r="Q79" s="48">
        <f t="shared" ca="1" si="27"/>
        <v>3555.0700000000065</v>
      </c>
      <c r="R79" s="48">
        <f t="shared" ca="1" si="27"/>
        <v>3555.070000000007</v>
      </c>
    </row>
    <row r="80" spans="1:18">
      <c r="B80" s="39" t="s">
        <v>142</v>
      </c>
      <c r="C80" s="40"/>
      <c r="D80" s="40"/>
      <c r="E80" s="40"/>
      <c r="F80" s="105">
        <f>F78/F79</f>
        <v>0.61421911421911424</v>
      </c>
      <c r="G80" s="105">
        <f t="shared" ref="G80:R80" si="28">G78/G79</f>
        <v>0.40468562274729675</v>
      </c>
      <c r="H80" s="105">
        <f t="shared" si="28"/>
        <v>0.49623188405797097</v>
      </c>
      <c r="I80" s="105">
        <f t="shared" si="28"/>
        <v>0.4317777146441561</v>
      </c>
      <c r="J80" s="105">
        <f t="shared" ca="1" si="28"/>
        <v>0.54048976672751881</v>
      </c>
      <c r="K80" s="105">
        <f t="shared" ca="1" si="28"/>
        <v>0.6173385057588795</v>
      </c>
      <c r="L80" s="105">
        <f t="shared" ca="1" si="28"/>
        <v>0.70149769778553672</v>
      </c>
      <c r="M80" s="105">
        <f t="shared" ca="1" si="28"/>
        <v>0.79302405102033191</v>
      </c>
      <c r="N80" s="105">
        <f t="shared" ca="1" si="28"/>
        <v>0.89185401978749024</v>
      </c>
      <c r="O80" s="105">
        <f t="shared" ca="1" si="28"/>
        <v>0.99778834331719379</v>
      </c>
      <c r="P80" s="105">
        <f t="shared" ca="1" si="28"/>
        <v>1.1104783442332997</v>
      </c>
      <c r="Q80" s="105">
        <f t="shared" ca="1" si="28"/>
        <v>1.2294147096604784</v>
      </c>
      <c r="R80" s="105">
        <f t="shared" ca="1" si="28"/>
        <v>1.3539194784889108</v>
      </c>
    </row>
    <row r="82" spans="1:18">
      <c r="A82" s="3" t="s">
        <v>21</v>
      </c>
      <c r="B82" s="489" t="s">
        <v>143</v>
      </c>
      <c r="C82" s="490"/>
      <c r="D82" s="490"/>
      <c r="E82" s="490"/>
      <c r="F82" s="490"/>
      <c r="G82" s="490"/>
      <c r="H82" s="490"/>
      <c r="I82" s="490"/>
      <c r="J82" s="490"/>
      <c r="K82" s="490"/>
      <c r="L82" s="490"/>
      <c r="M82" s="490"/>
      <c r="N82" s="490"/>
      <c r="O82" s="490"/>
      <c r="P82" s="490"/>
      <c r="Q82" s="490"/>
      <c r="R82" s="490"/>
    </row>
    <row r="84" spans="1:18">
      <c r="B84" s="3" t="s">
        <v>124</v>
      </c>
      <c r="F84" s="48">
        <f>F34</f>
        <v>1841.2</v>
      </c>
      <c r="G84" s="48">
        <f t="shared" ref="G84:R84" si="29">G34</f>
        <v>1617.5</v>
      </c>
      <c r="H84" s="48">
        <f t="shared" si="29"/>
        <v>1553.4</v>
      </c>
      <c r="I84" s="48">
        <f t="shared" si="29"/>
        <v>1189</v>
      </c>
      <c r="J84" s="48">
        <f t="shared" si="29"/>
        <v>1877.2019800000003</v>
      </c>
      <c r="K84" s="48">
        <f t="shared" si="29"/>
        <v>2094.5776261060005</v>
      </c>
      <c r="L84" s="48">
        <f t="shared" si="29"/>
        <v>2329.6156328624297</v>
      </c>
      <c r="M84" s="48">
        <f t="shared" si="29"/>
        <v>2582.0514575754919</v>
      </c>
      <c r="N84" s="48">
        <f t="shared" si="29"/>
        <v>-2598.1521057882164</v>
      </c>
      <c r="O84" s="48">
        <f t="shared" si="29"/>
        <v>-2960.3977271109106</v>
      </c>
      <c r="P84" s="48">
        <f t="shared" si="29"/>
        <v>-3336.8090883086961</v>
      </c>
      <c r="Q84" s="48">
        <f t="shared" si="29"/>
        <v>-3722.998406035827</v>
      </c>
      <c r="R84" s="48">
        <f t="shared" si="29"/>
        <v>-4113.842859215918</v>
      </c>
    </row>
    <row r="85" spans="1:18">
      <c r="B85" s="3" t="s">
        <v>80</v>
      </c>
      <c r="F85" s="48">
        <f>F48</f>
        <v>4079.9000000000015</v>
      </c>
      <c r="G85" s="48">
        <f t="shared" ref="G85:R85" si="30">G48</f>
        <v>3704.0999999999985</v>
      </c>
      <c r="H85" s="48">
        <f t="shared" si="30"/>
        <v>2953.9000000000033</v>
      </c>
      <c r="I85" s="48">
        <f t="shared" si="30"/>
        <v>4486.9000000000015</v>
      </c>
      <c r="J85" s="48">
        <f t="shared" si="30"/>
        <v>5309.5344816799989</v>
      </c>
      <c r="K85" s="48">
        <f t="shared" si="30"/>
        <v>4757.4381871158221</v>
      </c>
      <c r="L85" s="48">
        <f t="shared" si="30"/>
        <v>3919.7251374328007</v>
      </c>
      <c r="M85" s="48">
        <f t="shared" si="30"/>
        <v>2755.9699443660684</v>
      </c>
      <c r="N85" s="48">
        <f t="shared" si="30"/>
        <v>1228.2158720462648</v>
      </c>
      <c r="O85" s="48">
        <f t="shared" si="30"/>
        <v>-697.18631139756326</v>
      </c>
      <c r="P85" s="48">
        <f t="shared" si="30"/>
        <v>-3047.6272993039092</v>
      </c>
      <c r="Q85" s="48">
        <f t="shared" si="30"/>
        <v>-5842.2584775773685</v>
      </c>
      <c r="R85" s="48">
        <f t="shared" si="30"/>
        <v>-9090.0786005439404</v>
      </c>
    </row>
    <row r="86" spans="1:18">
      <c r="B86" s="39" t="s">
        <v>144</v>
      </c>
      <c r="C86" s="40"/>
      <c r="D86" s="40"/>
      <c r="E86" s="40"/>
      <c r="F86" s="105">
        <f>F84/F85</f>
        <v>0.45128557072477249</v>
      </c>
      <c r="G86" s="105">
        <f t="shared" ref="G86:R86" si="31">G84/G85</f>
        <v>0.43667827542452975</v>
      </c>
      <c r="H86" s="105">
        <f t="shared" si="31"/>
        <v>0.5258810386268995</v>
      </c>
      <c r="I86" s="105">
        <f t="shared" si="31"/>
        <v>0.26499364817580057</v>
      </c>
      <c r="J86" s="105">
        <f t="shared" si="31"/>
        <v>0.35355302550102879</v>
      </c>
      <c r="K86" s="105">
        <f t="shared" si="31"/>
        <v>0.44027427025296356</v>
      </c>
      <c r="L86" s="105">
        <f t="shared" si="31"/>
        <v>0.59433137558930904</v>
      </c>
      <c r="M86" s="105">
        <f t="shared" si="31"/>
        <v>0.93689391020170165</v>
      </c>
      <c r="N86" s="105">
        <f t="shared" si="31"/>
        <v>-2.1153871765714718</v>
      </c>
      <c r="O86" s="105">
        <f t="shared" si="31"/>
        <v>4.2462074752680774</v>
      </c>
      <c r="P86" s="105">
        <f t="shared" si="31"/>
        <v>1.0948875176012622</v>
      </c>
      <c r="Q86" s="105">
        <f t="shared" si="31"/>
        <v>0.63725328489397082</v>
      </c>
      <c r="R86" s="105">
        <f t="shared" si="31"/>
        <v>0.4525640580236292</v>
      </c>
    </row>
    <row r="89" spans="1:18">
      <c r="B89" s="3" t="s">
        <v>82</v>
      </c>
      <c r="F89" s="48">
        <f>F52</f>
        <v>2817.9000000000015</v>
      </c>
      <c r="G89" s="48">
        <f t="shared" ref="G89:R89" si="32">G52</f>
        <v>2558.0999999999985</v>
      </c>
      <c r="H89" s="48">
        <f t="shared" si="32"/>
        <v>1292.9000000000033</v>
      </c>
      <c r="I89" s="48">
        <f t="shared" si="32"/>
        <v>2589.9000000000015</v>
      </c>
      <c r="J89" s="48">
        <f t="shared" si="32"/>
        <v>2816.4880388228562</v>
      </c>
      <c r="K89" s="48">
        <f t="shared" si="32"/>
        <v>1669.2488871158225</v>
      </c>
      <c r="L89" s="48">
        <f t="shared" si="32"/>
        <v>236.39298028994426</v>
      </c>
      <c r="M89" s="48">
        <f t="shared" si="32"/>
        <v>-1473.3145937291683</v>
      </c>
      <c r="N89" s="48">
        <f t="shared" si="32"/>
        <v>-3497.8305708108765</v>
      </c>
      <c r="O89" s="48">
        <f t="shared" si="32"/>
        <v>-5870.804182826133</v>
      </c>
      <c r="P89" s="48">
        <f t="shared" si="32"/>
        <v>-8619.6261231134304</v>
      </c>
      <c r="Q89" s="48">
        <f t="shared" si="32"/>
        <v>-11763.447777577367</v>
      </c>
      <c r="R89" s="48">
        <f t="shared" si="32"/>
        <v>-15311.267900543939</v>
      </c>
    </row>
    <row r="90" spans="1:18">
      <c r="B90" s="3" t="s">
        <v>145</v>
      </c>
      <c r="F90" s="474">
        <f>'3 Statment Model'!I32</f>
        <v>251.3</v>
      </c>
      <c r="G90" s="474">
        <f>'3 Statment Model'!J32</f>
        <v>216.5</v>
      </c>
      <c r="H90" s="474">
        <f>'3 Statment Model'!K32</f>
        <v>263.3</v>
      </c>
      <c r="I90" s="474">
        <f>'3 Statment Model'!L32</f>
        <v>558.29999999999995</v>
      </c>
      <c r="J90" s="474">
        <f>'3 Statment Model'!M32</f>
        <v>120.96166811100001</v>
      </c>
      <c r="K90" s="474">
        <f>'3 Statment Model'!N32</f>
        <v>156.68670546088174</v>
      </c>
      <c r="L90" s="474">
        <f>'3 Statment Model'!O32</f>
        <v>174.53442406630458</v>
      </c>
      <c r="M90" s="474">
        <f>'3 Statment Model'!P32</f>
        <v>193.765266717776</v>
      </c>
      <c r="N90" s="474">
        <f>'3 Statment Model'!Q32</f>
        <v>-0.6351705719919829</v>
      </c>
      <c r="O90" s="474">
        <f>'3 Statment Model'!R32</f>
        <v>-219.28479090787056</v>
      </c>
      <c r="P90" s="474">
        <f>'3 Statment Model'!S32</f>
        <v>-248.42480886830347</v>
      </c>
      <c r="Q90" s="474">
        <f>'3 Statment Model'!T32</f>
        <v>-278.50940565189143</v>
      </c>
      <c r="R90" s="474">
        <f>'3 Statment Model'!U32</f>
        <v>-309.16338791418133</v>
      </c>
    </row>
    <row r="91" spans="1:18">
      <c r="B91" s="39" t="s">
        <v>146</v>
      </c>
      <c r="C91" s="39"/>
      <c r="D91" s="39"/>
      <c r="E91" s="39"/>
      <c r="F91" s="105">
        <f>F89/F90</f>
        <v>11.2132908873856</v>
      </c>
      <c r="G91" s="105">
        <f t="shared" ref="G91:R91" si="33">G89/G90</f>
        <v>11.815704387990756</v>
      </c>
      <c r="H91" s="105">
        <f t="shared" si="33"/>
        <v>4.9103684010634376</v>
      </c>
      <c r="I91" s="105">
        <f t="shared" si="33"/>
        <v>4.6389038151531468</v>
      </c>
      <c r="J91" s="105">
        <f t="shared" si="33"/>
        <v>23.284136890690998</v>
      </c>
      <c r="K91" s="105">
        <f t="shared" si="33"/>
        <v>10.653417481756712</v>
      </c>
      <c r="L91" s="105">
        <f t="shared" si="33"/>
        <v>1.3544203761209879</v>
      </c>
      <c r="M91" s="105">
        <f t="shared" si="33"/>
        <v>-7.6036052213376726</v>
      </c>
      <c r="N91" s="105">
        <f t="shared" si="33"/>
        <v>5506.9153469141293</v>
      </c>
      <c r="O91" s="105">
        <f t="shared" si="33"/>
        <v>26.772509659790629</v>
      </c>
      <c r="P91" s="105">
        <f t="shared" si="33"/>
        <v>34.697122893563019</v>
      </c>
      <c r="Q91" s="105">
        <f t="shared" si="33"/>
        <v>42.237165204684274</v>
      </c>
      <c r="R91" s="105">
        <f t="shared" si="33"/>
        <v>49.524841876794589</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7" r:id="rId3" name="Drop Down 1">
              <controlPr defaultSize="0" autoLine="0" autoPict="0">
                <anchor moveWithCells="1">
                  <from>
                    <xdr:col>9</xdr:col>
                    <xdr:colOff>19050</xdr:colOff>
                    <xdr:row>3</xdr:row>
                    <xdr:rowOff>0</xdr:rowOff>
                  </from>
                  <to>
                    <xdr:col>11</xdr:col>
                    <xdr:colOff>209550</xdr:colOff>
                    <xdr:row>4</xdr:row>
                    <xdr:rowOff>9525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63A6-17B8-4E0B-A4CD-4F32F2C080DF}">
  <sheetPr codeName="Sheet14">
    <tabColor rgb="FFFF0000"/>
  </sheetPr>
  <dimension ref="A1"/>
  <sheetViews>
    <sheetView workbookViewId="0"/>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00090-4E39-4055-AFED-5E0A224F2706}">
  <sheetPr codeName="Sheet15"/>
  <dimension ref="A2:AE87"/>
  <sheetViews>
    <sheetView showGridLines="0" zoomScaleNormal="100" workbookViewId="0">
      <pane ySplit="9" topLeftCell="A52" activePane="bottomLeft" state="frozen"/>
      <selection pane="bottomLeft" activeCell="C36" sqref="C36"/>
    </sheetView>
  </sheetViews>
  <sheetFormatPr defaultColWidth="8.85546875" defaultRowHeight="15"/>
  <cols>
    <col min="1" max="1" width="1.85546875" style="3" customWidth="1"/>
    <col min="2" max="2" width="35.42578125" style="3" customWidth="1"/>
    <col min="3" max="3" width="51" style="3" customWidth="1"/>
    <col min="4" max="4" width="18" style="3" customWidth="1"/>
    <col min="5" max="9" width="10.5703125" style="3" customWidth="1"/>
    <col min="10" max="10" width="10.85546875" style="3" customWidth="1"/>
    <col min="11" max="11" width="9.28515625" style="3" bestFit="1" customWidth="1"/>
    <col min="12" max="12" width="11.140625" style="3" bestFit="1" customWidth="1"/>
    <col min="13" max="13" width="11.7109375" style="3" bestFit="1" customWidth="1"/>
    <col min="14" max="16" width="9.5703125" style="3" bestFit="1" customWidth="1"/>
    <col min="17" max="21" width="9.5703125" style="3" customWidth="1"/>
    <col min="22" max="22" width="1.5703125" style="3" customWidth="1"/>
    <col min="23" max="26" width="8.85546875" style="3"/>
    <col min="27" max="27" width="9.5703125" style="3" bestFit="1" customWidth="1"/>
    <col min="28" max="16384" width="8.85546875" style="3"/>
  </cols>
  <sheetData>
    <row r="2" spans="1:25" ht="18.75">
      <c r="B2" s="4" t="str">
        <f>'Control Sheet'!B2</f>
        <v>Shree Cement LTD</v>
      </c>
    </row>
    <row r="3" spans="1:25" ht="15.75">
      <c r="B3" s="5" t="s">
        <v>17</v>
      </c>
    </row>
    <row r="4" spans="1:25" ht="15.75">
      <c r="B4" s="5"/>
    </row>
    <row r="5" spans="1:25" ht="15.75">
      <c r="B5" s="5"/>
    </row>
    <row r="7" spans="1:25">
      <c r="E7" s="6" t="s">
        <v>147</v>
      </c>
      <c r="F7" s="6"/>
      <c r="G7" s="6"/>
      <c r="H7" s="6"/>
      <c r="I7" s="6"/>
      <c r="J7" s="6"/>
      <c r="K7" s="560" t="s">
        <v>19</v>
      </c>
      <c r="L7" s="560"/>
      <c r="M7" s="558" t="s">
        <v>73</v>
      </c>
      <c r="N7" s="558"/>
      <c r="O7" s="558"/>
      <c r="P7" s="558"/>
      <c r="Q7" s="558"/>
      <c r="R7" s="558"/>
      <c r="S7" s="558"/>
      <c r="T7" s="558"/>
      <c r="U7" s="558"/>
      <c r="Y7" s="109"/>
    </row>
    <row r="8" spans="1:25">
      <c r="E8" s="383">
        <f>'3 Statment Model'!E8</f>
        <v>2017</v>
      </c>
      <c r="F8" s="383">
        <f>'3 Statment Model'!F8</f>
        <v>2018</v>
      </c>
      <c r="G8" s="383">
        <f>'3 Statment Model'!G8</f>
        <v>2019</v>
      </c>
      <c r="H8" s="383">
        <f>'3 Statment Model'!H8</f>
        <v>2020</v>
      </c>
      <c r="I8" s="383">
        <f>'3 Statment Model'!I8</f>
        <v>2021</v>
      </c>
      <c r="J8" s="383">
        <f>'3 Statment Model'!J8</f>
        <v>2022</v>
      </c>
      <c r="K8" s="383">
        <f>'3 Statment Model'!K8</f>
        <v>2023</v>
      </c>
      <c r="L8" s="383">
        <f>'3 Statment Model'!L8</f>
        <v>2024</v>
      </c>
      <c r="M8" s="383">
        <f>'3 Statment Model'!M8</f>
        <v>2025</v>
      </c>
      <c r="N8" s="383">
        <f>'3 Statment Model'!N8</f>
        <v>2026</v>
      </c>
      <c r="O8" s="383">
        <f>'3 Statment Model'!O8</f>
        <v>2027</v>
      </c>
      <c r="P8" s="383">
        <f>'3 Statment Model'!P8</f>
        <v>2028</v>
      </c>
      <c r="Q8" s="383">
        <f>'3 Statment Model'!Q8</f>
        <v>2029</v>
      </c>
      <c r="R8" s="383">
        <f>'3 Statment Model'!R8</f>
        <v>2030</v>
      </c>
      <c r="S8" s="383">
        <f>'3 Statment Model'!S8</f>
        <v>2031</v>
      </c>
      <c r="T8" s="383">
        <f>'3 Statment Model'!T8</f>
        <v>2032</v>
      </c>
      <c r="U8" s="383">
        <f>'3 Statment Model'!U8</f>
        <v>2033</v>
      </c>
      <c r="X8" s="110"/>
      <c r="Y8" s="111"/>
    </row>
    <row r="9" spans="1:25">
      <c r="B9" s="8" t="s">
        <v>20</v>
      </c>
      <c r="C9" s="9"/>
      <c r="D9" s="9"/>
      <c r="E9" s="9"/>
      <c r="F9" s="9"/>
      <c r="G9" s="9"/>
      <c r="H9" s="9"/>
      <c r="I9" s="9"/>
      <c r="J9" s="9"/>
      <c r="K9" s="9"/>
      <c r="L9" s="9"/>
      <c r="M9" s="9"/>
      <c r="N9" s="9"/>
      <c r="O9" s="9"/>
      <c r="P9" s="9"/>
      <c r="Q9" s="9"/>
      <c r="R9" s="9"/>
      <c r="S9" s="9"/>
      <c r="T9" s="9"/>
      <c r="U9" s="9"/>
    </row>
    <row r="11" spans="1:25">
      <c r="A11" s="3" t="s">
        <v>21</v>
      </c>
      <c r="B11" s="489" t="s">
        <v>148</v>
      </c>
      <c r="C11" s="490"/>
      <c r="D11" s="490"/>
      <c r="E11" s="490"/>
      <c r="F11" s="490"/>
      <c r="G11" s="490"/>
      <c r="H11" s="490"/>
      <c r="I11" s="490"/>
      <c r="J11" s="490"/>
      <c r="K11" s="490"/>
      <c r="L11" s="490"/>
      <c r="M11" s="490"/>
      <c r="N11" s="490"/>
      <c r="O11" s="490"/>
      <c r="P11" s="490"/>
      <c r="Q11" s="490"/>
      <c r="R11" s="490"/>
      <c r="S11" s="490"/>
      <c r="T11" s="490"/>
      <c r="U11" s="490"/>
    </row>
    <row r="12" spans="1:25" ht="4.9000000000000004" customHeight="1"/>
    <row r="13" spans="1:25">
      <c r="B13" s="77" t="s">
        <v>80</v>
      </c>
      <c r="E13" s="318">
        <f>'3 Statment Model'!E24</f>
        <v>2367.6999999999998</v>
      </c>
      <c r="F13" s="318">
        <f>'3 Statment Model'!F24</f>
        <v>2472.2999999999993</v>
      </c>
      <c r="G13" s="318">
        <f>'3 Statment Model'!G24</f>
        <v>2795.2999999999993</v>
      </c>
      <c r="H13" s="318">
        <f>'3 Statment Model'!H24</f>
        <v>3755.2</v>
      </c>
      <c r="I13" s="318">
        <f>'3 Statment Model'!I24</f>
        <v>4079.9000000000015</v>
      </c>
      <c r="J13" s="318">
        <f>'3 Statment Model'!J24</f>
        <v>3704.0999999999985</v>
      </c>
      <c r="K13" s="318">
        <f>'3 Statment Model'!K24</f>
        <v>2953.9000000000033</v>
      </c>
      <c r="L13" s="318">
        <f>'3 Statment Model'!L24</f>
        <v>4486.9000000000015</v>
      </c>
      <c r="M13" s="318">
        <f>'3 Statment Model'!M24</f>
        <v>5309.5344816799989</v>
      </c>
      <c r="N13" s="318">
        <f>'3 Statment Model'!N24</f>
        <v>4757.4381871158221</v>
      </c>
      <c r="O13" s="318">
        <f>'3 Statment Model'!O24</f>
        <v>3919.7251374328007</v>
      </c>
      <c r="P13" s="318">
        <f>'3 Statment Model'!P24</f>
        <v>2755.9699443660684</v>
      </c>
      <c r="Q13" s="318">
        <f>'3 Statment Model'!Q24</f>
        <v>1228.2158720462648</v>
      </c>
      <c r="R13" s="318">
        <f>'3 Statment Model'!R24</f>
        <v>-697.18631139756326</v>
      </c>
      <c r="S13" s="318">
        <f>'3 Statment Model'!S24</f>
        <v>-3047.6272993039092</v>
      </c>
      <c r="T13" s="318">
        <f>'3 Statment Model'!T24</f>
        <v>-5842.2584775773685</v>
      </c>
      <c r="U13" s="318">
        <f>'3 Statment Model'!U24</f>
        <v>-9090.0786005439404</v>
      </c>
    </row>
    <row r="14" spans="1:25">
      <c r="B14" s="384" t="s">
        <v>81</v>
      </c>
      <c r="E14" s="318">
        <f>'3 Statment Model'!E27*-1</f>
        <v>-1215</v>
      </c>
      <c r="F14" s="318">
        <f>'3 Statment Model'!F27*-1</f>
        <v>-899</v>
      </c>
      <c r="G14" s="318">
        <f>'3 Statment Model'!G27*-1</f>
        <v>-1472</v>
      </c>
      <c r="H14" s="318">
        <f>'3 Statment Model'!H27*-1</f>
        <v>-1808</v>
      </c>
      <c r="I14" s="318">
        <f>'3 Statment Model'!I27*-1</f>
        <v>-1262</v>
      </c>
      <c r="J14" s="318">
        <f>'3 Statment Model'!J27*-1</f>
        <v>-1146</v>
      </c>
      <c r="K14" s="318">
        <f>'3 Statment Model'!K27*-1</f>
        <v>-1661</v>
      </c>
      <c r="L14" s="318">
        <f>'3 Statment Model'!L27*-1</f>
        <v>-1897</v>
      </c>
      <c r="M14" s="318">
        <f>'3 Statment Model'!M27*-1</f>
        <v>-2493.0464428571427</v>
      </c>
      <c r="N14" s="318">
        <f>'3 Statment Model'!N27*-1</f>
        <v>-3088.1892999999995</v>
      </c>
      <c r="O14" s="318">
        <f>'3 Statment Model'!O27*-1</f>
        <v>-3683.3321571428564</v>
      </c>
      <c r="P14" s="318">
        <f>'3 Statment Model'!P27*-1</f>
        <v>-4229.2845380952367</v>
      </c>
      <c r="Q14" s="318">
        <f>'3 Statment Model'!Q27*-1</f>
        <v>-4726.0464428571413</v>
      </c>
      <c r="R14" s="318">
        <f>'3 Statment Model'!R27*-1</f>
        <v>-5173.6178714285697</v>
      </c>
      <c r="S14" s="318">
        <f>'3 Statment Model'!S27*-1</f>
        <v>-5571.998823809522</v>
      </c>
      <c r="T14" s="318">
        <f>'3 Statment Model'!T27*-1</f>
        <v>-5921.1892999999982</v>
      </c>
      <c r="U14" s="318">
        <f>'3 Statment Model'!U27*-1</f>
        <v>-6221.1892999999982</v>
      </c>
    </row>
    <row r="15" spans="1:25">
      <c r="B15" s="39" t="s">
        <v>82</v>
      </c>
      <c r="C15" s="40"/>
      <c r="D15" s="40"/>
      <c r="E15" s="385">
        <f>SUM(E13:E14)</f>
        <v>1152.6999999999998</v>
      </c>
      <c r="F15" s="385">
        <f t="shared" ref="F15:P15" si="0">SUM(F13:F14)</f>
        <v>1573.2999999999993</v>
      </c>
      <c r="G15" s="385">
        <f t="shared" si="0"/>
        <v>1323.2999999999993</v>
      </c>
      <c r="H15" s="385">
        <f t="shared" si="0"/>
        <v>1947.1999999999998</v>
      </c>
      <c r="I15" s="385">
        <f t="shared" si="0"/>
        <v>2817.9000000000015</v>
      </c>
      <c r="J15" s="385">
        <f t="shared" si="0"/>
        <v>2558.0999999999985</v>
      </c>
      <c r="K15" s="385">
        <f t="shared" si="0"/>
        <v>1292.9000000000033</v>
      </c>
      <c r="L15" s="385">
        <f t="shared" si="0"/>
        <v>2589.9000000000015</v>
      </c>
      <c r="M15" s="385">
        <f t="shared" si="0"/>
        <v>2816.4880388228562</v>
      </c>
      <c r="N15" s="385">
        <f t="shared" si="0"/>
        <v>1669.2488871158225</v>
      </c>
      <c r="O15" s="385">
        <f t="shared" si="0"/>
        <v>236.39298028994426</v>
      </c>
      <c r="P15" s="385">
        <f t="shared" si="0"/>
        <v>-1473.3145937291683</v>
      </c>
      <c r="Q15" s="385">
        <f>SUM(Q13:Q14)</f>
        <v>-3497.8305708108765</v>
      </c>
      <c r="R15" s="385">
        <f>SUM(R13:R14)</f>
        <v>-5870.804182826133</v>
      </c>
      <c r="S15" s="385">
        <f>SUM(S13:S14)</f>
        <v>-8619.6261231134304</v>
      </c>
      <c r="T15" s="385">
        <f>SUM(T13:T14)</f>
        <v>-11763.447777577367</v>
      </c>
      <c r="U15" s="385">
        <f>SUM(U13:U14)</f>
        <v>-15311.267900543939</v>
      </c>
    </row>
    <row r="16" spans="1:25">
      <c r="B16" s="45" t="s">
        <v>149</v>
      </c>
      <c r="E16" s="318">
        <f>'3 Statment Model'!E38*-1</f>
        <v>-191.5</v>
      </c>
      <c r="F16" s="318">
        <f>'3 Statment Model'!F38*-1</f>
        <v>-442.7</v>
      </c>
      <c r="G16" s="318">
        <f>'3 Statment Model'!G38*-1</f>
        <v>-131</v>
      </c>
      <c r="H16" s="318">
        <f>'3 Statment Model'!H38*-1</f>
        <v>-389.8</v>
      </c>
      <c r="I16" s="318">
        <f>'3 Statment Model'!I38*-1</f>
        <v>-714.2</v>
      </c>
      <c r="J16" s="318">
        <f>'3 Statment Model'!J38*-1</f>
        <v>-555.5</v>
      </c>
      <c r="K16" s="318">
        <f>'3 Statment Model'!K38*-1</f>
        <v>-225.7</v>
      </c>
      <c r="L16" s="318">
        <f>'3 Statment Model'!L38*-1</f>
        <v>-563</v>
      </c>
      <c r="M16" s="318">
        <f>'3 Statment Model'!M38*-1</f>
        <v>-889.76133077796408</v>
      </c>
      <c r="N16" s="318">
        <f>'3 Statment Model'!N38*-1</f>
        <v>-624.39456266440527</v>
      </c>
      <c r="O16" s="318">
        <f>'3 Statment Model'!O38*-1</f>
        <v>-294.57597803688367</v>
      </c>
      <c r="P16" s="318">
        <f>'3 Statment Model'!P38*-1</f>
        <v>102.44673706589123</v>
      </c>
      <c r="Q16" s="318">
        <f>'3 Statment Model'!Q38*-1</f>
        <v>522.60708053105441</v>
      </c>
      <c r="R16" s="318">
        <f>'3 Statment Model'!R38*-1</f>
        <v>1021.9342528033636</v>
      </c>
      <c r="S16" s="318">
        <f>'3 Statment Model'!S38*-1</f>
        <v>1661.0623529969801</v>
      </c>
      <c r="T16" s="318">
        <f>'3 Statment Model'!T38*-1</f>
        <v>2397.5871953605038</v>
      </c>
      <c r="U16" s="318">
        <f>'3 Statment Model'!U38*-1</f>
        <v>3234.3451942302208</v>
      </c>
    </row>
    <row r="17" spans="2:31">
      <c r="B17" s="39" t="s">
        <v>150</v>
      </c>
      <c r="C17" s="39"/>
      <c r="D17" s="39"/>
      <c r="E17" s="385">
        <f>SUM(E15:E16)</f>
        <v>961.19999999999982</v>
      </c>
      <c r="F17" s="385">
        <f t="shared" ref="F17:P17" si="1">SUM(F15:F16)</f>
        <v>1130.5999999999992</v>
      </c>
      <c r="G17" s="385">
        <f t="shared" si="1"/>
        <v>1192.2999999999993</v>
      </c>
      <c r="H17" s="385">
        <f t="shared" si="1"/>
        <v>1557.3999999999999</v>
      </c>
      <c r="I17" s="385">
        <f t="shared" si="1"/>
        <v>2103.7000000000016</v>
      </c>
      <c r="J17" s="385">
        <f t="shared" si="1"/>
        <v>2002.5999999999985</v>
      </c>
      <c r="K17" s="385">
        <f t="shared" si="1"/>
        <v>1067.2000000000032</v>
      </c>
      <c r="L17" s="385">
        <f t="shared" si="1"/>
        <v>2026.9000000000015</v>
      </c>
      <c r="M17" s="385">
        <f t="shared" si="1"/>
        <v>1926.7267080448921</v>
      </c>
      <c r="N17" s="385">
        <f t="shared" si="1"/>
        <v>1044.8543244514171</v>
      </c>
      <c r="O17" s="385">
        <f t="shared" si="1"/>
        <v>-58.182997746939407</v>
      </c>
      <c r="P17" s="385">
        <f t="shared" si="1"/>
        <v>-1370.8678566632771</v>
      </c>
      <c r="Q17" s="385">
        <f>SUM(Q15:Q16)</f>
        <v>-2975.2234902798218</v>
      </c>
      <c r="R17" s="385">
        <f>SUM(R15:R16)</f>
        <v>-4848.869930022769</v>
      </c>
      <c r="S17" s="385">
        <f>SUM(S15:S16)</f>
        <v>-6958.5637701164505</v>
      </c>
      <c r="T17" s="385">
        <f>SUM(T15:T16)</f>
        <v>-9365.8605822168629</v>
      </c>
      <c r="U17" s="385">
        <f>SUM(U15:U16)</f>
        <v>-12076.922706313719</v>
      </c>
    </row>
    <row r="18" spans="2:31">
      <c r="B18" s="384" t="s">
        <v>1040</v>
      </c>
      <c r="E18" s="387">
        <f>'3 Statment Model'!E27</f>
        <v>1215</v>
      </c>
      <c r="F18" s="387">
        <f>'3 Statment Model'!F27</f>
        <v>899</v>
      </c>
      <c r="G18" s="387">
        <f>'3 Statment Model'!G27</f>
        <v>1472</v>
      </c>
      <c r="H18" s="387">
        <f>'3 Statment Model'!H27</f>
        <v>1808</v>
      </c>
      <c r="I18" s="387">
        <f>'3 Statment Model'!I27</f>
        <v>1262</v>
      </c>
      <c r="J18" s="387">
        <f>'3 Statment Model'!J27</f>
        <v>1146</v>
      </c>
      <c r="K18" s="387">
        <f>'3 Statment Model'!K27</f>
        <v>1661</v>
      </c>
      <c r="L18" s="387">
        <f>'3 Statment Model'!L27</f>
        <v>1897</v>
      </c>
      <c r="M18" s="387">
        <f>'3 Statment Model'!M27</f>
        <v>2493.0464428571427</v>
      </c>
      <c r="N18" s="387">
        <f>'3 Statment Model'!N27</f>
        <v>3088.1892999999995</v>
      </c>
      <c r="O18" s="387">
        <f>'3 Statment Model'!O27</f>
        <v>3683.3321571428564</v>
      </c>
      <c r="P18" s="387">
        <f>'3 Statment Model'!P27</f>
        <v>4229.2845380952367</v>
      </c>
      <c r="Q18" s="387">
        <f>'3 Statment Model'!Q27</f>
        <v>4726.0464428571413</v>
      </c>
      <c r="R18" s="387">
        <f>'3 Statment Model'!R27</f>
        <v>5173.6178714285697</v>
      </c>
      <c r="S18" s="387">
        <f>'3 Statment Model'!S27</f>
        <v>5571.998823809522</v>
      </c>
      <c r="T18" s="387">
        <f>'3 Statment Model'!T27</f>
        <v>5921.1892999999982</v>
      </c>
      <c r="U18" s="387">
        <f>'3 Statment Model'!U27</f>
        <v>6221.1892999999982</v>
      </c>
    </row>
    <row r="19" spans="2:31">
      <c r="B19" s="39" t="s">
        <v>1041</v>
      </c>
      <c r="C19" s="40"/>
      <c r="D19" s="40"/>
      <c r="E19" s="385">
        <f>SUM(E17:E18)</f>
        <v>2176.1999999999998</v>
      </c>
      <c r="F19" s="385">
        <f t="shared" ref="F19:P19" si="2">SUM(F17:F18)</f>
        <v>2029.5999999999992</v>
      </c>
      <c r="G19" s="385">
        <f t="shared" si="2"/>
        <v>2664.2999999999993</v>
      </c>
      <c r="H19" s="385">
        <f t="shared" si="2"/>
        <v>3365.3999999999996</v>
      </c>
      <c r="I19" s="385">
        <f t="shared" si="2"/>
        <v>3365.7000000000016</v>
      </c>
      <c r="J19" s="385">
        <f t="shared" si="2"/>
        <v>3148.5999999999985</v>
      </c>
      <c r="K19" s="385">
        <f t="shared" si="2"/>
        <v>2728.2000000000035</v>
      </c>
      <c r="L19" s="385">
        <f t="shared" si="2"/>
        <v>3923.9000000000015</v>
      </c>
      <c r="M19" s="385">
        <f t="shared" si="2"/>
        <v>4419.773150902035</v>
      </c>
      <c r="N19" s="385">
        <f t="shared" si="2"/>
        <v>4133.0436244514167</v>
      </c>
      <c r="O19" s="385">
        <f t="shared" si="2"/>
        <v>3625.1491593959172</v>
      </c>
      <c r="P19" s="385">
        <f t="shared" si="2"/>
        <v>2858.4166814319597</v>
      </c>
      <c r="Q19" s="385">
        <f>SUM(Q17:Q18)</f>
        <v>1750.8229525773195</v>
      </c>
      <c r="R19" s="385">
        <f>SUM(R17:R18)</f>
        <v>324.7479414058007</v>
      </c>
      <c r="S19" s="385">
        <f>SUM(S17:S18)</f>
        <v>-1386.5649463069285</v>
      </c>
      <c r="T19" s="385">
        <f>SUM(T17:T18)</f>
        <v>-3444.6712822168647</v>
      </c>
      <c r="U19" s="385">
        <f>SUM(U17:U18)</f>
        <v>-5855.7334063137205</v>
      </c>
      <c r="AA19" s="113"/>
    </row>
    <row r="20" spans="2:31">
      <c r="B20" s="114" t="s">
        <v>151</v>
      </c>
    </row>
    <row r="21" spans="2:31">
      <c r="B21" s="115" t="s">
        <v>152</v>
      </c>
      <c r="E21" s="318">
        <f>'3 Statment Model'!E121</f>
        <v>-50.9</v>
      </c>
      <c r="F21" s="318">
        <f>'3 Statment Model'!F121</f>
        <v>-113.1</v>
      </c>
      <c r="G21" s="318">
        <f>'3 Statment Model'!G121</f>
        <v>-650.5</v>
      </c>
      <c r="H21" s="318">
        <f>'3 Statment Model'!H121</f>
        <v>693</v>
      </c>
      <c r="I21" s="318">
        <f>'3 Statment Model'!I121</f>
        <v>893</v>
      </c>
      <c r="J21" s="318">
        <f>'3 Statment Model'!J121</f>
        <v>-847.7</v>
      </c>
      <c r="K21" s="318">
        <f>'3 Statment Model'!K121</f>
        <v>-51.6</v>
      </c>
      <c r="L21" s="318">
        <f>'3 Statment Model'!L121</f>
        <v>-725.28</v>
      </c>
      <c r="M21" s="318">
        <f ca="1">'3 Statment Model'!M121</f>
        <v>1453.4490310960587</v>
      </c>
      <c r="N21" s="318">
        <f ca="1">'3 Statment Model'!N121</f>
        <v>371.75578619263661</v>
      </c>
      <c r="O21" s="318">
        <f ca="1">'3 Statment Model'!O121</f>
        <v>412.77894659228377</v>
      </c>
      <c r="P21" s="318">
        <f ca="1">'3 Statment Model'!P121</f>
        <v>453.14613912076879</v>
      </c>
      <c r="Q21" s="318">
        <f ca="1">'3 Statment Model'!Q121</f>
        <v>491.99947389472595</v>
      </c>
      <c r="R21" s="318">
        <f ca="1">'3 Statment Model'!R121</f>
        <v>528.39691670086131</v>
      </c>
      <c r="S21" s="318">
        <f ca="1">'3 Statment Model'!S121</f>
        <v>561.32765777927887</v>
      </c>
      <c r="T21" s="318">
        <f ca="1">'3 Statment Model'!T121</f>
        <v>589.73187716877669</v>
      </c>
      <c r="U21" s="318">
        <f ca="1">'3 Statment Model'!U121</f>
        <v>612.52470766244483</v>
      </c>
    </row>
    <row r="22" spans="2:31">
      <c r="B22" s="386" t="s">
        <v>1042</v>
      </c>
      <c r="E22" s="318">
        <f>'3 Statment Model'!E126</f>
        <v>-1294.6000000000001</v>
      </c>
      <c r="F22" s="318">
        <f>'3 Statment Model'!F126</f>
        <v>-2526.2000000000003</v>
      </c>
      <c r="G22" s="318">
        <f>'3 Statment Model'!G126</f>
        <v>-1922.4</v>
      </c>
      <c r="H22" s="318">
        <f>'3 Statment Model'!H126</f>
        <v>-1540.3999999999999</v>
      </c>
      <c r="I22" s="318">
        <f>'3 Statment Model'!I126</f>
        <v>-1129.0999999999999</v>
      </c>
      <c r="J22" s="318">
        <f>'3 Statment Model'!J126</f>
        <v>-2209.3999999999996</v>
      </c>
      <c r="K22" s="318">
        <f>'3 Statment Model'!K126</f>
        <v>-3279.4</v>
      </c>
      <c r="L22" s="318">
        <f>'3 Statment Model'!L126</f>
        <v>-3169.5</v>
      </c>
      <c r="M22" s="318">
        <f>'3 Statment Model'!M126</f>
        <v>-4166</v>
      </c>
      <c r="N22" s="318">
        <f>'3 Statment Model'!N126</f>
        <v>-4166</v>
      </c>
      <c r="O22" s="318">
        <f>'3 Statment Model'!O126</f>
        <v>-4166</v>
      </c>
      <c r="P22" s="318">
        <f>'3 Statment Model'!P126</f>
        <v>-3821.6666666666665</v>
      </c>
      <c r="Q22" s="318">
        <f>'3 Statment Model'!Q126</f>
        <v>-3477.333333333333</v>
      </c>
      <c r="R22" s="318">
        <f>'3 Statment Model'!R126</f>
        <v>-3132.9999999999995</v>
      </c>
      <c r="S22" s="318">
        <f>'3 Statment Model'!S126</f>
        <v>-2788.6666666666661</v>
      </c>
      <c r="T22" s="318">
        <f>'3 Statment Model'!T126</f>
        <v>-2444.3333333333326</v>
      </c>
      <c r="U22" s="318">
        <f>'3 Statment Model'!U126</f>
        <v>-2100</v>
      </c>
    </row>
    <row r="23" spans="2:31">
      <c r="B23" s="39" t="s">
        <v>153</v>
      </c>
      <c r="C23" s="39"/>
      <c r="D23" s="39"/>
      <c r="E23" s="385">
        <f>E19+SUM(E21:E22)</f>
        <v>830.69999999999959</v>
      </c>
      <c r="F23" s="385">
        <f t="shared" ref="F23:P23" si="3">F19+SUM(F21:F22)</f>
        <v>-609.70000000000095</v>
      </c>
      <c r="G23" s="385">
        <f t="shared" si="3"/>
        <v>91.399999999999181</v>
      </c>
      <c r="H23" s="385">
        <f t="shared" si="3"/>
        <v>2518</v>
      </c>
      <c r="I23" s="385">
        <f t="shared" si="3"/>
        <v>3129.6000000000017</v>
      </c>
      <c r="J23" s="385">
        <f t="shared" si="3"/>
        <v>91.499999999999091</v>
      </c>
      <c r="K23" s="385">
        <f t="shared" si="3"/>
        <v>-602.79999999999654</v>
      </c>
      <c r="L23" s="385">
        <f t="shared" si="3"/>
        <v>29.12000000000171</v>
      </c>
      <c r="M23" s="385">
        <f t="shared" ca="1" si="3"/>
        <v>1903.0320786555244</v>
      </c>
      <c r="N23" s="385">
        <f t="shared" ca="1" si="3"/>
        <v>1473.5284446099772</v>
      </c>
      <c r="O23" s="385">
        <f t="shared" ca="1" si="3"/>
        <v>2198.0787104258266</v>
      </c>
      <c r="P23" s="385">
        <f t="shared" ca="1" si="3"/>
        <v>3289.3290357158739</v>
      </c>
      <c r="Q23" s="385">
        <f ca="1">Q19+SUM(Q21:Q22)</f>
        <v>4345.1035023757277</v>
      </c>
      <c r="R23" s="385">
        <f ca="1">R19+SUM(R21:R22)</f>
        <v>5409.9490205691745</v>
      </c>
      <c r="S23" s="385">
        <f ca="1">S19+SUM(S21:S22)</f>
        <v>6533.3954308601715</v>
      </c>
      <c r="T23" s="385">
        <f ca="1">T19+SUM(T21:T22)</f>
        <v>7660.7999350309537</v>
      </c>
      <c r="U23" s="385">
        <f ca="1">U19+SUM(U21:U22)</f>
        <v>8785.551960426772</v>
      </c>
    </row>
    <row r="26" spans="2:31">
      <c r="B26" s="3" t="s">
        <v>154</v>
      </c>
      <c r="C26" s="116" t="s">
        <v>155</v>
      </c>
      <c r="D26" s="116" t="s">
        <v>156</v>
      </c>
      <c r="F26"/>
      <c r="G26"/>
      <c r="L26" s="117">
        <f>IF(D26="YES",(L8-K8)/2,L8-K8)</f>
        <v>0.5</v>
      </c>
      <c r="M26" s="117">
        <f t="shared" ref="M26:U26" si="4">L26+1</f>
        <v>1.5</v>
      </c>
      <c r="N26" s="117">
        <f t="shared" si="4"/>
        <v>2.5</v>
      </c>
      <c r="O26" s="117">
        <f t="shared" si="4"/>
        <v>3.5</v>
      </c>
      <c r="P26" s="117">
        <f t="shared" si="4"/>
        <v>4.5</v>
      </c>
      <c r="Q26" s="117">
        <f t="shared" si="4"/>
        <v>5.5</v>
      </c>
      <c r="R26" s="117">
        <f t="shared" si="4"/>
        <v>6.5</v>
      </c>
      <c r="S26" s="117">
        <f t="shared" si="4"/>
        <v>7.5</v>
      </c>
      <c r="T26" s="117">
        <f t="shared" si="4"/>
        <v>8.5</v>
      </c>
      <c r="U26" s="117">
        <f t="shared" si="4"/>
        <v>9.5</v>
      </c>
    </row>
    <row r="27" spans="2:31">
      <c r="B27" s="3" t="s">
        <v>157</v>
      </c>
      <c r="C27" s="118">
        <f>WACC!E24</f>
        <v>0.14000000000000001</v>
      </c>
    </row>
    <row r="28" spans="2:31">
      <c r="B28" s="3" t="s">
        <v>158</v>
      </c>
      <c r="L28" s="119">
        <f t="shared" ref="L28:U28" si="5">1/(1+$C$27)^L26</f>
        <v>0.93658581158169396</v>
      </c>
      <c r="M28" s="119">
        <f t="shared" si="5"/>
        <v>0.82156650138745069</v>
      </c>
      <c r="N28" s="119">
        <f t="shared" si="5"/>
        <v>0.72067236963811454</v>
      </c>
      <c r="O28" s="119">
        <f t="shared" si="5"/>
        <v>0.63216874529659162</v>
      </c>
      <c r="P28" s="119">
        <f t="shared" si="5"/>
        <v>0.55453398710227331</v>
      </c>
      <c r="Q28" s="119">
        <f t="shared" si="5"/>
        <v>0.48643332201953804</v>
      </c>
      <c r="R28" s="119">
        <f t="shared" si="5"/>
        <v>0.42669589650836653</v>
      </c>
      <c r="S28" s="119">
        <f t="shared" si="5"/>
        <v>0.3742946460599707</v>
      </c>
      <c r="T28" s="119">
        <f t="shared" si="5"/>
        <v>0.32832863689471109</v>
      </c>
      <c r="U28" s="119">
        <f t="shared" si="5"/>
        <v>0.28800757622343076</v>
      </c>
      <c r="AE28" s="3" t="s">
        <v>156</v>
      </c>
    </row>
    <row r="29" spans="2:31">
      <c r="L29" s="28"/>
      <c r="AE29" s="3" t="s">
        <v>159</v>
      </c>
    </row>
    <row r="30" spans="2:31" ht="15.75" thickBot="1">
      <c r="B30" s="35" t="s">
        <v>160</v>
      </c>
      <c r="C30" s="35"/>
      <c r="D30" s="35"/>
      <c r="E30" s="35"/>
      <c r="F30" s="35"/>
      <c r="G30" s="35"/>
      <c r="H30" s="35"/>
      <c r="I30" s="35"/>
      <c r="J30" s="35"/>
      <c r="K30" s="35"/>
      <c r="L30" s="120">
        <f t="shared" ref="L30:U30" si="6">L28*L23</f>
        <v>27.27337883326053</v>
      </c>
      <c r="M30" s="120">
        <f t="shared" ca="1" si="6"/>
        <v>1563.467406889107</v>
      </c>
      <c r="N30" s="120">
        <f t="shared" ca="1" si="6"/>
        <v>1061.9312359062376</v>
      </c>
      <c r="O30" s="120">
        <f t="shared" ca="1" si="6"/>
        <v>1389.556660433045</v>
      </c>
      <c r="P30" s="120">
        <f t="shared" ca="1" si="6"/>
        <v>1824.0447450667996</v>
      </c>
      <c r="Q30" s="120">
        <f t="shared" ca="1" si="6"/>
        <v>2113.6031311793549</v>
      </c>
      <c r="R30" s="120">
        <f t="shared" ca="1" si="6"/>
        <v>2308.4030473963235</v>
      </c>
      <c r="S30" s="120">
        <f t="shared" ca="1" si="6"/>
        <v>2445.4149303636377</v>
      </c>
      <c r="T30" s="120">
        <f t="shared" ca="1" si="6"/>
        <v>2515.2600001918045</v>
      </c>
      <c r="U30" s="120">
        <f t="shared" ca="1" si="6"/>
        <v>2530.305525907525</v>
      </c>
    </row>
    <row r="32" spans="2:31">
      <c r="V32" s="51"/>
    </row>
    <row r="33" spans="1:22">
      <c r="A33" s="3" t="s">
        <v>21</v>
      </c>
      <c r="B33" s="489" t="s">
        <v>161</v>
      </c>
      <c r="C33" s="490"/>
      <c r="D33" s="490"/>
      <c r="E33" s="490"/>
      <c r="F33" s="490"/>
      <c r="G33" s="490"/>
      <c r="H33" s="490"/>
      <c r="I33" s="490"/>
      <c r="J33" s="490"/>
      <c r="K33" s="490"/>
      <c r="L33" s="490"/>
      <c r="M33" s="490"/>
      <c r="N33" s="490"/>
      <c r="O33" s="490"/>
      <c r="P33" s="490"/>
      <c r="Q33" s="490"/>
      <c r="R33" s="490"/>
      <c r="S33" s="490"/>
      <c r="T33" s="490"/>
      <c r="U33" s="490"/>
      <c r="V33" s="51"/>
    </row>
    <row r="34" spans="1:22">
      <c r="V34" s="51"/>
    </row>
    <row r="35" spans="1:22">
      <c r="B35" s="3" t="s">
        <v>162</v>
      </c>
      <c r="C35" s="69">
        <f>WACC!E7</f>
        <v>4.8320785292172916E-2</v>
      </c>
    </row>
    <row r="36" spans="1:22">
      <c r="B36" s="3" t="s">
        <v>163</v>
      </c>
      <c r="C36" s="38">
        <f ca="1">U23*(1+$C$35)</f>
        <v>9210.0767303797838</v>
      </c>
    </row>
    <row r="37" spans="1:22">
      <c r="B37" s="39" t="s">
        <v>164</v>
      </c>
      <c r="C37" s="41">
        <f ca="1">C36/(C27-C35)</f>
        <v>100459.8126165393</v>
      </c>
    </row>
    <row r="38" spans="1:22">
      <c r="B38" s="45" t="s">
        <v>165</v>
      </c>
      <c r="C38" s="38">
        <f ca="1">C37*U28</f>
        <v>28933.187139549515</v>
      </c>
    </row>
    <row r="39" spans="1:22">
      <c r="B39" s="45" t="s">
        <v>166</v>
      </c>
      <c r="C39" s="38">
        <f ca="1">SUM(L30:U30)</f>
        <v>17779.260062167097</v>
      </c>
    </row>
    <row r="40" spans="1:22">
      <c r="B40" s="39" t="s">
        <v>167</v>
      </c>
      <c r="C40" s="41">
        <f ca="1">C38+C39</f>
        <v>46712.447201716612</v>
      </c>
    </row>
    <row r="41" spans="1:22">
      <c r="B41" s="45" t="s">
        <v>168</v>
      </c>
      <c r="C41" s="123">
        <f ca="1">C40/U13</f>
        <v>3.7599747354413937</v>
      </c>
    </row>
    <row r="42" spans="1:22">
      <c r="B42" s="45" t="s">
        <v>169</v>
      </c>
      <c r="C42" s="123">
        <f ca="1">C40/'3 Statment Model'!L24</f>
        <v>10.410850966528471</v>
      </c>
    </row>
    <row r="43" spans="1:22">
      <c r="B43" s="45" t="s">
        <v>170</v>
      </c>
      <c r="C43" s="112">
        <f>('3 Statment Model'!L81+'3 Statment Model'!L92)*-1</f>
        <v>-1189</v>
      </c>
    </row>
    <row r="44" spans="1:22">
      <c r="B44" s="45" t="s">
        <v>171</v>
      </c>
      <c r="C44" s="112">
        <f>'3 Statment Model'!L51</f>
        <v>421.81</v>
      </c>
    </row>
    <row r="45" spans="1:22">
      <c r="B45" s="479" t="s">
        <v>1132</v>
      </c>
      <c r="C45" s="112">
        <f>'3 Statment Model'!L91*-1</f>
        <v>-41.12</v>
      </c>
    </row>
    <row r="46" spans="1:22">
      <c r="B46" s="384" t="s">
        <v>1043</v>
      </c>
      <c r="C46" s="112">
        <f>'3 Statment Model'!L64</f>
        <v>3378</v>
      </c>
    </row>
    <row r="47" spans="1:22" ht="15.75" thickBot="1">
      <c r="B47" s="34" t="s">
        <v>172</v>
      </c>
      <c r="C47" s="120">
        <f ca="1">SUM(C46,C45,C44,C43,C40)</f>
        <v>49282.137201716614</v>
      </c>
    </row>
    <row r="48" spans="1:22">
      <c r="B48" s="388" t="s">
        <v>1044</v>
      </c>
      <c r="C48" s="112">
        <v>0</v>
      </c>
    </row>
    <row r="49" spans="1:21" ht="15.75" thickBot="1">
      <c r="B49" s="34" t="s">
        <v>1074</v>
      </c>
      <c r="C49" s="120">
        <f ca="1">SUM(C47,C48)</f>
        <v>49282.137201716614</v>
      </c>
    </row>
    <row r="51" spans="1:21">
      <c r="A51" s="3" t="s">
        <v>21</v>
      </c>
      <c r="B51" s="489" t="s">
        <v>173</v>
      </c>
      <c r="C51" s="490"/>
      <c r="D51" s="490"/>
      <c r="E51" s="490"/>
      <c r="F51" s="490"/>
      <c r="G51" s="490"/>
      <c r="H51" s="490"/>
      <c r="I51" s="490"/>
      <c r="J51" s="490"/>
      <c r="K51" s="490"/>
      <c r="L51" s="490"/>
      <c r="M51" s="490"/>
      <c r="N51" s="490"/>
      <c r="O51" s="490"/>
      <c r="P51" s="490"/>
      <c r="Q51" s="490"/>
      <c r="R51" s="490"/>
      <c r="S51" s="490"/>
      <c r="T51" s="490"/>
      <c r="U51" s="490"/>
    </row>
    <row r="53" spans="1:21">
      <c r="B53" s="495" t="s">
        <v>1211</v>
      </c>
      <c r="C53" s="123">
        <v>17.100000000000001</v>
      </c>
    </row>
    <row r="54" spans="1:21">
      <c r="B54" s="3" t="s">
        <v>174</v>
      </c>
      <c r="C54" s="38">
        <f>P13</f>
        <v>2755.9699443660684</v>
      </c>
    </row>
    <row r="55" spans="1:21">
      <c r="B55" s="39" t="s">
        <v>164</v>
      </c>
      <c r="C55" s="41">
        <f>C54*C53</f>
        <v>47127.086048659774</v>
      </c>
    </row>
    <row r="56" spans="1:21">
      <c r="B56" s="45" t="s">
        <v>165</v>
      </c>
      <c r="C56" s="38">
        <f>C55*P28</f>
        <v>26133.570927075223</v>
      </c>
    </row>
    <row r="57" spans="1:21">
      <c r="B57" s="45" t="s">
        <v>166</v>
      </c>
      <c r="C57" s="38">
        <f ca="1">C39</f>
        <v>17779.260062167097</v>
      </c>
    </row>
    <row r="58" spans="1:21">
      <c r="B58" s="39" t="s">
        <v>167</v>
      </c>
      <c r="C58" s="41">
        <f ca="1">C56+C57</f>
        <v>92042.102096211267</v>
      </c>
    </row>
    <row r="59" spans="1:21">
      <c r="B59" s="45" t="s">
        <v>168</v>
      </c>
      <c r="C59" s="123">
        <f ca="1">C58/U13</f>
        <v>7.4086458580134922</v>
      </c>
    </row>
    <row r="60" spans="1:21">
      <c r="B60" s="45" t="s">
        <v>169</v>
      </c>
      <c r="C60" s="123">
        <f ca="1">C58/'3 Statment Model'!L24</f>
        <v>20.513517594822982</v>
      </c>
    </row>
    <row r="61" spans="1:21">
      <c r="B61" s="45" t="s">
        <v>170</v>
      </c>
      <c r="C61" s="124">
        <f>C43</f>
        <v>-1189</v>
      </c>
    </row>
    <row r="62" spans="1:21">
      <c r="B62" s="45" t="s">
        <v>171</v>
      </c>
      <c r="C62" s="124">
        <f>C44</f>
        <v>421.81</v>
      </c>
    </row>
    <row r="63" spans="1:21">
      <c r="B63" s="384" t="s">
        <v>1043</v>
      </c>
      <c r="C63" s="112">
        <f>C46</f>
        <v>3378</v>
      </c>
    </row>
    <row r="64" spans="1:21" ht="15.75" thickBot="1">
      <c r="B64" s="34" t="s">
        <v>172</v>
      </c>
      <c r="C64" s="120">
        <f ca="1">SUM(C58,C61,C62,C63)</f>
        <v>94652.912096211265</v>
      </c>
    </row>
    <row r="65" spans="1:21">
      <c r="B65" s="388" t="s">
        <v>1044</v>
      </c>
      <c r="C65" s="112">
        <f>C48</f>
        <v>0</v>
      </c>
    </row>
    <row r="66" spans="1:21" ht="15.75" thickBot="1">
      <c r="B66" s="34" t="s">
        <v>1074</v>
      </c>
      <c r="C66" s="120">
        <f ca="1">SUM(C64,C65)</f>
        <v>94652.912096211265</v>
      </c>
    </row>
    <row r="68" spans="1:21">
      <c r="A68" s="3" t="s">
        <v>21</v>
      </c>
      <c r="B68" s="489" t="s">
        <v>1129</v>
      </c>
      <c r="C68" s="490"/>
      <c r="D68" s="490"/>
      <c r="E68" s="490"/>
      <c r="F68" s="490"/>
      <c r="G68" s="490"/>
      <c r="H68" s="490"/>
      <c r="I68" s="490"/>
      <c r="J68" s="490"/>
      <c r="K68" s="490"/>
      <c r="L68" s="490"/>
      <c r="M68" s="490"/>
      <c r="N68" s="490"/>
      <c r="O68" s="490"/>
      <c r="P68" s="490"/>
      <c r="Q68" s="490"/>
      <c r="R68" s="490"/>
      <c r="S68" s="490"/>
      <c r="T68" s="490"/>
      <c r="U68" s="490"/>
    </row>
    <row r="70" spans="1:21" ht="14.45" customHeight="1">
      <c r="B70" s="561" t="s">
        <v>1284</v>
      </c>
      <c r="D70" s="559" t="s">
        <v>1130</v>
      </c>
      <c r="E70" s="559"/>
      <c r="F70" s="559"/>
      <c r="G70" s="559"/>
      <c r="H70" s="559"/>
      <c r="I70" s="559"/>
    </row>
    <row r="71" spans="1:21" ht="16.149999999999999" customHeight="1">
      <c r="B71" s="561"/>
      <c r="C71" s="461">
        <f ca="1">C49</f>
        <v>49282.137201716614</v>
      </c>
      <c r="D71" s="462">
        <v>0.1</v>
      </c>
      <c r="E71" s="462">
        <v>0.11</v>
      </c>
      <c r="F71" s="462">
        <v>0.12</v>
      </c>
      <c r="G71" s="462">
        <v>0.13</v>
      </c>
      <c r="H71" s="462">
        <v>0.14000000000000001</v>
      </c>
      <c r="I71" s="462">
        <v>0.15</v>
      </c>
    </row>
    <row r="72" spans="1:21" ht="14.45" customHeight="1">
      <c r="B72" s="561"/>
      <c r="C72" s="463">
        <v>0.04</v>
      </c>
      <c r="D72" s="109">
        <f t="dataTable" ref="D72:I76" dt2D="1" dtr="1" r1="C27" r2="C35" ca="1"/>
        <v>49282.137201716614</v>
      </c>
      <c r="E72" s="109">
        <v>49282.137201716614</v>
      </c>
      <c r="F72" s="109">
        <v>49282.137201716614</v>
      </c>
      <c r="G72" s="109">
        <v>49282.137201716614</v>
      </c>
      <c r="H72" s="109">
        <v>49282.137201716614</v>
      </c>
      <c r="I72" s="109">
        <v>49282.137201716614</v>
      </c>
    </row>
    <row r="73" spans="1:21" ht="13.15" customHeight="1">
      <c r="B73" s="561"/>
      <c r="C73" s="496">
        <v>4.8000000000000001E-2</v>
      </c>
      <c r="D73" s="109">
        <v>49282.137201716614</v>
      </c>
      <c r="E73" s="109">
        <v>49282.137201716614</v>
      </c>
      <c r="F73" s="109">
        <v>49282.137201716614</v>
      </c>
      <c r="G73" s="109">
        <v>49282.137201716614</v>
      </c>
      <c r="H73" s="525">
        <v>49282.137201716614</v>
      </c>
      <c r="I73" s="109">
        <v>49282.137201716614</v>
      </c>
    </row>
    <row r="74" spans="1:21">
      <c r="B74" s="561"/>
      <c r="C74" s="463">
        <v>0.05</v>
      </c>
      <c r="D74" s="109">
        <v>49282.137201716614</v>
      </c>
      <c r="E74" s="109">
        <v>49282.137201716614</v>
      </c>
      <c r="F74" s="109">
        <v>49282.137201716614</v>
      </c>
      <c r="G74" s="109">
        <v>49282.137201716614</v>
      </c>
      <c r="H74" s="109">
        <v>49282.137201716614</v>
      </c>
      <c r="I74" s="109">
        <v>49282.137201716614</v>
      </c>
    </row>
    <row r="75" spans="1:21">
      <c r="B75" s="561"/>
      <c r="C75" s="463">
        <v>0.06</v>
      </c>
      <c r="D75" s="109">
        <v>49282.137201716614</v>
      </c>
      <c r="E75" s="109">
        <v>49282.137201716614</v>
      </c>
      <c r="F75" s="109">
        <v>49282.137201716614</v>
      </c>
      <c r="G75" s="109">
        <v>49282.137201716614</v>
      </c>
      <c r="H75" s="109">
        <v>49282.137201716614</v>
      </c>
      <c r="I75" s="109">
        <v>49282.137201716614</v>
      </c>
    </row>
    <row r="76" spans="1:21" ht="15.6" customHeight="1">
      <c r="B76" s="561"/>
      <c r="C76" s="463">
        <v>7.0000000000000007E-2</v>
      </c>
      <c r="D76" s="109">
        <v>49282.137201716614</v>
      </c>
      <c r="E76" s="109">
        <v>49282.137201716614</v>
      </c>
      <c r="F76" s="109">
        <v>49282.137201716614</v>
      </c>
      <c r="G76" s="109">
        <v>49282.137201716614</v>
      </c>
      <c r="H76" s="109">
        <v>49282.137201716614</v>
      </c>
      <c r="I76" s="109">
        <v>49282.137201716614</v>
      </c>
    </row>
    <row r="77" spans="1:21">
      <c r="B77" s="561"/>
      <c r="C77"/>
      <c r="D77"/>
      <c r="E77"/>
      <c r="F77"/>
      <c r="G77"/>
      <c r="H77"/>
      <c r="I77"/>
    </row>
    <row r="78" spans="1:21">
      <c r="C78" s="122"/>
      <c r="D78"/>
      <c r="E78"/>
      <c r="F78"/>
      <c r="G78"/>
      <c r="H78"/>
      <c r="I78"/>
    </row>
    <row r="80" spans="1:21" ht="14.45" customHeight="1">
      <c r="B80" s="527"/>
    </row>
    <row r="81" spans="2:9">
      <c r="B81" s="527"/>
      <c r="D81" s="559" t="s">
        <v>1130</v>
      </c>
      <c r="E81" s="559"/>
      <c r="F81" s="559"/>
      <c r="G81" s="559"/>
      <c r="H81" s="559"/>
      <c r="I81" s="559"/>
    </row>
    <row r="82" spans="2:9">
      <c r="B82" s="561" t="s">
        <v>1283</v>
      </c>
      <c r="C82" s="458">
        <f ca="1">C66</f>
        <v>94652.912096211265</v>
      </c>
      <c r="D82" s="459">
        <v>0.1</v>
      </c>
      <c r="E82" s="459">
        <v>0.11</v>
      </c>
      <c r="F82" s="459">
        <v>0.12</v>
      </c>
      <c r="G82" s="459">
        <v>0.13</v>
      </c>
      <c r="H82" s="459">
        <v>0.14000000000000001</v>
      </c>
      <c r="I82" s="459">
        <v>0.15</v>
      </c>
    </row>
    <row r="83" spans="2:9" ht="14.45" customHeight="1">
      <c r="B83" s="561"/>
      <c r="C83" s="460">
        <v>17.100000000000001</v>
      </c>
      <c r="D83" s="249">
        <f t="dataTable" ref="D83:I87" dt2D="1" dtr="1" r1="C27" r2="C53" ca="1"/>
        <v>94652.912096211265</v>
      </c>
      <c r="E83" s="249">
        <v>94652.912096211265</v>
      </c>
      <c r="F83" s="249">
        <v>94652.912096211265</v>
      </c>
      <c r="G83" s="249">
        <v>94652.912096211265</v>
      </c>
      <c r="H83" s="526">
        <v>94652.912096211265</v>
      </c>
      <c r="I83" s="249">
        <v>94652.912096211265</v>
      </c>
    </row>
    <row r="84" spans="2:9">
      <c r="B84" s="561"/>
      <c r="C84" s="460">
        <v>19</v>
      </c>
      <c r="D84" s="249">
        <v>94652.912096211265</v>
      </c>
      <c r="E84" s="249">
        <v>94652.912096211265</v>
      </c>
      <c r="F84" s="249">
        <v>94652.912096211265</v>
      </c>
      <c r="G84" s="249">
        <v>94652.912096211265</v>
      </c>
      <c r="H84" s="249">
        <v>94652.912096211265</v>
      </c>
      <c r="I84" s="249">
        <v>94652.912096211265</v>
      </c>
    </row>
    <row r="85" spans="2:9">
      <c r="B85" s="561"/>
      <c r="C85" s="460">
        <v>20</v>
      </c>
      <c r="D85" s="249">
        <v>94652.912096211265</v>
      </c>
      <c r="E85" s="249">
        <v>94652.912096211265</v>
      </c>
      <c r="F85" s="249">
        <v>94652.912096211265</v>
      </c>
      <c r="G85" s="249">
        <v>94652.912096211265</v>
      </c>
      <c r="H85" s="249">
        <v>94652.912096211265</v>
      </c>
      <c r="I85" s="249">
        <v>94652.912096211265</v>
      </c>
    </row>
    <row r="86" spans="2:9" ht="12.6" customHeight="1">
      <c r="B86" s="561"/>
      <c r="C86" s="460">
        <v>21</v>
      </c>
      <c r="D86" s="249">
        <v>94652.912096211265</v>
      </c>
      <c r="E86" s="249">
        <v>94652.912096211265</v>
      </c>
      <c r="F86" s="249">
        <v>94652.912096211265</v>
      </c>
      <c r="G86" s="249">
        <v>94652.912096211265</v>
      </c>
      <c r="H86" s="249">
        <v>94652.912096211265</v>
      </c>
      <c r="I86" s="249">
        <v>94652.912096211265</v>
      </c>
    </row>
    <row r="87" spans="2:9" ht="16.149999999999999" customHeight="1">
      <c r="B87" s="561"/>
      <c r="C87" s="460">
        <v>22</v>
      </c>
      <c r="D87" s="249">
        <v>94652.912096211265</v>
      </c>
      <c r="E87" s="249">
        <v>94652.912096211265</v>
      </c>
      <c r="F87" s="249">
        <v>94652.912096211265</v>
      </c>
      <c r="G87" s="249">
        <v>94652.912096211265</v>
      </c>
      <c r="H87" s="249">
        <v>94652.912096211265</v>
      </c>
      <c r="I87" s="249">
        <v>94652.912096211265</v>
      </c>
    </row>
  </sheetData>
  <mergeCells count="6">
    <mergeCell ref="D70:I70"/>
    <mergeCell ref="D81:I81"/>
    <mergeCell ref="K7:L7"/>
    <mergeCell ref="M7:U7"/>
    <mergeCell ref="B82:B87"/>
    <mergeCell ref="B70:B77"/>
  </mergeCells>
  <dataValidations count="2">
    <dataValidation type="list" allowBlank="1" showInputMessage="1" showErrorMessage="1" sqref="D26:E26 H26:I26" xr:uid="{2A86055B-1F55-4EB8-BC44-3CB1A098BCE0}">
      <formula1>$AE$28:$AE$29</formula1>
    </dataValidation>
    <dataValidation type="list" allowBlank="1" showInputMessage="1" showErrorMessage="1" sqref="Z19" xr:uid="{F0C28E50-C92A-4A52-96F2-FF9B57AF681B}">
      <formula1>$Z$14:$Z$14</formula1>
    </dataValidation>
  </dataValidations>
  <pageMargins left="0.7" right="0.7" top="0.75" bottom="0.75" header="0.3" footer="0.3"/>
  <pageSetup orientation="portrait" r:id="rId1"/>
  <ignoredErrors>
    <ignoredError sqref="E16:O16 E18:O18 C64 P16:U16 P18:U18"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145" r:id="rId4" name="Drop Down 1">
              <controlPr defaultSize="0" autoLine="0" autoPict="0">
                <anchor moveWithCells="1">
                  <from>
                    <xdr:col>12</xdr:col>
                    <xdr:colOff>19050</xdr:colOff>
                    <xdr:row>3</xdr:row>
                    <xdr:rowOff>0</xdr:rowOff>
                  </from>
                  <to>
                    <xdr:col>14</xdr:col>
                    <xdr:colOff>66675</xdr:colOff>
                    <xdr:row>4</xdr:row>
                    <xdr:rowOff>19050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D3121-84D6-46B0-8528-38A9E729081A}">
  <sheetPr codeName="Sheet16">
    <tabColor rgb="FFFF0000"/>
  </sheetPr>
  <dimension ref="A1"/>
  <sheetViews>
    <sheetView topLeftCell="D1"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CF8DD-7D58-4E86-BD97-B1D2A02D35C7}">
  <sheetPr codeName="Sheet17"/>
  <dimension ref="E2:F14"/>
  <sheetViews>
    <sheetView showGridLines="0" topLeftCell="A7" workbookViewId="0">
      <selection activeCell="E2" sqref="E2:F14"/>
    </sheetView>
  </sheetViews>
  <sheetFormatPr defaultRowHeight="15"/>
  <cols>
    <col min="1" max="1" width="1.85546875" customWidth="1"/>
    <col min="5" max="5" width="20.5703125" bestFit="1" customWidth="1"/>
    <col min="6" max="6" width="108.7109375" customWidth="1"/>
  </cols>
  <sheetData>
    <row r="2" spans="5:6">
      <c r="E2" s="415" t="s">
        <v>1075</v>
      </c>
      <c r="F2" s="416" t="s">
        <v>1076</v>
      </c>
    </row>
    <row r="3" spans="5:6">
      <c r="E3" s="531"/>
    </row>
    <row r="4" spans="5:6" ht="64.5">
      <c r="E4" s="536" t="s">
        <v>1019</v>
      </c>
      <c r="F4" s="420" t="s">
        <v>1078</v>
      </c>
    </row>
    <row r="5" spans="5:6" ht="4.1500000000000004" customHeight="1">
      <c r="E5" s="532"/>
      <c r="F5" s="417"/>
    </row>
    <row r="6" spans="5:6" ht="76.5">
      <c r="E6" s="538" t="s">
        <v>540</v>
      </c>
      <c r="F6" s="501" t="s">
        <v>1077</v>
      </c>
    </row>
    <row r="7" spans="5:6" ht="6.6" customHeight="1">
      <c r="E7" s="533"/>
      <c r="F7" s="419"/>
    </row>
    <row r="8" spans="5:6" ht="76.5">
      <c r="E8" s="538" t="s">
        <v>542</v>
      </c>
      <c r="F8" s="421" t="s">
        <v>1079</v>
      </c>
    </row>
    <row r="9" spans="5:6">
      <c r="E9" s="531"/>
    </row>
    <row r="10" spans="5:6" ht="38.25">
      <c r="E10" s="534" t="s">
        <v>1220</v>
      </c>
      <c r="F10" s="503" t="s">
        <v>1219</v>
      </c>
    </row>
    <row r="11" spans="5:6">
      <c r="E11" s="537"/>
      <c r="F11" s="421"/>
    </row>
    <row r="12" spans="5:6">
      <c r="E12" s="531"/>
      <c r="F12" s="503"/>
    </row>
    <row r="13" spans="5:6" ht="51">
      <c r="E13" s="535" t="s">
        <v>1213</v>
      </c>
      <c r="F13" s="502" t="s">
        <v>1218</v>
      </c>
    </row>
    <row r="14" spans="5:6">
      <c r="E14" s="53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F0C0-A69E-4645-8FF4-95181D59983D}">
  <sheetPr codeName="Sheet18"/>
  <dimension ref="B4:W81"/>
  <sheetViews>
    <sheetView showGridLines="0" workbookViewId="0">
      <selection activeCell="H86" sqref="H86"/>
    </sheetView>
  </sheetViews>
  <sheetFormatPr defaultRowHeight="15"/>
  <cols>
    <col min="1" max="1" width="1.85546875" customWidth="1"/>
    <col min="2" max="2" width="23.7109375" customWidth="1"/>
    <col min="3" max="3" width="1.28515625" customWidth="1"/>
    <col min="4" max="4" width="8.5703125" hidden="1" customWidth="1"/>
    <col min="5" max="6" width="0" hidden="1" customWidth="1"/>
    <col min="7" max="8" width="9.28515625" bestFit="1" customWidth="1"/>
    <col min="10" max="10" width="9.28515625" bestFit="1" customWidth="1"/>
    <col min="12" max="12" width="9.28515625" hidden="1" customWidth="1"/>
  </cols>
  <sheetData>
    <row r="4" spans="2:12">
      <c r="B4" s="1" t="s">
        <v>1080</v>
      </c>
    </row>
    <row r="6" spans="2:12">
      <c r="B6" s="415" t="s">
        <v>1090</v>
      </c>
      <c r="C6" s="422"/>
      <c r="D6" s="422"/>
      <c r="E6" s="422"/>
      <c r="F6" s="422"/>
      <c r="G6" s="422"/>
      <c r="H6" s="422"/>
      <c r="I6" s="422"/>
      <c r="J6" s="422"/>
      <c r="K6" s="422"/>
      <c r="L6" s="422"/>
    </row>
    <row r="7" spans="2:12" ht="4.9000000000000004" customHeight="1"/>
    <row r="8" spans="2:12">
      <c r="C8" s="428"/>
      <c r="D8" s="428">
        <v>2018</v>
      </c>
      <c r="E8" s="428">
        <f t="shared" ref="E8:K8" si="0">D8+1</f>
        <v>2019</v>
      </c>
      <c r="F8" s="428">
        <f t="shared" si="0"/>
        <v>2020</v>
      </c>
      <c r="G8" s="539">
        <f t="shared" si="0"/>
        <v>2021</v>
      </c>
      <c r="H8" s="539">
        <f t="shared" si="0"/>
        <v>2022</v>
      </c>
      <c r="I8" s="539">
        <f t="shared" si="0"/>
        <v>2023</v>
      </c>
      <c r="J8" s="539">
        <f t="shared" si="0"/>
        <v>2024</v>
      </c>
      <c r="K8" s="540">
        <f t="shared" si="0"/>
        <v>2025</v>
      </c>
      <c r="L8" s="1" t="s">
        <v>1101</v>
      </c>
    </row>
    <row r="9" spans="2:12" ht="2.4500000000000002" customHeight="1">
      <c r="B9" s="284"/>
      <c r="C9" s="429"/>
      <c r="D9" s="429"/>
      <c r="E9" s="429"/>
      <c r="F9" s="429"/>
      <c r="G9" s="429"/>
      <c r="H9" s="429"/>
      <c r="I9" s="429"/>
      <c r="J9" s="429"/>
      <c r="K9" s="429"/>
    </row>
    <row r="10" spans="2:12">
      <c r="B10" t="s">
        <v>1091</v>
      </c>
      <c r="D10" s="148">
        <f t="shared" ref="D10:K10" si="1">D32</f>
        <v>0.1281389567578049</v>
      </c>
      <c r="E10" s="148">
        <f t="shared" si="1"/>
        <v>0.15944076140466029</v>
      </c>
      <c r="F10" s="148">
        <f t="shared" si="1"/>
        <v>9.4854566080544517E-2</v>
      </c>
      <c r="G10" s="148">
        <f t="shared" si="1"/>
        <v>2.2916826144560613E-3</v>
      </c>
      <c r="H10" s="148">
        <f t="shared" si="1"/>
        <v>0.1630449726265189</v>
      </c>
      <c r="I10" s="148">
        <f t="shared" si="1"/>
        <v>0.14877017600343423</v>
      </c>
      <c r="J10" s="148">
        <f t="shared" si="1"/>
        <v>0.21057725297562818</v>
      </c>
      <c r="K10" s="148">
        <f t="shared" si="1"/>
        <v>2.0799999999999996E-2</v>
      </c>
      <c r="L10" s="427">
        <f>AVERAGE(D10:K10)</f>
        <v>0.11598979605788089</v>
      </c>
    </row>
    <row r="11" spans="2:12">
      <c r="B11" t="s">
        <v>1092</v>
      </c>
      <c r="D11" s="148">
        <f t="shared" ref="D11:J11" si="2">D44</f>
        <v>0.16753999999999997</v>
      </c>
      <c r="E11" s="148">
        <f t="shared" si="2"/>
        <v>0.15786</v>
      </c>
      <c r="F11" s="148">
        <f t="shared" si="2"/>
        <v>0.17185999999999998</v>
      </c>
      <c r="G11" s="148">
        <f t="shared" si="2"/>
        <v>0.20060000000000003</v>
      </c>
      <c r="H11" s="148">
        <f t="shared" si="2"/>
        <v>0.18787999999999999</v>
      </c>
      <c r="I11" s="148">
        <f t="shared" si="2"/>
        <v>0.15010000000000001</v>
      </c>
      <c r="J11" s="148">
        <f t="shared" si="2"/>
        <v>0.14686000000000002</v>
      </c>
      <c r="K11" s="148">
        <f>K44</f>
        <v>0.17699999999999999</v>
      </c>
      <c r="L11" s="2">
        <f>AVERAGE(D11:K11)</f>
        <v>0.16996249999999999</v>
      </c>
    </row>
    <row r="12" spans="2:12">
      <c r="B12" t="s">
        <v>1093</v>
      </c>
      <c r="D12" s="148">
        <f t="shared" ref="D12:K12" si="3">D68</f>
        <v>0.1202</v>
      </c>
      <c r="E12" s="148">
        <f t="shared" si="3"/>
        <v>0.11320000000000001</v>
      </c>
      <c r="F12" s="148">
        <f t="shared" si="3"/>
        <v>0.1202</v>
      </c>
      <c r="G12" s="148">
        <f t="shared" si="3"/>
        <v>0.13799999999999998</v>
      </c>
      <c r="H12" s="148">
        <f t="shared" si="3"/>
        <v>0.156</v>
      </c>
      <c r="I12" s="148">
        <f t="shared" si="3"/>
        <v>8.900000000000001E-2</v>
      </c>
      <c r="J12" s="148">
        <f t="shared" si="3"/>
        <v>0.1032</v>
      </c>
      <c r="K12" s="148">
        <f t="shared" si="3"/>
        <v>0.11574</v>
      </c>
      <c r="L12" s="2">
        <f>AVERAGE(D12:K12)</f>
        <v>0.11944249999999999</v>
      </c>
    </row>
    <row r="13" spans="2:12">
      <c r="B13" t="s">
        <v>1094</v>
      </c>
      <c r="D13" s="148">
        <f t="shared" ref="D13:K13" si="4">D80</f>
        <v>8.702E-2</v>
      </c>
      <c r="E13" s="148">
        <f t="shared" si="4"/>
        <v>8.0439999999999998E-2</v>
      </c>
      <c r="F13" s="148">
        <f t="shared" si="4"/>
        <v>9.11E-2</v>
      </c>
      <c r="G13" s="148">
        <f t="shared" si="4"/>
        <v>0.1066</v>
      </c>
      <c r="H13" s="148">
        <f t="shared" si="4"/>
        <v>0.125275</v>
      </c>
      <c r="I13" s="148">
        <f t="shared" si="4"/>
        <v>6.1425E-2</v>
      </c>
      <c r="J13" s="148">
        <f t="shared" si="4"/>
        <v>7.7279999999999988E-2</v>
      </c>
      <c r="K13" s="148">
        <f t="shared" si="4"/>
        <v>9.2125000000000012E-2</v>
      </c>
      <c r="L13" s="2">
        <f>AVERAGE(D13:K13)</f>
        <v>9.0158125000000006E-2</v>
      </c>
    </row>
    <row r="14" spans="2:12">
      <c r="B14" t="s">
        <v>1095</v>
      </c>
      <c r="D14" s="148">
        <f t="shared" ref="D14:K14" si="5">D56</f>
        <v>7.0919999999999997E-2</v>
      </c>
      <c r="E14" s="148">
        <f t="shared" si="5"/>
        <v>5.7300000000000004E-2</v>
      </c>
      <c r="F14" s="148">
        <f t="shared" si="5"/>
        <v>7.1320000000000008E-2</v>
      </c>
      <c r="G14" s="148">
        <f t="shared" si="5"/>
        <v>8.9380000000000001E-2</v>
      </c>
      <c r="H14" s="148">
        <f t="shared" si="5"/>
        <v>6.7480000000000012E-2</v>
      </c>
      <c r="I14" s="148">
        <f t="shared" si="5"/>
        <v>5.4825000000000006E-2</v>
      </c>
      <c r="J14" s="148">
        <f t="shared" si="5"/>
        <v>6.862E-2</v>
      </c>
      <c r="K14" s="148">
        <f t="shared" si="5"/>
        <v>9.4E-2</v>
      </c>
      <c r="L14" s="2">
        <f>AVERAGE(D14:K14)</f>
        <v>7.1730625000000006E-2</v>
      </c>
    </row>
    <row r="15" spans="2:12">
      <c r="D15" s="146"/>
      <c r="E15" s="146"/>
      <c r="F15" s="146"/>
      <c r="G15" s="146"/>
      <c r="H15" s="146"/>
      <c r="I15" s="146"/>
      <c r="J15" s="146"/>
      <c r="K15" s="146"/>
    </row>
    <row r="16" spans="2:12">
      <c r="B16" t="s">
        <v>1096</v>
      </c>
      <c r="D16" s="148">
        <f t="shared" ref="D16:K16" si="6">D33</f>
        <v>0.159</v>
      </c>
      <c r="E16" s="148">
        <f t="shared" si="6"/>
        <v>0.1572038070233015</v>
      </c>
      <c r="F16" s="148">
        <f t="shared" si="6"/>
        <v>5.8000000000000003E-2</v>
      </c>
      <c r="G16" s="148">
        <f t="shared" si="6"/>
        <v>2.4E-2</v>
      </c>
      <c r="H16" s="148">
        <f t="shared" si="6"/>
        <v>0.17499999999999999</v>
      </c>
      <c r="I16" s="148">
        <f t="shared" si="6"/>
        <v>0.15204035200686844</v>
      </c>
      <c r="J16" s="148">
        <f t="shared" si="6"/>
        <v>0.20599999999999999</v>
      </c>
      <c r="K16" s="148">
        <f t="shared" si="6"/>
        <v>0.06</v>
      </c>
      <c r="L16" s="2">
        <f>AVERAGE(D16:K16)</f>
        <v>0.12390551987877124</v>
      </c>
    </row>
    <row r="17" spans="2:23">
      <c r="B17" t="s">
        <v>1097</v>
      </c>
      <c r="D17" s="148">
        <f t="shared" ref="D17:K17" si="7">D45</f>
        <v>0.1623</v>
      </c>
      <c r="E17" s="148">
        <f t="shared" si="7"/>
        <v>0.15409999999999999</v>
      </c>
      <c r="F17" s="148">
        <f t="shared" si="7"/>
        <v>0.17080000000000001</v>
      </c>
      <c r="G17" s="148">
        <f t="shared" si="7"/>
        <v>0.20100000000000001</v>
      </c>
      <c r="H17" s="148">
        <f t="shared" si="7"/>
        <v>0.21099999999999999</v>
      </c>
      <c r="I17" s="148">
        <f t="shared" si="7"/>
        <v>0.1482</v>
      </c>
      <c r="J17" s="148">
        <f t="shared" si="7"/>
        <v>0.15129999999999999</v>
      </c>
      <c r="K17" s="148">
        <f t="shared" si="7"/>
        <v>0.182</v>
      </c>
      <c r="L17" s="2">
        <f>AVERAGE(D17:K17)</f>
        <v>0.1725875</v>
      </c>
    </row>
    <row r="18" spans="2:23">
      <c r="B18" t="s">
        <v>1098</v>
      </c>
      <c r="D18" s="148">
        <f t="shared" ref="D18:K18" si="8">D69</f>
        <v>0.11</v>
      </c>
      <c r="E18" s="148">
        <f t="shared" si="8"/>
        <v>0.112</v>
      </c>
      <c r="F18" s="148">
        <f t="shared" si="8"/>
        <v>0.12</v>
      </c>
      <c r="G18" s="148">
        <f t="shared" si="8"/>
        <v>0.1525</v>
      </c>
      <c r="H18" s="148">
        <f t="shared" si="8"/>
        <v>0.17199999999999999</v>
      </c>
      <c r="I18" s="148">
        <f t="shared" si="8"/>
        <v>0.1</v>
      </c>
      <c r="J18" s="148">
        <f t="shared" si="8"/>
        <v>8.7999999999999995E-2</v>
      </c>
      <c r="K18" s="148">
        <f t="shared" si="8"/>
        <v>0.127</v>
      </c>
      <c r="L18" s="2">
        <f>AVERAGE(D18:K18)</f>
        <v>0.12268749999999998</v>
      </c>
    </row>
    <row r="19" spans="2:23">
      <c r="B19" t="s">
        <v>1099</v>
      </c>
      <c r="D19" s="148">
        <f t="shared" ref="D19:K19" si="9">D81</f>
        <v>9.3299999999999994E-2</v>
      </c>
      <c r="E19" s="148">
        <f t="shared" si="9"/>
        <v>0.10299999999999999</v>
      </c>
      <c r="F19" s="148">
        <f t="shared" si="9"/>
        <v>8.3400000000000002E-2</v>
      </c>
      <c r="G19" s="148">
        <f t="shared" si="9"/>
        <v>0.12659999999999999</v>
      </c>
      <c r="H19" s="148">
        <f t="shared" si="9"/>
        <v>0.16025</v>
      </c>
      <c r="I19" s="148">
        <f t="shared" si="9"/>
        <v>7.9649999999999999E-2</v>
      </c>
      <c r="J19" s="148">
        <f t="shared" si="9"/>
        <v>8.4699999999999998E-2</v>
      </c>
      <c r="K19" s="148">
        <f t="shared" si="9"/>
        <v>0.10215</v>
      </c>
      <c r="L19" s="2">
        <f>AVERAGE(D19:K19)</f>
        <v>0.10413124999999998</v>
      </c>
    </row>
    <row r="20" spans="2:23" ht="15.75" thickBot="1">
      <c r="B20" s="434" t="s">
        <v>1100</v>
      </c>
      <c r="C20" s="434"/>
      <c r="D20" s="435">
        <f t="shared" ref="D20:K20" si="10">D57</f>
        <v>6.3E-2</v>
      </c>
      <c r="E20" s="435">
        <f t="shared" si="10"/>
        <v>7.0000000000000007E-2</v>
      </c>
      <c r="F20" s="435">
        <f t="shared" si="10"/>
        <v>7.5999999999999998E-2</v>
      </c>
      <c r="G20" s="435">
        <f t="shared" si="10"/>
        <v>0.10639999999999999</v>
      </c>
      <c r="H20" s="435">
        <f t="shared" si="10"/>
        <v>8.5000000000000006E-2</v>
      </c>
      <c r="I20" s="435">
        <f t="shared" si="10"/>
        <v>4.1399999999999999E-2</v>
      </c>
      <c r="J20" s="435">
        <f t="shared" si="10"/>
        <v>6.8400000000000002E-2</v>
      </c>
      <c r="K20" s="435">
        <f t="shared" si="10"/>
        <v>9.6000000000000002E-2</v>
      </c>
      <c r="L20" s="436">
        <f>AVERAGE(D20:K20)</f>
        <v>7.5774999999999995E-2</v>
      </c>
    </row>
    <row r="23" spans="2:23">
      <c r="B23" s="415" t="s">
        <v>1081</v>
      </c>
      <c r="C23" s="422"/>
      <c r="D23" s="422"/>
      <c r="E23" s="422"/>
      <c r="F23" s="422"/>
      <c r="G23" s="422"/>
      <c r="H23" s="422"/>
      <c r="I23" s="422"/>
      <c r="J23" s="422"/>
      <c r="K23" s="422"/>
      <c r="O23" s="499"/>
      <c r="P23" s="499"/>
      <c r="Q23" s="499"/>
      <c r="R23" s="499"/>
      <c r="S23" s="499"/>
      <c r="T23" s="499"/>
      <c r="U23" s="499"/>
      <c r="V23" s="499"/>
    </row>
    <row r="24" spans="2:23" ht="6" customHeight="1"/>
    <row r="25" spans="2:23">
      <c r="B25" s="1"/>
      <c r="C25" s="1"/>
      <c r="D25" s="428">
        <f>2018</f>
        <v>2018</v>
      </c>
      <c r="E25" s="428">
        <f t="shared" ref="E25:K25" si="11">D25+1</f>
        <v>2019</v>
      </c>
      <c r="F25" s="428">
        <f t="shared" si="11"/>
        <v>2020</v>
      </c>
      <c r="G25" s="539">
        <f t="shared" si="11"/>
        <v>2021</v>
      </c>
      <c r="H25" s="539">
        <f t="shared" si="11"/>
        <v>2022</v>
      </c>
      <c r="I25" s="539">
        <f t="shared" si="11"/>
        <v>2023</v>
      </c>
      <c r="J25" s="539">
        <f t="shared" si="11"/>
        <v>2024</v>
      </c>
      <c r="K25" s="540">
        <f t="shared" si="11"/>
        <v>2025</v>
      </c>
      <c r="P25" s="44"/>
      <c r="Q25" s="44"/>
      <c r="R25" s="44"/>
      <c r="S25" s="44"/>
      <c r="T25" s="44"/>
      <c r="U25" s="44"/>
      <c r="V25" s="44"/>
    </row>
    <row r="26" spans="2:23" ht="6" customHeight="1">
      <c r="B26" s="424"/>
      <c r="C26" s="424"/>
      <c r="D26" s="429"/>
      <c r="E26" s="429"/>
      <c r="F26" s="429"/>
      <c r="G26" s="429"/>
      <c r="H26" s="429"/>
      <c r="I26" s="429"/>
      <c r="J26" s="429"/>
      <c r="K26" s="429"/>
    </row>
    <row r="27" spans="2:23">
      <c r="B27" s="418" t="s">
        <v>1082</v>
      </c>
      <c r="D27" s="430">
        <v>1.6E-2</v>
      </c>
      <c r="E27" s="430">
        <v>0.21299999999999999</v>
      </c>
      <c r="F27" s="430">
        <v>0.33300000000000002</v>
      </c>
      <c r="G27" s="430">
        <v>2.4E-2</v>
      </c>
      <c r="H27" s="430">
        <v>5.5E-2</v>
      </c>
      <c r="I27" s="430">
        <v>0.16800000000000001</v>
      </c>
      <c r="J27" s="430">
        <v>0.2</v>
      </c>
      <c r="K27" s="430">
        <v>0.108</v>
      </c>
      <c r="L27" s="430"/>
    </row>
    <row r="28" spans="2:23">
      <c r="B28" s="418" t="s">
        <v>1084</v>
      </c>
      <c r="D28" s="430">
        <v>0.159</v>
      </c>
      <c r="E28" s="430">
        <v>0.104</v>
      </c>
      <c r="F28" s="430">
        <v>4.8000000000000001E-2</v>
      </c>
      <c r="G28" s="430">
        <v>-9.8000000000000004E-2</v>
      </c>
      <c r="H28" s="430">
        <v>0.17499999999999999</v>
      </c>
      <c r="I28" s="146" t="s">
        <v>1083</v>
      </c>
      <c r="J28" s="430">
        <v>0.35299999999999998</v>
      </c>
      <c r="K28" s="430">
        <v>-0.11600000000000001</v>
      </c>
      <c r="L28" s="430"/>
      <c r="P28" s="500"/>
      <c r="Q28" s="500"/>
      <c r="R28" s="500"/>
      <c r="S28" s="500"/>
      <c r="T28" s="500"/>
      <c r="U28" s="500"/>
      <c r="V28" s="500"/>
      <c r="W28" s="500"/>
    </row>
    <row r="29" spans="2:23">
      <c r="B29" s="418" t="s">
        <v>1085</v>
      </c>
      <c r="D29" s="430">
        <v>7.4999999999999997E-2</v>
      </c>
      <c r="E29" s="430">
        <v>0.20899999999999999</v>
      </c>
      <c r="F29" s="430">
        <v>7.1999999999999995E-2</v>
      </c>
      <c r="G29" s="430">
        <v>0.10299999999999999</v>
      </c>
      <c r="H29" s="430">
        <v>0.14099999999999999</v>
      </c>
      <c r="I29" s="430">
        <v>0.21099999999999999</v>
      </c>
      <c r="J29" s="430">
        <v>0.20599999999999999</v>
      </c>
      <c r="K29" s="430">
        <v>0.152</v>
      </c>
      <c r="L29" s="430"/>
      <c r="Q29" s="44"/>
      <c r="R29" s="44"/>
      <c r="S29" s="44"/>
      <c r="T29" s="44"/>
      <c r="U29" s="44"/>
      <c r="V29" s="44"/>
      <c r="W29" s="44"/>
    </row>
    <row r="30" spans="2:23">
      <c r="B30" s="418" t="s">
        <v>1216</v>
      </c>
      <c r="D30" s="430">
        <v>0.20899999999999999</v>
      </c>
      <c r="E30" s="430">
        <v>0.114</v>
      </c>
      <c r="F30" s="430">
        <v>5.8000000000000003E-2</v>
      </c>
      <c r="G30" s="430">
        <v>-0.12</v>
      </c>
      <c r="H30" s="430">
        <v>0.2</v>
      </c>
      <c r="I30" s="430">
        <v>0.08</v>
      </c>
      <c r="J30" s="430">
        <v>0.28000000000000003</v>
      </c>
      <c r="K30" s="430">
        <v>-0.1</v>
      </c>
      <c r="L30" s="430"/>
    </row>
    <row r="31" spans="2:23">
      <c r="B31" s="418" t="s">
        <v>1213</v>
      </c>
      <c r="D31" s="430">
        <v>0.18169478378902459</v>
      </c>
      <c r="E31" s="430">
        <v>0.1572038070233015</v>
      </c>
      <c r="F31" s="430">
        <v>-3.6727169597277398E-2</v>
      </c>
      <c r="G31" s="430">
        <v>0.10245841307228032</v>
      </c>
      <c r="H31" s="430">
        <v>0.24422486313259451</v>
      </c>
      <c r="I31" s="430">
        <v>0.13608070401373684</v>
      </c>
      <c r="J31" s="430">
        <v>1.3886264878141041E-2</v>
      </c>
      <c r="K31" s="430">
        <v>0.06</v>
      </c>
    </row>
    <row r="32" spans="2:23">
      <c r="B32" s="498" t="s">
        <v>1086</v>
      </c>
      <c r="C32" s="319"/>
      <c r="D32" s="431">
        <f>AVERAGE(D27:D31)</f>
        <v>0.1281389567578049</v>
      </c>
      <c r="E32" s="431">
        <f t="shared" ref="E32:K32" si="12">AVERAGE(E27:E31)</f>
        <v>0.15944076140466029</v>
      </c>
      <c r="F32" s="431">
        <f t="shared" si="12"/>
        <v>9.4854566080544517E-2</v>
      </c>
      <c r="G32" s="431">
        <f t="shared" si="12"/>
        <v>2.2916826144560613E-3</v>
      </c>
      <c r="H32" s="431">
        <f t="shared" si="12"/>
        <v>0.1630449726265189</v>
      </c>
      <c r="I32" s="431">
        <f t="shared" si="12"/>
        <v>0.14877017600343423</v>
      </c>
      <c r="J32" s="431">
        <f t="shared" si="12"/>
        <v>0.21057725297562818</v>
      </c>
      <c r="K32" s="431">
        <f t="shared" si="12"/>
        <v>2.0799999999999996E-2</v>
      </c>
    </row>
    <row r="33" spans="2:23" ht="15.75" thickBot="1">
      <c r="B33" s="433" t="s">
        <v>213</v>
      </c>
      <c r="C33" s="434"/>
      <c r="D33" s="435">
        <f>MEDIAN(D27:D31)</f>
        <v>0.159</v>
      </c>
      <c r="E33" s="435">
        <f t="shared" ref="E33:K33" si="13">MEDIAN(E27:E31)</f>
        <v>0.1572038070233015</v>
      </c>
      <c r="F33" s="435">
        <f t="shared" si="13"/>
        <v>5.8000000000000003E-2</v>
      </c>
      <c r="G33" s="435">
        <f t="shared" si="13"/>
        <v>2.4E-2</v>
      </c>
      <c r="H33" s="435">
        <f t="shared" si="13"/>
        <v>0.17499999999999999</v>
      </c>
      <c r="I33" s="435">
        <f t="shared" si="13"/>
        <v>0.15204035200686844</v>
      </c>
      <c r="J33" s="435">
        <f t="shared" si="13"/>
        <v>0.20599999999999999</v>
      </c>
      <c r="K33" s="435">
        <f t="shared" si="13"/>
        <v>0.06</v>
      </c>
    </row>
    <row r="34" spans="2:23">
      <c r="D34" s="146"/>
      <c r="E34" s="146"/>
      <c r="F34" s="146"/>
      <c r="G34" s="146"/>
      <c r="H34" s="146"/>
      <c r="I34" s="146"/>
      <c r="J34" s="146"/>
      <c r="K34" s="146"/>
      <c r="Q34" s="499"/>
      <c r="R34" s="499"/>
      <c r="S34" s="499"/>
      <c r="T34" s="499"/>
      <c r="U34" s="499"/>
      <c r="V34" s="499"/>
      <c r="W34" s="499"/>
    </row>
    <row r="35" spans="2:23">
      <c r="B35" s="415" t="s">
        <v>529</v>
      </c>
      <c r="C35" s="422"/>
      <c r="D35" s="432"/>
      <c r="E35" s="432"/>
      <c r="F35" s="432"/>
      <c r="G35" s="432"/>
      <c r="H35" s="432"/>
      <c r="I35" s="432"/>
      <c r="J35" s="432"/>
      <c r="K35" s="432"/>
    </row>
    <row r="36" spans="2:23" ht="4.9000000000000004" customHeight="1">
      <c r="D36" s="146"/>
      <c r="E36" s="146"/>
      <c r="F36" s="146"/>
      <c r="G36" s="146"/>
      <c r="H36" s="146"/>
      <c r="I36" s="146"/>
      <c r="J36" s="146"/>
      <c r="K36" s="146"/>
    </row>
    <row r="37" spans="2:23">
      <c r="B37" s="1"/>
      <c r="C37" s="1"/>
      <c r="D37" s="428">
        <f>2018</f>
        <v>2018</v>
      </c>
      <c r="E37" s="428">
        <f t="shared" ref="E37:K37" si="14">D37+1</f>
        <v>2019</v>
      </c>
      <c r="F37" s="428">
        <f t="shared" si="14"/>
        <v>2020</v>
      </c>
      <c r="G37" s="539">
        <f t="shared" si="14"/>
        <v>2021</v>
      </c>
      <c r="H37" s="539">
        <f t="shared" si="14"/>
        <v>2022</v>
      </c>
      <c r="I37" s="539">
        <f t="shared" si="14"/>
        <v>2023</v>
      </c>
      <c r="J37" s="539">
        <f t="shared" si="14"/>
        <v>2024</v>
      </c>
      <c r="K37" s="540">
        <f t="shared" si="14"/>
        <v>2025</v>
      </c>
      <c r="P37" s="423"/>
      <c r="Q37" s="423"/>
      <c r="R37" s="423"/>
      <c r="S37" s="423"/>
      <c r="T37" s="423"/>
    </row>
    <row r="38" spans="2:23" ht="4.1500000000000004" customHeight="1">
      <c r="B38" s="424"/>
      <c r="C38" s="424"/>
      <c r="D38" s="429"/>
      <c r="E38" s="429"/>
      <c r="F38" s="429"/>
      <c r="G38" s="429"/>
      <c r="H38" s="429"/>
      <c r="I38" s="429"/>
      <c r="J38" s="429"/>
      <c r="K38" s="429"/>
    </row>
    <row r="39" spans="2:23">
      <c r="B39" s="418" t="s">
        <v>1082</v>
      </c>
      <c r="D39" s="430">
        <v>0.2</v>
      </c>
      <c r="E39" s="430">
        <v>0.19500000000000001</v>
      </c>
      <c r="F39" s="430">
        <v>0.17499999999999999</v>
      </c>
      <c r="G39" s="430">
        <v>0.215</v>
      </c>
      <c r="H39" s="430">
        <v>0.254</v>
      </c>
      <c r="I39" s="430">
        <v>0.217</v>
      </c>
      <c r="J39" s="430">
        <v>0.16700000000000001</v>
      </c>
      <c r="K39" s="430">
        <v>0.187</v>
      </c>
      <c r="L39" s="430"/>
    </row>
    <row r="40" spans="2:23">
      <c r="B40" s="418" t="s">
        <v>1084</v>
      </c>
      <c r="D40" s="430">
        <v>0.161</v>
      </c>
      <c r="E40" s="430">
        <v>0.152</v>
      </c>
      <c r="F40" s="430">
        <v>0.16600000000000001</v>
      </c>
      <c r="G40" s="430">
        <v>0.20100000000000001</v>
      </c>
      <c r="H40" s="430">
        <v>0.21099999999999999</v>
      </c>
      <c r="I40" s="146" t="s">
        <v>1083</v>
      </c>
      <c r="J40" s="430">
        <v>0.129</v>
      </c>
      <c r="K40" s="430">
        <v>0.19</v>
      </c>
      <c r="L40" s="430"/>
    </row>
    <row r="41" spans="2:23">
      <c r="B41" s="418" t="s">
        <v>1085</v>
      </c>
      <c r="D41" s="430">
        <v>0.17599999999999999</v>
      </c>
      <c r="E41" s="430">
        <v>0.158</v>
      </c>
      <c r="F41" s="430">
        <v>0.156</v>
      </c>
      <c r="G41" s="430">
        <v>0.20599999999999999</v>
      </c>
      <c r="H41" s="430">
        <v>0.22900000000000001</v>
      </c>
      <c r="I41" s="430">
        <v>0.182</v>
      </c>
      <c r="J41" s="430">
        <v>0.13400000000000001</v>
      </c>
      <c r="K41" s="430">
        <v>0.182</v>
      </c>
      <c r="L41" s="430"/>
      <c r="P41" s="423"/>
      <c r="Q41" s="423"/>
      <c r="R41" s="423"/>
      <c r="S41" s="423"/>
    </row>
    <row r="42" spans="2:23">
      <c r="B42" s="418" t="s">
        <v>1212</v>
      </c>
      <c r="D42" s="430">
        <v>0.1384</v>
      </c>
      <c r="E42" s="430">
        <v>0.15409999999999999</v>
      </c>
      <c r="F42" s="430">
        <v>0.17080000000000001</v>
      </c>
      <c r="G42" s="430">
        <v>0.186</v>
      </c>
      <c r="H42" s="430">
        <v>8.4000000000000005E-2</v>
      </c>
      <c r="I42" s="430">
        <v>8.6999999999999994E-2</v>
      </c>
      <c r="J42" s="430">
        <v>0.153</v>
      </c>
      <c r="K42" s="430">
        <v>0.16800000000000001</v>
      </c>
      <c r="L42" s="430"/>
      <c r="P42" s="423"/>
      <c r="Q42" s="423"/>
      <c r="R42" s="423"/>
      <c r="S42" s="423"/>
    </row>
    <row r="43" spans="2:23">
      <c r="B43" s="418" t="s">
        <v>1213</v>
      </c>
      <c r="D43" s="430">
        <v>0.1623</v>
      </c>
      <c r="E43" s="430">
        <v>0.13020000000000001</v>
      </c>
      <c r="F43" s="430">
        <v>0.1915</v>
      </c>
      <c r="G43" s="430">
        <v>0.19500000000000001</v>
      </c>
      <c r="H43" s="430">
        <v>0.16139999999999999</v>
      </c>
      <c r="I43" s="430">
        <v>0.1144</v>
      </c>
      <c r="J43" s="430">
        <v>0.15129999999999999</v>
      </c>
      <c r="K43" s="430">
        <v>0.158</v>
      </c>
      <c r="L43" s="430"/>
      <c r="P43" s="423"/>
      <c r="Q43" s="423"/>
      <c r="R43" s="423"/>
      <c r="S43" s="423"/>
    </row>
    <row r="44" spans="2:23">
      <c r="B44" s="498" t="s">
        <v>1086</v>
      </c>
      <c r="C44" s="319"/>
      <c r="D44" s="431">
        <f>AVERAGE(D39:D43)</f>
        <v>0.16753999999999997</v>
      </c>
      <c r="E44" s="431">
        <f t="shared" ref="E44:K44" si="15">AVERAGE(E39:E43)</f>
        <v>0.15786</v>
      </c>
      <c r="F44" s="431">
        <f t="shared" si="15"/>
        <v>0.17185999999999998</v>
      </c>
      <c r="G44" s="431">
        <f t="shared" si="15"/>
        <v>0.20060000000000003</v>
      </c>
      <c r="H44" s="431">
        <f t="shared" si="15"/>
        <v>0.18787999999999999</v>
      </c>
      <c r="I44" s="431">
        <f t="shared" si="15"/>
        <v>0.15010000000000001</v>
      </c>
      <c r="J44" s="431">
        <f t="shared" si="15"/>
        <v>0.14686000000000002</v>
      </c>
      <c r="K44" s="431">
        <f t="shared" si="15"/>
        <v>0.17699999999999999</v>
      </c>
    </row>
    <row r="45" spans="2:23" ht="15.75" thickBot="1">
      <c r="B45" s="433" t="s">
        <v>213</v>
      </c>
      <c r="C45" s="434"/>
      <c r="D45" s="435">
        <f>MEDIAN(D39:D43)</f>
        <v>0.1623</v>
      </c>
      <c r="E45" s="435">
        <f t="shared" ref="E45:K45" si="16">MEDIAN(E39:E43)</f>
        <v>0.15409999999999999</v>
      </c>
      <c r="F45" s="435">
        <f t="shared" si="16"/>
        <v>0.17080000000000001</v>
      </c>
      <c r="G45" s="435">
        <f t="shared" si="16"/>
        <v>0.20100000000000001</v>
      </c>
      <c r="H45" s="435">
        <f t="shared" si="16"/>
        <v>0.21099999999999999</v>
      </c>
      <c r="I45" s="435">
        <f t="shared" si="16"/>
        <v>0.1482</v>
      </c>
      <c r="J45" s="435">
        <f t="shared" si="16"/>
        <v>0.15129999999999999</v>
      </c>
      <c r="K45" s="435">
        <f t="shared" si="16"/>
        <v>0.182</v>
      </c>
    </row>
    <row r="46" spans="2:23">
      <c r="D46" s="146"/>
      <c r="E46" s="146"/>
      <c r="F46" s="146"/>
      <c r="G46" s="146"/>
      <c r="H46" s="146"/>
      <c r="I46" s="146"/>
      <c r="J46" s="146"/>
      <c r="K46" s="146"/>
    </row>
    <row r="47" spans="2:23">
      <c r="B47" s="415" t="s">
        <v>1087</v>
      </c>
      <c r="C47" s="422"/>
      <c r="D47" s="432"/>
      <c r="E47" s="432"/>
      <c r="F47" s="432"/>
      <c r="G47" s="432"/>
      <c r="H47" s="432"/>
      <c r="I47" s="432"/>
      <c r="J47" s="432"/>
      <c r="K47" s="432"/>
    </row>
    <row r="48" spans="2:23" ht="4.9000000000000004" customHeight="1">
      <c r="D48" s="146"/>
      <c r="E48" s="146"/>
      <c r="F48" s="146"/>
      <c r="G48" s="146"/>
      <c r="H48" s="146"/>
      <c r="I48" s="146"/>
      <c r="J48" s="146"/>
      <c r="K48" s="146"/>
    </row>
    <row r="49" spans="2:12">
      <c r="B49" s="1"/>
      <c r="C49" s="1"/>
      <c r="D49" s="428">
        <f>2018</f>
        <v>2018</v>
      </c>
      <c r="E49" s="428">
        <f t="shared" ref="E49:K49" si="17">D49+1</f>
        <v>2019</v>
      </c>
      <c r="F49" s="428">
        <f t="shared" si="17"/>
        <v>2020</v>
      </c>
      <c r="G49" s="539">
        <f t="shared" si="17"/>
        <v>2021</v>
      </c>
      <c r="H49" s="539">
        <f t="shared" si="17"/>
        <v>2022</v>
      </c>
      <c r="I49" s="539">
        <f t="shared" si="17"/>
        <v>2023</v>
      </c>
      <c r="J49" s="539">
        <f t="shared" si="17"/>
        <v>2024</v>
      </c>
      <c r="K49" s="540">
        <f t="shared" si="17"/>
        <v>2025</v>
      </c>
    </row>
    <row r="50" spans="2:12" ht="5.45" customHeight="1">
      <c r="B50" s="424"/>
      <c r="C50" s="424"/>
      <c r="D50" s="429"/>
      <c r="E50" s="429"/>
      <c r="F50" s="429"/>
      <c r="G50" s="429"/>
      <c r="H50" s="429"/>
      <c r="I50" s="429"/>
      <c r="J50" s="429"/>
      <c r="K50" s="429"/>
    </row>
    <row r="51" spans="2:12">
      <c r="B51" s="418" t="s">
        <v>1082</v>
      </c>
      <c r="D51" s="430">
        <v>0.104</v>
      </c>
      <c r="E51" s="430">
        <v>7.0000000000000007E-2</v>
      </c>
      <c r="F51" s="430">
        <v>5.7000000000000002E-2</v>
      </c>
      <c r="G51" s="430">
        <v>0.13400000000000001</v>
      </c>
      <c r="H51" s="430">
        <v>0.11700000000000001</v>
      </c>
      <c r="I51" s="430">
        <v>0.13500000000000001</v>
      </c>
      <c r="J51" s="430">
        <v>7.9000000000000001E-2</v>
      </c>
      <c r="K51" s="430">
        <v>0.10299999999999999</v>
      </c>
      <c r="L51" s="430"/>
    </row>
    <row r="52" spans="2:12">
      <c r="B52" s="418" t="s">
        <v>1084</v>
      </c>
      <c r="D52" s="430">
        <v>6.3E-2</v>
      </c>
      <c r="E52" s="430">
        <v>8.2000000000000003E-2</v>
      </c>
      <c r="F52" s="430">
        <v>7.5999999999999998E-2</v>
      </c>
      <c r="G52" s="430">
        <v>9.5000000000000001E-2</v>
      </c>
      <c r="H52" s="430">
        <v>9.5000000000000001E-2</v>
      </c>
      <c r="I52" s="146" t="s">
        <v>1083</v>
      </c>
      <c r="J52" s="430">
        <v>6.5000000000000002E-2</v>
      </c>
      <c r="K52" s="430">
        <v>9.6000000000000002E-2</v>
      </c>
      <c r="L52" s="430"/>
    </row>
    <row r="53" spans="2:12">
      <c r="B53" s="418" t="s">
        <v>1085</v>
      </c>
      <c r="D53" s="430">
        <v>5.8900000000000001E-2</v>
      </c>
      <c r="E53" s="430">
        <v>5.0200000000000002E-2</v>
      </c>
      <c r="F53" s="430">
        <v>8.3199999999999996E-2</v>
      </c>
      <c r="G53" s="430">
        <v>0.10639999999999999</v>
      </c>
      <c r="H53" s="430">
        <v>8.5000000000000006E-2</v>
      </c>
      <c r="I53" s="430">
        <v>4.2799999999999998E-2</v>
      </c>
      <c r="J53" s="430">
        <v>6.8400000000000002E-2</v>
      </c>
      <c r="K53" s="430">
        <v>7.9000000000000001E-2</v>
      </c>
      <c r="L53" s="430"/>
    </row>
    <row r="54" spans="2:12">
      <c r="B54" s="418" t="s">
        <v>1212</v>
      </c>
      <c r="D54" s="430">
        <v>0.1028</v>
      </c>
      <c r="E54" s="430">
        <v>8.7999999999999995E-2</v>
      </c>
      <c r="F54" s="430">
        <v>0.1037</v>
      </c>
      <c r="G54" s="430">
        <v>0.115</v>
      </c>
      <c r="H54" s="430">
        <v>3.6999999999999998E-2</v>
      </c>
      <c r="I54" s="430">
        <v>0.04</v>
      </c>
      <c r="J54" s="430">
        <v>0.11700000000000001</v>
      </c>
      <c r="K54" s="430">
        <v>0.10199999999999999</v>
      </c>
      <c r="L54" s="430"/>
    </row>
    <row r="55" spans="2:12">
      <c r="B55" s="425" t="s">
        <v>1213</v>
      </c>
      <c r="C55" s="284"/>
      <c r="D55" s="430">
        <v>2.5899999999999999E-2</v>
      </c>
      <c r="E55" s="430">
        <v>-3.7000000000000002E-3</v>
      </c>
      <c r="F55" s="430">
        <v>3.6700000000000003E-2</v>
      </c>
      <c r="G55" s="430">
        <v>-3.5000000000000001E-3</v>
      </c>
      <c r="H55" s="430">
        <v>3.3999999999999998E-3</v>
      </c>
      <c r="I55" s="430">
        <v>1.5E-3</v>
      </c>
      <c r="J55" s="430">
        <v>1.37E-2</v>
      </c>
      <c r="K55" s="430">
        <v>0.09</v>
      </c>
      <c r="L55" s="430"/>
    </row>
    <row r="56" spans="2:12">
      <c r="B56" s="426" t="s">
        <v>1086</v>
      </c>
      <c r="D56" s="431">
        <f>AVERAGE(D51:D55)</f>
        <v>7.0919999999999997E-2</v>
      </c>
      <c r="E56" s="431">
        <f t="shared" ref="E56:K56" si="18">AVERAGE(E51:E55)</f>
        <v>5.7300000000000004E-2</v>
      </c>
      <c r="F56" s="431">
        <f t="shared" si="18"/>
        <v>7.1320000000000008E-2</v>
      </c>
      <c r="G56" s="431">
        <f t="shared" si="18"/>
        <v>8.9380000000000001E-2</v>
      </c>
      <c r="H56" s="431">
        <f t="shared" si="18"/>
        <v>6.7480000000000012E-2</v>
      </c>
      <c r="I56" s="431">
        <f t="shared" si="18"/>
        <v>5.4825000000000006E-2</v>
      </c>
      <c r="J56" s="431">
        <f t="shared" si="18"/>
        <v>6.862E-2</v>
      </c>
      <c r="K56" s="431">
        <f t="shared" si="18"/>
        <v>9.4E-2</v>
      </c>
    </row>
    <row r="57" spans="2:12" ht="15.75" thickBot="1">
      <c r="B57" s="433" t="s">
        <v>213</v>
      </c>
      <c r="C57" s="434"/>
      <c r="D57" s="435">
        <f>MEDIAN(D51:D55)</f>
        <v>6.3E-2</v>
      </c>
      <c r="E57" s="435">
        <f t="shared" ref="E57:K57" si="19">MEDIAN(E51:E55)</f>
        <v>7.0000000000000007E-2</v>
      </c>
      <c r="F57" s="435">
        <f t="shared" si="19"/>
        <v>7.5999999999999998E-2</v>
      </c>
      <c r="G57" s="435">
        <f t="shared" si="19"/>
        <v>0.10639999999999999</v>
      </c>
      <c r="H57" s="435">
        <f t="shared" si="19"/>
        <v>8.5000000000000006E-2</v>
      </c>
      <c r="I57" s="435">
        <f t="shared" si="19"/>
        <v>4.1399999999999999E-2</v>
      </c>
      <c r="J57" s="435">
        <f t="shared" si="19"/>
        <v>6.8400000000000002E-2</v>
      </c>
      <c r="K57" s="435">
        <f t="shared" si="19"/>
        <v>9.6000000000000002E-2</v>
      </c>
    </row>
    <row r="58" spans="2:12">
      <c r="D58" s="146"/>
      <c r="E58" s="146"/>
      <c r="F58" s="146"/>
      <c r="G58" s="146"/>
      <c r="H58" s="146"/>
      <c r="I58" s="146"/>
      <c r="J58" s="146"/>
      <c r="K58" s="146"/>
    </row>
    <row r="59" spans="2:12">
      <c r="B59" s="415" t="s">
        <v>1088</v>
      </c>
      <c r="C59" s="422"/>
      <c r="D59" s="432"/>
      <c r="E59" s="432"/>
      <c r="F59" s="432"/>
      <c r="G59" s="432"/>
      <c r="H59" s="432"/>
      <c r="I59" s="432"/>
      <c r="J59" s="432"/>
      <c r="K59" s="432"/>
    </row>
    <row r="60" spans="2:12">
      <c r="D60" s="146"/>
      <c r="E60" s="146"/>
      <c r="F60" s="146"/>
      <c r="G60" s="146"/>
      <c r="H60" s="146"/>
      <c r="I60" s="146"/>
      <c r="J60" s="146"/>
      <c r="K60" s="146"/>
    </row>
    <row r="61" spans="2:12">
      <c r="B61" s="1"/>
      <c r="C61" s="1"/>
      <c r="D61" s="428">
        <f>2018</f>
        <v>2018</v>
      </c>
      <c r="E61" s="428">
        <f t="shared" ref="E61:K61" si="20">D61+1</f>
        <v>2019</v>
      </c>
      <c r="F61" s="428">
        <f t="shared" si="20"/>
        <v>2020</v>
      </c>
      <c r="G61" s="539">
        <f t="shared" si="20"/>
        <v>2021</v>
      </c>
      <c r="H61" s="539">
        <f t="shared" si="20"/>
        <v>2022</v>
      </c>
      <c r="I61" s="539">
        <f t="shared" si="20"/>
        <v>2023</v>
      </c>
      <c r="J61" s="539">
        <f t="shared" si="20"/>
        <v>2024</v>
      </c>
      <c r="K61" s="540">
        <f t="shared" si="20"/>
        <v>2025</v>
      </c>
    </row>
    <row r="62" spans="2:12">
      <c r="B62" s="424"/>
      <c r="C62" s="424"/>
      <c r="D62" s="429"/>
      <c r="E62" s="429"/>
      <c r="F62" s="429"/>
      <c r="G62" s="429"/>
      <c r="H62" s="429"/>
      <c r="I62" s="429"/>
      <c r="J62" s="429"/>
      <c r="K62" s="429"/>
    </row>
    <row r="63" spans="2:12">
      <c r="B63" s="418" t="s">
        <v>1082</v>
      </c>
      <c r="D63" s="430">
        <v>0.14799999999999999</v>
      </c>
      <c r="E63" s="430">
        <v>0.13600000000000001</v>
      </c>
      <c r="F63" s="430">
        <v>0.11600000000000001</v>
      </c>
      <c r="G63" s="430">
        <v>0.151</v>
      </c>
      <c r="H63" s="430">
        <v>0.19500000000000001</v>
      </c>
      <c r="I63" s="430">
        <v>0.16600000000000001</v>
      </c>
      <c r="J63" s="430">
        <v>0.121</v>
      </c>
      <c r="K63" s="430">
        <v>0.13700000000000001</v>
      </c>
      <c r="L63" s="430"/>
    </row>
    <row r="64" spans="2:12">
      <c r="B64" s="418" t="s">
        <v>1084</v>
      </c>
      <c r="D64" s="430">
        <v>0.11</v>
      </c>
      <c r="E64" s="430">
        <v>0.108</v>
      </c>
      <c r="F64" s="430">
        <v>0.124</v>
      </c>
      <c r="G64" s="430">
        <v>0.154</v>
      </c>
      <c r="H64" s="430">
        <v>0.17199999999999999</v>
      </c>
      <c r="I64" s="146" t="s">
        <v>1083</v>
      </c>
      <c r="J64" s="430">
        <v>8.7999999999999995E-2</v>
      </c>
      <c r="K64" s="430">
        <v>0.13900000000000001</v>
      </c>
      <c r="L64" s="430"/>
    </row>
    <row r="65" spans="2:19">
      <c r="B65" s="418" t="s">
        <v>1085</v>
      </c>
      <c r="D65" s="430">
        <v>0.123</v>
      </c>
      <c r="E65" s="430">
        <v>0.112</v>
      </c>
      <c r="F65" s="430">
        <v>0.111</v>
      </c>
      <c r="G65" s="430">
        <v>0.157</v>
      </c>
      <c r="H65" s="430">
        <v>0.183</v>
      </c>
      <c r="I65" s="430">
        <v>0.14000000000000001</v>
      </c>
      <c r="J65" s="430">
        <v>8.6999999999999994E-2</v>
      </c>
      <c r="K65" s="430">
        <v>0.127</v>
      </c>
      <c r="L65" s="430"/>
    </row>
    <row r="66" spans="2:19">
      <c r="B66" s="418" t="s">
        <v>1212</v>
      </c>
      <c r="D66" s="430">
        <v>0.11</v>
      </c>
      <c r="E66" s="430">
        <v>0.14000000000000001</v>
      </c>
      <c r="F66" s="430">
        <v>0.13</v>
      </c>
      <c r="G66" s="430" t="s">
        <v>1083</v>
      </c>
      <c r="H66" s="430">
        <v>0.16</v>
      </c>
      <c r="I66" s="430">
        <v>0.06</v>
      </c>
      <c r="J66" s="430">
        <v>0.15</v>
      </c>
      <c r="K66" s="430">
        <v>0.1111</v>
      </c>
      <c r="L66" s="430"/>
    </row>
    <row r="67" spans="2:19">
      <c r="B67" s="425" t="s">
        <v>1213</v>
      </c>
      <c r="C67" s="284"/>
      <c r="D67" s="430">
        <v>0.11</v>
      </c>
      <c r="E67" s="430">
        <v>7.0000000000000007E-2</v>
      </c>
      <c r="F67" s="430">
        <v>0.12</v>
      </c>
      <c r="G67" s="430">
        <v>0.09</v>
      </c>
      <c r="H67" s="430">
        <v>7.0000000000000007E-2</v>
      </c>
      <c r="I67" s="430">
        <v>-0.01</v>
      </c>
      <c r="J67" s="430">
        <v>7.0000000000000007E-2</v>
      </c>
      <c r="K67" s="430">
        <v>6.4600000000000005E-2</v>
      </c>
      <c r="L67" s="430"/>
    </row>
    <row r="68" spans="2:19">
      <c r="B68" s="426" t="s">
        <v>1086</v>
      </c>
      <c r="D68" s="431">
        <f>AVERAGE(D63:D67)</f>
        <v>0.1202</v>
      </c>
      <c r="E68" s="431">
        <f t="shared" ref="E68:K68" si="21">AVERAGE(E63:E67)</f>
        <v>0.11320000000000001</v>
      </c>
      <c r="F68" s="431">
        <f t="shared" si="21"/>
        <v>0.1202</v>
      </c>
      <c r="G68" s="431">
        <f t="shared" si="21"/>
        <v>0.13799999999999998</v>
      </c>
      <c r="H68" s="431">
        <f t="shared" si="21"/>
        <v>0.156</v>
      </c>
      <c r="I68" s="431">
        <f t="shared" si="21"/>
        <v>8.900000000000001E-2</v>
      </c>
      <c r="J68" s="431">
        <f t="shared" si="21"/>
        <v>0.1032</v>
      </c>
      <c r="K68" s="431">
        <f t="shared" si="21"/>
        <v>0.11574</v>
      </c>
    </row>
    <row r="69" spans="2:19" ht="15.75" thickBot="1">
      <c r="B69" s="433" t="s">
        <v>213</v>
      </c>
      <c r="C69" s="434"/>
      <c r="D69" s="435">
        <f>MEDIAN(D63:D67)</f>
        <v>0.11</v>
      </c>
      <c r="E69" s="435">
        <f t="shared" ref="E69:J69" si="22">MEDIAN(E63:E67)</f>
        <v>0.112</v>
      </c>
      <c r="F69" s="435">
        <f t="shared" si="22"/>
        <v>0.12</v>
      </c>
      <c r="G69" s="435">
        <f t="shared" si="22"/>
        <v>0.1525</v>
      </c>
      <c r="H69" s="435">
        <f t="shared" si="22"/>
        <v>0.17199999999999999</v>
      </c>
      <c r="I69" s="435">
        <f t="shared" si="22"/>
        <v>0.1</v>
      </c>
      <c r="J69" s="435">
        <f t="shared" si="22"/>
        <v>8.7999999999999995E-2</v>
      </c>
      <c r="K69" s="435">
        <f>MEDIAN(K63:K67)</f>
        <v>0.127</v>
      </c>
    </row>
    <row r="70" spans="2:19">
      <c r="D70" s="146"/>
      <c r="E70" s="146"/>
      <c r="F70" s="146"/>
      <c r="G70" s="146"/>
      <c r="H70" s="146"/>
      <c r="I70" s="146"/>
      <c r="J70" s="146"/>
      <c r="K70" s="146"/>
    </row>
    <row r="71" spans="2:19">
      <c r="B71" s="415" t="s">
        <v>1089</v>
      </c>
      <c r="C71" s="422"/>
      <c r="D71" s="432"/>
      <c r="E71" s="432"/>
      <c r="F71" s="432"/>
      <c r="G71" s="432"/>
      <c r="H71" s="432"/>
      <c r="I71" s="432"/>
      <c r="J71" s="432"/>
      <c r="K71" s="432"/>
    </row>
    <row r="72" spans="2:19" ht="6" customHeight="1">
      <c r="D72" s="146"/>
      <c r="E72" s="146"/>
      <c r="F72" s="146"/>
      <c r="G72" s="146"/>
      <c r="H72" s="146"/>
      <c r="I72" s="146"/>
      <c r="J72" s="146"/>
      <c r="K72" s="146"/>
    </row>
    <row r="73" spans="2:19">
      <c r="B73" s="1"/>
      <c r="C73" s="1"/>
      <c r="D73" s="428">
        <f>2018</f>
        <v>2018</v>
      </c>
      <c r="E73" s="428">
        <f t="shared" ref="E73:K73" si="23">D73+1</f>
        <v>2019</v>
      </c>
      <c r="F73" s="428">
        <f t="shared" si="23"/>
        <v>2020</v>
      </c>
      <c r="G73" s="539">
        <f t="shared" si="23"/>
        <v>2021</v>
      </c>
      <c r="H73" s="539">
        <f t="shared" si="23"/>
        <v>2022</v>
      </c>
      <c r="I73" s="539">
        <f t="shared" si="23"/>
        <v>2023</v>
      </c>
      <c r="J73" s="539">
        <f t="shared" si="23"/>
        <v>2024</v>
      </c>
      <c r="K73" s="540">
        <f t="shared" si="23"/>
        <v>2025</v>
      </c>
    </row>
    <row r="74" spans="2:19" ht="5.45" customHeight="1">
      <c r="B74" s="424"/>
      <c r="C74" s="424"/>
      <c r="D74" s="429"/>
      <c r="E74" s="429"/>
      <c r="F74" s="429"/>
      <c r="G74" s="429"/>
      <c r="H74" s="429"/>
      <c r="I74" s="429"/>
      <c r="J74" s="429"/>
      <c r="K74" s="429"/>
    </row>
    <row r="75" spans="2:19">
      <c r="B75" s="418" t="s">
        <v>1082</v>
      </c>
      <c r="D75" s="423">
        <v>0.13519999999999999</v>
      </c>
      <c r="E75" s="423">
        <v>0.1036</v>
      </c>
      <c r="F75" s="423">
        <v>8.3400000000000002E-2</v>
      </c>
      <c r="G75" s="423">
        <v>0.1221</v>
      </c>
      <c r="H75" s="423">
        <v>0.1757</v>
      </c>
      <c r="I75" s="423">
        <v>0.1406</v>
      </c>
      <c r="J75" s="423">
        <v>0.1037</v>
      </c>
      <c r="K75" s="423">
        <v>0.1164</v>
      </c>
      <c r="L75" s="430"/>
    </row>
    <row r="76" spans="2:19">
      <c r="B76" s="418" t="s">
        <v>1084</v>
      </c>
      <c r="D76" s="423">
        <v>0.1094</v>
      </c>
      <c r="E76" s="423">
        <v>0.10299999999999999</v>
      </c>
      <c r="F76" s="423">
        <v>0.127</v>
      </c>
      <c r="G76" s="423">
        <v>0.1444</v>
      </c>
      <c r="H76" s="423">
        <v>0.15509999999999999</v>
      </c>
      <c r="I76" s="146" t="s">
        <v>1083</v>
      </c>
      <c r="J76" s="423">
        <v>8.4699999999999998E-2</v>
      </c>
      <c r="K76" s="423">
        <v>0.15820000000000001</v>
      </c>
      <c r="L76" s="430"/>
    </row>
    <row r="77" spans="2:19">
      <c r="B77" s="418" t="s">
        <v>1085</v>
      </c>
      <c r="D77" s="423">
        <v>6.1400000000000003E-2</v>
      </c>
      <c r="E77" s="423">
        <v>7.6300000000000007E-2</v>
      </c>
      <c r="F77" s="423">
        <v>7.8399999999999997E-2</v>
      </c>
      <c r="G77" s="423">
        <v>0.12659999999999999</v>
      </c>
      <c r="H77" s="423">
        <v>0.16539999999999999</v>
      </c>
      <c r="I77" s="423">
        <v>0.11119999999999999</v>
      </c>
      <c r="J77" s="423">
        <v>5.6500000000000002E-2</v>
      </c>
      <c r="K77" s="423">
        <v>8.7900000000000006E-2</v>
      </c>
      <c r="L77" s="430"/>
    </row>
    <row r="78" spans="2:19">
      <c r="B78" s="418" t="s">
        <v>1212</v>
      </c>
      <c r="D78" s="423">
        <v>9.3299999999999994E-2</v>
      </c>
      <c r="E78" s="423">
        <v>0.1166</v>
      </c>
      <c r="F78" s="423">
        <v>0.10979999999999999</v>
      </c>
      <c r="G78" s="423">
        <v>0.13500000000000001</v>
      </c>
      <c r="H78" t="s">
        <v>1083</v>
      </c>
      <c r="I78" s="423">
        <v>4.8099999999999997E-2</v>
      </c>
      <c r="J78" s="423">
        <v>0.1242</v>
      </c>
      <c r="K78" s="430" t="s">
        <v>1217</v>
      </c>
      <c r="L78" s="430"/>
    </row>
    <row r="79" spans="2:19">
      <c r="B79" s="425" t="s">
        <v>1213</v>
      </c>
      <c r="C79" s="284"/>
      <c r="D79" s="423">
        <v>3.5799999999999998E-2</v>
      </c>
      <c r="E79" s="423">
        <v>2.7000000000000001E-3</v>
      </c>
      <c r="F79" s="423">
        <v>5.6899999999999999E-2</v>
      </c>
      <c r="G79" s="423">
        <v>4.8999999999999998E-3</v>
      </c>
      <c r="H79" s="423">
        <v>4.8999999999999998E-3</v>
      </c>
      <c r="I79" s="423">
        <v>-5.4199999999999998E-2</v>
      </c>
      <c r="J79" s="423">
        <v>1.7299999999999999E-2</v>
      </c>
      <c r="K79" s="430">
        <v>6.0000000000000001E-3</v>
      </c>
      <c r="L79" s="430"/>
    </row>
    <row r="80" spans="2:19">
      <c r="B80" s="426" t="s">
        <v>1086</v>
      </c>
      <c r="D80" s="431">
        <f>AVERAGE(D75:D79)</f>
        <v>8.702E-2</v>
      </c>
      <c r="E80" s="431">
        <f t="shared" ref="E80:K80" si="24">AVERAGE(E75:E79)</f>
        <v>8.0439999999999998E-2</v>
      </c>
      <c r="F80" s="431">
        <f t="shared" si="24"/>
        <v>9.11E-2</v>
      </c>
      <c r="G80" s="431">
        <f t="shared" si="24"/>
        <v>0.1066</v>
      </c>
      <c r="H80" s="431">
        <f t="shared" si="24"/>
        <v>0.125275</v>
      </c>
      <c r="I80" s="431">
        <f t="shared" si="24"/>
        <v>6.1425E-2</v>
      </c>
      <c r="J80" s="431">
        <f t="shared" si="24"/>
        <v>7.7279999999999988E-2</v>
      </c>
      <c r="K80" s="431">
        <f t="shared" si="24"/>
        <v>9.2125000000000012E-2</v>
      </c>
      <c r="M80" s="423"/>
      <c r="N80" s="423"/>
      <c r="O80" s="423"/>
      <c r="P80" s="423"/>
      <c r="Q80" s="423"/>
      <c r="R80" s="423"/>
      <c r="S80" s="423"/>
    </row>
    <row r="81" spans="2:11" ht="15.75" thickBot="1">
      <c r="B81" s="433" t="s">
        <v>213</v>
      </c>
      <c r="C81" s="434"/>
      <c r="D81" s="435">
        <f>MEDIAN(D75:D79)</f>
        <v>9.3299999999999994E-2</v>
      </c>
      <c r="E81" s="435">
        <f t="shared" ref="E81:K81" si="25">MEDIAN(E75:E79)</f>
        <v>0.10299999999999999</v>
      </c>
      <c r="F81" s="435">
        <f t="shared" si="25"/>
        <v>8.3400000000000002E-2</v>
      </c>
      <c r="G81" s="435">
        <f t="shared" si="25"/>
        <v>0.12659999999999999</v>
      </c>
      <c r="H81" s="435">
        <f t="shared" si="25"/>
        <v>0.16025</v>
      </c>
      <c r="I81" s="435">
        <f t="shared" si="25"/>
        <v>7.9649999999999999E-2</v>
      </c>
      <c r="J81" s="435">
        <f t="shared" si="25"/>
        <v>8.4699999999999998E-2</v>
      </c>
      <c r="K81" s="435">
        <f t="shared" si="25"/>
        <v>0.10215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DD1F4-04A2-4DE4-8296-786E8B25361A}">
  <sheetPr codeName="Sheet19"/>
  <dimension ref="F1:M19"/>
  <sheetViews>
    <sheetView topLeftCell="B1" workbookViewId="0">
      <selection activeCell="K20" sqref="K20"/>
    </sheetView>
  </sheetViews>
  <sheetFormatPr defaultRowHeight="15"/>
  <cols>
    <col min="6" max="6" width="37.28515625" customWidth="1"/>
    <col min="7" max="7" width="18.140625" customWidth="1"/>
    <col min="8" max="8" width="16.7109375" customWidth="1"/>
    <col min="9" max="10" width="20.7109375" customWidth="1"/>
    <col min="11" max="11" width="16.7109375" customWidth="1"/>
    <col min="12" max="12" width="23.28515625" customWidth="1"/>
    <col min="13" max="13" width="24.42578125" customWidth="1"/>
  </cols>
  <sheetData>
    <row r="1" spans="6:13">
      <c r="K1" t="s">
        <v>1295</v>
      </c>
    </row>
    <row r="2" spans="6:13">
      <c r="F2" s="373" t="s">
        <v>1286</v>
      </c>
      <c r="G2" s="373" t="s">
        <v>167</v>
      </c>
      <c r="H2" s="373" t="s">
        <v>172</v>
      </c>
      <c r="I2" s="373" t="s">
        <v>1287</v>
      </c>
      <c r="J2" s="373" t="s">
        <v>1296</v>
      </c>
      <c r="K2" s="373" t="s">
        <v>1288</v>
      </c>
      <c r="L2" s="373" t="s">
        <v>1289</v>
      </c>
      <c r="M2" s="373" t="s">
        <v>1297</v>
      </c>
    </row>
    <row r="4" spans="6:13">
      <c r="F4" s="196" t="s">
        <v>1290</v>
      </c>
      <c r="G4" s="541">
        <v>46712</v>
      </c>
      <c r="H4" s="541">
        <v>49282</v>
      </c>
      <c r="I4" s="541">
        <f>H4/K19</f>
        <v>13658.807738686572</v>
      </c>
      <c r="J4" s="541">
        <v>25550</v>
      </c>
      <c r="K4" s="542">
        <f>J4-I4</f>
        <v>11891.192261313428</v>
      </c>
      <c r="L4" s="546">
        <f>K4/J4</f>
        <v>0.46540869907293264</v>
      </c>
      <c r="M4" s="545" t="str">
        <f>IF(J4&gt;I4,"Over-Valued","Under-Valued")</f>
        <v>Over-Valued</v>
      </c>
    </row>
    <row r="5" spans="6:13">
      <c r="F5" s="196" t="s">
        <v>1291</v>
      </c>
      <c r="G5" s="541">
        <v>92042</v>
      </c>
      <c r="H5" s="541">
        <v>94653</v>
      </c>
      <c r="I5" s="541">
        <f>H5/K19</f>
        <v>26233.657905318374</v>
      </c>
      <c r="J5" s="541">
        <v>25550</v>
      </c>
      <c r="K5" s="542">
        <f>J5-I5</f>
        <v>-683.65790531837411</v>
      </c>
      <c r="L5" s="546">
        <f>K5/J5*-1</f>
        <v>2.6757647957666306E-2</v>
      </c>
      <c r="M5" s="146" t="str">
        <f>IF(J5&gt;I5,"Over-Valued","Under-Valued")</f>
        <v>Under-Valued</v>
      </c>
    </row>
    <row r="6" spans="6:13">
      <c r="F6" s="196" t="s">
        <v>1292</v>
      </c>
      <c r="G6" s="541">
        <v>76815</v>
      </c>
      <c r="H6" s="541">
        <v>79426</v>
      </c>
      <c r="I6" s="541">
        <f>H6/K19</f>
        <v>22013.401717724922</v>
      </c>
      <c r="J6" s="541">
        <v>25550</v>
      </c>
      <c r="K6" s="542">
        <f>J6-I6</f>
        <v>3536.5982822750775</v>
      </c>
      <c r="L6" s="546">
        <f>K6/J6</f>
        <v>0.13841871946282103</v>
      </c>
      <c r="M6" s="544" t="str">
        <f>IF(J6&gt;I6,"Over-Valued","Under-Valued")</f>
        <v>Over-Valued</v>
      </c>
    </row>
    <row r="7" spans="6:13">
      <c r="F7" s="196" t="s">
        <v>1293</v>
      </c>
      <c r="G7" s="541">
        <v>62624</v>
      </c>
      <c r="H7" s="541">
        <v>65236</v>
      </c>
      <c r="I7" s="541">
        <f>H7/K19</f>
        <v>18080.5564230542</v>
      </c>
      <c r="J7" s="541">
        <v>25550</v>
      </c>
      <c r="K7" s="542">
        <f>J7-I7</f>
        <v>7469.4435769457996</v>
      </c>
      <c r="L7" s="546">
        <f>K7/J7</f>
        <v>0.29234612825619566</v>
      </c>
      <c r="M7" s="544" t="str">
        <f>IF(J7&gt;I7,"Over-Valued","Under-Valued")</f>
        <v>Over-Valued</v>
      </c>
    </row>
    <row r="8" spans="6:13">
      <c r="F8" s="196" t="s">
        <v>1294</v>
      </c>
      <c r="G8" s="541">
        <v>81819</v>
      </c>
      <c r="H8" s="541">
        <v>85157</v>
      </c>
      <c r="I8" s="541">
        <f>H8/K19</f>
        <v>23601.783422006662</v>
      </c>
      <c r="J8" s="541">
        <v>25550</v>
      </c>
      <c r="K8" s="542">
        <f>J8-I8</f>
        <v>1948.2165779933384</v>
      </c>
      <c r="L8" s="546">
        <f>K8/J8</f>
        <v>7.6251138081931055E-2</v>
      </c>
      <c r="M8" s="544" t="str">
        <f>IF(J8&gt;I8,"Over-Valued","Under-Valued")</f>
        <v>Over-Valued</v>
      </c>
    </row>
    <row r="18" spans="11:11">
      <c r="K18" s="543">
        <v>36080748</v>
      </c>
    </row>
    <row r="19" spans="11:11">
      <c r="K19" s="543">
        <f>K18/10000000</f>
        <v>3.6080747999999998</v>
      </c>
    </row>
  </sheetData>
  <conditionalFormatting sqref="L4:L8">
    <cfRule type="colorScale" priority="4">
      <colorScale>
        <cfvo type="percent" val="5"/>
        <cfvo type="percent" val="5"/>
        <color rgb="FFF34335"/>
        <color rgb="FF14C686"/>
      </colorScale>
    </cfRule>
  </conditionalFormatting>
  <conditionalFormatting sqref="M4:M8">
    <cfRule type="containsText" dxfId="1" priority="2" operator="containsText" text="Over-Valued">
      <formula>NOT(ISERROR(SEARCH("Over-Valued",M4)))</formula>
    </cfRule>
    <cfRule type="containsText" dxfId="0" priority="3" operator="containsText" text="Over-Valued">
      <formula>NOT(ISERROR(SEARCH("Over-Valued",M4)))</formula>
    </cfRule>
  </conditionalFormatting>
  <pageMargins left="0.7" right="0.7" top="0.75" bottom="0.75" header="0.3" footer="0.3"/>
  <ignoredErrors>
    <ignoredError sqref="L5" 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714C0-27C3-4B50-86BA-9BD7C7666BDF}">
  <sheetPr codeName="Sheet20"/>
  <dimension ref="B3:AK39"/>
  <sheetViews>
    <sheetView showGridLines="0" topLeftCell="N1" workbookViewId="0">
      <selection activeCell="N10" sqref="N10"/>
    </sheetView>
  </sheetViews>
  <sheetFormatPr defaultRowHeight="15"/>
  <cols>
    <col min="3" max="3" width="21.28515625" customWidth="1"/>
    <col min="4" max="7" width="11.7109375" customWidth="1"/>
    <col min="8" max="8" width="12.7109375" bestFit="1" customWidth="1"/>
    <col min="9" max="9" width="12.7109375" customWidth="1"/>
    <col min="10" max="10" width="17.28515625" bestFit="1" customWidth="1"/>
    <col min="11" max="11" width="12.7109375" customWidth="1"/>
    <col min="12" max="12" width="5.28515625" customWidth="1"/>
    <col min="13" max="28" width="12.7109375" customWidth="1"/>
    <col min="29" max="29" width="13.140625" bestFit="1" customWidth="1"/>
    <col min="30" max="30" width="12.7109375" bestFit="1" customWidth="1"/>
    <col min="31" max="31" width="14.28515625" bestFit="1" customWidth="1"/>
    <col min="32" max="34" width="16.7109375" bestFit="1" customWidth="1"/>
    <col min="35" max="35" width="13.7109375" bestFit="1" customWidth="1"/>
    <col min="36" max="36" width="9" bestFit="1" customWidth="1"/>
    <col min="37" max="37" width="22" bestFit="1" customWidth="1"/>
    <col min="38" max="38" width="15.7109375" customWidth="1"/>
  </cols>
  <sheetData>
    <row r="3" spans="2:37">
      <c r="B3" s="491" t="s">
        <v>1149</v>
      </c>
      <c r="C3" s="491" t="s">
        <v>1150</v>
      </c>
      <c r="D3" s="491" t="s">
        <v>1151</v>
      </c>
      <c r="E3" s="491" t="s">
        <v>1153</v>
      </c>
      <c r="F3" s="491" t="s">
        <v>1119</v>
      </c>
      <c r="G3" s="491" t="s">
        <v>1181</v>
      </c>
      <c r="H3" s="491" t="s">
        <v>1182</v>
      </c>
      <c r="I3" s="491" t="s">
        <v>1183</v>
      </c>
      <c r="J3" s="491" t="s">
        <v>169</v>
      </c>
      <c r="K3" s="491" t="s">
        <v>1208</v>
      </c>
      <c r="AC3" t="s">
        <v>1152</v>
      </c>
      <c r="AD3" t="s">
        <v>80</v>
      </c>
      <c r="AE3" t="s">
        <v>1154</v>
      </c>
      <c r="AF3" t="s">
        <v>1155</v>
      </c>
      <c r="AG3" t="s">
        <v>1156</v>
      </c>
      <c r="AH3" t="s">
        <v>1157</v>
      </c>
      <c r="AI3" t="s">
        <v>1158</v>
      </c>
      <c r="AJ3" t="s">
        <v>1180</v>
      </c>
      <c r="AK3" t="s">
        <v>152</v>
      </c>
    </row>
    <row r="4" spans="2:37">
      <c r="B4">
        <v>1</v>
      </c>
      <c r="C4" t="s">
        <v>1136</v>
      </c>
      <c r="D4">
        <v>11416.9</v>
      </c>
      <c r="E4">
        <v>340222.96</v>
      </c>
      <c r="F4">
        <v>25.04</v>
      </c>
      <c r="G4" s="44">
        <f>AC4/AD4</f>
        <v>0.23149029095508428</v>
      </c>
      <c r="H4" s="44">
        <f>AJ4/AD4</f>
        <v>0.47426401322238826</v>
      </c>
      <c r="I4" s="44">
        <f>AK4/AD4</f>
        <v>1.7766749192941012E-2</v>
      </c>
      <c r="J4" s="380">
        <f>N20+$N$21*G4+$N$22*H4+$N$23*I4</f>
        <v>11.458454641794599</v>
      </c>
      <c r="K4" s="494" t="str">
        <f>IF(F4&gt;J4,"over","under")</f>
        <v>over</v>
      </c>
      <c r="L4" s="44"/>
      <c r="M4" t="s">
        <v>1184</v>
      </c>
      <c r="X4" s="44"/>
      <c r="Y4" s="44"/>
      <c r="Z4" s="44"/>
      <c r="AA4" s="44"/>
      <c r="AB4" s="44"/>
      <c r="AC4">
        <v>3145.3</v>
      </c>
      <c r="AD4">
        <f t="shared" ref="AD4:AD39" si="0">E4/F4</f>
        <v>13587.17891373802</v>
      </c>
      <c r="AE4">
        <v>62877.61</v>
      </c>
      <c r="AF4">
        <v>59579</v>
      </c>
      <c r="AG4">
        <v>-4094.23</v>
      </c>
      <c r="AH4">
        <v>-3852.83</v>
      </c>
      <c r="AI4">
        <v>329603.21999999997</v>
      </c>
      <c r="AJ4">
        <f t="shared" ref="AJ4:AJ39" si="1">(AE4+AC4)-AF4</f>
        <v>6443.9100000000035</v>
      </c>
      <c r="AK4">
        <f>ABS(AH4-AG4)</f>
        <v>241.40000000000009</v>
      </c>
    </row>
    <row r="5" spans="2:37" ht="15.75" thickBot="1">
      <c r="B5">
        <v>2</v>
      </c>
      <c r="C5" t="s">
        <v>1137</v>
      </c>
      <c r="D5">
        <v>590.35</v>
      </c>
      <c r="E5">
        <v>135040.63</v>
      </c>
      <c r="F5">
        <v>18.52</v>
      </c>
      <c r="G5" s="44">
        <f t="shared" ref="G5:G39" si="2">AC5/AD5</f>
        <v>0.22263668053088911</v>
      </c>
      <c r="H5" s="44">
        <f t="shared" ref="H5:H39" si="3">AJ5/AD5</f>
        <v>1.4345746698604704</v>
      </c>
      <c r="I5" s="44">
        <f t="shared" ref="I5:I39" si="4">AK5/AD5</f>
        <v>0.59464639345950909</v>
      </c>
      <c r="J5" s="380">
        <f t="shared" ref="J5:J39" si="5">N21+$N$21*G5+$N$22*H5+$N$23*I5</f>
        <v>24.694006397797963</v>
      </c>
      <c r="K5" s="494" t="str">
        <f t="shared" ref="K5:K39" si="6">IF(F5&gt;J5,"over","under")</f>
        <v>under</v>
      </c>
      <c r="L5" s="44"/>
      <c r="X5" s="44"/>
      <c r="Y5" s="44"/>
      <c r="Z5" s="44"/>
      <c r="AA5" s="44"/>
      <c r="AB5" s="44"/>
      <c r="AC5">
        <v>1623.38</v>
      </c>
      <c r="AD5">
        <f t="shared" si="0"/>
        <v>7291.6106911447087</v>
      </c>
      <c r="AE5">
        <v>32388.47</v>
      </c>
      <c r="AF5">
        <v>23551.49</v>
      </c>
      <c r="AG5">
        <v>12145.64</v>
      </c>
      <c r="AH5">
        <v>7809.71</v>
      </c>
      <c r="AI5">
        <v>145410.49</v>
      </c>
      <c r="AJ5">
        <f t="shared" si="1"/>
        <v>10460.359999999997</v>
      </c>
      <c r="AK5">
        <f t="shared" ref="AK5:AK39" si="7">ABS(AH5-AG5)</f>
        <v>4335.9299999999994</v>
      </c>
    </row>
    <row r="6" spans="2:37">
      <c r="B6">
        <v>3</v>
      </c>
      <c r="C6" t="s">
        <v>538</v>
      </c>
      <c r="D6">
        <v>24718.5</v>
      </c>
      <c r="E6">
        <v>90419.94</v>
      </c>
      <c r="F6">
        <v>17.84</v>
      </c>
      <c r="G6" s="44">
        <f t="shared" si="2"/>
        <v>0.3743442961806876</v>
      </c>
      <c r="H6" s="44">
        <f t="shared" si="3"/>
        <v>0.79065859145670736</v>
      </c>
      <c r="I6" s="44">
        <f t="shared" si="4"/>
        <v>0.15332308338182929</v>
      </c>
      <c r="J6" s="380">
        <f t="shared" si="5"/>
        <v>7.6690247875144841</v>
      </c>
      <c r="K6" s="494" t="str">
        <f t="shared" si="6"/>
        <v>over</v>
      </c>
      <c r="L6" s="44"/>
      <c r="M6" s="493" t="s">
        <v>1185</v>
      </c>
      <c r="N6" s="493"/>
      <c r="X6" s="44"/>
      <c r="Y6" s="44"/>
      <c r="Z6" s="44"/>
      <c r="AA6" s="44"/>
      <c r="AB6" s="44"/>
      <c r="AC6">
        <v>1897.32</v>
      </c>
      <c r="AD6">
        <f t="shared" si="0"/>
        <v>5068.3822869955156</v>
      </c>
      <c r="AE6">
        <v>9590.91</v>
      </c>
      <c r="AF6">
        <v>7480.87</v>
      </c>
      <c r="AG6">
        <v>1621.16</v>
      </c>
      <c r="AH6">
        <v>844.06</v>
      </c>
      <c r="AI6">
        <v>89186.2</v>
      </c>
      <c r="AJ6">
        <f t="shared" si="1"/>
        <v>4007.3599999999997</v>
      </c>
      <c r="AK6">
        <f t="shared" si="7"/>
        <v>777.10000000000014</v>
      </c>
    </row>
    <row r="7" spans="2:37">
      <c r="B7">
        <v>4</v>
      </c>
      <c r="C7" t="s">
        <v>1138</v>
      </c>
      <c r="D7">
        <v>2294.8000000000002</v>
      </c>
      <c r="E7">
        <v>41585.4</v>
      </c>
      <c r="F7">
        <v>11.99</v>
      </c>
      <c r="G7" s="44">
        <f t="shared" si="2"/>
        <v>0.25462034512112425</v>
      </c>
      <c r="H7" s="44">
        <f t="shared" si="3"/>
        <v>0.97928395783135447</v>
      </c>
      <c r="I7" s="44">
        <f t="shared" si="4"/>
        <v>0.10384505860229794</v>
      </c>
      <c r="J7" s="380">
        <f t="shared" si="5"/>
        <v>22.623976255101137</v>
      </c>
      <c r="K7" s="494" t="str">
        <f t="shared" si="6"/>
        <v>under</v>
      </c>
      <c r="L7" s="44"/>
      <c r="M7" t="s">
        <v>1186</v>
      </c>
      <c r="N7">
        <v>0.9220982610077012</v>
      </c>
      <c r="X7" s="44"/>
      <c r="Y7" s="44"/>
      <c r="Z7" s="44"/>
      <c r="AA7" s="44"/>
      <c r="AB7" s="44"/>
      <c r="AC7">
        <v>883.11</v>
      </c>
      <c r="AD7">
        <f t="shared" si="0"/>
        <v>3468.3402835696415</v>
      </c>
      <c r="AE7">
        <v>10025.27</v>
      </c>
      <c r="AF7">
        <v>7511.89</v>
      </c>
      <c r="AG7">
        <v>3001.67</v>
      </c>
      <c r="AH7">
        <v>2641.5</v>
      </c>
      <c r="AI7">
        <v>43093.42</v>
      </c>
      <c r="AJ7">
        <f t="shared" si="1"/>
        <v>3396.4900000000007</v>
      </c>
      <c r="AK7">
        <f t="shared" si="7"/>
        <v>360.17000000000007</v>
      </c>
    </row>
    <row r="8" spans="2:37">
      <c r="B8">
        <v>5</v>
      </c>
      <c r="C8" t="s">
        <v>1139</v>
      </c>
      <c r="D8">
        <v>1885.95</v>
      </c>
      <c r="E8">
        <v>39593.550000000003</v>
      </c>
      <c r="F8">
        <v>13.17</v>
      </c>
      <c r="G8" s="44">
        <f t="shared" si="2"/>
        <v>0.49827964403292957</v>
      </c>
      <c r="H8" s="44">
        <f t="shared" si="3"/>
        <v>0.81361282330076479</v>
      </c>
      <c r="I8" s="44">
        <f t="shared" si="4"/>
        <v>3.2597733721780438E-2</v>
      </c>
      <c r="J8" s="380">
        <f t="shared" si="5"/>
        <v>6.4920907982009215</v>
      </c>
      <c r="K8" s="494" t="str">
        <f t="shared" si="6"/>
        <v>over</v>
      </c>
      <c r="L8" s="44"/>
      <c r="M8" t="s">
        <v>1187</v>
      </c>
      <c r="N8">
        <v>0.85026520295342656</v>
      </c>
      <c r="X8" s="44"/>
      <c r="Y8" s="44"/>
      <c r="Z8" s="44"/>
      <c r="AA8" s="44"/>
      <c r="AB8" s="44"/>
      <c r="AC8">
        <v>1498</v>
      </c>
      <c r="AD8">
        <f t="shared" si="0"/>
        <v>3006.343963553531</v>
      </c>
      <c r="AE8">
        <v>15732</v>
      </c>
      <c r="AF8">
        <v>14784</v>
      </c>
      <c r="AG8">
        <v>-281</v>
      </c>
      <c r="AH8">
        <v>-379</v>
      </c>
      <c r="AI8">
        <v>35370.550000000003</v>
      </c>
      <c r="AJ8">
        <f t="shared" si="1"/>
        <v>2446</v>
      </c>
      <c r="AK8">
        <f t="shared" si="7"/>
        <v>98</v>
      </c>
    </row>
    <row r="9" spans="2:37">
      <c r="B9">
        <v>6</v>
      </c>
      <c r="C9" t="s">
        <v>1140</v>
      </c>
      <c r="D9">
        <v>4323.6499999999996</v>
      </c>
      <c r="E9">
        <v>38090.99</v>
      </c>
      <c r="F9">
        <v>16.59</v>
      </c>
      <c r="G9" s="44">
        <f t="shared" si="2"/>
        <v>0.24939666309539341</v>
      </c>
      <c r="H9" s="44">
        <f t="shared" si="3"/>
        <v>0.61130971392447475</v>
      </c>
      <c r="I9" s="44">
        <f t="shared" si="4"/>
        <v>0.16710212310050218</v>
      </c>
      <c r="J9" s="380">
        <f t="shared" si="5"/>
        <v>5.9841153570099648</v>
      </c>
      <c r="K9" s="494" t="str">
        <f t="shared" si="6"/>
        <v>over</v>
      </c>
      <c r="L9" s="44"/>
      <c r="M9" t="s">
        <v>1188</v>
      </c>
      <c r="N9">
        <v>0.83622756573031032</v>
      </c>
      <c r="X9" s="44"/>
      <c r="Y9" s="44"/>
      <c r="Z9" s="44"/>
      <c r="AA9" s="44"/>
      <c r="AB9" s="44"/>
      <c r="AC9">
        <v>572.62</v>
      </c>
      <c r="AD9">
        <f t="shared" si="0"/>
        <v>2296.0210970464136</v>
      </c>
      <c r="AE9">
        <v>9298.2900000000009</v>
      </c>
      <c r="AF9">
        <v>8467.33</v>
      </c>
      <c r="AG9">
        <v>2099.83</v>
      </c>
      <c r="AH9">
        <v>1716.16</v>
      </c>
      <c r="AI9">
        <v>33408.089999999997</v>
      </c>
      <c r="AJ9">
        <f t="shared" si="1"/>
        <v>1403.5800000000017</v>
      </c>
      <c r="AK9">
        <f t="shared" si="7"/>
        <v>383.66999999999985</v>
      </c>
    </row>
    <row r="10" spans="2:37">
      <c r="B10">
        <v>7</v>
      </c>
      <c r="C10" t="s">
        <v>543</v>
      </c>
      <c r="D10">
        <v>870.1</v>
      </c>
      <c r="E10">
        <v>25359.39</v>
      </c>
      <c r="F10">
        <v>16.04</v>
      </c>
      <c r="G10" s="44">
        <f t="shared" si="2"/>
        <v>0.40879581094024736</v>
      </c>
      <c r="H10" s="44">
        <f t="shared" si="3"/>
        <v>1.5844182056429588</v>
      </c>
      <c r="I10" s="44">
        <f t="shared" si="4"/>
        <v>0.25040332594750897</v>
      </c>
      <c r="J10" s="380">
        <f t="shared" si="5"/>
        <v>9.660718710238676</v>
      </c>
      <c r="K10" s="494" t="str">
        <f t="shared" si="6"/>
        <v>over</v>
      </c>
      <c r="L10" s="44"/>
      <c r="M10" t="s">
        <v>1189</v>
      </c>
      <c r="N10">
        <v>19.0220890302278</v>
      </c>
      <c r="X10" s="44"/>
      <c r="Y10" s="44"/>
      <c r="Z10" s="44"/>
      <c r="AA10" s="44"/>
      <c r="AB10" s="44"/>
      <c r="AC10">
        <v>646.30999999999995</v>
      </c>
      <c r="AD10">
        <f t="shared" si="0"/>
        <v>1581.0093516209477</v>
      </c>
      <c r="AE10">
        <v>12053.2</v>
      </c>
      <c r="AF10">
        <v>10194.530000000001</v>
      </c>
      <c r="AG10">
        <v>-731.64</v>
      </c>
      <c r="AH10">
        <v>-335.75</v>
      </c>
      <c r="AI10">
        <v>20559.8</v>
      </c>
      <c r="AJ10">
        <f t="shared" si="1"/>
        <v>2504.9799999999996</v>
      </c>
      <c r="AK10">
        <f t="shared" si="7"/>
        <v>395.89</v>
      </c>
    </row>
    <row r="11" spans="2:37" ht="15.75" thickBot="1">
      <c r="B11">
        <v>8</v>
      </c>
      <c r="C11" t="s">
        <v>1141</v>
      </c>
      <c r="D11">
        <v>349.2</v>
      </c>
      <c r="E11">
        <v>16768.650000000001</v>
      </c>
      <c r="F11">
        <v>10.46</v>
      </c>
      <c r="G11" s="44">
        <f t="shared" si="2"/>
        <v>0.57303208069820766</v>
      </c>
      <c r="H11" s="44">
        <f t="shared" si="3"/>
        <v>0.61380878007472284</v>
      </c>
      <c r="I11" s="44">
        <f t="shared" si="4"/>
        <v>8.7616570206903971E-2</v>
      </c>
      <c r="J11" s="380">
        <f t="shared" si="5"/>
        <v>8.198717451571973</v>
      </c>
      <c r="K11" s="494" t="str">
        <f t="shared" si="6"/>
        <v>over</v>
      </c>
      <c r="L11" s="44"/>
      <c r="M11" s="434" t="s">
        <v>1190</v>
      </c>
      <c r="N11" s="434">
        <v>36</v>
      </c>
      <c r="X11" s="44"/>
      <c r="Y11" s="44"/>
      <c r="Z11" s="44"/>
      <c r="AA11" s="44"/>
      <c r="AB11" s="44"/>
      <c r="AC11">
        <v>918.64</v>
      </c>
      <c r="AD11">
        <f t="shared" si="0"/>
        <v>1603.121414913958</v>
      </c>
      <c r="AE11">
        <v>15027.18</v>
      </c>
      <c r="AF11">
        <v>14961.81</v>
      </c>
      <c r="AG11">
        <v>-1517.98</v>
      </c>
      <c r="AH11">
        <v>-1377.52</v>
      </c>
      <c r="AI11">
        <v>12471.89</v>
      </c>
      <c r="AJ11">
        <f t="shared" si="1"/>
        <v>984.01000000000022</v>
      </c>
      <c r="AK11">
        <f t="shared" si="7"/>
        <v>140.46000000000004</v>
      </c>
    </row>
    <row r="12" spans="2:37">
      <c r="B12">
        <v>9</v>
      </c>
      <c r="C12" t="s">
        <v>1142</v>
      </c>
      <c r="D12">
        <v>362.5</v>
      </c>
      <c r="E12">
        <v>13767.8</v>
      </c>
      <c r="F12">
        <v>98.91</v>
      </c>
      <c r="G12" s="44">
        <f t="shared" si="2"/>
        <v>1.6205296924708379</v>
      </c>
      <c r="H12" s="44">
        <f t="shared" si="3"/>
        <v>2.1275873051613159</v>
      </c>
      <c r="I12" s="44">
        <f t="shared" si="4"/>
        <v>3.9401494429030044</v>
      </c>
      <c r="J12" s="380">
        <f t="shared" si="5"/>
        <v>88.066574771509153</v>
      </c>
      <c r="K12" s="494" t="str">
        <f t="shared" si="6"/>
        <v>over</v>
      </c>
      <c r="L12" s="44"/>
      <c r="X12" s="44"/>
      <c r="Y12" s="44"/>
      <c r="Z12" s="44"/>
      <c r="AA12" s="44"/>
      <c r="AB12" s="44"/>
      <c r="AC12">
        <v>225.57</v>
      </c>
      <c r="AD12">
        <f t="shared" si="0"/>
        <v>139.19522798503689</v>
      </c>
      <c r="AE12">
        <v>6873.63</v>
      </c>
      <c r="AF12">
        <v>6803.05</v>
      </c>
      <c r="AG12">
        <v>1186.92</v>
      </c>
      <c r="AH12">
        <v>1735.37</v>
      </c>
      <c r="AI12">
        <v>11233.77</v>
      </c>
      <c r="AJ12">
        <f t="shared" si="1"/>
        <v>296.14999999999964</v>
      </c>
      <c r="AK12">
        <f t="shared" si="7"/>
        <v>548.44999999999982</v>
      </c>
    </row>
    <row r="13" spans="2:37" ht="15.75" thickBot="1">
      <c r="B13">
        <v>10</v>
      </c>
      <c r="C13" t="s">
        <v>1143</v>
      </c>
      <c r="D13">
        <v>1257.5</v>
      </c>
      <c r="E13">
        <v>13428.27</v>
      </c>
      <c r="F13">
        <v>9.0500000000000007</v>
      </c>
      <c r="G13" s="44">
        <f t="shared" si="2"/>
        <v>0.38975277530165831</v>
      </c>
      <c r="H13" s="44">
        <f t="shared" si="3"/>
        <v>0.35437033214256158</v>
      </c>
      <c r="I13" s="44">
        <f t="shared" si="4"/>
        <v>0.18219599397390732</v>
      </c>
      <c r="J13" s="380">
        <f t="shared" si="5"/>
        <v>7.6962790371763425</v>
      </c>
      <c r="K13" s="494" t="str">
        <f t="shared" si="6"/>
        <v>over</v>
      </c>
      <c r="L13" s="44"/>
      <c r="M13" t="s">
        <v>1191</v>
      </c>
      <c r="X13" s="44"/>
      <c r="Y13" s="44"/>
      <c r="Z13" s="44"/>
      <c r="AA13" s="44"/>
      <c r="AB13" s="44"/>
      <c r="AC13">
        <v>578.30999999999995</v>
      </c>
      <c r="AD13">
        <f t="shared" si="0"/>
        <v>1483.7867403314917</v>
      </c>
      <c r="AE13">
        <v>9790.3799999999992</v>
      </c>
      <c r="AF13">
        <v>9842.8799999999992</v>
      </c>
      <c r="AG13">
        <v>493.14</v>
      </c>
      <c r="AH13">
        <v>763.48</v>
      </c>
      <c r="AI13">
        <v>9684.01</v>
      </c>
      <c r="AJ13">
        <f t="shared" si="1"/>
        <v>525.80999999999949</v>
      </c>
      <c r="AK13">
        <f t="shared" si="7"/>
        <v>270.34000000000003</v>
      </c>
    </row>
    <row r="14" spans="2:37">
      <c r="B14">
        <v>11</v>
      </c>
      <c r="C14" t="s">
        <v>1144</v>
      </c>
      <c r="D14">
        <v>191.16</v>
      </c>
      <c r="E14">
        <v>11358.77</v>
      </c>
      <c r="F14">
        <v>21.86</v>
      </c>
      <c r="G14" s="44">
        <f t="shared" si="2"/>
        <v>0.7963598171280869</v>
      </c>
      <c r="H14" s="44">
        <f t="shared" si="3"/>
        <v>1.3987873510952327</v>
      </c>
      <c r="I14" s="44">
        <f t="shared" si="4"/>
        <v>0.27993837360911433</v>
      </c>
      <c r="J14" s="380">
        <f t="shared" si="5"/>
        <v>14.412921804297408</v>
      </c>
      <c r="K14" s="494" t="str">
        <f t="shared" si="6"/>
        <v>over</v>
      </c>
      <c r="L14" s="44"/>
      <c r="M14" s="492"/>
      <c r="N14" s="492" t="s">
        <v>1196</v>
      </c>
      <c r="O14" s="492" t="s">
        <v>1197</v>
      </c>
      <c r="P14" s="492" t="s">
        <v>1198</v>
      </c>
      <c r="Q14" s="492" t="s">
        <v>1199</v>
      </c>
      <c r="R14" s="492" t="s">
        <v>1200</v>
      </c>
      <c r="X14" s="44"/>
      <c r="Y14" s="44"/>
      <c r="Z14" s="44"/>
      <c r="AA14" s="44"/>
      <c r="AB14" s="44"/>
      <c r="AC14">
        <v>413.8</v>
      </c>
      <c r="AD14">
        <f t="shared" si="0"/>
        <v>519.61436413540719</v>
      </c>
      <c r="AE14">
        <v>3260.49</v>
      </c>
      <c r="AF14">
        <v>2947.46</v>
      </c>
      <c r="AG14">
        <v>123.4</v>
      </c>
      <c r="AH14">
        <v>-22.06</v>
      </c>
      <c r="AI14">
        <v>9622.23</v>
      </c>
      <c r="AJ14">
        <f t="shared" si="1"/>
        <v>726.82999999999993</v>
      </c>
      <c r="AK14">
        <f t="shared" si="7"/>
        <v>145.46</v>
      </c>
    </row>
    <row r="15" spans="2:37">
      <c r="B15">
        <v>12</v>
      </c>
      <c r="C15" t="s">
        <v>1145</v>
      </c>
      <c r="D15">
        <v>809.9</v>
      </c>
      <c r="E15">
        <v>11346.87</v>
      </c>
      <c r="F15">
        <v>9.86</v>
      </c>
      <c r="G15" s="44">
        <f t="shared" si="2"/>
        <v>0.21372122884989425</v>
      </c>
      <c r="H15" s="44">
        <f t="shared" si="3"/>
        <v>1.622413070741094</v>
      </c>
      <c r="I15" s="44">
        <f t="shared" si="4"/>
        <v>0.1705077435451362</v>
      </c>
      <c r="J15" s="380">
        <f t="shared" si="5"/>
        <v>6.1041171039845645</v>
      </c>
      <c r="K15" s="494" t="str">
        <f t="shared" si="6"/>
        <v>over</v>
      </c>
      <c r="L15" s="44"/>
      <c r="M15" t="s">
        <v>1192</v>
      </c>
      <c r="N15">
        <v>3</v>
      </c>
      <c r="O15">
        <v>65750.34954785704</v>
      </c>
      <c r="P15">
        <v>21916.783182619012</v>
      </c>
      <c r="Q15">
        <v>60.570392968502226</v>
      </c>
      <c r="R15">
        <v>2.7331312410105163E-13</v>
      </c>
      <c r="X15" s="44"/>
      <c r="Y15" s="44"/>
      <c r="Z15" s="44"/>
      <c r="AA15" s="44"/>
      <c r="AB15" s="44"/>
      <c r="AC15">
        <v>245.95</v>
      </c>
      <c r="AD15">
        <f t="shared" si="0"/>
        <v>1150.7981744421909</v>
      </c>
      <c r="AE15">
        <v>5148.1400000000003</v>
      </c>
      <c r="AF15">
        <v>3527.02</v>
      </c>
      <c r="AG15">
        <v>-96.15</v>
      </c>
      <c r="AH15">
        <v>100.07</v>
      </c>
      <c r="AI15">
        <v>9530.1</v>
      </c>
      <c r="AJ15">
        <f t="shared" si="1"/>
        <v>1867.0700000000002</v>
      </c>
      <c r="AK15">
        <f t="shared" si="7"/>
        <v>196.22</v>
      </c>
    </row>
    <row r="16" spans="2:37">
      <c r="B16">
        <v>13</v>
      </c>
      <c r="C16" t="s">
        <v>1146</v>
      </c>
      <c r="D16">
        <v>210.64</v>
      </c>
      <c r="E16">
        <v>8563.26</v>
      </c>
      <c r="F16">
        <v>15.23</v>
      </c>
      <c r="G16" s="44">
        <f t="shared" si="2"/>
        <v>0.26073224449567101</v>
      </c>
      <c r="H16" s="44">
        <f t="shared" si="3"/>
        <v>1.1944418013700386</v>
      </c>
      <c r="I16" s="44">
        <f t="shared" si="4"/>
        <v>0.50878358242071353</v>
      </c>
      <c r="J16" s="380">
        <f t="shared" si="5"/>
        <v>12.36194946980315</v>
      </c>
      <c r="K16" s="494" t="str">
        <f t="shared" si="6"/>
        <v>over</v>
      </c>
      <c r="L16" s="44"/>
      <c r="M16" t="s">
        <v>1193</v>
      </c>
      <c r="N16">
        <v>32</v>
      </c>
      <c r="O16">
        <v>11578.875874365174</v>
      </c>
      <c r="P16">
        <v>361.8398710739117</v>
      </c>
      <c r="X16" s="44"/>
      <c r="Y16" s="44"/>
      <c r="Z16" s="44"/>
      <c r="AA16" s="44"/>
      <c r="AB16" s="44"/>
      <c r="AC16">
        <v>146.6</v>
      </c>
      <c r="AD16">
        <f t="shared" si="0"/>
        <v>562.26263952724889</v>
      </c>
      <c r="AE16">
        <v>1415.93</v>
      </c>
      <c r="AF16">
        <v>890.94</v>
      </c>
      <c r="AG16">
        <v>46.85</v>
      </c>
      <c r="AH16">
        <v>332.92</v>
      </c>
      <c r="AI16">
        <v>8513.66</v>
      </c>
      <c r="AJ16">
        <f t="shared" si="1"/>
        <v>671.58999999999992</v>
      </c>
      <c r="AK16">
        <f t="shared" si="7"/>
        <v>286.07</v>
      </c>
    </row>
    <row r="17" spans="2:37" ht="15.75" thickBot="1">
      <c r="B17">
        <v>14</v>
      </c>
      <c r="C17" t="s">
        <v>1147</v>
      </c>
      <c r="D17">
        <v>216.69</v>
      </c>
      <c r="E17">
        <v>8818.4699999999993</v>
      </c>
      <c r="F17">
        <v>24.2</v>
      </c>
      <c r="G17" s="44">
        <f t="shared" si="2"/>
        <v>0.37565904289519608</v>
      </c>
      <c r="H17" s="44">
        <f t="shared" si="3"/>
        <v>0.35444606604093476</v>
      </c>
      <c r="I17" s="44">
        <f t="shared" si="4"/>
        <v>0.44511576271167225</v>
      </c>
      <c r="J17" s="380">
        <f t="shared" si="5"/>
        <v>12.146540289013508</v>
      </c>
      <c r="K17" s="494" t="str">
        <f t="shared" si="6"/>
        <v>over</v>
      </c>
      <c r="L17" s="44"/>
      <c r="M17" s="434" t="s">
        <v>1194</v>
      </c>
      <c r="N17" s="434">
        <v>35</v>
      </c>
      <c r="O17" s="434">
        <v>77329.225422222211</v>
      </c>
      <c r="P17" s="434"/>
      <c r="Q17" s="434"/>
      <c r="R17" s="434"/>
      <c r="X17" s="44"/>
      <c r="Y17" s="44"/>
      <c r="Z17" s="44"/>
      <c r="AA17" s="44"/>
      <c r="AB17" s="44"/>
      <c r="AC17">
        <v>136.88999999999999</v>
      </c>
      <c r="AD17">
        <f t="shared" si="0"/>
        <v>364.39958677685951</v>
      </c>
      <c r="AE17">
        <v>1728.34</v>
      </c>
      <c r="AF17">
        <v>1736.07</v>
      </c>
      <c r="AG17">
        <v>244.58</v>
      </c>
      <c r="AH17">
        <v>82.38</v>
      </c>
      <c r="AI17">
        <v>6732.22</v>
      </c>
      <c r="AJ17">
        <f t="shared" si="1"/>
        <v>129.16000000000008</v>
      </c>
      <c r="AK17">
        <f t="shared" si="7"/>
        <v>162.20000000000002</v>
      </c>
    </row>
    <row r="18" spans="2:37" ht="15.75" thickBot="1">
      <c r="B18">
        <v>15</v>
      </c>
      <c r="C18" t="s">
        <v>1148</v>
      </c>
      <c r="D18">
        <v>300.85000000000002</v>
      </c>
      <c r="E18">
        <v>6256.05</v>
      </c>
      <c r="F18">
        <v>13.5</v>
      </c>
      <c r="G18" s="44">
        <f t="shared" si="2"/>
        <v>0.32187402594288728</v>
      </c>
      <c r="H18" s="44">
        <f t="shared" si="3"/>
        <v>0.3455031529479462</v>
      </c>
      <c r="I18" s="44">
        <f t="shared" si="4"/>
        <v>1.029323614740927E-2</v>
      </c>
      <c r="J18" s="380">
        <f t="shared" si="5"/>
        <v>3.9235376854127275</v>
      </c>
      <c r="K18" s="494" t="str">
        <f t="shared" si="6"/>
        <v>over</v>
      </c>
      <c r="L18" s="44"/>
      <c r="X18" s="44"/>
      <c r="Y18" s="44"/>
      <c r="Z18" s="44"/>
      <c r="AA18" s="44"/>
      <c r="AB18" s="44"/>
      <c r="AC18">
        <v>149.16</v>
      </c>
      <c r="AD18">
        <f t="shared" si="0"/>
        <v>463.4111111111111</v>
      </c>
      <c r="AE18">
        <v>2021</v>
      </c>
      <c r="AF18">
        <v>2010.05</v>
      </c>
      <c r="AG18">
        <v>157.18</v>
      </c>
      <c r="AH18">
        <v>161.94999999999999</v>
      </c>
      <c r="AI18">
        <v>6163.48</v>
      </c>
      <c r="AJ18">
        <f t="shared" si="1"/>
        <v>160.1099999999999</v>
      </c>
      <c r="AK18">
        <f t="shared" si="7"/>
        <v>4.7699999999999818</v>
      </c>
    </row>
    <row r="19" spans="2:37">
      <c r="B19">
        <v>16</v>
      </c>
      <c r="C19" t="s">
        <v>1159</v>
      </c>
      <c r="D19">
        <v>221.21</v>
      </c>
      <c r="E19">
        <v>4595.1899999999996</v>
      </c>
      <c r="F19">
        <v>12.94</v>
      </c>
      <c r="G19" s="44">
        <f t="shared" si="2"/>
        <v>0.30882940640104112</v>
      </c>
      <c r="H19" s="44">
        <f t="shared" si="3"/>
        <v>8.2790047854387122E-2</v>
      </c>
      <c r="I19" s="44">
        <f t="shared" si="4"/>
        <v>5.7671434695844896E-2</v>
      </c>
      <c r="J19" s="380">
        <f t="shared" si="5"/>
        <v>4.4894455413052219</v>
      </c>
      <c r="K19" s="494" t="str">
        <f t="shared" si="6"/>
        <v>over</v>
      </c>
      <c r="L19" s="44"/>
      <c r="M19" s="492"/>
      <c r="N19" s="492" t="s">
        <v>1201</v>
      </c>
      <c r="O19" s="492" t="s">
        <v>1189</v>
      </c>
      <c r="P19" s="492" t="s">
        <v>1202</v>
      </c>
      <c r="Q19" s="492" t="s">
        <v>1203</v>
      </c>
      <c r="R19" s="492" t="s">
        <v>1204</v>
      </c>
      <c r="S19" s="492" t="s">
        <v>1205</v>
      </c>
      <c r="T19" s="492" t="s">
        <v>1206</v>
      </c>
      <c r="U19" s="492" t="s">
        <v>1207</v>
      </c>
      <c r="X19" s="44"/>
      <c r="Y19" s="44"/>
      <c r="Z19" s="44"/>
      <c r="AA19" s="44"/>
      <c r="AB19" s="44"/>
      <c r="AC19">
        <v>109.67</v>
      </c>
      <c r="AD19">
        <f t="shared" si="0"/>
        <v>355.11514683153013</v>
      </c>
      <c r="AE19">
        <v>1410.16</v>
      </c>
      <c r="AF19">
        <v>1490.43</v>
      </c>
      <c r="AG19">
        <v>308.48</v>
      </c>
      <c r="AH19">
        <v>328.96</v>
      </c>
      <c r="AI19">
        <v>5012.91</v>
      </c>
      <c r="AJ19">
        <f t="shared" si="1"/>
        <v>29.400000000000091</v>
      </c>
      <c r="AK19">
        <f t="shared" si="7"/>
        <v>20.479999999999961</v>
      </c>
    </row>
    <row r="20" spans="2:37">
      <c r="B20">
        <v>17</v>
      </c>
      <c r="C20" t="s">
        <v>1160</v>
      </c>
      <c r="D20">
        <v>233</v>
      </c>
      <c r="E20">
        <v>2568.33</v>
      </c>
      <c r="F20">
        <v>6.08</v>
      </c>
      <c r="G20" s="44">
        <f t="shared" si="2"/>
        <v>0.21151799028940985</v>
      </c>
      <c r="H20" s="44">
        <f t="shared" si="3"/>
        <v>6.5313725261161734E-2</v>
      </c>
      <c r="I20" s="44">
        <f t="shared" si="4"/>
        <v>0.57127612105920955</v>
      </c>
      <c r="J20" s="380">
        <f t="shared" si="5"/>
        <v>12.397325674417644</v>
      </c>
      <c r="K20" s="494" t="str">
        <f t="shared" si="6"/>
        <v>under</v>
      </c>
      <c r="L20" s="44"/>
      <c r="M20" t="s">
        <v>1195</v>
      </c>
      <c r="N20">
        <v>8.352812053316562</v>
      </c>
      <c r="O20">
        <v>3.4857416835206934</v>
      </c>
      <c r="P20">
        <v>2.3962797050640874</v>
      </c>
      <c r="Q20">
        <v>2.257903729212318E-2</v>
      </c>
      <c r="R20">
        <v>1.2525885914645141</v>
      </c>
      <c r="S20">
        <v>15.45303551516861</v>
      </c>
      <c r="T20">
        <v>1.2525885914645141</v>
      </c>
      <c r="U20">
        <v>15.45303551516861</v>
      </c>
      <c r="X20" s="44"/>
      <c r="Y20" s="44"/>
      <c r="Z20" s="44"/>
      <c r="AA20" s="44"/>
      <c r="AB20" s="44"/>
      <c r="AC20">
        <v>89.35</v>
      </c>
      <c r="AD20">
        <f t="shared" si="0"/>
        <v>422.42269736842104</v>
      </c>
      <c r="AE20">
        <v>936.29</v>
      </c>
      <c r="AF20">
        <v>998.05</v>
      </c>
      <c r="AG20">
        <v>1385.54</v>
      </c>
      <c r="AH20">
        <v>1144.22</v>
      </c>
      <c r="AI20">
        <v>3003.86</v>
      </c>
      <c r="AJ20">
        <f t="shared" si="1"/>
        <v>27.589999999999918</v>
      </c>
      <c r="AK20">
        <f t="shared" si="7"/>
        <v>241.31999999999994</v>
      </c>
    </row>
    <row r="21" spans="2:37">
      <c r="B21">
        <v>18</v>
      </c>
      <c r="C21" t="s">
        <v>1161</v>
      </c>
      <c r="D21">
        <v>227.17</v>
      </c>
      <c r="E21">
        <v>4151.24</v>
      </c>
      <c r="F21">
        <v>12.95</v>
      </c>
      <c r="G21" s="44">
        <f t="shared" si="2"/>
        <v>0.66792681222959893</v>
      </c>
      <c r="H21" s="44">
        <f t="shared" si="3"/>
        <v>0.92413543904953777</v>
      </c>
      <c r="I21" s="44">
        <f t="shared" si="4"/>
        <v>0.3180692997754887</v>
      </c>
      <c r="J21" s="380">
        <f t="shared" si="5"/>
        <v>13.435015391012113</v>
      </c>
      <c r="K21" s="494" t="str">
        <f t="shared" si="6"/>
        <v>under</v>
      </c>
      <c r="L21" s="44"/>
      <c r="M21" t="s">
        <v>1181</v>
      </c>
      <c r="N21">
        <v>11.143205753071097</v>
      </c>
      <c r="O21">
        <v>1.356559811033238</v>
      </c>
      <c r="P21">
        <v>8.21431216113041</v>
      </c>
      <c r="Q21">
        <v>2.2047958874037309E-9</v>
      </c>
      <c r="R21">
        <v>8.3799838415795609</v>
      </c>
      <c r="S21">
        <v>13.906427664562633</v>
      </c>
      <c r="T21">
        <v>8.3799838415795609</v>
      </c>
      <c r="U21">
        <v>13.906427664562633</v>
      </c>
      <c r="X21" s="44"/>
      <c r="Y21" s="44"/>
      <c r="Z21" s="44"/>
      <c r="AA21" s="44"/>
      <c r="AB21" s="44"/>
      <c r="AC21">
        <v>214.11</v>
      </c>
      <c r="AD21">
        <f t="shared" si="0"/>
        <v>320.55907335907335</v>
      </c>
      <c r="AE21">
        <v>3250.28</v>
      </c>
      <c r="AF21">
        <v>3168.15</v>
      </c>
      <c r="AG21">
        <v>210.93</v>
      </c>
      <c r="AH21">
        <v>312.89</v>
      </c>
      <c r="AI21">
        <v>2969.28</v>
      </c>
      <c r="AJ21">
        <f t="shared" si="1"/>
        <v>296.24000000000024</v>
      </c>
      <c r="AK21">
        <f t="shared" si="7"/>
        <v>101.95999999999998</v>
      </c>
    </row>
    <row r="22" spans="2:37">
      <c r="B22">
        <v>19</v>
      </c>
      <c r="C22" t="s">
        <v>1162</v>
      </c>
      <c r="D22">
        <v>849.1</v>
      </c>
      <c r="E22">
        <v>2787.19</v>
      </c>
      <c r="F22">
        <v>11.36</v>
      </c>
      <c r="G22" s="44">
        <f t="shared" si="2"/>
        <v>0.30246434581065512</v>
      </c>
      <c r="H22" s="44">
        <f t="shared" si="3"/>
        <v>0.28106645043933148</v>
      </c>
      <c r="I22" s="44">
        <f t="shared" si="4"/>
        <v>4.5118990811534282E-2</v>
      </c>
      <c r="J22" s="380">
        <f t="shared" si="5"/>
        <v>4.2883418360528252</v>
      </c>
      <c r="K22" s="494" t="str">
        <f t="shared" si="6"/>
        <v>over</v>
      </c>
      <c r="L22" s="44"/>
      <c r="M22" t="s">
        <v>1182</v>
      </c>
      <c r="N22">
        <v>0.45283406042767371</v>
      </c>
      <c r="O22">
        <v>0.96828209816551436</v>
      </c>
      <c r="P22">
        <v>0.46766749203109609</v>
      </c>
      <c r="Q22">
        <v>0.64319178251682185</v>
      </c>
      <c r="R22">
        <v>-1.5194920312011693</v>
      </c>
      <c r="S22">
        <v>2.4251601520565167</v>
      </c>
      <c r="T22">
        <v>-1.5194920312011693</v>
      </c>
      <c r="U22">
        <v>2.4251601520565167</v>
      </c>
      <c r="X22" s="44"/>
      <c r="Y22" s="44"/>
      <c r="Z22" s="44"/>
      <c r="AA22" s="44"/>
      <c r="AB22" s="44"/>
      <c r="AC22">
        <v>74.209999999999994</v>
      </c>
      <c r="AD22">
        <f t="shared" si="0"/>
        <v>245.35123239436621</v>
      </c>
      <c r="AE22">
        <v>1164.6600000000001</v>
      </c>
      <c r="AF22">
        <v>1169.9100000000001</v>
      </c>
      <c r="AG22">
        <v>146.02000000000001</v>
      </c>
      <c r="AH22">
        <v>134.94999999999999</v>
      </c>
      <c r="AI22">
        <v>2334.8000000000002</v>
      </c>
      <c r="AJ22">
        <f t="shared" si="1"/>
        <v>68.960000000000036</v>
      </c>
      <c r="AK22">
        <f t="shared" si="7"/>
        <v>11.070000000000022</v>
      </c>
    </row>
    <row r="23" spans="2:37" ht="15.75" thickBot="1">
      <c r="B23">
        <v>20</v>
      </c>
      <c r="C23" t="s">
        <v>1163</v>
      </c>
      <c r="D23">
        <v>81.95</v>
      </c>
      <c r="E23">
        <v>4008.33</v>
      </c>
      <c r="F23">
        <v>203.57</v>
      </c>
      <c r="G23" s="44">
        <f t="shared" si="2"/>
        <v>5.4357044205442167</v>
      </c>
      <c r="H23" s="44">
        <f t="shared" si="3"/>
        <v>8.8704114182215452</v>
      </c>
      <c r="I23" s="44">
        <f t="shared" si="4"/>
        <v>3.7917377561228736</v>
      </c>
      <c r="J23" s="380">
        <f t="shared" si="5"/>
        <v>131.03253899137013</v>
      </c>
      <c r="K23" s="494" t="str">
        <f t="shared" si="6"/>
        <v>over</v>
      </c>
      <c r="L23" s="44"/>
      <c r="M23" s="434" t="s">
        <v>1183</v>
      </c>
      <c r="N23" s="434">
        <v>17.523506654144619</v>
      </c>
      <c r="O23" s="434">
        <v>3.7814382398815476</v>
      </c>
      <c r="P23" s="434">
        <v>4.6340851132593235</v>
      </c>
      <c r="Q23" s="434">
        <v>5.7374451939366488E-5</v>
      </c>
      <c r="R23" s="434">
        <v>9.8209690170948178</v>
      </c>
      <c r="S23" s="434">
        <v>25.22604429119442</v>
      </c>
      <c r="T23" s="434">
        <v>9.8209690170948178</v>
      </c>
      <c r="U23" s="434">
        <v>25.22604429119442</v>
      </c>
      <c r="X23" s="44"/>
      <c r="Y23" s="44"/>
      <c r="Z23" s="44"/>
      <c r="AA23" s="44"/>
      <c r="AB23" s="44"/>
      <c r="AC23">
        <v>107.03</v>
      </c>
      <c r="AD23">
        <f t="shared" si="0"/>
        <v>19.690180281966892</v>
      </c>
      <c r="AE23">
        <v>3184.93</v>
      </c>
      <c r="AF23">
        <v>3117.3</v>
      </c>
      <c r="AG23">
        <v>28.21</v>
      </c>
      <c r="AH23">
        <v>-46.45</v>
      </c>
      <c r="AI23">
        <v>2116.98</v>
      </c>
      <c r="AJ23">
        <f t="shared" si="1"/>
        <v>174.65999999999985</v>
      </c>
      <c r="AK23">
        <f t="shared" si="7"/>
        <v>74.66</v>
      </c>
    </row>
    <row r="24" spans="2:37">
      <c r="B24">
        <v>21</v>
      </c>
      <c r="C24" t="s">
        <v>1164</v>
      </c>
      <c r="D24">
        <v>31.12</v>
      </c>
      <c r="E24">
        <v>3021.79</v>
      </c>
      <c r="F24">
        <v>14.44</v>
      </c>
      <c r="G24" s="44">
        <f t="shared" si="2"/>
        <v>0.25360160699452972</v>
      </c>
      <c r="H24" s="44">
        <f t="shared" si="3"/>
        <v>6.5633453019567876</v>
      </c>
      <c r="I24" s="44">
        <f t="shared" si="4"/>
        <v>0.65596179747765393</v>
      </c>
      <c r="J24" s="380">
        <f t="shared" si="5"/>
        <v>17.292792112087842</v>
      </c>
      <c r="K24" s="494" t="str">
        <f t="shared" si="6"/>
        <v>under</v>
      </c>
      <c r="L24" s="44"/>
      <c r="V24" s="44"/>
      <c r="W24" s="44"/>
      <c r="X24" s="44"/>
      <c r="Y24" s="44"/>
      <c r="Z24" s="44"/>
      <c r="AA24" s="44"/>
      <c r="AB24" s="44"/>
      <c r="AC24">
        <v>53.07</v>
      </c>
      <c r="AD24">
        <f t="shared" si="0"/>
        <v>209.26523545706371</v>
      </c>
      <c r="AE24">
        <v>2031.02</v>
      </c>
      <c r="AF24">
        <v>710.61</v>
      </c>
      <c r="AG24">
        <v>64.819999999999993</v>
      </c>
      <c r="AH24">
        <v>-72.45</v>
      </c>
      <c r="AI24">
        <v>1744.39</v>
      </c>
      <c r="AJ24">
        <f t="shared" si="1"/>
        <v>1373.48</v>
      </c>
      <c r="AK24">
        <f t="shared" si="7"/>
        <v>137.26999999999998</v>
      </c>
    </row>
    <row r="25" spans="2:37">
      <c r="B25">
        <v>22</v>
      </c>
      <c r="C25" t="s">
        <v>1165</v>
      </c>
      <c r="D25">
        <v>92.73</v>
      </c>
      <c r="E25">
        <v>1353.08</v>
      </c>
      <c r="F25">
        <v>9.25</v>
      </c>
      <c r="G25" s="44">
        <f t="shared" si="2"/>
        <v>0.23667115026458152</v>
      </c>
      <c r="H25" s="44">
        <f t="shared" si="3"/>
        <v>0.16338649599432409</v>
      </c>
      <c r="I25" s="44">
        <f t="shared" si="4"/>
        <v>2.6319581990717437E-2</v>
      </c>
      <c r="J25" s="380">
        <f t="shared" si="5"/>
        <v>3.1724736637630402</v>
      </c>
      <c r="K25" s="494" t="str">
        <f t="shared" si="6"/>
        <v>over</v>
      </c>
      <c r="L25" s="44"/>
      <c r="V25" s="44"/>
      <c r="W25" s="44"/>
      <c r="X25" s="44"/>
      <c r="Y25" s="44"/>
      <c r="Z25" s="44"/>
      <c r="AA25" s="44"/>
      <c r="AB25" s="44"/>
      <c r="AC25">
        <v>34.619999999999997</v>
      </c>
      <c r="AD25">
        <f t="shared" si="0"/>
        <v>146.27891891891892</v>
      </c>
      <c r="AE25">
        <v>170.78</v>
      </c>
      <c r="AF25">
        <v>181.5</v>
      </c>
      <c r="AG25">
        <v>136.38</v>
      </c>
      <c r="AH25">
        <v>132.53</v>
      </c>
      <c r="AI25">
        <v>1366.9</v>
      </c>
      <c r="AJ25">
        <f t="shared" si="1"/>
        <v>23.900000000000006</v>
      </c>
      <c r="AK25">
        <f t="shared" si="7"/>
        <v>3.8499999999999943</v>
      </c>
    </row>
    <row r="26" spans="2:37">
      <c r="B26">
        <v>23</v>
      </c>
      <c r="C26" t="s">
        <v>1166</v>
      </c>
      <c r="D26">
        <v>45.43</v>
      </c>
      <c r="E26">
        <v>2798.36</v>
      </c>
      <c r="F26">
        <v>51.91</v>
      </c>
      <c r="G26" s="44">
        <f t="shared" si="2"/>
        <v>0.58414424877428195</v>
      </c>
      <c r="H26" s="44">
        <f t="shared" si="3"/>
        <v>19.113333380980283</v>
      </c>
      <c r="I26" s="44">
        <f t="shared" si="4"/>
        <v>2.6339359124630137</v>
      </c>
      <c r="J26" s="380">
        <f t="shared" si="5"/>
        <v>61.320201405418175</v>
      </c>
      <c r="K26" s="494" t="str">
        <f t="shared" si="6"/>
        <v>under</v>
      </c>
      <c r="L26" s="44"/>
      <c r="V26" s="44"/>
      <c r="W26" s="44"/>
      <c r="X26" s="44"/>
      <c r="Y26" s="44"/>
      <c r="Z26" s="44"/>
      <c r="AA26" s="44"/>
      <c r="AB26" s="44"/>
      <c r="AC26">
        <v>31.49</v>
      </c>
      <c r="AD26">
        <f t="shared" si="0"/>
        <v>53.907917549605095</v>
      </c>
      <c r="AE26">
        <v>1034.31</v>
      </c>
      <c r="AF26">
        <v>35.44</v>
      </c>
      <c r="AG26">
        <v>-114.07</v>
      </c>
      <c r="AH26">
        <v>27.92</v>
      </c>
      <c r="AI26">
        <v>1340.19</v>
      </c>
      <c r="AJ26">
        <f t="shared" si="1"/>
        <v>1030.3599999999999</v>
      </c>
      <c r="AK26">
        <f t="shared" si="7"/>
        <v>141.99</v>
      </c>
    </row>
    <row r="27" spans="2:37">
      <c r="B27">
        <v>24</v>
      </c>
      <c r="C27" t="s">
        <v>1167</v>
      </c>
      <c r="D27">
        <v>110.93</v>
      </c>
      <c r="E27">
        <v>1067.31</v>
      </c>
      <c r="F27">
        <v>6.71</v>
      </c>
      <c r="G27" s="44">
        <f t="shared" si="2"/>
        <v>0.29604697791644419</v>
      </c>
      <c r="H27" s="44">
        <f t="shared" si="3"/>
        <v>0.55575605962653762</v>
      </c>
      <c r="I27" s="44">
        <f t="shared" si="4"/>
        <v>0.90260065023282843</v>
      </c>
      <c r="J27" s="380">
        <f t="shared" si="5"/>
        <v>19.367306160976032</v>
      </c>
      <c r="K27" s="494" t="str">
        <f t="shared" si="6"/>
        <v>under</v>
      </c>
      <c r="L27" s="44"/>
      <c r="M27" s="44"/>
      <c r="N27" s="44"/>
      <c r="O27" s="44"/>
      <c r="P27" s="44"/>
      <c r="Q27" s="44"/>
      <c r="R27" s="44"/>
      <c r="S27" s="44"/>
      <c r="T27" s="44"/>
      <c r="U27" s="44"/>
      <c r="V27" s="44"/>
      <c r="W27" s="44"/>
      <c r="X27" s="44"/>
      <c r="Y27" s="44"/>
      <c r="Z27" s="44"/>
      <c r="AA27" s="44"/>
      <c r="AB27" s="44"/>
      <c r="AC27">
        <v>47.09</v>
      </c>
      <c r="AD27">
        <f t="shared" si="0"/>
        <v>159.06259314456034</v>
      </c>
      <c r="AE27">
        <v>872.26</v>
      </c>
      <c r="AF27">
        <v>830.95</v>
      </c>
      <c r="AG27">
        <v>177.34</v>
      </c>
      <c r="AH27">
        <v>33.770000000000003</v>
      </c>
      <c r="AI27">
        <v>1231.6500000000001</v>
      </c>
      <c r="AJ27">
        <f t="shared" si="1"/>
        <v>88.399999999999977</v>
      </c>
      <c r="AK27">
        <f t="shared" si="7"/>
        <v>143.57</v>
      </c>
    </row>
    <row r="28" spans="2:37">
      <c r="B28">
        <v>25</v>
      </c>
      <c r="C28" t="s">
        <v>1168</v>
      </c>
      <c r="D28">
        <v>213.43</v>
      </c>
      <c r="E28">
        <v>1139.28</v>
      </c>
      <c r="F28">
        <v>5.73</v>
      </c>
      <c r="G28" s="44">
        <f t="shared" si="2"/>
        <v>0.2802433115651991</v>
      </c>
      <c r="H28" s="44">
        <f t="shared" si="3"/>
        <v>0.19705550874236394</v>
      </c>
      <c r="I28" s="44">
        <f t="shared" si="4"/>
        <v>1.4082578470613076E-2</v>
      </c>
      <c r="J28" s="380">
        <f t="shared" si="5"/>
        <v>3.45881848538377</v>
      </c>
      <c r="K28" s="494" t="str">
        <f t="shared" si="6"/>
        <v>over</v>
      </c>
      <c r="L28" s="44"/>
      <c r="M28" s="44"/>
      <c r="N28" s="44"/>
      <c r="O28" s="44"/>
      <c r="P28" s="44"/>
      <c r="Q28" s="44"/>
      <c r="R28" s="44"/>
      <c r="S28" s="44"/>
      <c r="T28" s="44"/>
      <c r="U28" s="44"/>
      <c r="V28" s="44"/>
      <c r="W28" s="44"/>
      <c r="X28" s="44"/>
      <c r="Y28" s="44"/>
      <c r="Z28" s="44"/>
      <c r="AA28" s="44"/>
      <c r="AB28" s="44"/>
      <c r="AC28">
        <v>55.72</v>
      </c>
      <c r="AD28">
        <f t="shared" si="0"/>
        <v>198.82722513089004</v>
      </c>
      <c r="AE28">
        <v>969.02</v>
      </c>
      <c r="AF28">
        <v>985.56</v>
      </c>
      <c r="AG28">
        <v>177.86</v>
      </c>
      <c r="AH28">
        <v>175.06</v>
      </c>
      <c r="AI28">
        <v>965.4</v>
      </c>
      <c r="AJ28">
        <f t="shared" si="1"/>
        <v>39.180000000000064</v>
      </c>
      <c r="AK28">
        <f t="shared" si="7"/>
        <v>2.8000000000000114</v>
      </c>
    </row>
    <row r="29" spans="2:37">
      <c r="B29">
        <v>26</v>
      </c>
      <c r="C29" t="s">
        <v>1169</v>
      </c>
      <c r="D29">
        <v>617.9</v>
      </c>
      <c r="E29">
        <v>1155.01</v>
      </c>
      <c r="F29">
        <v>12.06</v>
      </c>
      <c r="G29" s="44">
        <f t="shared" si="2"/>
        <v>0.28849776192413917</v>
      </c>
      <c r="H29" s="44">
        <f t="shared" si="3"/>
        <v>0.11454290439043786</v>
      </c>
      <c r="I29" s="44">
        <f t="shared" si="4"/>
        <v>0.15411606825914917</v>
      </c>
      <c r="J29" s="380">
        <f t="shared" si="5"/>
        <v>5.9673127965593107</v>
      </c>
      <c r="K29" s="494" t="str">
        <f t="shared" si="6"/>
        <v>over</v>
      </c>
      <c r="L29" s="44"/>
      <c r="M29" s="44"/>
      <c r="N29" s="44"/>
      <c r="O29" s="44"/>
      <c r="P29" s="44"/>
      <c r="Q29" s="44"/>
      <c r="R29" s="44"/>
      <c r="S29" s="44"/>
      <c r="T29" s="44"/>
      <c r="U29" s="44"/>
      <c r="V29" s="44"/>
      <c r="W29" s="44"/>
      <c r="X29" s="44"/>
      <c r="Y29" s="44"/>
      <c r="Z29" s="44"/>
      <c r="AA29" s="44"/>
      <c r="AB29" s="44"/>
      <c r="AC29">
        <v>27.63</v>
      </c>
      <c r="AD29">
        <f t="shared" si="0"/>
        <v>95.771973466003317</v>
      </c>
      <c r="AE29">
        <v>423.06</v>
      </c>
      <c r="AF29">
        <v>439.72</v>
      </c>
      <c r="AG29">
        <v>266.25</v>
      </c>
      <c r="AH29">
        <v>251.49</v>
      </c>
      <c r="AI29">
        <v>865.52</v>
      </c>
      <c r="AJ29">
        <f t="shared" si="1"/>
        <v>10.96999999999997</v>
      </c>
      <c r="AK29">
        <f t="shared" si="7"/>
        <v>14.759999999999991</v>
      </c>
    </row>
    <row r="30" spans="2:37">
      <c r="B30">
        <v>27</v>
      </c>
      <c r="C30" t="s">
        <v>1170</v>
      </c>
      <c r="D30">
        <v>89.05</v>
      </c>
      <c r="E30">
        <v>1469.19</v>
      </c>
      <c r="F30">
        <v>97.56</v>
      </c>
      <c r="G30" s="44">
        <f t="shared" si="2"/>
        <v>3.7458460784513914</v>
      </c>
      <c r="H30" s="44">
        <f t="shared" si="3"/>
        <v>8.8483245870173359</v>
      </c>
      <c r="I30" s="44">
        <f t="shared" si="4"/>
        <v>0.16733792089518734</v>
      </c>
      <c r="J30" s="380">
        <f t="shared" si="5"/>
        <v>48.679903492536972</v>
      </c>
      <c r="K30" s="494" t="str">
        <f t="shared" si="6"/>
        <v>over</v>
      </c>
      <c r="L30" s="44"/>
      <c r="M30" s="44"/>
      <c r="N30" s="44"/>
      <c r="O30" s="44"/>
      <c r="P30" s="44"/>
      <c r="Q30" s="44"/>
      <c r="R30" s="44"/>
      <c r="S30" s="44"/>
      <c r="T30" s="44"/>
      <c r="U30" s="44"/>
      <c r="V30" s="44"/>
      <c r="W30" s="44"/>
      <c r="X30" s="44"/>
      <c r="Y30" s="44"/>
      <c r="Z30" s="44"/>
      <c r="AA30" s="44"/>
      <c r="AB30" s="44"/>
      <c r="AC30">
        <v>56.41</v>
      </c>
      <c r="AD30">
        <f t="shared" si="0"/>
        <v>15.059348093480935</v>
      </c>
      <c r="AE30">
        <v>815.02</v>
      </c>
      <c r="AF30">
        <v>738.18</v>
      </c>
      <c r="AG30">
        <v>42.8</v>
      </c>
      <c r="AH30">
        <v>45.32</v>
      </c>
      <c r="AI30">
        <v>820.79</v>
      </c>
      <c r="AJ30">
        <f t="shared" si="1"/>
        <v>133.25</v>
      </c>
      <c r="AK30">
        <f t="shared" si="7"/>
        <v>2.5200000000000031</v>
      </c>
    </row>
    <row r="31" spans="2:37">
      <c r="B31">
        <v>28</v>
      </c>
      <c r="C31" t="s">
        <v>1171</v>
      </c>
      <c r="D31">
        <v>175.01</v>
      </c>
      <c r="E31">
        <v>937.64</v>
      </c>
      <c r="F31">
        <v>39.1</v>
      </c>
      <c r="G31" s="44">
        <f t="shared" si="2"/>
        <v>2.0062081395844888</v>
      </c>
      <c r="H31" s="44">
        <f t="shared" si="3"/>
        <v>0.53042958918135008</v>
      </c>
      <c r="I31" s="44">
        <f t="shared" si="4"/>
        <v>1.0887984727614011</v>
      </c>
      <c r="J31" s="380">
        <f t="shared" si="5"/>
        <v>41.675353949972823</v>
      </c>
      <c r="K31" s="494" t="str">
        <f t="shared" si="6"/>
        <v>under</v>
      </c>
      <c r="L31" s="44"/>
      <c r="M31" s="44"/>
      <c r="N31" s="44"/>
      <c r="O31" s="44"/>
      <c r="P31" s="44"/>
      <c r="Q31" s="44"/>
      <c r="R31" s="44"/>
      <c r="S31" s="44"/>
      <c r="T31" s="44"/>
      <c r="U31" s="44"/>
      <c r="V31" s="44"/>
      <c r="W31" s="44"/>
      <c r="X31" s="44"/>
      <c r="Y31" s="44"/>
      <c r="Z31" s="44"/>
      <c r="AA31" s="44"/>
      <c r="AB31" s="44"/>
      <c r="AC31">
        <v>48.11</v>
      </c>
      <c r="AD31">
        <f t="shared" si="0"/>
        <v>23.980562659846544</v>
      </c>
      <c r="AE31">
        <v>846.82</v>
      </c>
      <c r="AF31">
        <v>882.21</v>
      </c>
      <c r="AG31">
        <v>-43.94</v>
      </c>
      <c r="AH31">
        <v>-17.829999999999998</v>
      </c>
      <c r="AI31">
        <v>514.09</v>
      </c>
      <c r="AJ31">
        <f t="shared" si="1"/>
        <v>12.720000000000027</v>
      </c>
      <c r="AK31">
        <f t="shared" si="7"/>
        <v>26.11</v>
      </c>
    </row>
    <row r="32" spans="2:37">
      <c r="B32">
        <v>29</v>
      </c>
      <c r="C32" t="s">
        <v>1172</v>
      </c>
      <c r="D32">
        <v>220.6</v>
      </c>
      <c r="E32">
        <v>564.85</v>
      </c>
      <c r="F32">
        <v>14.11</v>
      </c>
      <c r="G32" s="44">
        <f t="shared" si="2"/>
        <v>0.2992613968310171</v>
      </c>
      <c r="H32" s="44">
        <f t="shared" si="3"/>
        <v>5.5955386385765651E-2</v>
      </c>
      <c r="I32" s="44">
        <f t="shared" si="4"/>
        <v>2.9476498185358937E-2</v>
      </c>
      <c r="J32" s="380">
        <f t="shared" si="5"/>
        <v>3.8766014357513674</v>
      </c>
      <c r="K32" s="494" t="str">
        <f t="shared" si="6"/>
        <v>over</v>
      </c>
      <c r="L32" s="44"/>
      <c r="M32" s="44"/>
      <c r="N32" s="44"/>
      <c r="O32" s="44"/>
      <c r="P32" s="44"/>
      <c r="Q32" s="44"/>
      <c r="R32" s="44"/>
      <c r="S32" s="44"/>
      <c r="T32" s="44"/>
      <c r="U32" s="44"/>
      <c r="V32" s="44"/>
      <c r="W32" s="44"/>
      <c r="X32" s="44"/>
      <c r="Y32" s="44"/>
      <c r="Z32" s="44"/>
      <c r="AA32" s="44"/>
      <c r="AB32" s="44"/>
      <c r="AC32">
        <v>11.98</v>
      </c>
      <c r="AD32">
        <f t="shared" si="0"/>
        <v>40.031892274982283</v>
      </c>
      <c r="AE32">
        <v>194.22</v>
      </c>
      <c r="AF32">
        <v>203.96</v>
      </c>
      <c r="AG32">
        <v>42.12</v>
      </c>
      <c r="AH32">
        <v>43.3</v>
      </c>
      <c r="AI32">
        <v>386.33</v>
      </c>
      <c r="AJ32">
        <f t="shared" si="1"/>
        <v>2.2399999999999807</v>
      </c>
      <c r="AK32">
        <f t="shared" si="7"/>
        <v>1.1799999999999997</v>
      </c>
    </row>
    <row r="33" spans="2:37">
      <c r="B33">
        <v>30</v>
      </c>
      <c r="C33" t="s">
        <v>1173</v>
      </c>
      <c r="D33">
        <v>214.44</v>
      </c>
      <c r="E33">
        <v>144.72</v>
      </c>
      <c r="F33">
        <v>21.86</v>
      </c>
      <c r="G33" s="44">
        <f t="shared" si="2"/>
        <v>0.36101022664455501</v>
      </c>
      <c r="H33" s="44">
        <f t="shared" si="3"/>
        <v>0.55586511885019341</v>
      </c>
      <c r="I33" s="44">
        <f t="shared" si="4"/>
        <v>1.1645978441127707</v>
      </c>
      <c r="J33" s="380">
        <f t="shared" si="5"/>
        <v>24.682363963994764</v>
      </c>
      <c r="K33" s="494" t="str">
        <f t="shared" si="6"/>
        <v>under</v>
      </c>
      <c r="L33" s="44"/>
      <c r="M33" s="44"/>
      <c r="N33" s="44"/>
      <c r="O33" s="44"/>
      <c r="P33" s="44"/>
      <c r="Q33" s="44"/>
      <c r="R33" s="44"/>
      <c r="S33" s="44"/>
      <c r="T33" s="44"/>
      <c r="U33" s="44"/>
      <c r="V33" s="44"/>
      <c r="W33" s="44"/>
      <c r="X33" s="44"/>
      <c r="Y33" s="44"/>
      <c r="Z33" s="44"/>
      <c r="AA33" s="44"/>
      <c r="AB33" s="44"/>
      <c r="AC33">
        <v>2.39</v>
      </c>
      <c r="AD33">
        <f t="shared" si="0"/>
        <v>6.6203110704483077</v>
      </c>
      <c r="AE33">
        <v>47.42</v>
      </c>
      <c r="AF33">
        <v>46.13</v>
      </c>
      <c r="AG33">
        <v>198.25</v>
      </c>
      <c r="AH33">
        <v>205.96</v>
      </c>
      <c r="AI33">
        <v>166.62</v>
      </c>
      <c r="AJ33">
        <f t="shared" si="1"/>
        <v>3.6799999999999997</v>
      </c>
      <c r="AK33">
        <f t="shared" si="7"/>
        <v>7.710000000000008</v>
      </c>
    </row>
    <row r="34" spans="2:37">
      <c r="B34">
        <v>31</v>
      </c>
      <c r="C34" t="s">
        <v>1174</v>
      </c>
      <c r="D34">
        <v>60.11</v>
      </c>
      <c r="E34">
        <v>178.66</v>
      </c>
      <c r="F34">
        <v>6.53</v>
      </c>
      <c r="G34" s="44">
        <f t="shared" si="2"/>
        <v>0.27339303705362145</v>
      </c>
      <c r="H34" s="44">
        <f t="shared" si="3"/>
        <v>9.7222657561848169E-2</v>
      </c>
      <c r="I34" s="44">
        <f t="shared" si="4"/>
        <v>0.35599574610992957</v>
      </c>
      <c r="J34" s="380">
        <f t="shared" si="5"/>
        <v>9.3287944199393245</v>
      </c>
      <c r="K34" s="494" t="str">
        <f t="shared" si="6"/>
        <v>under</v>
      </c>
      <c r="L34" s="44"/>
      <c r="M34" s="44"/>
      <c r="N34" s="44"/>
      <c r="O34" s="44"/>
      <c r="P34" s="44"/>
      <c r="Q34" s="44"/>
      <c r="R34" s="44"/>
      <c r="S34" s="44"/>
      <c r="T34" s="44"/>
      <c r="U34" s="44"/>
      <c r="V34" s="44"/>
      <c r="W34" s="44"/>
      <c r="X34" s="44"/>
      <c r="Y34" s="44"/>
      <c r="Z34" s="44"/>
      <c r="AA34" s="44"/>
      <c r="AB34" s="44"/>
      <c r="AC34">
        <v>7.48</v>
      </c>
      <c r="AD34">
        <f t="shared" si="0"/>
        <v>27.359877488514545</v>
      </c>
      <c r="AE34">
        <v>135.13999999999999</v>
      </c>
      <c r="AF34">
        <v>139.96</v>
      </c>
      <c r="AG34">
        <v>45.63</v>
      </c>
      <c r="AH34">
        <v>35.89</v>
      </c>
      <c r="AI34">
        <v>133.19999999999999</v>
      </c>
      <c r="AJ34">
        <f t="shared" si="1"/>
        <v>2.6599999999999682</v>
      </c>
      <c r="AK34">
        <f t="shared" si="7"/>
        <v>9.740000000000002</v>
      </c>
    </row>
    <row r="35" spans="2:37">
      <c r="B35">
        <v>32</v>
      </c>
      <c r="C35" t="s">
        <v>1175</v>
      </c>
      <c r="D35">
        <v>153.85</v>
      </c>
      <c r="E35">
        <v>472.62</v>
      </c>
      <c r="F35">
        <v>-24.99</v>
      </c>
      <c r="G35" s="44">
        <f t="shared" si="2"/>
        <v>-0.85711120985146627</v>
      </c>
      <c r="H35" s="44">
        <f t="shared" si="3"/>
        <v>-2.1155471626253646</v>
      </c>
      <c r="I35" s="44">
        <f t="shared" si="4"/>
        <v>-0.15862638060175194</v>
      </c>
      <c r="J35" s="380">
        <f t="shared" si="5"/>
        <v>-13.288648812314152</v>
      </c>
      <c r="K35" s="494" t="str">
        <f t="shared" si="6"/>
        <v>under</v>
      </c>
      <c r="L35" s="44"/>
      <c r="M35" s="44"/>
      <c r="N35" s="44"/>
      <c r="O35" s="44"/>
      <c r="P35" s="44"/>
      <c r="Q35" s="44"/>
      <c r="R35" s="44"/>
      <c r="S35" s="44"/>
      <c r="T35" s="44"/>
      <c r="U35" s="44"/>
      <c r="V35" s="44"/>
      <c r="W35" s="44"/>
      <c r="X35" s="44"/>
      <c r="Y35" s="44"/>
      <c r="Z35" s="44"/>
      <c r="AA35" s="44"/>
      <c r="AB35" s="44"/>
      <c r="AC35">
        <v>16.21</v>
      </c>
      <c r="AD35">
        <f t="shared" si="0"/>
        <v>-18.912364945978393</v>
      </c>
      <c r="AE35">
        <v>117.45</v>
      </c>
      <c r="AF35">
        <v>93.65</v>
      </c>
      <c r="AG35">
        <v>2.76</v>
      </c>
      <c r="AH35">
        <v>-0.24</v>
      </c>
      <c r="AI35">
        <v>123.41</v>
      </c>
      <c r="AJ35">
        <f t="shared" si="1"/>
        <v>40.009999999999991</v>
      </c>
      <c r="AK35">
        <f t="shared" si="7"/>
        <v>3</v>
      </c>
    </row>
    <row r="36" spans="2:37">
      <c r="B36">
        <v>33</v>
      </c>
      <c r="C36" t="s">
        <v>1176</v>
      </c>
      <c r="D36">
        <v>106.35</v>
      </c>
      <c r="E36">
        <v>144.38</v>
      </c>
      <c r="F36">
        <v>-20.96</v>
      </c>
      <c r="G36" s="44">
        <f t="shared" si="2"/>
        <v>-1.7464247125640671</v>
      </c>
      <c r="H36" s="44">
        <f t="shared" si="3"/>
        <v>-6.7476160132982415</v>
      </c>
      <c r="I36" s="44">
        <f t="shared" si="4"/>
        <v>-2.8758664634990994</v>
      </c>
      <c r="J36" s="380">
        <f t="shared" si="5"/>
        <v>-72.911585371415896</v>
      </c>
      <c r="K36" s="494" t="str">
        <f t="shared" si="6"/>
        <v>over</v>
      </c>
      <c r="L36" s="44"/>
      <c r="M36" s="44"/>
      <c r="N36" s="44"/>
      <c r="O36" s="44"/>
      <c r="P36" s="44"/>
      <c r="Q36" s="44"/>
      <c r="R36" s="44"/>
      <c r="S36" s="44"/>
      <c r="T36" s="44"/>
      <c r="U36" s="44"/>
      <c r="V36" s="44"/>
      <c r="W36" s="44"/>
      <c r="X36" s="44"/>
      <c r="Y36" s="44"/>
      <c r="Z36" s="44"/>
      <c r="AA36" s="44"/>
      <c r="AB36" s="44"/>
      <c r="AC36">
        <v>12.03</v>
      </c>
      <c r="AD36">
        <f t="shared" si="0"/>
        <v>-6.8883587786259541</v>
      </c>
      <c r="AE36">
        <v>114.44</v>
      </c>
      <c r="AF36">
        <v>79.989999999999995</v>
      </c>
      <c r="AG36">
        <v>-7.21</v>
      </c>
      <c r="AH36">
        <v>12.6</v>
      </c>
      <c r="AI36">
        <v>85.29</v>
      </c>
      <c r="AJ36">
        <f t="shared" si="1"/>
        <v>46.480000000000004</v>
      </c>
      <c r="AK36">
        <f t="shared" si="7"/>
        <v>19.809999999999999</v>
      </c>
    </row>
    <row r="37" spans="2:37">
      <c r="B37">
        <v>34</v>
      </c>
      <c r="C37" t="s">
        <v>1177</v>
      </c>
      <c r="D37">
        <v>21.85</v>
      </c>
      <c r="E37">
        <v>269.68</v>
      </c>
      <c r="F37">
        <v>-130.28</v>
      </c>
      <c r="G37" s="44">
        <f t="shared" si="2"/>
        <v>-13.75360278849006</v>
      </c>
      <c r="H37" s="44">
        <f t="shared" si="3"/>
        <v>0</v>
      </c>
      <c r="I37" s="44">
        <f t="shared" si="4"/>
        <v>-0.777776624147137</v>
      </c>
      <c r="J37" s="380">
        <f t="shared" si="5"/>
        <v>-166.88859956683763</v>
      </c>
      <c r="K37" s="494" t="str">
        <f t="shared" si="6"/>
        <v>over</v>
      </c>
      <c r="L37" s="44"/>
      <c r="M37" s="44"/>
      <c r="N37" s="44"/>
      <c r="O37" s="44"/>
      <c r="P37" s="44"/>
      <c r="Q37" s="44"/>
      <c r="R37" s="44"/>
      <c r="S37" s="44"/>
      <c r="T37" s="44"/>
      <c r="U37" s="44"/>
      <c r="V37" s="44"/>
      <c r="W37" s="44"/>
      <c r="X37" s="44"/>
      <c r="Y37" s="44"/>
      <c r="Z37" s="44"/>
      <c r="AA37" s="44"/>
      <c r="AB37" s="44"/>
      <c r="AC37">
        <v>28.47</v>
      </c>
      <c r="AD37">
        <f t="shared" si="0"/>
        <v>-2.0700030703101016</v>
      </c>
      <c r="AE37">
        <v>231.51</v>
      </c>
      <c r="AF37">
        <v>259.98</v>
      </c>
      <c r="AG37">
        <v>8.91</v>
      </c>
      <c r="AH37">
        <v>10.52</v>
      </c>
      <c r="AI37">
        <v>71.25</v>
      </c>
      <c r="AJ37">
        <f t="shared" si="1"/>
        <v>0</v>
      </c>
      <c r="AK37">
        <f t="shared" si="7"/>
        <v>1.6099999999999994</v>
      </c>
    </row>
    <row r="38" spans="2:37">
      <c r="B38">
        <v>35</v>
      </c>
      <c r="C38" t="s">
        <v>1178</v>
      </c>
      <c r="D38">
        <v>6.44</v>
      </c>
      <c r="E38">
        <v>469.94</v>
      </c>
      <c r="F38">
        <v>-19.21</v>
      </c>
      <c r="G38" s="44">
        <f t="shared" si="2"/>
        <v>-0.30126760863088908</v>
      </c>
      <c r="H38" s="44">
        <f t="shared" si="3"/>
        <v>7.9727590756266773</v>
      </c>
      <c r="I38" s="44">
        <f t="shared" si="4"/>
        <v>-7.2353279142018195E-2</v>
      </c>
      <c r="J38" s="380">
        <f t="shared" si="5"/>
        <v>-1.0146332531764193</v>
      </c>
      <c r="K38" s="494" t="str">
        <f t="shared" si="6"/>
        <v>under</v>
      </c>
      <c r="L38" s="44"/>
      <c r="M38" s="44"/>
      <c r="N38" s="44"/>
      <c r="O38" s="44"/>
      <c r="P38" s="44"/>
      <c r="Q38" s="44"/>
      <c r="R38" s="44"/>
      <c r="S38" s="44"/>
      <c r="T38" s="44"/>
      <c r="U38" s="44"/>
      <c r="V38" s="44"/>
      <c r="W38" s="44"/>
      <c r="X38" s="44"/>
      <c r="Y38" s="44"/>
      <c r="Z38" s="44"/>
      <c r="AA38" s="44"/>
      <c r="AB38" s="44"/>
      <c r="AC38">
        <v>7.37</v>
      </c>
      <c r="AD38">
        <f t="shared" si="0"/>
        <v>-24.463300364393543</v>
      </c>
      <c r="AE38">
        <v>0.2</v>
      </c>
      <c r="AF38">
        <v>202.61</v>
      </c>
      <c r="AG38">
        <v>-11.36</v>
      </c>
      <c r="AH38">
        <v>-13.13</v>
      </c>
      <c r="AI38">
        <v>55.46</v>
      </c>
      <c r="AJ38">
        <f t="shared" si="1"/>
        <v>-195.04000000000002</v>
      </c>
      <c r="AK38">
        <f t="shared" si="7"/>
        <v>1.7700000000000014</v>
      </c>
    </row>
    <row r="39" spans="2:37">
      <c r="B39">
        <v>36</v>
      </c>
      <c r="C39" t="s">
        <v>1179</v>
      </c>
      <c r="D39">
        <v>76.3</v>
      </c>
      <c r="E39">
        <v>61.5</v>
      </c>
      <c r="F39">
        <v>-3.98</v>
      </c>
      <c r="G39" s="44">
        <f t="shared" si="2"/>
        <v>-0.12166504065040649</v>
      </c>
      <c r="H39" s="44">
        <f t="shared" si="3"/>
        <v>-2.13560975609755E-2</v>
      </c>
      <c r="I39" s="44">
        <f t="shared" si="4"/>
        <v>-0.26921626016260175</v>
      </c>
      <c r="J39" s="380">
        <f t="shared" si="5"/>
        <v>-6.0830222756599444</v>
      </c>
      <c r="K39" s="494" t="str">
        <f t="shared" si="6"/>
        <v>over</v>
      </c>
      <c r="L39" s="44"/>
      <c r="M39" s="44"/>
      <c r="N39" s="44"/>
      <c r="O39" s="44"/>
      <c r="P39" s="44"/>
      <c r="Q39" s="44"/>
      <c r="R39" s="44"/>
      <c r="S39" s="44"/>
      <c r="T39" s="44"/>
      <c r="U39" s="44"/>
      <c r="V39" s="44"/>
      <c r="W39" s="44"/>
      <c r="X39" s="44"/>
      <c r="Y39" s="44"/>
      <c r="Z39" s="44"/>
      <c r="AA39" s="44"/>
      <c r="AB39" s="44"/>
      <c r="AC39">
        <v>1.88</v>
      </c>
      <c r="AD39">
        <f t="shared" si="0"/>
        <v>-15.452261306532664</v>
      </c>
      <c r="AE39">
        <v>12</v>
      </c>
      <c r="AF39">
        <v>13.55</v>
      </c>
      <c r="AG39">
        <v>13.26</v>
      </c>
      <c r="AH39">
        <v>17.420000000000002</v>
      </c>
      <c r="AI39">
        <v>50.89</v>
      </c>
      <c r="AJ39">
        <f t="shared" si="1"/>
        <v>0.32999999999999829</v>
      </c>
      <c r="AK39">
        <f t="shared" si="7"/>
        <v>4.1600000000000019</v>
      </c>
    </row>
  </sheetData>
  <hyperlinks>
    <hyperlink ref="C4" r:id="rId1" display="https://www.screener.in/company/ULTRACEMCO/consolidated/" xr:uid="{AFA3D8FE-10D5-428D-9545-707F8D87F8E8}"/>
    <hyperlink ref="C5" r:id="rId2" display="https://www.screener.in/company/AMBUJACEM/consolidated/" xr:uid="{A0825FFA-668D-4032-89ED-FF3162219C02}"/>
    <hyperlink ref="C6" r:id="rId3" display="https://www.screener.in/company/SHREECEM/consolidated/" xr:uid="{AF2E3150-FE86-4F15-A273-70E3110089A5}"/>
    <hyperlink ref="C7" r:id="rId4" display="https://www.screener.in/company/ACC/consolidated/" xr:uid="{E74F3361-4A2B-474E-9309-F0FDF54B1C0A}"/>
    <hyperlink ref="C8" r:id="rId5" display="https://www.screener.in/company/DALBHARAT/consolidated/" xr:uid="{DA7FAF90-63EF-4AF2-9536-2AA074EAA761}"/>
    <hyperlink ref="C9" r:id="rId6" display="https://www.screener.in/company/JKCEMENT/consolidated/" xr:uid="{E718C6E6-FF11-45EC-BE08-B6BA91DB3BC7}"/>
    <hyperlink ref="C10" r:id="rId7" display="https://www.screener.in/company/RAMCOCEM/consolidated/" xr:uid="{F95CB69E-1872-4348-A733-51EB4265FFF5}"/>
    <hyperlink ref="C11" r:id="rId8" display="https://www.screener.in/company/NUVOCO/consolidated/" xr:uid="{AF2F5746-1067-4040-AC92-3542F3D5A1A7}"/>
    <hyperlink ref="C12" r:id="rId9" display="https://www.screener.in/company/INDIACEM/consolidated/" xr:uid="{E93117A0-2D84-4EF5-8297-BDF36878DBC6}"/>
    <hyperlink ref="C13" r:id="rId10" display="https://www.screener.in/company/BIRLACORPN/consolidated/" xr:uid="{0E01283B-C485-4331-8C24-3D28E5CB4B38}"/>
    <hyperlink ref="C14" r:id="rId11" display="https://www.screener.in/company/PRSMJOHNSN/consolidated/" xr:uid="{D622C98B-893A-4D18-B27A-8C4548BB800A}"/>
    <hyperlink ref="C15" r:id="rId12" display="https://www.screener.in/company/JKLAKSHMI/consolidated/" xr:uid="{0B5E1BB4-C8AB-4AC5-B23D-738DE2C1BF7B}"/>
    <hyperlink ref="C16" r:id="rId13" display="https://www.screener.in/company/STARCEMENT/consolidated/" xr:uid="{D3609F56-182B-4D9F-AF4C-A2AAAD60931E}"/>
    <hyperlink ref="C17" r:id="rId14" display="https://www.screener.in/company/KESORAMIND/consolidated/" xr:uid="{FA3A990E-1A3C-43E5-8C88-D70E04694100}"/>
    <hyperlink ref="C18" r:id="rId15" display="https://www.screener.in/company/ORIENTCEM/" xr:uid="{AB9CA986-6D24-4758-8B72-8557981F87E6}"/>
    <hyperlink ref="C19" r:id="rId16" display="https://www.screener.in/company/HEIDELBERG/" xr:uid="{05991D1C-7252-4F4A-A80D-6077E86BF1A0}"/>
    <hyperlink ref="C20" r:id="rId17" display="https://www.screener.in/company/KCP/consolidated/" xr:uid="{87BDEFC2-0102-4201-B6CB-DB9E8A4509A2}"/>
    <hyperlink ref="C21" r:id="rId18" display="https://www.screener.in/company/SAGCEM/consolidated/" xr:uid="{8EB2FCB2-F445-4D52-A9BD-D4B837B1D79B}"/>
    <hyperlink ref="C22" r:id="rId19" display="https://www.screener.in/company/MANGLMCEM/" xr:uid="{6D3068CC-DA8B-4C87-B251-A18AE136C36F}"/>
    <hyperlink ref="C23" r:id="rId20" display="https://www.screener.in/company/SANGHIIND/" xr:uid="{9473E31C-2A57-43A8-9B02-BA2662B7DB7F}"/>
    <hyperlink ref="C24" r:id="rId21" display="https://www.screener.in/company/UDAICEMENT/" xr:uid="{B644BD72-4CFE-4357-BCE7-BD276205C395}"/>
    <hyperlink ref="C25" r:id="rId22" display="https://www.screener.in/company/SHREDIGCEM/" xr:uid="{41323BD3-D4A8-4CFB-ABEA-264B9A813119}"/>
    <hyperlink ref="C26" r:id="rId23" display="https://www.screener.in/company/532323/" xr:uid="{383AA7AF-CCFC-4CDD-8214-C4EE5A4AF59F}"/>
    <hyperlink ref="C27" r:id="rId24" display="https://www.screener.in/company/SAURASHCEM/consolidated/" xr:uid="{0F1B3AB7-8D5D-49F1-984B-6895E39491B6}"/>
    <hyperlink ref="C28" r:id="rId25" display="https://www.screener.in/company/NCLIND/" xr:uid="{653F919B-BA06-40A4-97DC-EFAFBF4D2AA1}"/>
    <hyperlink ref="C29" r:id="rId26" display="https://www.screener.in/company/DECCANCE/" xr:uid="{A99896C1-608E-41DD-A084-CCB3443E8F3A}"/>
    <hyperlink ref="C30" r:id="rId27" display="https://www.screener.in/company/ACL/" xr:uid="{D9F5D774-D199-43FD-A8CA-34656C986652}"/>
    <hyperlink ref="C31" r:id="rId28" display="https://www.screener.in/company/APCL/consolidated/" xr:uid="{6EE347F8-724C-4D5E-AF0A-8382B203B5FF}"/>
    <hyperlink ref="C32" r:id="rId29" display="https://www.screener.in/company/530977/" xr:uid="{DAD54374-C6C5-46A5-B17E-B9BE85879661}"/>
    <hyperlink ref="C33" r:id="rId30" display="https://www.screener.in/company/KAKATCEM/" xr:uid="{718C7608-D78E-4AF3-8C66-B2060B136EDC}"/>
    <hyperlink ref="C34" r:id="rId31" display="https://www.screener.in/company/BVCL/consolidated/" xr:uid="{14E32367-7EB0-4EF8-A5A2-7E85EDC9D43F}"/>
    <hyperlink ref="C35" r:id="rId32" display="https://www.screener.in/company/500322/" xr:uid="{A6456F09-FB69-4023-B151-058809DF0849}"/>
    <hyperlink ref="C36" r:id="rId33" display="https://www.screener.in/company/518011/" xr:uid="{4C3093EC-010B-40DC-9BCA-B86CAF1A50E9}"/>
    <hyperlink ref="C37" r:id="rId34" display="https://www.screener.in/company/518017/" xr:uid="{295E5553-387B-42FE-AD70-B60727533104}"/>
    <hyperlink ref="C38" r:id="rId35" display="https://www.screener.in/company/BURNPUR/" xr:uid="{51E9E137-7EF1-4D4E-A74D-30A4C3A3236B}"/>
    <hyperlink ref="C39" r:id="rId36" display="https://www.screener.in/company/502133/" xr:uid="{F0288A36-6988-480C-AD53-1AD260EC00EF}"/>
    <hyperlink ref="B3" r:id="rId37" display="https://www.screener.in/company/compare/00000011/?order=asc" xr:uid="{8853FB8B-8C9E-4C81-97EA-A92E4AD94F61}"/>
    <hyperlink ref="C3" r:id="rId38" display="https://www.screener.in/company/compare/00000011/?sort=name&amp;order=desc" xr:uid="{674B7462-46C2-4E15-BD74-25095768168A}"/>
    <hyperlink ref="D3" r:id="rId39" display="https://www.screener.in/company/compare/00000011/?sort=current+price&amp;order=desc" xr:uid="{BB490A09-C71B-4652-8E6B-7DA7CB50D5BD}"/>
    <hyperlink ref="AC3" r:id="rId40" display="https://www.screener.in/company/compare/00000011/?sort=depreciation+last+year&amp;order=desc" xr:uid="{E9DA377E-E499-42DC-AF28-B53F8D9C7252}"/>
    <hyperlink ref="F3" r:id="rId41" display="https://www.screener.in/company/compare/00000011/?sort=evebitda&amp;order=desc" xr:uid="{59505BBF-EDEF-4326-B5C0-9F2CC1CA0FF6}"/>
    <hyperlink ref="E3" r:id="rId42" display="https://www.screener.in/company/compare/00000011/?sort=enterprise+value&amp;order=desc" xr:uid="{4400622F-BBC9-4606-8728-FC314E8279FF}"/>
    <hyperlink ref="AE3" r:id="rId43" display="https://www.screener.in/company/compare/00000011/?sort=net+block&amp;order=desc" xr:uid="{B998FF23-D63A-4565-BE3C-4C08A7BB356D}"/>
    <hyperlink ref="AF3" r:id="rId44" display="https://www.screener.in/company/compare/00000011/?sort=net+block+preceding+year&amp;order=desc" xr:uid="{D5646728-56E7-4A59-979C-B16694B0ED1F}"/>
    <hyperlink ref="AG3" r:id="rId45" display="https://www.screener.in/company/compare/00000011/?sort=working+capital&amp;order=desc" xr:uid="{43A5AA6E-0A4D-4EAB-ACBC-170055CD44DD}"/>
    <hyperlink ref="AH3" r:id="rId46" display="https://www.screener.in/company/compare/00000011/?sort=working+capital+preceding+year&amp;order=desc" xr:uid="{26458C9B-B0B2-4E1D-9EE1-F09730528B4F}"/>
    <hyperlink ref="AI3" r:id="rId47" display="https://www.screener.in/company/compare/00000011/?sort=market+capitalization&amp;order=desc" xr:uid="{2E5FC598-B5DC-480D-8978-6D08DA268D5F}"/>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DAD4-C3CA-4E5C-B3EB-742DE62876A4}">
  <sheetPr codeName="Sheet21"/>
  <dimension ref="B3:AK32"/>
  <sheetViews>
    <sheetView showGridLines="0" zoomScale="90" workbookViewId="0">
      <pane xSplit="2" topLeftCell="R1" activePane="topRight" state="frozen"/>
      <selection pane="topRight" activeCell="AI9" sqref="AI9"/>
    </sheetView>
  </sheetViews>
  <sheetFormatPr defaultRowHeight="15" outlineLevelCol="2"/>
  <cols>
    <col min="1" max="1" width="1.85546875" customWidth="1"/>
    <col min="2" max="2" width="29" customWidth="1"/>
    <col min="3" max="8" width="12.7109375" customWidth="1"/>
    <col min="9" max="9" width="0.85546875" customWidth="1"/>
    <col min="10" max="12" width="15.7109375" customWidth="1"/>
    <col min="13" max="15" width="15.7109375" hidden="1" customWidth="1" outlineLevel="1"/>
    <col min="16" max="16" width="15.7109375" customWidth="1" collapsed="1"/>
    <col min="17" max="18" width="15.7109375" customWidth="1"/>
    <col min="19" max="21" width="15.7109375" hidden="1" customWidth="1" outlineLevel="1"/>
    <col min="22" max="22" width="15.7109375" customWidth="1" collapsed="1"/>
    <col min="23" max="24" width="15.7109375" customWidth="1"/>
    <col min="25" max="27" width="21.28515625" hidden="1" customWidth="1" outlineLevel="2"/>
    <col min="28" max="28" width="1.42578125" customWidth="1" collapsed="1"/>
    <col min="29" max="37" width="18.7109375" customWidth="1"/>
  </cols>
  <sheetData>
    <row r="3" spans="2:37">
      <c r="B3" s="440" t="s">
        <v>1108</v>
      </c>
    </row>
    <row r="4" spans="2:37">
      <c r="B4" s="415"/>
      <c r="C4" s="562" t="s">
        <v>1109</v>
      </c>
      <c r="D4" s="562"/>
      <c r="E4" s="562"/>
      <c r="F4" s="562"/>
      <c r="G4" s="562"/>
      <c r="H4" s="562"/>
      <c r="J4" s="562" t="s">
        <v>1285</v>
      </c>
      <c r="K4" s="562"/>
      <c r="L4" s="562"/>
      <c r="M4" s="562"/>
      <c r="N4" s="562"/>
      <c r="O4" s="562"/>
      <c r="P4" s="562"/>
      <c r="Q4" s="562"/>
      <c r="R4" s="562"/>
      <c r="S4" s="562"/>
      <c r="T4" s="562"/>
      <c r="U4" s="562"/>
      <c r="V4" s="562"/>
      <c r="W4" s="562"/>
      <c r="X4" s="562"/>
      <c r="Y4" s="414"/>
      <c r="Z4" s="414"/>
      <c r="AA4" s="414"/>
      <c r="AC4" s="563" t="s">
        <v>1117</v>
      </c>
      <c r="AD4" s="563"/>
      <c r="AE4" s="563"/>
      <c r="AF4" s="563"/>
      <c r="AG4" s="563"/>
      <c r="AH4" s="563"/>
      <c r="AI4" s="563"/>
      <c r="AJ4" s="563"/>
      <c r="AK4" s="563"/>
    </row>
    <row r="5" spans="2:37">
      <c r="B5" s="415"/>
      <c r="C5" s="415"/>
      <c r="D5" s="415"/>
      <c r="E5" s="415"/>
      <c r="F5" s="415"/>
      <c r="G5" s="415"/>
      <c r="H5" s="415"/>
      <c r="J5" s="438">
        <v>2024</v>
      </c>
      <c r="K5" s="439">
        <f>J5+1</f>
        <v>2025</v>
      </c>
      <c r="L5" s="439">
        <f>K5+1</f>
        <v>2026</v>
      </c>
      <c r="M5" s="439">
        <f>J5</f>
        <v>2024</v>
      </c>
      <c r="N5" s="439">
        <f>M5+1</f>
        <v>2025</v>
      </c>
      <c r="O5" s="439">
        <f>N5+1</f>
        <v>2026</v>
      </c>
      <c r="P5" s="438">
        <f>J5</f>
        <v>2024</v>
      </c>
      <c r="Q5" s="439">
        <f>P5+1</f>
        <v>2025</v>
      </c>
      <c r="R5" s="439">
        <f>Q5+1</f>
        <v>2026</v>
      </c>
      <c r="S5" s="445">
        <f>P5</f>
        <v>2024</v>
      </c>
      <c r="T5" s="439">
        <f>S5+1</f>
        <v>2025</v>
      </c>
      <c r="U5" s="439">
        <f>T5+1</f>
        <v>2026</v>
      </c>
      <c r="V5" s="438">
        <f>P5</f>
        <v>2024</v>
      </c>
      <c r="W5" s="439">
        <f>V5+1</f>
        <v>2025</v>
      </c>
      <c r="X5" s="439">
        <f>W5+1</f>
        <v>2026</v>
      </c>
      <c r="Y5" s="445">
        <f>V5</f>
        <v>2024</v>
      </c>
      <c r="Z5" s="439">
        <f>Y5+1</f>
        <v>2025</v>
      </c>
      <c r="AA5" s="439">
        <f>Z5+1</f>
        <v>2026</v>
      </c>
      <c r="AC5" s="445">
        <f>V5</f>
        <v>2024</v>
      </c>
      <c r="AD5" s="439">
        <f>AC5+1</f>
        <v>2025</v>
      </c>
      <c r="AE5" s="439">
        <f>AD5+1</f>
        <v>2026</v>
      </c>
      <c r="AF5" s="445">
        <f>AC5</f>
        <v>2024</v>
      </c>
      <c r="AG5" s="439">
        <f>AF5+1</f>
        <v>2025</v>
      </c>
      <c r="AH5" s="439">
        <f>AG5+1</f>
        <v>2026</v>
      </c>
      <c r="AI5" s="446">
        <f>AC5</f>
        <v>2024</v>
      </c>
      <c r="AJ5" s="439">
        <f>AI5+1</f>
        <v>2025</v>
      </c>
      <c r="AK5" s="439">
        <f>AJ5+1</f>
        <v>2026</v>
      </c>
    </row>
    <row r="6" spans="2:37">
      <c r="B6" s="415" t="s">
        <v>1102</v>
      </c>
      <c r="C6" s="416" t="s">
        <v>1103</v>
      </c>
      <c r="D6" s="437" t="s">
        <v>1104</v>
      </c>
      <c r="E6" s="437" t="s">
        <v>1105</v>
      </c>
      <c r="F6" s="437" t="s">
        <v>1106</v>
      </c>
      <c r="G6" s="416" t="s">
        <v>96</v>
      </c>
      <c r="H6" s="415" t="s">
        <v>167</v>
      </c>
      <c r="J6" s="437" t="s">
        <v>1107</v>
      </c>
      <c r="K6" s="437" t="s">
        <v>1107</v>
      </c>
      <c r="L6" s="437" t="s">
        <v>1107</v>
      </c>
      <c r="M6" s="437" t="s">
        <v>5</v>
      </c>
      <c r="N6" s="437" t="s">
        <v>5</v>
      </c>
      <c r="O6" s="437" t="s">
        <v>5</v>
      </c>
      <c r="P6" s="437" t="s">
        <v>80</v>
      </c>
      <c r="Q6" s="437" t="s">
        <v>80</v>
      </c>
      <c r="R6" s="437" t="s">
        <v>80</v>
      </c>
      <c r="S6" s="437" t="s">
        <v>132</v>
      </c>
      <c r="T6" s="437" t="s">
        <v>132</v>
      </c>
      <c r="U6" s="437" t="s">
        <v>132</v>
      </c>
      <c r="V6" s="437" t="s">
        <v>296</v>
      </c>
      <c r="W6" s="437" t="s">
        <v>296</v>
      </c>
      <c r="X6" s="437" t="s">
        <v>296</v>
      </c>
      <c r="Y6" s="447" t="s">
        <v>1116</v>
      </c>
      <c r="Z6" s="447" t="s">
        <v>1116</v>
      </c>
      <c r="AA6" s="447" t="s">
        <v>1116</v>
      </c>
      <c r="AC6" s="447" t="s">
        <v>1118</v>
      </c>
      <c r="AD6" s="447" t="s">
        <v>1118</v>
      </c>
      <c r="AE6" s="447" t="s">
        <v>1118</v>
      </c>
      <c r="AF6" s="447" t="s">
        <v>1119</v>
      </c>
      <c r="AG6" s="447" t="s">
        <v>1119</v>
      </c>
      <c r="AH6" s="447" t="s">
        <v>1119</v>
      </c>
      <c r="AI6" s="447" t="s">
        <v>1120</v>
      </c>
      <c r="AJ6" s="447" t="s">
        <v>1120</v>
      </c>
      <c r="AK6" s="447" t="s">
        <v>1120</v>
      </c>
    </row>
    <row r="7" spans="2:37" ht="3.6" customHeight="1"/>
    <row r="8" spans="2:37" ht="12.6" customHeight="1">
      <c r="B8" s="443" t="s">
        <v>1121</v>
      </c>
      <c r="C8" s="443" t="s">
        <v>1122</v>
      </c>
      <c r="D8" s="443">
        <v>25142</v>
      </c>
      <c r="E8" s="443">
        <v>90713</v>
      </c>
      <c r="F8" s="443">
        <v>1188</v>
      </c>
      <c r="G8" s="443">
        <v>422</v>
      </c>
      <c r="H8" s="497">
        <f t="shared" ref="H8:H13" si="0">E8+F8-G8</f>
        <v>91479</v>
      </c>
      <c r="I8" s="443"/>
      <c r="J8" s="497">
        <f>'3 Statment Model'!L13</f>
        <v>20520.400000000001</v>
      </c>
      <c r="K8" s="497">
        <f>'3 Statment Model'!M13</f>
        <v>22141.511600000002</v>
      </c>
      <c r="L8" s="497">
        <f>'3 Statment Model'!N13</f>
        <v>25256.822282120003</v>
      </c>
      <c r="M8" s="444">
        <v>0.17699999999999999</v>
      </c>
      <c r="N8" s="528">
        <f t="shared" ref="N8:O11" si="1">K8/J8-1</f>
        <v>7.8999999999999959E-2</v>
      </c>
      <c r="O8" s="528">
        <f t="shared" si="1"/>
        <v>0.14070000000000005</v>
      </c>
      <c r="P8" s="497">
        <f>'3 Statment Model'!L24</f>
        <v>4486.9000000000015</v>
      </c>
      <c r="Q8" s="497">
        <f>'3 Statment Model'!M24</f>
        <v>5309.5344816799989</v>
      </c>
      <c r="R8" s="497">
        <f>'3 Statment Model'!N24</f>
        <v>4757.4381871158221</v>
      </c>
      <c r="S8" s="528">
        <f t="shared" ref="S8:U11" si="2">P8/J8</f>
        <v>0.2186555817625388</v>
      </c>
      <c r="T8" s="528">
        <f t="shared" si="2"/>
        <v>0.23979999999999993</v>
      </c>
      <c r="U8" s="528">
        <f t="shared" si="2"/>
        <v>0.18836249999999971</v>
      </c>
      <c r="V8" s="497">
        <f>'3 Statment Model'!L39</f>
        <v>2091.7000000000016</v>
      </c>
      <c r="W8" s="497">
        <f>'3 Statment Model'!M39</f>
        <v>2669.2839923338925</v>
      </c>
      <c r="X8" s="497">
        <f>'3 Statment Model'!N39</f>
        <v>1873.1836879932157</v>
      </c>
      <c r="Y8" s="528">
        <f t="shared" ref="Y8:AA11" si="3">V8/J8</f>
        <v>0.10193271086333607</v>
      </c>
      <c r="Z8" s="528">
        <f t="shared" si="3"/>
        <v>0.12055563506937314</v>
      </c>
      <c r="AA8" s="528">
        <f t="shared" si="3"/>
        <v>7.4165453874983064E-2</v>
      </c>
      <c r="AB8" s="443"/>
      <c r="AC8" s="448">
        <f t="shared" ref="AC8:AC13" si="4">$H8/J8</f>
        <v>4.457954035983704</v>
      </c>
      <c r="AD8" s="448">
        <f>$H8/K8</f>
        <v>4.1315607377050076</v>
      </c>
      <c r="AE8" s="448">
        <f>$H8/L8</f>
        <v>3.6219520800429628</v>
      </c>
      <c r="AF8" s="448">
        <f t="shared" ref="AF8:AF13" si="5">$H8/P8</f>
        <v>20.388018453720825</v>
      </c>
      <c r="AG8" s="448">
        <f>$H8/Q8</f>
        <v>17.229194068828228</v>
      </c>
      <c r="AH8" s="448">
        <f>$H8/R8</f>
        <v>19.228626080259968</v>
      </c>
      <c r="AI8" s="448">
        <f>$E8/V8</f>
        <v>43.368073815556691</v>
      </c>
      <c r="AJ8" s="448">
        <f>$E8/W8</f>
        <v>33.984019782280626</v>
      </c>
      <c r="AK8" s="448">
        <f>$E8/X8</f>
        <v>48.427178061315971</v>
      </c>
    </row>
    <row r="9" spans="2:37">
      <c r="B9" s="443" t="s">
        <v>1019</v>
      </c>
      <c r="C9" s="443" t="s">
        <v>1115</v>
      </c>
      <c r="D9" s="443">
        <v>11798</v>
      </c>
      <c r="E9" s="443">
        <v>340614</v>
      </c>
      <c r="F9" s="443">
        <v>10298</v>
      </c>
      <c r="G9" s="497">
        <v>1149.5</v>
      </c>
      <c r="H9" s="497">
        <f t="shared" si="0"/>
        <v>349762.5</v>
      </c>
      <c r="I9" s="443"/>
      <c r="J9" s="497">
        <v>70908</v>
      </c>
      <c r="K9" s="497">
        <v>77947</v>
      </c>
      <c r="L9" s="497">
        <v>88479</v>
      </c>
      <c r="M9" s="444">
        <f>Benchmarking!J27</f>
        <v>0.2</v>
      </c>
      <c r="N9" s="528">
        <f t="shared" si="1"/>
        <v>9.9269475940655605E-2</v>
      </c>
      <c r="O9" s="528">
        <f t="shared" si="1"/>
        <v>0.13511745160172928</v>
      </c>
      <c r="P9" s="497">
        <v>10619.9</v>
      </c>
      <c r="Q9" s="497">
        <v>13209.3</v>
      </c>
      <c r="R9" s="497">
        <v>16223.5</v>
      </c>
      <c r="S9" s="528">
        <f t="shared" si="2"/>
        <v>0.14977012466858464</v>
      </c>
      <c r="T9" s="528">
        <f t="shared" si="2"/>
        <v>0.16946514939638471</v>
      </c>
      <c r="U9" s="528">
        <f t="shared" si="2"/>
        <v>0.18335989330801658</v>
      </c>
      <c r="V9" s="443">
        <v>5064</v>
      </c>
      <c r="W9" s="497">
        <v>7267.8</v>
      </c>
      <c r="X9" s="497">
        <v>9296.7000000000007</v>
      </c>
      <c r="Y9" s="528">
        <f t="shared" si="3"/>
        <v>7.1416483330512773E-2</v>
      </c>
      <c r="Z9" s="528">
        <f t="shared" si="3"/>
        <v>9.3240278650878167E-2</v>
      </c>
      <c r="AA9" s="528">
        <f t="shared" si="3"/>
        <v>0.105072390058658</v>
      </c>
      <c r="AB9" s="443"/>
      <c r="AC9" s="448">
        <f t="shared" si="4"/>
        <v>4.9326239634455913</v>
      </c>
      <c r="AD9" s="448">
        <f t="shared" ref="AD9:AE11" si="6">$H9/K9</f>
        <v>4.4871835991122175</v>
      </c>
      <c r="AE9" s="448">
        <f t="shared" si="6"/>
        <v>3.9530566575119521</v>
      </c>
      <c r="AF9" s="448">
        <f t="shared" si="5"/>
        <v>32.934632152845133</v>
      </c>
      <c r="AG9" s="448">
        <f t="shared" ref="AG9:AH11" si="7">$H9/Q9</f>
        <v>26.478503781426724</v>
      </c>
      <c r="AH9" s="448">
        <f t="shared" si="7"/>
        <v>21.559003914075262</v>
      </c>
      <c r="AI9" s="448">
        <f>$E9/V9</f>
        <v>67.261848341232223</v>
      </c>
      <c r="AJ9" s="448">
        <f t="shared" ref="AJ9:AK11" si="8">$E9/W9</f>
        <v>46.866176834805579</v>
      </c>
      <c r="AK9" s="448">
        <f t="shared" si="8"/>
        <v>36.638161928426214</v>
      </c>
    </row>
    <row r="10" spans="2:37">
      <c r="B10" s="443" t="s">
        <v>540</v>
      </c>
      <c r="C10" s="443" t="s">
        <v>1113</v>
      </c>
      <c r="D10" s="443">
        <v>544</v>
      </c>
      <c r="E10" s="443">
        <v>134117</v>
      </c>
      <c r="F10" s="443">
        <v>35</v>
      </c>
      <c r="G10" s="443">
        <v>3007</v>
      </c>
      <c r="H10" s="443">
        <f t="shared" si="0"/>
        <v>131145</v>
      </c>
      <c r="I10" s="443"/>
      <c r="J10" s="443">
        <v>33160</v>
      </c>
      <c r="K10" s="443">
        <v>37352</v>
      </c>
      <c r="L10" s="443">
        <v>42661</v>
      </c>
      <c r="M10" s="444">
        <f>Benchmarking!J28</f>
        <v>0.35299999999999998</v>
      </c>
      <c r="N10" s="528">
        <f t="shared" si="1"/>
        <v>0.12641737032569367</v>
      </c>
      <c r="O10" s="528">
        <f t="shared" si="1"/>
        <v>0.14213428999785815</v>
      </c>
      <c r="P10" s="443">
        <v>6400</v>
      </c>
      <c r="Q10" s="443">
        <v>8057</v>
      </c>
      <c r="R10" s="443">
        <v>10090</v>
      </c>
      <c r="S10" s="528">
        <f t="shared" si="2"/>
        <v>0.19300361881785283</v>
      </c>
      <c r="T10" s="528">
        <f t="shared" si="2"/>
        <v>0.21570464767616193</v>
      </c>
      <c r="U10" s="528">
        <f t="shared" si="2"/>
        <v>0.23651578725299455</v>
      </c>
      <c r="V10" s="443">
        <v>4738</v>
      </c>
      <c r="W10" s="443">
        <v>4307</v>
      </c>
      <c r="X10" s="443">
        <v>5550</v>
      </c>
      <c r="Y10" s="528">
        <f t="shared" si="3"/>
        <v>0.14288299155609169</v>
      </c>
      <c r="Z10" s="528">
        <f t="shared" si="3"/>
        <v>0.11530841721996145</v>
      </c>
      <c r="AA10" s="528">
        <f t="shared" si="3"/>
        <v>0.13009540329575023</v>
      </c>
      <c r="AB10" s="443"/>
      <c r="AC10" s="448">
        <f t="shared" si="4"/>
        <v>3.954915560916767</v>
      </c>
      <c r="AD10" s="448">
        <f t="shared" si="6"/>
        <v>3.5110569715142428</v>
      </c>
      <c r="AE10" s="448">
        <f t="shared" si="6"/>
        <v>3.0741192189587681</v>
      </c>
      <c r="AF10" s="448">
        <f t="shared" si="5"/>
        <v>20.491406250000001</v>
      </c>
      <c r="AG10" s="448">
        <f t="shared" si="7"/>
        <v>16.277150304083406</v>
      </c>
      <c r="AH10" s="448">
        <f t="shared" si="7"/>
        <v>12.997522299306244</v>
      </c>
      <c r="AI10" s="448">
        <f>$E10/V10</f>
        <v>28.306669480793584</v>
      </c>
      <c r="AJ10" s="448">
        <f t="shared" si="8"/>
        <v>31.139308103087995</v>
      </c>
      <c r="AK10" s="448">
        <f t="shared" si="8"/>
        <v>24.165225225225225</v>
      </c>
    </row>
    <row r="11" spans="2:37">
      <c r="B11" s="443" t="s">
        <v>542</v>
      </c>
      <c r="C11" s="443" t="s">
        <v>1114</v>
      </c>
      <c r="D11" s="443">
        <v>3999</v>
      </c>
      <c r="E11" s="443">
        <v>30902</v>
      </c>
      <c r="F11" s="443">
        <v>5232</v>
      </c>
      <c r="G11" s="443">
        <v>867</v>
      </c>
      <c r="H11" s="443">
        <f t="shared" si="0"/>
        <v>35267</v>
      </c>
      <c r="I11" s="443"/>
      <c r="J11" s="443">
        <v>11556</v>
      </c>
      <c r="K11" s="443">
        <v>12524</v>
      </c>
      <c r="L11" s="443">
        <v>14015</v>
      </c>
      <c r="M11" s="443">
        <f>Benchmarking!J29</f>
        <v>0.20599999999999999</v>
      </c>
      <c r="N11" s="443">
        <f t="shared" si="1"/>
        <v>8.3766008999653918E-2</v>
      </c>
      <c r="O11" s="443">
        <f t="shared" si="1"/>
        <v>0.11905142127115931</v>
      </c>
      <c r="P11" s="443">
        <v>2060</v>
      </c>
      <c r="Q11" s="443">
        <v>2365</v>
      </c>
      <c r="R11" s="443">
        <v>2742</v>
      </c>
      <c r="S11" s="443">
        <f t="shared" si="2"/>
        <v>0.17826237452405677</v>
      </c>
      <c r="T11" s="443">
        <f t="shared" si="2"/>
        <v>0.18883743213030982</v>
      </c>
      <c r="U11" s="443">
        <f t="shared" si="2"/>
        <v>0.1956475205137353</v>
      </c>
      <c r="V11" s="443">
        <v>790</v>
      </c>
      <c r="W11" s="443">
        <v>986</v>
      </c>
      <c r="X11" s="443">
        <v>1183</v>
      </c>
      <c r="Y11" s="528">
        <f t="shared" si="3"/>
        <v>6.8362755278643134E-2</v>
      </c>
      <c r="Z11" s="528">
        <f t="shared" si="3"/>
        <v>7.8728840625998081E-2</v>
      </c>
      <c r="AA11" s="528">
        <f t="shared" si="3"/>
        <v>8.4409561184445231E-2</v>
      </c>
      <c r="AB11" s="443"/>
      <c r="AC11" s="448">
        <f t="shared" si="4"/>
        <v>3.0518345448251991</v>
      </c>
      <c r="AD11" s="448">
        <f t="shared" si="6"/>
        <v>2.8159533695305012</v>
      </c>
      <c r="AE11" s="448">
        <f t="shared" si="6"/>
        <v>2.516375312165537</v>
      </c>
      <c r="AF11" s="448">
        <f t="shared" si="5"/>
        <v>17.11990291262136</v>
      </c>
      <c r="AG11" s="448">
        <f t="shared" si="7"/>
        <v>14.912050739957717</v>
      </c>
      <c r="AH11" s="448">
        <f t="shared" si="7"/>
        <v>12.86177972283005</v>
      </c>
      <c r="AI11" s="448">
        <f>$E11/V11</f>
        <v>39.116455696202529</v>
      </c>
      <c r="AJ11" s="448">
        <f t="shared" si="8"/>
        <v>31.340770791075052</v>
      </c>
      <c r="AK11" s="448">
        <f t="shared" si="8"/>
        <v>26.121724429416737</v>
      </c>
    </row>
    <row r="12" spans="2:37" ht="15.6" customHeight="1">
      <c r="B12" s="443" t="s">
        <v>1212</v>
      </c>
      <c r="C12" s="443" t="s">
        <v>1215</v>
      </c>
      <c r="D12" s="443">
        <v>2188</v>
      </c>
      <c r="E12" s="443">
        <v>41091</v>
      </c>
      <c r="F12" s="443">
        <v>0</v>
      </c>
      <c r="G12" s="443">
        <v>1863</v>
      </c>
      <c r="H12" s="443">
        <f t="shared" si="0"/>
        <v>39228</v>
      </c>
      <c r="I12" s="443"/>
      <c r="J12" s="443">
        <v>19959</v>
      </c>
      <c r="K12" s="443">
        <v>21378</v>
      </c>
      <c r="L12" s="443">
        <v>23042</v>
      </c>
      <c r="M12" s="443"/>
      <c r="N12" s="443"/>
      <c r="O12" s="443"/>
      <c r="P12" s="443">
        <v>3062</v>
      </c>
      <c r="Q12" s="443">
        <v>3597</v>
      </c>
      <c r="R12" s="443">
        <v>4149</v>
      </c>
      <c r="S12" s="443"/>
      <c r="T12" s="443"/>
      <c r="U12" s="443"/>
      <c r="V12" s="443">
        <v>2337</v>
      </c>
      <c r="W12" s="443">
        <v>2183</v>
      </c>
      <c r="X12" s="443">
        <v>2517</v>
      </c>
      <c r="Y12" s="443"/>
      <c r="Z12" s="443"/>
      <c r="AA12" s="443"/>
      <c r="AB12" s="443"/>
      <c r="AC12" s="448">
        <f t="shared" si="4"/>
        <v>1.9654291297159177</v>
      </c>
      <c r="AD12" s="448">
        <f>$H12/K12</f>
        <v>1.8349705304518664</v>
      </c>
      <c r="AE12" s="448">
        <f>$H12/L12</f>
        <v>1.7024563839944449</v>
      </c>
      <c r="AF12" s="448">
        <f t="shared" si="5"/>
        <v>12.811234487263226</v>
      </c>
      <c r="AG12" s="448">
        <f>$H12/Q12</f>
        <v>10.905754795663052</v>
      </c>
      <c r="AH12" s="448">
        <f>$H12/R12</f>
        <v>9.4548083875632685</v>
      </c>
      <c r="AI12" s="448">
        <f>$E12/V12</f>
        <v>17.582798459563541</v>
      </c>
      <c r="AJ12" s="448">
        <f>$E12/W12</f>
        <v>18.823179111314705</v>
      </c>
      <c r="AK12" s="448">
        <f>$E12/X12</f>
        <v>16.325387365911801</v>
      </c>
    </row>
    <row r="13" spans="2:37" ht="13.9" customHeight="1">
      <c r="B13" s="443" t="s">
        <v>1213</v>
      </c>
      <c r="C13" s="443" t="s">
        <v>1214</v>
      </c>
      <c r="D13" s="443">
        <v>335</v>
      </c>
      <c r="E13" s="443">
        <v>11967</v>
      </c>
      <c r="F13" s="443">
        <v>4137</v>
      </c>
      <c r="G13" s="443">
        <v>113</v>
      </c>
      <c r="H13" s="443">
        <f t="shared" si="0"/>
        <v>15991</v>
      </c>
      <c r="I13" s="443"/>
      <c r="J13" s="443">
        <v>10733</v>
      </c>
      <c r="K13" s="443">
        <v>11404</v>
      </c>
      <c r="L13" s="443">
        <v>12349</v>
      </c>
      <c r="M13" s="443"/>
      <c r="N13" s="443"/>
      <c r="O13" s="443"/>
      <c r="P13" s="443">
        <v>1624</v>
      </c>
      <c r="Q13" s="443">
        <v>1797</v>
      </c>
      <c r="R13" s="443">
        <v>2002</v>
      </c>
      <c r="S13" s="443"/>
      <c r="T13" s="443"/>
      <c r="U13" s="443"/>
      <c r="V13" s="443">
        <v>147</v>
      </c>
      <c r="W13" s="443">
        <v>313</v>
      </c>
      <c r="X13" s="443">
        <v>484</v>
      </c>
      <c r="Y13" s="443"/>
      <c r="Z13" s="443"/>
      <c r="AA13" s="443"/>
      <c r="AB13" s="443"/>
      <c r="AC13" s="448">
        <f t="shared" si="4"/>
        <v>1.4898909904034288</v>
      </c>
      <c r="AD13" s="448">
        <f>$H13/K13</f>
        <v>1.4022272886706419</v>
      </c>
      <c r="AE13" s="448">
        <f>$H13/L13</f>
        <v>1.2949226658028989</v>
      </c>
      <c r="AF13" s="448">
        <f t="shared" si="5"/>
        <v>9.84667487684729</v>
      </c>
      <c r="AG13" s="448">
        <f>$H13/Q13</f>
        <v>8.8987200890372851</v>
      </c>
      <c r="AH13" s="448">
        <f>$H13/R13</f>
        <v>7.9875124875124879</v>
      </c>
      <c r="AI13" s="448">
        <f>$E13/V13</f>
        <v>81.408163265306129</v>
      </c>
      <c r="AJ13" s="448">
        <f>$E13/W13</f>
        <v>38.233226837060705</v>
      </c>
      <c r="AK13" s="448">
        <f>$E13/X13</f>
        <v>24.725206611570247</v>
      </c>
    </row>
    <row r="14" spans="2:37" ht="15" customHeight="1"/>
    <row r="15" spans="2:37">
      <c r="B15" s="441" t="s">
        <v>1110</v>
      </c>
      <c r="C15" s="441"/>
      <c r="D15" s="441"/>
      <c r="E15" s="441"/>
      <c r="F15" s="441"/>
      <c r="G15" s="441"/>
      <c r="H15" s="441"/>
      <c r="J15" s="441"/>
      <c r="K15" s="441"/>
      <c r="L15" s="441"/>
      <c r="M15" s="441"/>
      <c r="N15" s="441"/>
      <c r="O15" s="441"/>
      <c r="P15" s="441"/>
      <c r="Q15" s="441"/>
      <c r="R15" s="441"/>
      <c r="S15" s="441"/>
      <c r="T15" s="441"/>
      <c r="U15" s="441"/>
      <c r="V15" s="441"/>
      <c r="W15" s="441"/>
      <c r="X15" s="441"/>
      <c r="Y15" s="441"/>
      <c r="Z15" s="441"/>
      <c r="AA15" s="441"/>
      <c r="AC15" s="449">
        <f t="shared" ref="AC15:AH15" si="9">MAX(AC9:AC13)</f>
        <v>4.9326239634455913</v>
      </c>
      <c r="AD15" s="449">
        <f t="shared" si="9"/>
        <v>4.4871835991122175</v>
      </c>
      <c r="AE15" s="449">
        <f t="shared" si="9"/>
        <v>3.9530566575119521</v>
      </c>
      <c r="AF15" s="449">
        <f t="shared" si="9"/>
        <v>32.934632152845133</v>
      </c>
      <c r="AG15" s="449">
        <f t="shared" si="9"/>
        <v>26.478503781426724</v>
      </c>
      <c r="AH15" s="449">
        <f t="shared" si="9"/>
        <v>21.559003914075262</v>
      </c>
      <c r="AI15" s="449">
        <f>MAX(AI9:AI13)</f>
        <v>81.408163265306129</v>
      </c>
      <c r="AJ15" s="449">
        <f>MAX(AJ9:AJ13)</f>
        <v>46.866176834805579</v>
      </c>
      <c r="AK15" s="449">
        <f>MAX(AK9:AK13)</f>
        <v>36.638161928426214</v>
      </c>
    </row>
    <row r="16" spans="2:37">
      <c r="B16" s="442" t="s">
        <v>1111</v>
      </c>
      <c r="C16" s="442"/>
      <c r="D16" s="442"/>
      <c r="E16" s="442"/>
      <c r="F16" s="442"/>
      <c r="G16" s="442"/>
      <c r="H16" s="442"/>
      <c r="J16" s="442"/>
      <c r="K16" s="442"/>
      <c r="L16" s="442"/>
      <c r="M16" s="442"/>
      <c r="N16" s="442"/>
      <c r="O16" s="442"/>
      <c r="P16" s="442"/>
      <c r="Q16" s="442"/>
      <c r="R16" s="442"/>
      <c r="S16" s="442"/>
      <c r="T16" s="442"/>
      <c r="U16" s="442"/>
      <c r="V16" s="442"/>
      <c r="W16" s="442"/>
      <c r="X16" s="442"/>
      <c r="Y16" s="442"/>
      <c r="Z16" s="442"/>
      <c r="AA16" s="442"/>
      <c r="AC16" s="450">
        <f t="shared" ref="AC16:AH16" si="10">AVERAGE(AC9:AC13)</f>
        <v>3.0789388378613811</v>
      </c>
      <c r="AD16" s="450">
        <f t="shared" si="10"/>
        <v>2.8102783518558936</v>
      </c>
      <c r="AE16" s="450">
        <f t="shared" si="10"/>
        <v>2.5081860476867202</v>
      </c>
      <c r="AF16" s="450">
        <f t="shared" si="10"/>
        <v>18.6407701359154</v>
      </c>
      <c r="AG16" s="450">
        <f t="shared" si="10"/>
        <v>15.494435942033638</v>
      </c>
      <c r="AH16" s="450">
        <f t="shared" si="10"/>
        <v>12.972125362257461</v>
      </c>
      <c r="AI16" s="450">
        <f>AVERAGE(AI9:AI13)</f>
        <v>46.735187048619608</v>
      </c>
      <c r="AJ16" s="450">
        <f>AVERAGE(AJ9:AJ13)</f>
        <v>33.280532335468806</v>
      </c>
      <c r="AK16" s="450">
        <f>AVERAGE(AK9:AK13)</f>
        <v>25.595141112110046</v>
      </c>
    </row>
    <row r="17" spans="2:37">
      <c r="B17" s="442" t="s">
        <v>508</v>
      </c>
      <c r="C17" s="442"/>
      <c r="D17" s="442"/>
      <c r="E17" s="442"/>
      <c r="F17" s="442"/>
      <c r="G17" s="442"/>
      <c r="H17" s="442"/>
      <c r="J17" s="442"/>
      <c r="K17" s="442"/>
      <c r="L17" s="442"/>
      <c r="M17" s="442"/>
      <c r="N17" s="442"/>
      <c r="O17" s="442"/>
      <c r="P17" s="442"/>
      <c r="Q17" s="442"/>
      <c r="R17" s="442"/>
      <c r="S17" s="442"/>
      <c r="T17" s="442"/>
      <c r="U17" s="442"/>
      <c r="V17" s="442"/>
      <c r="W17" s="442"/>
      <c r="X17" s="442"/>
      <c r="Y17" s="442"/>
      <c r="Z17" s="442"/>
      <c r="AA17" s="442"/>
      <c r="AC17" s="450">
        <f t="shared" ref="AC17:AH17" si="11">MEDIAN(AC9:AC13)</f>
        <v>3.0518345448251991</v>
      </c>
      <c r="AD17" s="450">
        <f t="shared" si="11"/>
        <v>2.8159533695305012</v>
      </c>
      <c r="AE17" s="450">
        <f t="shared" si="11"/>
        <v>2.516375312165537</v>
      </c>
      <c r="AF17" s="450">
        <f t="shared" si="11"/>
        <v>17.11990291262136</v>
      </c>
      <c r="AG17" s="450">
        <f t="shared" si="11"/>
        <v>14.912050739957717</v>
      </c>
      <c r="AH17" s="450">
        <f t="shared" si="11"/>
        <v>12.86177972283005</v>
      </c>
      <c r="AI17" s="450">
        <f>MEDIAN(AI9:AI13)</f>
        <v>39.116455696202529</v>
      </c>
      <c r="AJ17" s="450">
        <f>MEDIAN(AJ9:AJ13)</f>
        <v>31.340770791075052</v>
      </c>
      <c r="AK17" s="450">
        <f>MEDIAN(AK9:AK13)</f>
        <v>24.725206611570247</v>
      </c>
    </row>
    <row r="18" spans="2:37">
      <c r="B18" s="441" t="s">
        <v>1112</v>
      </c>
      <c r="C18" s="441"/>
      <c r="D18" s="441"/>
      <c r="E18" s="441"/>
      <c r="F18" s="441"/>
      <c r="G18" s="441"/>
      <c r="H18" s="441"/>
      <c r="J18" s="441"/>
      <c r="K18" s="441"/>
      <c r="L18" s="441"/>
      <c r="M18" s="441"/>
      <c r="N18" s="441"/>
      <c r="O18" s="441"/>
      <c r="P18" s="441"/>
      <c r="Q18" s="441"/>
      <c r="R18" s="441"/>
      <c r="S18" s="441"/>
      <c r="T18" s="441"/>
      <c r="U18" s="441"/>
      <c r="V18" s="441"/>
      <c r="W18" s="441"/>
      <c r="X18" s="441"/>
      <c r="Y18" s="441"/>
      <c r="Z18" s="441"/>
      <c r="AA18" s="441"/>
      <c r="AC18" s="449">
        <f>MIN(AC9:AC13)</f>
        <v>1.4898909904034288</v>
      </c>
      <c r="AD18" s="449">
        <f>MIN(AD9:AD13)</f>
        <v>1.4022272886706419</v>
      </c>
      <c r="AE18" s="449">
        <f>MIN(AE9:AE13)</f>
        <v>1.2949226658028989</v>
      </c>
      <c r="AF18" s="449">
        <f>MIN(AF9:AF13)</f>
        <v>9.84667487684729</v>
      </c>
      <c r="AG18" s="449">
        <f>MIN(AG9:AG13)</f>
        <v>8.8987200890372851</v>
      </c>
      <c r="AH18" s="449">
        <f>MIN(AH9:AH12)</f>
        <v>9.4548083875632685</v>
      </c>
      <c r="AI18" s="449">
        <f>MIN(AI9:AI12)</f>
        <v>17.582798459563541</v>
      </c>
      <c r="AJ18" s="449">
        <f>MIN(AJ9:AJ12)</f>
        <v>18.823179111314705</v>
      </c>
      <c r="AK18" s="449">
        <f>MIN(AK9:AK12)</f>
        <v>16.325387365911801</v>
      </c>
    </row>
    <row r="20" spans="2:37">
      <c r="B20" s="141" t="s">
        <v>1102</v>
      </c>
      <c r="C20" s="141"/>
    </row>
    <row r="21" spans="2:37" ht="3.6" customHeight="1"/>
    <row r="22" spans="2:37">
      <c r="B22" t="s">
        <v>1123</v>
      </c>
      <c r="C22" s="249">
        <f>J8</f>
        <v>20520.400000000001</v>
      </c>
      <c r="L22" s="355" t="s">
        <v>1118</v>
      </c>
    </row>
    <row r="23" spans="2:37">
      <c r="B23" t="s">
        <v>80</v>
      </c>
      <c r="C23" s="249">
        <f>P8</f>
        <v>4486.9000000000015</v>
      </c>
      <c r="L23" s="355" t="s">
        <v>1119</v>
      </c>
    </row>
    <row r="24" spans="2:37">
      <c r="B24" t="s">
        <v>1124</v>
      </c>
      <c r="C24" s="249">
        <f>V8</f>
        <v>2091.7000000000016</v>
      </c>
      <c r="L24" s="355" t="s">
        <v>1125</v>
      </c>
    </row>
    <row r="25" spans="2:37">
      <c r="B25" s="451" t="s">
        <v>1126</v>
      </c>
      <c r="C25" s="453" t="s">
        <v>1125</v>
      </c>
      <c r="L25" s="355" t="s">
        <v>1282</v>
      </c>
    </row>
    <row r="26" spans="2:37">
      <c r="B26" t="str">
        <f>C25</f>
        <v>Price/Earnings</v>
      </c>
      <c r="C26" s="452">
        <f>IF(B26=L22,AC17,IF(B26=L23,AF17,AI17))</f>
        <v>39.116455696202529</v>
      </c>
    </row>
    <row r="27" spans="2:37">
      <c r="B27" t="str">
        <f>IF(B26=L24,"Equity Value","Enterprise Value")</f>
        <v>Equity Value</v>
      </c>
      <c r="C27" s="529">
        <f>IF(C25=L22,C26*C22,IF(C25=L23,C26*C23,C26*C24))</f>
        <v>81819.890379746896</v>
      </c>
    </row>
    <row r="28" spans="2:37">
      <c r="B28" t="str">
        <f>'DCF Valuation'!B43</f>
        <v>Less:Debts</v>
      </c>
      <c r="C28" s="530">
        <f>IF($C$25=$L$24,0,'DCF Valuation'!C43)</f>
        <v>0</v>
      </c>
    </row>
    <row r="29" spans="2:37">
      <c r="B29" t="str">
        <f>'DCF Valuation'!B44</f>
        <v>Add:Cash</v>
      </c>
      <c r="C29" s="530">
        <f>IF($C$25=$L$24,0,'DCF Valuation'!C44)</f>
        <v>0</v>
      </c>
    </row>
    <row r="30" spans="2:37">
      <c r="B30" t="str">
        <f>'DCF Valuation'!B46</f>
        <v>Add:Non Operating Assets</v>
      </c>
      <c r="C30" s="529">
        <f>'3 Statment Model'!L64</f>
        <v>3378</v>
      </c>
    </row>
    <row r="31" spans="2:37">
      <c r="B31" t="s">
        <v>1132</v>
      </c>
      <c r="C31" s="530">
        <f>'3 Statment Model'!L91*-1</f>
        <v>-41.12</v>
      </c>
    </row>
    <row r="32" spans="2:37" ht="15.75" thickBot="1">
      <c r="B32" s="243" t="s">
        <v>1127</v>
      </c>
      <c r="C32" s="454">
        <f>SUM(C27:C31)</f>
        <v>85156.7703797469</v>
      </c>
    </row>
  </sheetData>
  <mergeCells count="3">
    <mergeCell ref="C4:H4"/>
    <mergeCell ref="AC4:AK4"/>
    <mergeCell ref="J4:X4"/>
  </mergeCells>
  <dataValidations count="1">
    <dataValidation type="list" allowBlank="1" showInputMessage="1" showErrorMessage="1" sqref="C25" xr:uid="{43FECD0F-EB4C-4484-BC3C-F049E7522BF2}">
      <formula1>$L$22:$L$24</formula1>
    </dataValidation>
  </dataValidations>
  <pageMargins left="0.7" right="0.7" top="0.75" bottom="0.75" header="0.3" footer="0.3"/>
  <pageSetup orientation="portrait" r:id="rId1"/>
  <ignoredErrors>
    <ignoredError sqref="P5 V5 M5 S5 Y5 AC5 AF5 AI5"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EE123-E323-467C-AA15-C16C957C1213}">
  <sheetPr codeName="Sheet22">
    <tabColor rgb="FFFF0000"/>
  </sheetPr>
  <dimension ref="A1"/>
  <sheetViews>
    <sheetView workbookViewId="0">
      <selection activeCell="K22" sqref="K22"/>
    </sheetView>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B92CF-1EC5-416A-BF07-EADFA8E40398}">
  <sheetPr codeName="Sheet23"/>
  <dimension ref="A2:U98"/>
  <sheetViews>
    <sheetView showGridLines="0" topLeftCell="A79" zoomScale="94" workbookViewId="0">
      <pane xSplit="3" topLeftCell="H1" activePane="topRight" state="frozen"/>
      <selection activeCell="A19" sqref="A19"/>
      <selection pane="topRight" activeCell="M61" sqref="M61"/>
    </sheetView>
  </sheetViews>
  <sheetFormatPr defaultColWidth="8.85546875" defaultRowHeight="15" outlineLevelRow="1"/>
  <cols>
    <col min="1" max="1" width="1.85546875" style="161" customWidth="1"/>
    <col min="2" max="2" width="76.85546875" style="161" customWidth="1"/>
    <col min="3" max="3" width="20" style="161" hidden="1" customWidth="1"/>
    <col min="4" max="13" width="20" style="161" customWidth="1"/>
    <col min="14" max="16" width="8.85546875" style="161"/>
    <col min="17" max="17" width="54.28515625" style="161" customWidth="1"/>
    <col min="18" max="18" width="8.7109375" style="161" bestFit="1" customWidth="1"/>
    <col min="19" max="19" width="8.85546875" style="161"/>
    <col min="20" max="20" width="9.42578125" style="161" bestFit="1" customWidth="1"/>
    <col min="21" max="16384" width="8.85546875" style="161"/>
  </cols>
  <sheetData>
    <row r="2" spans="1:19">
      <c r="A2" s="161" t="s">
        <v>21</v>
      </c>
      <c r="B2" s="162" t="s">
        <v>202</v>
      </c>
      <c r="C2" s="163" t="s">
        <v>229</v>
      </c>
      <c r="D2" s="163" t="s">
        <v>230</v>
      </c>
      <c r="E2" s="163" t="s">
        <v>231</v>
      </c>
      <c r="F2" s="163" t="s">
        <v>232</v>
      </c>
      <c r="G2" s="163" t="s">
        <v>233</v>
      </c>
      <c r="H2" s="163" t="s">
        <v>234</v>
      </c>
      <c r="I2" s="163" t="s">
        <v>235</v>
      </c>
      <c r="J2" s="163" t="s">
        <v>236</v>
      </c>
      <c r="K2" s="163" t="s">
        <v>237</v>
      </c>
      <c r="L2" s="163" t="s">
        <v>238</v>
      </c>
      <c r="M2" s="163" t="s">
        <v>504</v>
      </c>
    </row>
    <row r="3" spans="1:19" ht="8.4499999999999993" customHeight="1">
      <c r="B3" s="164"/>
      <c r="C3" s="164"/>
      <c r="D3" s="164"/>
      <c r="E3" s="164"/>
      <c r="F3" s="164"/>
      <c r="G3" s="164"/>
      <c r="H3" s="164"/>
      <c r="I3" s="164"/>
      <c r="J3" s="164"/>
      <c r="K3" s="164"/>
      <c r="L3" s="164"/>
      <c r="M3" s="164"/>
    </row>
    <row r="4" spans="1:19">
      <c r="B4" s="165" t="s">
        <v>1</v>
      </c>
      <c r="C4" s="166">
        <v>5890</v>
      </c>
      <c r="D4" s="166">
        <v>6457</v>
      </c>
      <c r="E4" s="166">
        <v>5616</v>
      </c>
      <c r="F4" s="166">
        <v>8946</v>
      </c>
      <c r="G4" s="166">
        <v>9433</v>
      </c>
      <c r="H4" s="166">
        <v>11457</v>
      </c>
      <c r="I4" s="166">
        <v>12083</v>
      </c>
      <c r="J4" s="166">
        <v>16543</v>
      </c>
      <c r="K4" s="166">
        <v>10426</v>
      </c>
      <c r="L4" s="166">
        <v>12065</v>
      </c>
      <c r="M4" s="226">
        <v>13463.2</v>
      </c>
    </row>
    <row r="5" spans="1:19" hidden="1" outlineLevel="1">
      <c r="B5" s="161" t="s">
        <v>241</v>
      </c>
      <c r="C5" s="166">
        <v>0</v>
      </c>
      <c r="D5" s="166">
        <v>0</v>
      </c>
      <c r="E5" s="166">
        <v>0</v>
      </c>
      <c r="F5" s="166">
        <v>0</v>
      </c>
      <c r="G5" s="166">
        <v>0</v>
      </c>
      <c r="H5" s="166">
        <v>1.9</v>
      </c>
      <c r="I5" s="166">
        <v>1.9</v>
      </c>
      <c r="J5" s="166">
        <v>2.7</v>
      </c>
      <c r="K5" s="166">
        <v>4.8</v>
      </c>
      <c r="L5" s="166">
        <v>5.5</v>
      </c>
      <c r="M5" s="166">
        <v>6.2</v>
      </c>
    </row>
    <row r="6" spans="1:19" hidden="1" outlineLevel="1">
      <c r="B6" s="161" t="s">
        <v>242</v>
      </c>
      <c r="C6" s="166">
        <v>765</v>
      </c>
      <c r="D6" s="166">
        <v>891</v>
      </c>
      <c r="E6" s="166">
        <v>749</v>
      </c>
      <c r="F6" s="166">
        <v>605</v>
      </c>
      <c r="G6" s="166">
        <v>727</v>
      </c>
      <c r="H6" s="166">
        <v>1096</v>
      </c>
      <c r="I6" s="166">
        <v>783</v>
      </c>
      <c r="J6" s="166">
        <v>488</v>
      </c>
      <c r="K6" s="166">
        <v>824</v>
      </c>
      <c r="L6" s="166">
        <v>1238</v>
      </c>
      <c r="M6" s="166">
        <v>2041</v>
      </c>
    </row>
    <row r="7" spans="1:19" s="165" customFormat="1" collapsed="1">
      <c r="B7" s="167" t="s">
        <v>243</v>
      </c>
      <c r="C7" s="168">
        <v>657</v>
      </c>
      <c r="D7" s="168">
        <v>723</v>
      </c>
      <c r="E7" s="168">
        <v>675</v>
      </c>
      <c r="F7" s="168">
        <v>1064</v>
      </c>
      <c r="G7" s="168">
        <v>326</v>
      </c>
      <c r="H7" s="168">
        <v>0</v>
      </c>
      <c r="I7" s="168">
        <v>0</v>
      </c>
      <c r="J7" s="168">
        <v>3474</v>
      </c>
      <c r="K7" s="168">
        <v>-3754.3</v>
      </c>
      <c r="L7" s="168">
        <v>-4544.2</v>
      </c>
      <c r="M7" s="168">
        <v>-5010</v>
      </c>
    </row>
    <row r="8" spans="1:19">
      <c r="B8" s="169" t="s">
        <v>244</v>
      </c>
      <c r="C8" s="166">
        <f>C4+C5+C6-C7</f>
        <v>5998</v>
      </c>
      <c r="D8" s="166">
        <f t="shared" ref="D8:M8" si="0">D4+D5+D6-D7</f>
        <v>6625</v>
      </c>
      <c r="E8" s="166">
        <f t="shared" si="0"/>
        <v>5690</v>
      </c>
      <c r="F8" s="166">
        <f t="shared" si="0"/>
        <v>8487</v>
      </c>
      <c r="G8" s="166">
        <f t="shared" si="0"/>
        <v>9834</v>
      </c>
      <c r="H8" s="166">
        <f t="shared" si="0"/>
        <v>12554.9</v>
      </c>
      <c r="I8" s="166">
        <f t="shared" si="0"/>
        <v>12867.9</v>
      </c>
      <c r="J8" s="166">
        <f t="shared" si="0"/>
        <v>13559.7</v>
      </c>
      <c r="K8" s="166">
        <f t="shared" si="0"/>
        <v>15009.099999999999</v>
      </c>
      <c r="L8" s="166">
        <f t="shared" si="0"/>
        <v>17852.7</v>
      </c>
      <c r="M8" s="166">
        <f t="shared" si="0"/>
        <v>20520.400000000001</v>
      </c>
      <c r="S8" s="166"/>
    </row>
    <row r="9" spans="1:19">
      <c r="B9" s="165"/>
      <c r="C9" s="166"/>
      <c r="D9" s="166"/>
      <c r="E9" s="166"/>
      <c r="F9" s="166"/>
      <c r="G9" s="166"/>
      <c r="H9" s="166"/>
      <c r="I9" s="166"/>
      <c r="J9" s="166"/>
      <c r="K9" s="166"/>
      <c r="L9" s="166"/>
      <c r="M9" s="166"/>
    </row>
    <row r="10" spans="1:19">
      <c r="B10" s="165"/>
      <c r="C10" s="166"/>
      <c r="D10" s="166"/>
      <c r="E10" s="166"/>
      <c r="F10" s="166"/>
      <c r="G10" s="166"/>
      <c r="H10" s="166"/>
      <c r="I10" s="166"/>
      <c r="J10" s="166"/>
      <c r="K10" s="166"/>
      <c r="L10" s="166"/>
      <c r="M10" s="166"/>
    </row>
    <row r="11" spans="1:19" hidden="1" outlineLevel="1">
      <c r="B11" s="161" t="s">
        <v>245</v>
      </c>
      <c r="C11" s="166">
        <v>16</v>
      </c>
      <c r="D11" s="166">
        <v>26</v>
      </c>
      <c r="E11" s="166">
        <v>25</v>
      </c>
      <c r="F11" s="166">
        <v>41</v>
      </c>
      <c r="G11" s="166">
        <v>28</v>
      </c>
      <c r="H11" s="166">
        <v>39</v>
      </c>
      <c r="I11" s="166">
        <v>46</v>
      </c>
      <c r="J11" s="166">
        <v>66</v>
      </c>
      <c r="K11" s="166">
        <v>73</v>
      </c>
      <c r="L11" s="166">
        <v>72</v>
      </c>
      <c r="M11" s="166">
        <v>71.7</v>
      </c>
    </row>
    <row r="12" spans="1:19" hidden="1" outlineLevel="1">
      <c r="B12" s="161" t="s">
        <v>246</v>
      </c>
      <c r="C12" s="166">
        <v>474</v>
      </c>
      <c r="D12" s="166">
        <v>578</v>
      </c>
      <c r="E12" s="166">
        <v>466</v>
      </c>
      <c r="F12" s="166">
        <v>667</v>
      </c>
      <c r="G12" s="166">
        <v>781</v>
      </c>
      <c r="H12" s="166">
        <v>1036</v>
      </c>
      <c r="I12" s="166">
        <v>943</v>
      </c>
      <c r="J12" s="166">
        <v>983</v>
      </c>
      <c r="K12" s="166">
        <v>1129</v>
      </c>
      <c r="L12" s="166">
        <v>1418</v>
      </c>
      <c r="M12" s="166">
        <v>1679.1</v>
      </c>
    </row>
    <row r="13" spans="1:19" hidden="1" outlineLevel="1">
      <c r="B13" s="161" t="s">
        <v>247</v>
      </c>
      <c r="C13" s="166">
        <v>26</v>
      </c>
      <c r="D13" s="166">
        <v>25</v>
      </c>
      <c r="E13" s="166">
        <v>41</v>
      </c>
      <c r="F13" s="166">
        <v>28</v>
      </c>
      <c r="G13" s="166">
        <v>39</v>
      </c>
      <c r="H13" s="166">
        <v>46</v>
      </c>
      <c r="I13" s="166">
        <v>66</v>
      </c>
      <c r="J13" s="166">
        <v>73</v>
      </c>
      <c r="K13" s="166">
        <v>72</v>
      </c>
      <c r="L13" s="166">
        <v>72</v>
      </c>
      <c r="M13" s="166">
        <v>103.3</v>
      </c>
    </row>
    <row r="14" spans="1:19" collapsed="1">
      <c r="B14" s="161" t="s">
        <v>427</v>
      </c>
      <c r="C14" s="166">
        <f>C11+C12-C13</f>
        <v>464</v>
      </c>
      <c r="D14" s="166">
        <f t="shared" ref="D14:K14" si="1">D11+D12-D13</f>
        <v>579</v>
      </c>
      <c r="E14" s="166">
        <f t="shared" si="1"/>
        <v>450</v>
      </c>
      <c r="F14" s="166">
        <f t="shared" si="1"/>
        <v>680</v>
      </c>
      <c r="G14" s="166">
        <f t="shared" si="1"/>
        <v>770</v>
      </c>
      <c r="H14" s="166">
        <f t="shared" si="1"/>
        <v>1029</v>
      </c>
      <c r="I14" s="166">
        <f t="shared" si="1"/>
        <v>923</v>
      </c>
      <c r="J14" s="166">
        <f t="shared" si="1"/>
        <v>976</v>
      </c>
      <c r="K14" s="166">
        <f t="shared" si="1"/>
        <v>1130</v>
      </c>
      <c r="L14" s="166">
        <f>L11+L12-L13</f>
        <v>1418</v>
      </c>
      <c r="M14" s="166">
        <f>M11+M12-M13</f>
        <v>1647.5</v>
      </c>
    </row>
    <row r="15" spans="1:19">
      <c r="B15" s="161" t="s">
        <v>248</v>
      </c>
      <c r="C15" s="166">
        <v>-18.100000000000001</v>
      </c>
      <c r="D15" s="166">
        <v>-75.5</v>
      </c>
      <c r="E15" s="166">
        <v>19</v>
      </c>
      <c r="F15" s="166">
        <v>-23</v>
      </c>
      <c r="G15" s="166">
        <v>-67.400000000000006</v>
      </c>
      <c r="H15" s="166">
        <v>-77.900000000000006</v>
      </c>
      <c r="I15" s="166">
        <v>11</v>
      </c>
      <c r="J15" s="166">
        <v>34</v>
      </c>
      <c r="K15" s="166">
        <v>-207.5</v>
      </c>
      <c r="L15" s="166">
        <v>-138.4</v>
      </c>
      <c r="M15" s="166">
        <v>-122.2</v>
      </c>
    </row>
    <row r="16" spans="1:19">
      <c r="B16" s="161" t="s">
        <v>249</v>
      </c>
      <c r="C16" s="166">
        <v>111</v>
      </c>
      <c r="D16" s="166">
        <v>171</v>
      </c>
      <c r="E16" s="166">
        <v>163</v>
      </c>
      <c r="F16" s="166">
        <v>33</v>
      </c>
      <c r="G16" s="166">
        <v>0.1</v>
      </c>
      <c r="H16" s="166">
        <v>26</v>
      </c>
      <c r="I16" s="166">
        <v>31</v>
      </c>
      <c r="J16" s="166">
        <v>44</v>
      </c>
      <c r="K16" s="166">
        <v>88</v>
      </c>
      <c r="L16" s="166">
        <v>90</v>
      </c>
      <c r="M16" s="166">
        <v>102.2</v>
      </c>
    </row>
    <row r="17" spans="2:21">
      <c r="B17" s="167" t="s">
        <v>250</v>
      </c>
      <c r="C17" s="170">
        <f>C14+C15+C16</f>
        <v>556.9</v>
      </c>
      <c r="D17" s="170">
        <f t="shared" ref="D17:L17" si="2">D11+D12-D13+D15+D16</f>
        <v>674.5</v>
      </c>
      <c r="E17" s="170">
        <f t="shared" si="2"/>
        <v>632</v>
      </c>
      <c r="F17" s="170">
        <f t="shared" si="2"/>
        <v>690</v>
      </c>
      <c r="G17" s="170">
        <f t="shared" si="2"/>
        <v>702.7</v>
      </c>
      <c r="H17" s="170">
        <f t="shared" si="2"/>
        <v>977.1</v>
      </c>
      <c r="I17" s="170">
        <f t="shared" si="2"/>
        <v>965</v>
      </c>
      <c r="J17" s="170">
        <f t="shared" si="2"/>
        <v>1054</v>
      </c>
      <c r="K17" s="170">
        <f t="shared" si="2"/>
        <v>1010.5</v>
      </c>
      <c r="L17" s="170">
        <f t="shared" si="2"/>
        <v>1369.6</v>
      </c>
      <c r="M17" s="170">
        <v>1535</v>
      </c>
    </row>
    <row r="18" spans="2:21" ht="15.75" thickBot="1">
      <c r="B18" s="171" t="s">
        <v>78</v>
      </c>
      <c r="C18" s="172">
        <f t="shared" ref="C18:M18" si="3">C8-C17</f>
        <v>5441.1</v>
      </c>
      <c r="D18" s="172">
        <f t="shared" si="3"/>
        <v>5950.5</v>
      </c>
      <c r="E18" s="172">
        <f t="shared" si="3"/>
        <v>5058</v>
      </c>
      <c r="F18" s="172">
        <f t="shared" si="3"/>
        <v>7797</v>
      </c>
      <c r="G18" s="172">
        <f t="shared" si="3"/>
        <v>9131.2999999999993</v>
      </c>
      <c r="H18" s="172">
        <f t="shared" si="3"/>
        <v>11577.8</v>
      </c>
      <c r="I18" s="172">
        <f t="shared" si="3"/>
        <v>11902.9</v>
      </c>
      <c r="J18" s="172">
        <f t="shared" si="3"/>
        <v>12505.7</v>
      </c>
      <c r="K18" s="172">
        <f t="shared" si="3"/>
        <v>13998.599999999999</v>
      </c>
      <c r="L18" s="172">
        <f t="shared" si="3"/>
        <v>16483.100000000002</v>
      </c>
      <c r="M18" s="172">
        <f t="shared" si="3"/>
        <v>18985.400000000001</v>
      </c>
    </row>
    <row r="19" spans="2:21">
      <c r="B19" s="165"/>
      <c r="C19" s="166"/>
      <c r="D19" s="166"/>
      <c r="E19" s="166"/>
      <c r="F19" s="166"/>
      <c r="G19" s="166"/>
      <c r="H19" s="166"/>
      <c r="I19" s="166"/>
      <c r="J19" s="166"/>
      <c r="K19" s="166"/>
      <c r="L19" s="166"/>
      <c r="M19" s="166"/>
      <c r="Q19" s="211"/>
      <c r="R19" s="211"/>
      <c r="S19" s="211"/>
      <c r="T19" s="211"/>
    </row>
    <row r="20" spans="2:21">
      <c r="B20" s="188" t="s">
        <v>425</v>
      </c>
      <c r="C20" s="189">
        <f>C17/C8</f>
        <v>9.284761587195732E-2</v>
      </c>
      <c r="D20" s="189">
        <f t="shared" ref="D20:L20" si="4">D17/D8</f>
        <v>0.10181132075471698</v>
      </c>
      <c r="E20" s="189">
        <f t="shared" si="4"/>
        <v>0.11107205623901582</v>
      </c>
      <c r="F20" s="189">
        <f t="shared" si="4"/>
        <v>8.1300813008130079E-2</v>
      </c>
      <c r="G20" s="189">
        <f t="shared" si="4"/>
        <v>7.1456172462883882E-2</v>
      </c>
      <c r="H20" s="189">
        <f t="shared" si="4"/>
        <v>7.7826187385005061E-2</v>
      </c>
      <c r="I20" s="189">
        <f t="shared" si="4"/>
        <v>7.4992811569875431E-2</v>
      </c>
      <c r="J20" s="189">
        <f t="shared" si="4"/>
        <v>7.7730333266960175E-2</v>
      </c>
      <c r="K20" s="189">
        <f t="shared" si="4"/>
        <v>6.7325822334450433E-2</v>
      </c>
      <c r="L20" s="189">
        <f t="shared" si="4"/>
        <v>7.671668711175339E-2</v>
      </c>
      <c r="M20" s="189">
        <f>M17/M8</f>
        <v>7.4803610066080578E-2</v>
      </c>
      <c r="Q20"/>
      <c r="R20"/>
      <c r="S20"/>
      <c r="T20"/>
    </row>
    <row r="21" spans="2:21">
      <c r="B21" s="188" t="s">
        <v>426</v>
      </c>
      <c r="C21" s="189">
        <f>C18/C8</f>
        <v>0.90715238412804278</v>
      </c>
      <c r="D21" s="189">
        <f t="shared" ref="D21:L21" si="5">D18/D8</f>
        <v>0.89818867924528301</v>
      </c>
      <c r="E21" s="189">
        <f t="shared" si="5"/>
        <v>0.88892794376098416</v>
      </c>
      <c r="F21" s="189">
        <f t="shared" si="5"/>
        <v>0.91869918699186992</v>
      </c>
      <c r="G21" s="189">
        <f t="shared" si="5"/>
        <v>0.92854382753711606</v>
      </c>
      <c r="H21" s="189">
        <f t="shared" si="5"/>
        <v>0.92217381261499487</v>
      </c>
      <c r="I21" s="189">
        <f t="shared" si="5"/>
        <v>0.92500718843012453</v>
      </c>
      <c r="J21" s="189">
        <f t="shared" si="5"/>
        <v>0.92226966673303978</v>
      </c>
      <c r="K21" s="189">
        <f t="shared" si="5"/>
        <v>0.93267417766554961</v>
      </c>
      <c r="L21" s="189">
        <f t="shared" si="5"/>
        <v>0.92328331288824672</v>
      </c>
      <c r="M21" s="189">
        <f>M18/M8</f>
        <v>0.92519638993391939</v>
      </c>
      <c r="Q21"/>
      <c r="R21"/>
      <c r="S21"/>
      <c r="T21" s="226"/>
    </row>
    <row r="22" spans="2:21">
      <c r="B22" s="188"/>
      <c r="C22" s="190"/>
      <c r="D22" s="190"/>
      <c r="E22" s="190"/>
      <c r="F22" s="190"/>
      <c r="G22" s="190"/>
      <c r="H22" s="190"/>
      <c r="I22" s="190"/>
      <c r="J22" s="190"/>
      <c r="K22" s="190"/>
      <c r="L22" s="190"/>
      <c r="M22" s="190"/>
      <c r="Q22"/>
      <c r="R22"/>
      <c r="S22"/>
      <c r="T22"/>
    </row>
    <row r="23" spans="2:21">
      <c r="B23" s="188" t="s">
        <v>474</v>
      </c>
      <c r="C23" s="201">
        <f>C14/C17</f>
        <v>0.83318369545699411</v>
      </c>
      <c r="D23" s="201">
        <f t="shared" ref="D23:L23" si="6">D14/D17</f>
        <v>0.85841363973313567</v>
      </c>
      <c r="E23" s="201">
        <f t="shared" si="6"/>
        <v>0.71202531645569622</v>
      </c>
      <c r="F23" s="201">
        <f t="shared" si="6"/>
        <v>0.98550724637681164</v>
      </c>
      <c r="G23" s="201">
        <f t="shared" si="6"/>
        <v>1.0957734452824819</v>
      </c>
      <c r="H23" s="201">
        <f t="shared" si="6"/>
        <v>1.0531163647528401</v>
      </c>
      <c r="I23" s="201">
        <f t="shared" si="6"/>
        <v>0.95647668393782381</v>
      </c>
      <c r="J23" s="201">
        <f t="shared" si="6"/>
        <v>0.92599620493358636</v>
      </c>
      <c r="K23" s="201">
        <f t="shared" si="6"/>
        <v>1.1182582879762495</v>
      </c>
      <c r="L23" s="201">
        <f t="shared" si="6"/>
        <v>1.035338785046729</v>
      </c>
      <c r="M23" s="201">
        <f>M14/M17</f>
        <v>1.0732899022801303</v>
      </c>
      <c r="Q23"/>
      <c r="R23"/>
      <c r="S23"/>
      <c r="T23"/>
    </row>
    <row r="24" spans="2:21">
      <c r="B24" s="188" t="s">
        <v>428</v>
      </c>
      <c r="C24" s="189">
        <f>C14/C$8</f>
        <v>7.7359119706568863E-2</v>
      </c>
      <c r="D24" s="189">
        <f t="shared" ref="D24:L24" si="7">D14/D$8</f>
        <v>8.7396226415094341E-2</v>
      </c>
      <c r="E24" s="189">
        <f t="shared" si="7"/>
        <v>7.9086115992970121E-2</v>
      </c>
      <c r="F24" s="189">
        <f t="shared" si="7"/>
        <v>8.0122540355838337E-2</v>
      </c>
      <c r="G24" s="189">
        <f t="shared" si="7"/>
        <v>7.829977628635347E-2</v>
      </c>
      <c r="H24" s="189">
        <f t="shared" si="7"/>
        <v>8.1960031541469872E-2</v>
      </c>
      <c r="I24" s="189">
        <f t="shared" si="7"/>
        <v>7.1728875729528518E-2</v>
      </c>
      <c r="J24" s="189">
        <f t="shared" si="7"/>
        <v>7.1977993613428021E-2</v>
      </c>
      <c r="K24" s="189">
        <f t="shared" si="7"/>
        <v>7.5287658820315684E-2</v>
      </c>
      <c r="L24" s="189">
        <f t="shared" si="7"/>
        <v>7.9427761627092822E-2</v>
      </c>
      <c r="M24" s="189">
        <f>M14/M$8</f>
        <v>8.0285959338024598E-2</v>
      </c>
      <c r="Q24"/>
      <c r="R24"/>
      <c r="S24"/>
      <c r="T24"/>
    </row>
    <row r="25" spans="2:21">
      <c r="B25" s="188" t="s">
        <v>429</v>
      </c>
      <c r="C25" s="189">
        <f>C15/C$8</f>
        <v>-3.0176725575191731E-3</v>
      </c>
      <c r="D25" s="189">
        <f t="shared" ref="D25:L25" si="8">D15/D$8</f>
        <v>-1.139622641509434E-2</v>
      </c>
      <c r="E25" s="189">
        <f t="shared" si="8"/>
        <v>3.3391915641476275E-3</v>
      </c>
      <c r="F25" s="189">
        <f t="shared" si="8"/>
        <v>-2.7100271002710027E-3</v>
      </c>
      <c r="G25" s="189">
        <f t="shared" si="8"/>
        <v>-6.8537726255847066E-3</v>
      </c>
      <c r="H25" s="189">
        <f t="shared" si="8"/>
        <v>-6.2047487435184677E-3</v>
      </c>
      <c r="I25" s="189">
        <f t="shared" si="8"/>
        <v>8.5484033913847636E-4</v>
      </c>
      <c r="J25" s="189">
        <f t="shared" si="8"/>
        <v>2.5074301053858122E-3</v>
      </c>
      <c r="K25" s="189">
        <f t="shared" si="8"/>
        <v>-1.3824946199305755E-2</v>
      </c>
      <c r="L25" s="189">
        <f t="shared" si="8"/>
        <v>-7.7523287794003144E-3</v>
      </c>
      <c r="M25" s="189">
        <f>M15/M$8</f>
        <v>-5.9550496091694115E-3</v>
      </c>
      <c r="Q25"/>
      <c r="R25"/>
      <c r="S25"/>
      <c r="T25"/>
    </row>
    <row r="26" spans="2:21">
      <c r="B26" s="188" t="s">
        <v>430</v>
      </c>
      <c r="C26" s="189">
        <f>C16/C$8</f>
        <v>1.8506168722907636E-2</v>
      </c>
      <c r="D26" s="189">
        <f t="shared" ref="D26:L26" si="9">D16/D$8</f>
        <v>2.5811320754716982E-2</v>
      </c>
      <c r="E26" s="189">
        <f t="shared" si="9"/>
        <v>2.8646748681898065E-2</v>
      </c>
      <c r="F26" s="189">
        <f t="shared" si="9"/>
        <v>3.888299752562743E-3</v>
      </c>
      <c r="G26" s="189">
        <f t="shared" si="9"/>
        <v>1.0168802115110841E-5</v>
      </c>
      <c r="H26" s="189">
        <f t="shared" si="9"/>
        <v>2.0709045870536602E-3</v>
      </c>
      <c r="I26" s="189">
        <f t="shared" si="9"/>
        <v>2.4090955012084333E-3</v>
      </c>
      <c r="J26" s="189">
        <f t="shared" si="9"/>
        <v>3.2449095481463454E-3</v>
      </c>
      <c r="K26" s="189">
        <f t="shared" si="9"/>
        <v>5.8631097134405133E-3</v>
      </c>
      <c r="L26" s="189">
        <f t="shared" si="9"/>
        <v>5.0412542640608984E-3</v>
      </c>
      <c r="M26" s="189">
        <f>M16/M$8</f>
        <v>4.9804097386015869E-3</v>
      </c>
      <c r="Q26"/>
      <c r="R26"/>
      <c r="S26"/>
      <c r="T26"/>
    </row>
    <row r="27" spans="2:21">
      <c r="B27" s="165"/>
      <c r="C27" s="187"/>
      <c r="Q27"/>
      <c r="R27"/>
      <c r="S27"/>
      <c r="T27"/>
    </row>
    <row r="28" spans="2:21">
      <c r="B28" s="165"/>
      <c r="C28" s="174"/>
      <c r="Q28"/>
      <c r="R28"/>
      <c r="S28"/>
      <c r="T28"/>
    </row>
    <row r="29" spans="2:21">
      <c r="Q29"/>
      <c r="R29"/>
      <c r="S29"/>
      <c r="T29"/>
    </row>
    <row r="30" spans="2:21">
      <c r="B30" s="173" t="s">
        <v>251</v>
      </c>
      <c r="Q30"/>
      <c r="R30"/>
      <c r="S30"/>
      <c r="T30"/>
      <c r="U30" s="174"/>
    </row>
    <row r="31" spans="2:21" hidden="1" outlineLevel="1">
      <c r="B31" s="167" t="s">
        <v>252</v>
      </c>
      <c r="C31" s="161">
        <v>337</v>
      </c>
      <c r="D31" s="161">
        <v>395</v>
      </c>
      <c r="E31" s="161">
        <v>325</v>
      </c>
      <c r="F31" s="161">
        <v>466</v>
      </c>
      <c r="G31" s="161">
        <v>511</v>
      </c>
      <c r="H31" s="161">
        <v>674</v>
      </c>
      <c r="I31" s="161">
        <v>747</v>
      </c>
      <c r="J31" s="161">
        <v>763</v>
      </c>
      <c r="K31" s="161">
        <v>799</v>
      </c>
      <c r="L31" s="161">
        <v>855</v>
      </c>
      <c r="M31" s="161">
        <v>932.4</v>
      </c>
      <c r="Q31"/>
      <c r="R31"/>
      <c r="S31"/>
      <c r="T31"/>
    </row>
    <row r="32" spans="2:21" hidden="1" outlineLevel="1">
      <c r="B32" s="167" t="s">
        <v>253</v>
      </c>
      <c r="C32" s="161">
        <v>48</v>
      </c>
      <c r="D32" s="161">
        <v>50</v>
      </c>
      <c r="E32" s="161">
        <v>37</v>
      </c>
      <c r="F32" s="161">
        <v>59</v>
      </c>
      <c r="G32" s="161">
        <v>64</v>
      </c>
      <c r="H32" s="161">
        <v>76</v>
      </c>
      <c r="I32" s="161">
        <v>87</v>
      </c>
      <c r="J32" s="161">
        <v>89</v>
      </c>
      <c r="K32" s="161">
        <v>94</v>
      </c>
      <c r="L32" s="161">
        <v>101</v>
      </c>
      <c r="M32" s="161">
        <v>105.7</v>
      </c>
      <c r="Q32"/>
      <c r="R32"/>
      <c r="S32"/>
      <c r="T32"/>
    </row>
    <row r="33" spans="2:20" hidden="1" outlineLevel="1">
      <c r="B33" s="167" t="s">
        <v>254</v>
      </c>
      <c r="C33" s="161">
        <v>10</v>
      </c>
      <c r="D33" s="161">
        <v>10</v>
      </c>
      <c r="E33" s="161">
        <v>8.8000000000000007</v>
      </c>
      <c r="F33" s="161">
        <v>13</v>
      </c>
      <c r="G33" s="161">
        <v>13</v>
      </c>
      <c r="H33" s="161">
        <v>18</v>
      </c>
      <c r="I33" s="161">
        <v>20</v>
      </c>
      <c r="J33" s="161">
        <v>17</v>
      </c>
      <c r="K33" s="161">
        <v>21</v>
      </c>
      <c r="L33" s="161">
        <v>22</v>
      </c>
      <c r="M33" s="161">
        <v>26.4</v>
      </c>
      <c r="Q33"/>
      <c r="R33"/>
      <c r="S33"/>
      <c r="T33"/>
    </row>
    <row r="34" spans="2:20" hidden="1" outlineLevel="1">
      <c r="B34" s="167" t="s">
        <v>255</v>
      </c>
      <c r="C34" s="161">
        <v>0</v>
      </c>
      <c r="D34" s="161">
        <v>0</v>
      </c>
      <c r="E34" s="161">
        <v>0</v>
      </c>
      <c r="F34" s="161">
        <v>0</v>
      </c>
      <c r="G34" s="161">
        <v>0</v>
      </c>
      <c r="H34" s="161">
        <v>0</v>
      </c>
      <c r="I34" s="161">
        <v>0</v>
      </c>
      <c r="J34" s="161">
        <v>0</v>
      </c>
      <c r="K34" s="161">
        <v>0</v>
      </c>
      <c r="L34" s="161">
        <v>0</v>
      </c>
      <c r="M34" s="161">
        <v>0</v>
      </c>
      <c r="Q34"/>
      <c r="R34"/>
      <c r="S34"/>
      <c r="T34"/>
    </row>
    <row r="35" spans="2:20" collapsed="1">
      <c r="B35" s="167" t="s">
        <v>15</v>
      </c>
      <c r="C35" s="170">
        <f>C31+C32+C33+C34</f>
        <v>395</v>
      </c>
      <c r="D35" s="170">
        <f t="shared" ref="D35:L35" si="10">D31+D32+D33+D34</f>
        <v>455</v>
      </c>
      <c r="E35" s="170">
        <f t="shared" si="10"/>
        <v>370.8</v>
      </c>
      <c r="F35" s="170">
        <f t="shared" si="10"/>
        <v>538</v>
      </c>
      <c r="G35" s="170">
        <f t="shared" si="10"/>
        <v>588</v>
      </c>
      <c r="H35" s="170">
        <f t="shared" si="10"/>
        <v>768</v>
      </c>
      <c r="I35" s="170">
        <f t="shared" si="10"/>
        <v>854</v>
      </c>
      <c r="J35" s="170">
        <f t="shared" si="10"/>
        <v>869</v>
      </c>
      <c r="K35" s="170">
        <f t="shared" si="10"/>
        <v>914</v>
      </c>
      <c r="L35" s="170">
        <f t="shared" si="10"/>
        <v>978</v>
      </c>
      <c r="M35" s="161">
        <v>1064</v>
      </c>
      <c r="Q35"/>
      <c r="R35"/>
      <c r="S35"/>
      <c r="T35"/>
    </row>
    <row r="36" spans="2:20">
      <c r="B36" s="167" t="s">
        <v>256</v>
      </c>
      <c r="C36" s="170">
        <v>1379</v>
      </c>
      <c r="D36" s="170">
        <v>1580</v>
      </c>
      <c r="E36" s="170">
        <v>1123</v>
      </c>
      <c r="F36" s="170">
        <v>1444</v>
      </c>
      <c r="G36" s="170">
        <v>1980</v>
      </c>
      <c r="H36" s="170">
        <v>3093</v>
      </c>
      <c r="I36" s="170">
        <v>2703</v>
      </c>
      <c r="J36" s="170">
        <v>2398</v>
      </c>
      <c r="K36" s="170">
        <v>3620</v>
      </c>
      <c r="L36" s="170">
        <v>6081</v>
      </c>
      <c r="M36" s="161">
        <v>6345.2</v>
      </c>
      <c r="Q36"/>
      <c r="R36" s="213"/>
      <c r="S36" s="213"/>
      <c r="T36" s="213"/>
    </row>
    <row r="37" spans="2:20" hidden="1" outlineLevel="1">
      <c r="B37" s="167" t="s">
        <v>257</v>
      </c>
      <c r="C37" s="170">
        <v>21</v>
      </c>
      <c r="D37" s="170">
        <v>20</v>
      </c>
      <c r="E37" s="170">
        <v>28</v>
      </c>
      <c r="F37" s="170">
        <v>46</v>
      </c>
      <c r="G37" s="170">
        <v>39</v>
      </c>
      <c r="H37" s="170">
        <v>34</v>
      </c>
      <c r="I37" s="170">
        <v>26</v>
      </c>
      <c r="J37" s="170">
        <v>59</v>
      </c>
      <c r="K37" s="170">
        <v>28</v>
      </c>
      <c r="L37" s="170">
        <v>32</v>
      </c>
      <c r="M37" s="161">
        <v>22.4</v>
      </c>
      <c r="Q37"/>
      <c r="R37"/>
      <c r="S37"/>
      <c r="T37"/>
    </row>
    <row r="38" spans="2:20" hidden="1" outlineLevel="1">
      <c r="B38" s="167" t="s">
        <v>258</v>
      </c>
      <c r="C38" s="170">
        <v>2.2999999999999998</v>
      </c>
      <c r="D38" s="170">
        <v>2.2999999999999998</v>
      </c>
      <c r="E38" s="170">
        <v>2.1</v>
      </c>
      <c r="F38" s="170">
        <v>3.5</v>
      </c>
      <c r="G38" s="170">
        <v>4.2</v>
      </c>
      <c r="H38" s="170">
        <v>8.1</v>
      </c>
      <c r="I38" s="170">
        <v>9.3000000000000007</v>
      </c>
      <c r="J38" s="170">
        <v>15</v>
      </c>
      <c r="K38" s="170">
        <v>16</v>
      </c>
      <c r="L38" s="170">
        <v>19</v>
      </c>
      <c r="M38" s="161">
        <v>23.4</v>
      </c>
      <c r="Q38"/>
      <c r="R38"/>
      <c r="S38"/>
      <c r="T38"/>
    </row>
    <row r="39" spans="2:20" hidden="1" outlineLevel="1">
      <c r="B39" s="167" t="s">
        <v>259</v>
      </c>
      <c r="C39" s="170">
        <v>23</v>
      </c>
      <c r="D39" s="170">
        <v>27</v>
      </c>
      <c r="E39" s="170">
        <v>24</v>
      </c>
      <c r="F39" s="170">
        <v>34</v>
      </c>
      <c r="G39" s="170">
        <v>34</v>
      </c>
      <c r="H39" s="170">
        <v>41</v>
      </c>
      <c r="I39" s="170">
        <v>40</v>
      </c>
      <c r="J39" s="170">
        <v>32</v>
      </c>
      <c r="K39" s="170">
        <v>34</v>
      </c>
      <c r="L39" s="170">
        <v>44</v>
      </c>
      <c r="M39" s="161">
        <v>61</v>
      </c>
      <c r="Q39"/>
      <c r="R39"/>
      <c r="S39"/>
      <c r="T39"/>
    </row>
    <row r="40" spans="2:20" hidden="1" outlineLevel="1">
      <c r="B40" s="167" t="s">
        <v>260</v>
      </c>
      <c r="C40" s="170">
        <v>2</v>
      </c>
      <c r="D40" s="170">
        <v>2.4</v>
      </c>
      <c r="E40" s="170">
        <v>2.6</v>
      </c>
      <c r="F40" s="170">
        <v>4.0999999999999996</v>
      </c>
      <c r="G40" s="170">
        <v>4.3</v>
      </c>
      <c r="H40" s="170">
        <v>5.6</v>
      </c>
      <c r="I40" s="170">
        <v>5.7</v>
      </c>
      <c r="J40" s="170">
        <v>5.7</v>
      </c>
      <c r="K40" s="170">
        <v>4.0999999999999996</v>
      </c>
      <c r="L40" s="170">
        <v>4.9000000000000004</v>
      </c>
      <c r="M40" s="161">
        <v>4.5</v>
      </c>
      <c r="Q40"/>
      <c r="R40"/>
      <c r="S40"/>
      <c r="T40"/>
    </row>
    <row r="41" spans="2:20" hidden="1" outlineLevel="1">
      <c r="B41" t="s">
        <v>490</v>
      </c>
      <c r="C41" s="170"/>
      <c r="D41" s="170"/>
      <c r="E41" s="170"/>
      <c r="F41" s="170"/>
      <c r="G41" s="170"/>
      <c r="H41" s="170"/>
      <c r="I41" s="170"/>
      <c r="J41" s="170"/>
      <c r="K41" s="170"/>
      <c r="L41" s="170"/>
      <c r="M41" s="161">
        <v>72.900000000000006</v>
      </c>
      <c r="Q41"/>
      <c r="R41"/>
      <c r="S41"/>
      <c r="T41"/>
    </row>
    <row r="42" spans="2:20" collapsed="1">
      <c r="B42" s="167" t="s">
        <v>261</v>
      </c>
      <c r="C42" s="170">
        <f t="shared" ref="C42:L42" si="11">C37+C38+C39+C40</f>
        <v>48.3</v>
      </c>
      <c r="D42" s="170">
        <f t="shared" si="11"/>
        <v>51.699999999999996</v>
      </c>
      <c r="E42" s="170">
        <f t="shared" si="11"/>
        <v>56.7</v>
      </c>
      <c r="F42" s="170">
        <f t="shared" si="11"/>
        <v>87.6</v>
      </c>
      <c r="G42" s="170">
        <f t="shared" si="11"/>
        <v>81.5</v>
      </c>
      <c r="H42" s="170">
        <f t="shared" si="11"/>
        <v>88.699999999999989</v>
      </c>
      <c r="I42" s="170">
        <f t="shared" si="11"/>
        <v>81</v>
      </c>
      <c r="J42" s="170">
        <f t="shared" si="11"/>
        <v>111.7</v>
      </c>
      <c r="K42" s="170">
        <f t="shared" si="11"/>
        <v>82.1</v>
      </c>
      <c r="L42" s="170">
        <f t="shared" si="11"/>
        <v>99.9</v>
      </c>
      <c r="M42" s="176">
        <f>M37+M38+M39+M40+M41</f>
        <v>184.2</v>
      </c>
      <c r="Q42"/>
      <c r="R42"/>
      <c r="S42"/>
      <c r="T42"/>
    </row>
    <row r="43" spans="2:20" hidden="1" outlineLevel="1">
      <c r="B43" s="167" t="s">
        <v>262</v>
      </c>
      <c r="C43" s="170">
        <v>57</v>
      </c>
      <c r="D43" s="170">
        <v>43</v>
      </c>
      <c r="E43" s="170">
        <v>130</v>
      </c>
      <c r="F43" s="170">
        <v>223</v>
      </c>
      <c r="G43" s="170">
        <v>205</v>
      </c>
      <c r="H43" s="170">
        <v>263</v>
      </c>
      <c r="I43" s="170">
        <v>279</v>
      </c>
      <c r="J43" s="170">
        <v>315</v>
      </c>
      <c r="K43" s="170">
        <v>396</v>
      </c>
      <c r="L43" s="170">
        <v>407</v>
      </c>
      <c r="M43" s="161" t="s">
        <v>240</v>
      </c>
      <c r="Q43"/>
      <c r="R43"/>
      <c r="S43"/>
      <c r="T43"/>
    </row>
    <row r="44" spans="2:20" hidden="1" outlineLevel="1">
      <c r="B44" s="167" t="s">
        <v>263</v>
      </c>
      <c r="C44" s="170">
        <v>1191</v>
      </c>
      <c r="D44" s="170">
        <v>1395</v>
      </c>
      <c r="E44" s="170">
        <v>1142</v>
      </c>
      <c r="F44" s="170">
        <v>1874</v>
      </c>
      <c r="G44" s="170">
        <v>2525</v>
      </c>
      <c r="H44" s="170">
        <v>2903</v>
      </c>
      <c r="I44" s="170">
        <v>2662</v>
      </c>
      <c r="J44" s="170">
        <v>3110</v>
      </c>
      <c r="K44" s="170">
        <v>3299</v>
      </c>
      <c r="L44" s="170">
        <v>3784</v>
      </c>
      <c r="M44" s="161" t="s">
        <v>240</v>
      </c>
      <c r="Q44"/>
      <c r="R44"/>
      <c r="S44"/>
      <c r="T44"/>
    </row>
    <row r="45" spans="2:20" hidden="1" outlineLevel="1">
      <c r="B45" s="167" t="s">
        <v>264</v>
      </c>
      <c r="C45" s="170">
        <v>173</v>
      </c>
      <c r="D45" s="170">
        <v>194</v>
      </c>
      <c r="E45" s="170">
        <v>0</v>
      </c>
      <c r="F45" s="170">
        <v>0</v>
      </c>
      <c r="G45" s="170">
        <v>0</v>
      </c>
      <c r="H45" s="170">
        <v>0</v>
      </c>
      <c r="I45" s="170">
        <v>0</v>
      </c>
      <c r="J45" s="170">
        <v>0</v>
      </c>
      <c r="K45" s="170">
        <v>0</v>
      </c>
      <c r="L45" s="170">
        <v>0</v>
      </c>
      <c r="M45" s="161" t="s">
        <v>240</v>
      </c>
      <c r="Q45"/>
      <c r="R45"/>
      <c r="S45"/>
      <c r="T45"/>
    </row>
    <row r="46" spans="2:20" collapsed="1">
      <c r="B46" s="167" t="s">
        <v>265</v>
      </c>
      <c r="C46" s="170">
        <f>C43+C44+C45</f>
        <v>1421</v>
      </c>
      <c r="D46" s="170">
        <f t="shared" ref="D46:K46" si="12">D43+D44+D45</f>
        <v>1632</v>
      </c>
      <c r="E46" s="170">
        <f t="shared" si="12"/>
        <v>1272</v>
      </c>
      <c r="F46" s="170">
        <f t="shared" si="12"/>
        <v>2097</v>
      </c>
      <c r="G46" s="170">
        <f t="shared" si="12"/>
        <v>2730</v>
      </c>
      <c r="H46" s="170">
        <f t="shared" si="12"/>
        <v>3166</v>
      </c>
      <c r="I46" s="170">
        <f t="shared" si="12"/>
        <v>2941</v>
      </c>
      <c r="J46" s="170">
        <f t="shared" si="12"/>
        <v>3425</v>
      </c>
      <c r="K46" s="170">
        <f t="shared" si="12"/>
        <v>3695</v>
      </c>
      <c r="L46" s="170">
        <f>L43+L44+L45</f>
        <v>4191</v>
      </c>
      <c r="M46" s="161">
        <v>4607.3999999999996</v>
      </c>
      <c r="Q46"/>
      <c r="R46"/>
      <c r="S46"/>
      <c r="T46"/>
    </row>
    <row r="47" spans="2:20" hidden="1" outlineLevel="1">
      <c r="B47" s="167" t="s">
        <v>266</v>
      </c>
      <c r="C47" s="170">
        <v>0</v>
      </c>
      <c r="D47" s="170">
        <v>0.2</v>
      </c>
      <c r="E47" s="170">
        <v>0</v>
      </c>
      <c r="F47" s="170">
        <v>0</v>
      </c>
      <c r="G47" s="170">
        <v>0</v>
      </c>
      <c r="H47" s="170">
        <v>0</v>
      </c>
      <c r="I47" s="170">
        <v>0</v>
      </c>
      <c r="J47" s="170">
        <v>0</v>
      </c>
      <c r="K47" s="170">
        <v>0.1</v>
      </c>
      <c r="L47" s="170">
        <v>0.6</v>
      </c>
      <c r="M47" s="161">
        <v>1.5</v>
      </c>
      <c r="Q47"/>
      <c r="R47"/>
      <c r="S47"/>
      <c r="T47"/>
    </row>
    <row r="48" spans="2:20" hidden="1" outlineLevel="1">
      <c r="B48" s="167" t="s">
        <v>267</v>
      </c>
      <c r="C48" s="170">
        <v>0</v>
      </c>
      <c r="D48" s="170">
        <v>0</v>
      </c>
      <c r="E48" s="170">
        <v>0</v>
      </c>
      <c r="F48" s="170">
        <v>0</v>
      </c>
      <c r="G48" s="170">
        <v>0.4</v>
      </c>
      <c r="H48" s="170">
        <v>0.6</v>
      </c>
      <c r="I48" s="170">
        <v>4.3</v>
      </c>
      <c r="J48" s="170">
        <v>21</v>
      </c>
      <c r="K48" s="170">
        <v>6</v>
      </c>
      <c r="L48" s="170">
        <v>0.2</v>
      </c>
      <c r="M48" s="161">
        <v>0</v>
      </c>
      <c r="Q48"/>
      <c r="R48"/>
      <c r="S48"/>
      <c r="T48"/>
    </row>
    <row r="49" spans="2:20" hidden="1" outlineLevel="1">
      <c r="B49" s="167" t="s">
        <v>268</v>
      </c>
      <c r="C49" s="170">
        <v>0</v>
      </c>
      <c r="D49" s="170">
        <v>16</v>
      </c>
      <c r="E49" s="170">
        <v>2.6</v>
      </c>
      <c r="F49" s="170">
        <v>21</v>
      </c>
      <c r="G49" s="170">
        <v>18</v>
      </c>
      <c r="H49" s="170">
        <v>149</v>
      </c>
      <c r="I49" s="170">
        <v>0.7</v>
      </c>
      <c r="J49" s="170">
        <v>0.3</v>
      </c>
      <c r="K49" s="170">
        <v>0</v>
      </c>
      <c r="L49" s="170">
        <v>0</v>
      </c>
      <c r="M49" s="161">
        <v>0</v>
      </c>
      <c r="Q49"/>
      <c r="R49"/>
      <c r="S49"/>
      <c r="T49"/>
    </row>
    <row r="50" spans="2:20" hidden="1" outlineLevel="1">
      <c r="B50" s="167" t="s">
        <v>269</v>
      </c>
      <c r="C50" s="170">
        <v>0</v>
      </c>
      <c r="D50" s="170">
        <v>0</v>
      </c>
      <c r="E50" s="170">
        <v>0</v>
      </c>
      <c r="F50" s="170">
        <v>0</v>
      </c>
      <c r="G50" s="170">
        <v>0</v>
      </c>
      <c r="H50" s="170">
        <v>0</v>
      </c>
      <c r="I50" s="170">
        <v>3.4</v>
      </c>
      <c r="J50" s="170">
        <v>0</v>
      </c>
      <c r="K50" s="170">
        <v>0</v>
      </c>
      <c r="L50" s="170">
        <v>0</v>
      </c>
      <c r="M50" s="161">
        <v>22.8</v>
      </c>
      <c r="Q50"/>
      <c r="R50"/>
      <c r="S50"/>
      <c r="T50"/>
    </row>
    <row r="51" spans="2:20" hidden="1" outlineLevel="1">
      <c r="B51" s="167" t="s">
        <v>270</v>
      </c>
      <c r="C51" s="170">
        <v>72</v>
      </c>
      <c r="D51" s="170">
        <v>103</v>
      </c>
      <c r="E51" s="170">
        <v>108</v>
      </c>
      <c r="F51" s="170">
        <v>206</v>
      </c>
      <c r="G51" s="170">
        <v>169</v>
      </c>
      <c r="H51" s="170">
        <v>237</v>
      </c>
      <c r="I51" s="170">
        <v>257</v>
      </c>
      <c r="J51" s="170">
        <v>266</v>
      </c>
      <c r="K51" s="170">
        <v>274</v>
      </c>
      <c r="L51" s="170">
        <v>316</v>
      </c>
      <c r="M51" s="161">
        <v>218</v>
      </c>
      <c r="Q51"/>
      <c r="R51"/>
      <c r="S51"/>
      <c r="T51"/>
    </row>
    <row r="52" spans="2:20" collapsed="1">
      <c r="B52" s="167" t="s">
        <v>271</v>
      </c>
      <c r="C52" s="170">
        <f>C47+C48+C49+C50+C51</f>
        <v>72</v>
      </c>
      <c r="D52" s="170">
        <f t="shared" ref="D52:M52" si="13">D47+D48+D49+D50+D51</f>
        <v>119.2</v>
      </c>
      <c r="E52" s="170">
        <f t="shared" si="13"/>
        <v>110.6</v>
      </c>
      <c r="F52" s="170">
        <f t="shared" si="13"/>
        <v>227</v>
      </c>
      <c r="G52" s="170">
        <f t="shared" si="13"/>
        <v>187.4</v>
      </c>
      <c r="H52" s="170">
        <f t="shared" si="13"/>
        <v>386.6</v>
      </c>
      <c r="I52" s="170">
        <f t="shared" si="13"/>
        <v>265.39999999999998</v>
      </c>
      <c r="J52" s="170">
        <f t="shared" si="13"/>
        <v>287.3</v>
      </c>
      <c r="K52" s="170">
        <f t="shared" si="13"/>
        <v>280.10000000000002</v>
      </c>
      <c r="L52" s="170">
        <f t="shared" si="13"/>
        <v>316.8</v>
      </c>
      <c r="M52" s="170">
        <f t="shared" si="13"/>
        <v>242.3</v>
      </c>
      <c r="Q52"/>
      <c r="R52"/>
      <c r="S52"/>
      <c r="T52"/>
    </row>
    <row r="53" spans="2:20" hidden="1" outlineLevel="1">
      <c r="B53" s="167" t="s">
        <v>272</v>
      </c>
      <c r="C53" s="170">
        <v>114</v>
      </c>
      <c r="D53" s="170">
        <v>125</v>
      </c>
      <c r="E53" s="170">
        <v>136</v>
      </c>
      <c r="F53" s="170">
        <v>219</v>
      </c>
      <c r="G53" s="170">
        <v>260</v>
      </c>
      <c r="H53" s="170">
        <v>295</v>
      </c>
      <c r="I53" s="170">
        <v>324</v>
      </c>
      <c r="J53" s="170">
        <v>299</v>
      </c>
      <c r="K53" s="170">
        <v>393</v>
      </c>
      <c r="L53" s="170">
        <v>435</v>
      </c>
      <c r="M53" s="161" t="s">
        <v>240</v>
      </c>
      <c r="Q53"/>
      <c r="R53"/>
      <c r="S53"/>
      <c r="T53"/>
    </row>
    <row r="54" spans="2:20" hidden="1" outlineLevel="1">
      <c r="B54" s="167" t="s">
        <v>273</v>
      </c>
      <c r="C54" s="170">
        <v>232</v>
      </c>
      <c r="D54" s="170">
        <v>246</v>
      </c>
      <c r="E54" s="170">
        <v>189</v>
      </c>
      <c r="F54" s="170">
        <v>292</v>
      </c>
      <c r="G54" s="170">
        <v>317</v>
      </c>
      <c r="H54" s="170">
        <v>385</v>
      </c>
      <c r="I54" s="170">
        <v>355</v>
      </c>
      <c r="J54" s="170">
        <v>430</v>
      </c>
      <c r="K54" s="170">
        <v>564</v>
      </c>
      <c r="L54" s="170">
        <v>562</v>
      </c>
      <c r="M54" s="161" t="s">
        <v>240</v>
      </c>
      <c r="Q54"/>
      <c r="R54"/>
      <c r="S54"/>
      <c r="T54"/>
    </row>
    <row r="55" spans="2:20" hidden="1" outlineLevel="1">
      <c r="B55" s="167" t="s">
        <v>274</v>
      </c>
      <c r="C55" s="170">
        <v>392</v>
      </c>
      <c r="D55" s="170">
        <v>397</v>
      </c>
      <c r="E55" s="170">
        <v>394</v>
      </c>
      <c r="F55" s="170">
        <v>525</v>
      </c>
      <c r="G55" s="170">
        <v>515</v>
      </c>
      <c r="H55" s="170">
        <v>600</v>
      </c>
      <c r="I55" s="170">
        <v>624</v>
      </c>
      <c r="J55" s="170">
        <v>606</v>
      </c>
      <c r="K55" s="170">
        <v>746</v>
      </c>
      <c r="L55" s="170">
        <v>896</v>
      </c>
      <c r="M55" s="161" t="s">
        <v>240</v>
      </c>
      <c r="Q55"/>
      <c r="R55"/>
      <c r="S55"/>
      <c r="T55"/>
    </row>
    <row r="56" spans="2:20" collapsed="1">
      <c r="B56" s="167" t="s">
        <v>16</v>
      </c>
      <c r="C56" s="170">
        <f>C53+C54+C55</f>
        <v>738</v>
      </c>
      <c r="D56" s="170">
        <f t="shared" ref="D56:K56" si="14">D53+D54+D55</f>
        <v>768</v>
      </c>
      <c r="E56" s="170">
        <f t="shared" si="14"/>
        <v>719</v>
      </c>
      <c r="F56" s="170">
        <f t="shared" si="14"/>
        <v>1036</v>
      </c>
      <c r="G56" s="170">
        <f t="shared" si="14"/>
        <v>1092</v>
      </c>
      <c r="H56" s="170">
        <f t="shared" si="14"/>
        <v>1280</v>
      </c>
      <c r="I56" s="170">
        <f t="shared" si="14"/>
        <v>1303</v>
      </c>
      <c r="J56" s="170">
        <f t="shared" si="14"/>
        <v>1335</v>
      </c>
      <c r="K56" s="170">
        <f t="shared" si="14"/>
        <v>1703</v>
      </c>
      <c r="L56" s="170">
        <f>L53+L54+L55</f>
        <v>1893</v>
      </c>
      <c r="M56" s="170">
        <v>2050</v>
      </c>
      <c r="Q56"/>
      <c r="R56"/>
      <c r="S56"/>
      <c r="T56"/>
    </row>
    <row r="57" spans="2:20">
      <c r="B57" s="210" t="s">
        <v>275</v>
      </c>
      <c r="C57" s="166">
        <f t="shared" ref="C57:M57" si="15">C56+C52+C46+C42+C36+C35</f>
        <v>4053.3</v>
      </c>
      <c r="D57" s="166">
        <f t="shared" si="15"/>
        <v>4605.8999999999996</v>
      </c>
      <c r="E57" s="166">
        <f t="shared" si="15"/>
        <v>3652.1</v>
      </c>
      <c r="F57" s="166">
        <f t="shared" si="15"/>
        <v>5429.6</v>
      </c>
      <c r="G57" s="166">
        <f t="shared" si="15"/>
        <v>6658.9</v>
      </c>
      <c r="H57" s="166">
        <f t="shared" si="15"/>
        <v>8782.2999999999993</v>
      </c>
      <c r="I57" s="166">
        <f t="shared" si="15"/>
        <v>8147.4</v>
      </c>
      <c r="J57" s="166">
        <f t="shared" si="15"/>
        <v>8426</v>
      </c>
      <c r="K57" s="166">
        <f t="shared" si="15"/>
        <v>10294.200000000001</v>
      </c>
      <c r="L57" s="166">
        <f t="shared" si="15"/>
        <v>13559.7</v>
      </c>
      <c r="M57" s="166">
        <f t="shared" si="15"/>
        <v>14493.099999999999</v>
      </c>
      <c r="Q57"/>
      <c r="R57"/>
      <c r="S57"/>
      <c r="T57"/>
    </row>
    <row r="58" spans="2:20">
      <c r="B58" s="165"/>
      <c r="C58" s="175"/>
      <c r="D58" s="175"/>
      <c r="E58" s="175"/>
      <c r="F58" s="175"/>
      <c r="G58" s="175"/>
      <c r="H58" s="175"/>
      <c r="I58" s="175"/>
      <c r="J58" s="175"/>
      <c r="K58" s="175"/>
      <c r="L58" s="175"/>
      <c r="M58" s="165"/>
      <c r="Q58"/>
      <c r="R58"/>
      <c r="S58"/>
      <c r="T58"/>
    </row>
    <row r="59" spans="2:20" ht="15.75" thickBot="1">
      <c r="B59" s="177" t="s">
        <v>276</v>
      </c>
      <c r="C59" s="172">
        <f t="shared" ref="C59:M59" si="16">C18-C57</f>
        <v>1387.8000000000002</v>
      </c>
      <c r="D59" s="172">
        <f t="shared" si="16"/>
        <v>1344.6000000000004</v>
      </c>
      <c r="E59" s="172">
        <f t="shared" si="16"/>
        <v>1405.9</v>
      </c>
      <c r="F59" s="172">
        <f t="shared" si="16"/>
        <v>2367.3999999999996</v>
      </c>
      <c r="G59" s="172">
        <f t="shared" si="16"/>
        <v>2472.3999999999996</v>
      </c>
      <c r="H59" s="172">
        <f t="shared" si="16"/>
        <v>2795.5</v>
      </c>
      <c r="I59" s="172">
        <f t="shared" si="16"/>
        <v>3755.5</v>
      </c>
      <c r="J59" s="172">
        <f t="shared" si="16"/>
        <v>4079.7000000000007</v>
      </c>
      <c r="K59" s="172">
        <f t="shared" si="16"/>
        <v>3704.3999999999978</v>
      </c>
      <c r="L59" s="172">
        <f t="shared" si="16"/>
        <v>2923.4000000000015</v>
      </c>
      <c r="M59" s="172">
        <f t="shared" si="16"/>
        <v>4492.3000000000029</v>
      </c>
      <c r="Q59"/>
      <c r="R59"/>
      <c r="S59"/>
      <c r="T59"/>
    </row>
    <row r="60" spans="2:20">
      <c r="B60" s="165"/>
      <c r="C60" s="175"/>
      <c r="D60" s="175"/>
      <c r="E60" s="175"/>
      <c r="F60" s="175"/>
      <c r="G60" s="175"/>
      <c r="H60" s="175"/>
      <c r="I60" s="175"/>
      <c r="J60" s="175"/>
      <c r="K60" s="175"/>
      <c r="L60" s="175"/>
      <c r="M60" s="165"/>
      <c r="Q60"/>
      <c r="R60"/>
      <c r="S60"/>
      <c r="T60"/>
    </row>
    <row r="61" spans="2:20">
      <c r="B61" s="167" t="s">
        <v>277</v>
      </c>
      <c r="C61" s="170">
        <v>550</v>
      </c>
      <c r="D61" s="170">
        <v>925</v>
      </c>
      <c r="E61" s="170">
        <v>828</v>
      </c>
      <c r="F61" s="170">
        <v>1215</v>
      </c>
      <c r="G61" s="170">
        <v>899</v>
      </c>
      <c r="H61" s="170">
        <v>1472</v>
      </c>
      <c r="I61" s="170">
        <v>1808</v>
      </c>
      <c r="J61" s="170">
        <v>1262</v>
      </c>
      <c r="K61" s="170">
        <v>1146</v>
      </c>
      <c r="L61" s="170">
        <v>1661</v>
      </c>
      <c r="M61" s="170">
        <v>1897</v>
      </c>
      <c r="Q61"/>
      <c r="R61"/>
      <c r="S61"/>
      <c r="T61"/>
    </row>
    <row r="62" spans="2:20">
      <c r="B62" s="167"/>
      <c r="Q62"/>
      <c r="R62"/>
      <c r="S62"/>
      <c r="T62"/>
    </row>
    <row r="63" spans="2:20" ht="15.75" thickBot="1">
      <c r="B63" s="178" t="s">
        <v>278</v>
      </c>
      <c r="C63" s="172">
        <f>C59-C61</f>
        <v>837.80000000000018</v>
      </c>
      <c r="D63" s="172">
        <f t="shared" ref="D63:M63" si="17">D59-D61</f>
        <v>419.60000000000036</v>
      </c>
      <c r="E63" s="172">
        <f t="shared" si="17"/>
        <v>577.90000000000009</v>
      </c>
      <c r="F63" s="172">
        <f t="shared" si="17"/>
        <v>1152.3999999999996</v>
      </c>
      <c r="G63" s="172">
        <f t="shared" si="17"/>
        <v>1573.3999999999996</v>
      </c>
      <c r="H63" s="172">
        <f t="shared" si="17"/>
        <v>1323.5</v>
      </c>
      <c r="I63" s="172">
        <f t="shared" si="17"/>
        <v>1947.5</v>
      </c>
      <c r="J63" s="172">
        <f t="shared" si="17"/>
        <v>2817.7000000000007</v>
      </c>
      <c r="K63" s="172">
        <f t="shared" si="17"/>
        <v>2558.3999999999978</v>
      </c>
      <c r="L63" s="172">
        <f t="shared" si="17"/>
        <v>1262.4000000000015</v>
      </c>
      <c r="M63" s="172">
        <f t="shared" si="17"/>
        <v>2595.3000000000029</v>
      </c>
      <c r="Q63"/>
      <c r="R63"/>
      <c r="S63"/>
      <c r="T63"/>
    </row>
    <row r="64" spans="2:20">
      <c r="B64" s="173"/>
      <c r="C64" s="175"/>
      <c r="D64" s="175"/>
      <c r="E64" s="175"/>
      <c r="F64" s="175"/>
      <c r="G64" s="175"/>
      <c r="H64" s="175"/>
      <c r="I64" s="175"/>
      <c r="J64" s="175"/>
      <c r="K64" s="175"/>
      <c r="L64" s="175"/>
      <c r="M64" s="175"/>
      <c r="Q64"/>
      <c r="R64"/>
      <c r="S64"/>
      <c r="T64"/>
    </row>
    <row r="65" spans="2:20" outlineLevel="1">
      <c r="B65" s="161" t="s">
        <v>279</v>
      </c>
      <c r="C65" s="161">
        <v>27</v>
      </c>
      <c r="D65" s="161">
        <v>17</v>
      </c>
      <c r="E65" s="161">
        <v>0.8</v>
      </c>
      <c r="F65" s="161">
        <v>1.9</v>
      </c>
      <c r="G65" s="161">
        <v>2.4</v>
      </c>
      <c r="H65" s="161">
        <v>2.4</v>
      </c>
      <c r="I65" s="161">
        <v>2.8</v>
      </c>
      <c r="J65" s="161">
        <v>2.2999999999999998</v>
      </c>
      <c r="K65" s="161">
        <v>3.5</v>
      </c>
      <c r="L65" s="161">
        <v>3.3</v>
      </c>
      <c r="M65" s="161">
        <v>3.4</v>
      </c>
      <c r="Q65"/>
      <c r="R65" s="213"/>
      <c r="S65" s="213"/>
      <c r="T65" s="213"/>
    </row>
    <row r="66" spans="2:20" outlineLevel="1">
      <c r="B66" s="161" t="s">
        <v>280</v>
      </c>
      <c r="C66" s="161">
        <v>102</v>
      </c>
      <c r="D66" s="161">
        <v>103</v>
      </c>
      <c r="E66" s="161">
        <v>75</v>
      </c>
      <c r="F66" s="161">
        <v>128</v>
      </c>
      <c r="G66" s="161">
        <v>133</v>
      </c>
      <c r="H66" s="161">
        <v>245</v>
      </c>
      <c r="I66" s="161">
        <v>289</v>
      </c>
      <c r="J66" s="161">
        <v>249</v>
      </c>
      <c r="K66" s="161">
        <v>213</v>
      </c>
      <c r="L66" s="161">
        <v>260</v>
      </c>
      <c r="M66" s="161">
        <v>554.9</v>
      </c>
      <c r="Q66"/>
      <c r="R66"/>
      <c r="S66"/>
      <c r="T66"/>
    </row>
    <row r="67" spans="2:20">
      <c r="B67" s="167" t="s">
        <v>281</v>
      </c>
      <c r="C67" s="170">
        <f>C65+C66</f>
        <v>129</v>
      </c>
      <c r="D67" s="170">
        <f t="shared" ref="D67:M67" si="18">D65+D66</f>
        <v>120</v>
      </c>
      <c r="E67" s="170">
        <f t="shared" si="18"/>
        <v>75.8</v>
      </c>
      <c r="F67" s="170">
        <f t="shared" si="18"/>
        <v>129.9</v>
      </c>
      <c r="G67" s="170">
        <f t="shared" si="18"/>
        <v>135.4</v>
      </c>
      <c r="H67" s="170">
        <f t="shared" si="18"/>
        <v>247.4</v>
      </c>
      <c r="I67" s="170">
        <f t="shared" si="18"/>
        <v>291.8</v>
      </c>
      <c r="J67" s="170">
        <f t="shared" si="18"/>
        <v>251.3</v>
      </c>
      <c r="K67" s="170">
        <f t="shared" si="18"/>
        <v>216.5</v>
      </c>
      <c r="L67" s="170">
        <f t="shared" si="18"/>
        <v>263.3</v>
      </c>
      <c r="M67" s="170">
        <f t="shared" si="18"/>
        <v>558.29999999999995</v>
      </c>
      <c r="Q67"/>
      <c r="R67"/>
      <c r="S67"/>
      <c r="T67"/>
    </row>
    <row r="68" spans="2:20">
      <c r="C68" s="170"/>
      <c r="D68" s="170"/>
      <c r="E68" s="170"/>
      <c r="F68" s="170"/>
      <c r="G68" s="170"/>
      <c r="H68" s="170"/>
      <c r="I68" s="170"/>
      <c r="J68" s="170"/>
      <c r="K68" s="170"/>
      <c r="L68" s="170"/>
      <c r="M68" s="176"/>
      <c r="Q68"/>
      <c r="R68" s="213"/>
      <c r="S68" s="213"/>
      <c r="T68" s="213"/>
    </row>
    <row r="69" spans="2:20" outlineLevel="1">
      <c r="B69" s="161" t="s">
        <v>282</v>
      </c>
      <c r="C69" s="170">
        <v>80</v>
      </c>
      <c r="D69" s="170">
        <v>55</v>
      </c>
      <c r="E69" s="170">
        <v>151</v>
      </c>
      <c r="F69" s="170">
        <v>250</v>
      </c>
      <c r="G69" s="170">
        <v>209</v>
      </c>
      <c r="H69" s="170">
        <v>165</v>
      </c>
      <c r="I69" s="170">
        <v>176</v>
      </c>
      <c r="J69" s="170">
        <v>230</v>
      </c>
      <c r="K69" s="170">
        <v>316</v>
      </c>
      <c r="L69" s="170">
        <v>306</v>
      </c>
      <c r="M69">
        <v>271</v>
      </c>
      <c r="Q69"/>
      <c r="R69"/>
      <c r="S69"/>
      <c r="T69"/>
    </row>
    <row r="70" spans="2:20" outlineLevel="1">
      <c r="B70" s="161" t="s">
        <v>283</v>
      </c>
      <c r="C70" s="170">
        <v>26</v>
      </c>
      <c r="D70" s="170">
        <v>24</v>
      </c>
      <c r="E70" s="170">
        <v>38</v>
      </c>
      <c r="F70" s="170">
        <v>58</v>
      </c>
      <c r="G70" s="170">
        <v>83</v>
      </c>
      <c r="H70" s="170">
        <v>53</v>
      </c>
      <c r="I70" s="170">
        <v>41</v>
      </c>
      <c r="J70" s="170">
        <v>9.1999999999999993</v>
      </c>
      <c r="K70" s="170">
        <v>6.3</v>
      </c>
      <c r="L70" s="170">
        <v>6.1</v>
      </c>
      <c r="M70">
        <v>6.2</v>
      </c>
      <c r="Q70"/>
      <c r="R70"/>
      <c r="S70"/>
      <c r="T70"/>
    </row>
    <row r="71" spans="2:20" outlineLevel="1">
      <c r="B71" s="161" t="s">
        <v>284</v>
      </c>
      <c r="C71" s="170">
        <v>0.5</v>
      </c>
      <c r="D71" s="170">
        <v>0.4</v>
      </c>
      <c r="E71" s="170">
        <v>0.6</v>
      </c>
      <c r="F71" s="170">
        <v>1</v>
      </c>
      <c r="G71" s="170">
        <v>1.3</v>
      </c>
      <c r="H71" s="170">
        <v>0.3</v>
      </c>
      <c r="I71" s="170">
        <v>4</v>
      </c>
      <c r="J71" s="170">
        <v>4.4000000000000004</v>
      </c>
      <c r="K71" s="170">
        <v>5.5</v>
      </c>
      <c r="L71" s="170">
        <v>17</v>
      </c>
      <c r="M71">
        <v>9.9</v>
      </c>
      <c r="Q71"/>
      <c r="R71"/>
      <c r="S71"/>
      <c r="T71"/>
    </row>
    <row r="72" spans="2:20" outlineLevel="1">
      <c r="B72" s="161" t="s">
        <v>285</v>
      </c>
      <c r="C72" s="170">
        <v>50</v>
      </c>
      <c r="D72" s="170">
        <v>31</v>
      </c>
      <c r="E72" s="170">
        <v>1.7</v>
      </c>
      <c r="F72" s="170">
        <v>8.1</v>
      </c>
      <c r="G72" s="170">
        <v>32</v>
      </c>
      <c r="H72" s="170">
        <v>0.6</v>
      </c>
      <c r="I72" s="170">
        <v>0</v>
      </c>
      <c r="J72" s="170">
        <v>24</v>
      </c>
      <c r="K72" s="170">
        <v>13</v>
      </c>
      <c r="L72" s="170">
        <v>-4.8</v>
      </c>
      <c r="M72">
        <v>0</v>
      </c>
      <c r="Q72"/>
      <c r="R72"/>
      <c r="S72"/>
      <c r="T72"/>
    </row>
    <row r="73" spans="2:20" outlineLevel="1">
      <c r="B73" s="161" t="s">
        <v>286</v>
      </c>
      <c r="C73" s="170">
        <v>12</v>
      </c>
      <c r="D73" s="170">
        <v>11</v>
      </c>
      <c r="E73" s="170">
        <v>9.4</v>
      </c>
      <c r="F73" s="170">
        <v>15</v>
      </c>
      <c r="G73" s="170">
        <v>55</v>
      </c>
      <c r="H73" s="170">
        <v>4.9000000000000004</v>
      </c>
      <c r="I73" s="170">
        <v>0.9</v>
      </c>
      <c r="J73" s="170">
        <v>0</v>
      </c>
      <c r="K73" s="170">
        <v>0</v>
      </c>
      <c r="L73" s="170">
        <v>0</v>
      </c>
      <c r="M73">
        <v>1.1000000000000001</v>
      </c>
      <c r="Q73"/>
      <c r="R73"/>
      <c r="S73"/>
      <c r="T73"/>
    </row>
    <row r="74" spans="2:20" outlineLevel="1">
      <c r="B74" s="161" t="s">
        <v>287</v>
      </c>
      <c r="C74" s="170">
        <v>16</v>
      </c>
      <c r="D74" s="170">
        <v>0</v>
      </c>
      <c r="E74" s="170">
        <v>0</v>
      </c>
      <c r="F74" s="170">
        <v>0</v>
      </c>
      <c r="G74" s="170">
        <v>0</v>
      </c>
      <c r="H74" s="170">
        <v>0</v>
      </c>
      <c r="I74" s="170">
        <v>0</v>
      </c>
      <c r="J74" s="170">
        <v>0</v>
      </c>
      <c r="K74" s="170">
        <v>2.6</v>
      </c>
      <c r="L74" s="170">
        <v>6.2</v>
      </c>
      <c r="M74">
        <v>1</v>
      </c>
      <c r="Q74"/>
      <c r="R74"/>
      <c r="S74"/>
      <c r="T74"/>
    </row>
    <row r="75" spans="2:20" outlineLevel="1">
      <c r="B75" s="161" t="s">
        <v>288</v>
      </c>
      <c r="C75" s="170">
        <v>0.9</v>
      </c>
      <c r="D75" s="170">
        <v>17</v>
      </c>
      <c r="E75" s="170">
        <v>471</v>
      </c>
      <c r="F75" s="170">
        <v>175</v>
      </c>
      <c r="G75" s="170">
        <v>9.1999999999999993</v>
      </c>
      <c r="H75" s="170">
        <v>26</v>
      </c>
      <c r="I75" s="170">
        <v>56</v>
      </c>
      <c r="J75" s="170">
        <v>171</v>
      </c>
      <c r="K75" s="170">
        <v>205</v>
      </c>
      <c r="L75" s="170">
        <v>135</v>
      </c>
      <c r="M75">
        <v>333.9</v>
      </c>
      <c r="Q75"/>
      <c r="R75"/>
      <c r="S75"/>
      <c r="T75"/>
    </row>
    <row r="76" spans="2:20">
      <c r="B76" s="167" t="s">
        <v>289</v>
      </c>
      <c r="C76" s="170">
        <f>SUM(C69:C75)</f>
        <v>185.4</v>
      </c>
      <c r="D76" s="170">
        <f t="shared" ref="D76:M76" si="19">SUM(D69:D75)</f>
        <v>138.4</v>
      </c>
      <c r="E76" s="170">
        <f t="shared" si="19"/>
        <v>671.7</v>
      </c>
      <c r="F76" s="170">
        <f t="shared" si="19"/>
        <v>507.1</v>
      </c>
      <c r="G76" s="170">
        <f t="shared" si="19"/>
        <v>389.5</v>
      </c>
      <c r="H76" s="170">
        <f t="shared" si="19"/>
        <v>249.8</v>
      </c>
      <c r="I76" s="170">
        <f t="shared" si="19"/>
        <v>277.89999999999998</v>
      </c>
      <c r="J76" s="170">
        <f t="shared" si="19"/>
        <v>438.6</v>
      </c>
      <c r="K76" s="170">
        <f t="shared" si="19"/>
        <v>548.40000000000009</v>
      </c>
      <c r="L76" s="170">
        <f t="shared" si="19"/>
        <v>465.5</v>
      </c>
      <c r="M76" s="170">
        <f t="shared" si="19"/>
        <v>623.09999999999991</v>
      </c>
      <c r="Q76"/>
      <c r="R76"/>
      <c r="S76"/>
      <c r="T76"/>
    </row>
    <row r="77" spans="2:20">
      <c r="B77" s="167"/>
      <c r="C77" s="170"/>
      <c r="D77" s="170"/>
      <c r="E77" s="170"/>
      <c r="F77" s="170"/>
      <c r="G77" s="170"/>
      <c r="H77" s="170"/>
      <c r="I77" s="170"/>
      <c r="J77" s="170"/>
      <c r="K77" s="170"/>
      <c r="L77" s="170"/>
      <c r="Q77"/>
      <c r="R77"/>
      <c r="S77"/>
      <c r="T77"/>
    </row>
    <row r="78" spans="2:20">
      <c r="B78" s="161" t="s">
        <v>290</v>
      </c>
      <c r="C78" s="170">
        <f>C63-C67+C76</f>
        <v>894.20000000000016</v>
      </c>
      <c r="D78" s="170">
        <f t="shared" ref="D78:L78" si="20">D63-D67+D76</f>
        <v>438.00000000000034</v>
      </c>
      <c r="E78" s="170">
        <f t="shared" si="20"/>
        <v>1173.8000000000002</v>
      </c>
      <c r="F78" s="170">
        <f t="shared" si="20"/>
        <v>1529.5999999999997</v>
      </c>
      <c r="G78" s="170">
        <f t="shared" si="20"/>
        <v>1827.4999999999995</v>
      </c>
      <c r="H78" s="170">
        <f t="shared" si="20"/>
        <v>1325.8999999999999</v>
      </c>
      <c r="I78" s="170">
        <f t="shared" si="20"/>
        <v>1933.6</v>
      </c>
      <c r="J78" s="170">
        <f t="shared" si="20"/>
        <v>3005.0000000000005</v>
      </c>
      <c r="K78" s="170">
        <f t="shared" si="20"/>
        <v>2890.2999999999979</v>
      </c>
      <c r="L78" s="170">
        <f t="shared" si="20"/>
        <v>1464.6000000000015</v>
      </c>
      <c r="M78" s="161">
        <v>2959</v>
      </c>
      <c r="Q78"/>
      <c r="R78"/>
      <c r="S78"/>
      <c r="T78"/>
    </row>
    <row r="79" spans="2:20">
      <c r="B79" s="167" t="s">
        <v>291</v>
      </c>
      <c r="C79" s="170">
        <v>-80.5</v>
      </c>
      <c r="D79" s="170">
        <v>-35.5</v>
      </c>
      <c r="E79" s="170">
        <v>0</v>
      </c>
      <c r="F79" s="170">
        <v>0</v>
      </c>
      <c r="G79" s="170">
        <v>0</v>
      </c>
      <c r="H79" s="170">
        <v>-178.1</v>
      </c>
      <c r="I79" s="170">
        <v>0</v>
      </c>
      <c r="J79" s="170">
        <v>0</v>
      </c>
      <c r="K79" s="170">
        <v>0</v>
      </c>
      <c r="L79" s="170">
        <v>0</v>
      </c>
      <c r="M79" s="170">
        <v>0</v>
      </c>
      <c r="Q79"/>
      <c r="R79"/>
      <c r="S79"/>
      <c r="T79"/>
    </row>
    <row r="80" spans="2:20">
      <c r="Q80"/>
      <c r="R80"/>
      <c r="S80"/>
      <c r="T80"/>
    </row>
    <row r="81" spans="2:20" ht="15.75" thickBot="1">
      <c r="B81" s="177" t="s">
        <v>4</v>
      </c>
      <c r="C81" s="172">
        <f>C78+C79</f>
        <v>813.70000000000016</v>
      </c>
      <c r="D81" s="172">
        <f t="shared" ref="D81:M81" si="21">D78+D79</f>
        <v>402.50000000000034</v>
      </c>
      <c r="E81" s="172">
        <f t="shared" si="21"/>
        <v>1173.8000000000002</v>
      </c>
      <c r="F81" s="172">
        <f t="shared" si="21"/>
        <v>1529.5999999999997</v>
      </c>
      <c r="G81" s="172">
        <f t="shared" si="21"/>
        <v>1827.4999999999995</v>
      </c>
      <c r="H81" s="172">
        <f t="shared" si="21"/>
        <v>1147.8</v>
      </c>
      <c r="I81" s="172">
        <f t="shared" si="21"/>
        <v>1933.6</v>
      </c>
      <c r="J81" s="172">
        <f t="shared" si="21"/>
        <v>3005.0000000000005</v>
      </c>
      <c r="K81" s="172">
        <f t="shared" si="21"/>
        <v>2890.2999999999979</v>
      </c>
      <c r="L81" s="172">
        <f t="shared" si="21"/>
        <v>1464.6000000000015</v>
      </c>
      <c r="M81" s="172">
        <f t="shared" si="21"/>
        <v>2959</v>
      </c>
      <c r="Q81"/>
      <c r="R81"/>
      <c r="S81"/>
      <c r="T81"/>
    </row>
    <row r="82" spans="2:20">
      <c r="B82" s="165"/>
      <c r="C82" s="175"/>
      <c r="D82" s="175"/>
      <c r="E82" s="175"/>
      <c r="F82" s="175"/>
      <c r="G82" s="175"/>
      <c r="H82" s="175"/>
      <c r="I82" s="175"/>
      <c r="J82" s="175"/>
      <c r="K82" s="175"/>
      <c r="L82" s="175"/>
      <c r="M82" s="175"/>
      <c r="Q82"/>
      <c r="R82"/>
      <c r="S82"/>
      <c r="T82"/>
    </row>
    <row r="83" spans="2:20" outlineLevel="1">
      <c r="B83" s="161" t="s">
        <v>292</v>
      </c>
      <c r="C83" s="161">
        <v>185</v>
      </c>
      <c r="D83" s="161">
        <v>96</v>
      </c>
      <c r="E83" s="161">
        <v>122</v>
      </c>
      <c r="F83" s="161">
        <v>324</v>
      </c>
      <c r="G83" s="161">
        <v>446</v>
      </c>
      <c r="H83" s="161">
        <v>221</v>
      </c>
      <c r="I83" s="161">
        <v>530</v>
      </c>
      <c r="J83" s="161">
        <v>765</v>
      </c>
      <c r="K83" s="161">
        <v>548</v>
      </c>
      <c r="L83" s="161">
        <v>252</v>
      </c>
      <c r="M83">
        <v>511.9</v>
      </c>
      <c r="Q83"/>
      <c r="R83"/>
      <c r="S83"/>
      <c r="T83"/>
    </row>
    <row r="84" spans="2:20" outlineLevel="1">
      <c r="B84" s="161" t="s">
        <v>293</v>
      </c>
      <c r="C84" s="161">
        <v>-49.1</v>
      </c>
      <c r="D84" s="161">
        <v>-52.3</v>
      </c>
      <c r="E84" s="161">
        <v>-33.700000000000003</v>
      </c>
      <c r="F84" s="161">
        <v>-134.6</v>
      </c>
      <c r="G84" s="161">
        <v>-3.6</v>
      </c>
      <c r="H84" s="161">
        <v>-87.3</v>
      </c>
      <c r="I84" s="161">
        <v>-134.9</v>
      </c>
      <c r="J84" s="161">
        <v>-40.5</v>
      </c>
      <c r="K84" s="161">
        <v>112</v>
      </c>
      <c r="L84" s="161">
        <v>128</v>
      </c>
      <c r="M84">
        <v>51.1</v>
      </c>
      <c r="Q84"/>
      <c r="R84"/>
      <c r="S84"/>
      <c r="T84"/>
    </row>
    <row r="85" spans="2:20" outlineLevel="1">
      <c r="B85" s="161" t="s">
        <v>294</v>
      </c>
      <c r="C85" s="161">
        <v>-107.5</v>
      </c>
      <c r="D85" s="161">
        <v>-69</v>
      </c>
      <c r="E85" s="161">
        <v>-55.3</v>
      </c>
      <c r="F85" s="161">
        <v>2.1</v>
      </c>
      <c r="G85" s="161">
        <v>0.3</v>
      </c>
      <c r="H85" s="161">
        <v>-2.7</v>
      </c>
      <c r="I85" s="161">
        <v>-5.3</v>
      </c>
      <c r="J85" s="161">
        <v>-10.3</v>
      </c>
      <c r="K85" s="161">
        <v>-104.5</v>
      </c>
      <c r="L85" s="161">
        <v>-154.30000000000001</v>
      </c>
      <c r="M85">
        <v>0</v>
      </c>
      <c r="Q85"/>
      <c r="R85"/>
      <c r="S85"/>
      <c r="T85"/>
    </row>
    <row r="86" spans="2:20">
      <c r="B86" s="167" t="s">
        <v>295</v>
      </c>
      <c r="C86" s="170">
        <f>C83+C84+C85</f>
        <v>28.400000000000006</v>
      </c>
      <c r="D86" s="170">
        <f t="shared" ref="D86:M86" si="22">D83+D84+D85</f>
        <v>-25.299999999999997</v>
      </c>
      <c r="E86" s="170">
        <f t="shared" si="22"/>
        <v>33</v>
      </c>
      <c r="F86" s="170">
        <f t="shared" si="22"/>
        <v>191.5</v>
      </c>
      <c r="G86" s="170">
        <f t="shared" si="22"/>
        <v>442.7</v>
      </c>
      <c r="H86" s="170">
        <f t="shared" si="22"/>
        <v>131</v>
      </c>
      <c r="I86" s="170">
        <f t="shared" si="22"/>
        <v>389.8</v>
      </c>
      <c r="J86" s="170">
        <f t="shared" si="22"/>
        <v>714.2</v>
      </c>
      <c r="K86" s="170">
        <f t="shared" si="22"/>
        <v>555.5</v>
      </c>
      <c r="L86" s="170">
        <f t="shared" si="22"/>
        <v>225.7</v>
      </c>
      <c r="M86" s="170">
        <f t="shared" si="22"/>
        <v>563</v>
      </c>
      <c r="Q86"/>
      <c r="R86"/>
      <c r="S86"/>
      <c r="T86"/>
    </row>
    <row r="87" spans="2:20">
      <c r="B87" s="167"/>
      <c r="C87" s="176"/>
      <c r="D87" s="176"/>
      <c r="E87" s="176"/>
      <c r="F87" s="176"/>
      <c r="G87" s="176"/>
      <c r="H87" s="176"/>
      <c r="I87" s="176"/>
      <c r="J87" s="176"/>
      <c r="K87" s="176"/>
      <c r="L87" s="176"/>
      <c r="Q87"/>
      <c r="R87"/>
      <c r="S87"/>
      <c r="T87"/>
    </row>
    <row r="88" spans="2:20" ht="15.75" thickBot="1">
      <c r="B88" s="171" t="s">
        <v>296</v>
      </c>
      <c r="C88" s="172">
        <f>C81-C86</f>
        <v>785.30000000000018</v>
      </c>
      <c r="D88" s="172">
        <f t="shared" ref="D88:M88" si="23">D81-D86</f>
        <v>427.80000000000035</v>
      </c>
      <c r="E88" s="172">
        <f t="shared" si="23"/>
        <v>1140.8000000000002</v>
      </c>
      <c r="F88" s="172">
        <f t="shared" si="23"/>
        <v>1338.0999999999997</v>
      </c>
      <c r="G88" s="172">
        <f t="shared" si="23"/>
        <v>1384.7999999999995</v>
      </c>
      <c r="H88" s="172">
        <f t="shared" si="23"/>
        <v>1016.8</v>
      </c>
      <c r="I88" s="172">
        <f t="shared" si="23"/>
        <v>1543.8</v>
      </c>
      <c r="J88" s="172">
        <f t="shared" si="23"/>
        <v>2290.8000000000002</v>
      </c>
      <c r="K88" s="172">
        <f t="shared" si="23"/>
        <v>2334.7999999999979</v>
      </c>
      <c r="L88" s="172">
        <f t="shared" si="23"/>
        <v>1238.9000000000015</v>
      </c>
      <c r="M88" s="172">
        <f t="shared" si="23"/>
        <v>2396</v>
      </c>
      <c r="Q88"/>
      <c r="R88"/>
      <c r="S88"/>
      <c r="T88"/>
    </row>
    <row r="89" spans="2:20">
      <c r="C89" s="176"/>
      <c r="D89" s="176"/>
      <c r="E89" s="176"/>
      <c r="F89" s="176"/>
      <c r="G89" s="176"/>
      <c r="H89" s="176"/>
      <c r="I89" s="176"/>
      <c r="J89" s="176"/>
      <c r="K89" s="176"/>
      <c r="L89" s="176"/>
      <c r="M89" s="176"/>
      <c r="Q89"/>
      <c r="R89" s="213"/>
      <c r="S89" s="213"/>
      <c r="T89" s="213"/>
    </row>
    <row r="90" spans="2:20" outlineLevel="1">
      <c r="B90" s="161" t="s">
        <v>297</v>
      </c>
      <c r="C90" s="161">
        <v>0</v>
      </c>
      <c r="D90" s="161">
        <v>0</v>
      </c>
      <c r="E90" s="161">
        <v>0</v>
      </c>
      <c r="F90" s="161">
        <v>0</v>
      </c>
      <c r="G90" s="161">
        <v>0</v>
      </c>
      <c r="H90" s="161">
        <v>-8.6999999999999993</v>
      </c>
      <c r="I90" s="161">
        <v>-8.1999999999999993</v>
      </c>
      <c r="J90" s="161">
        <v>-3.7</v>
      </c>
      <c r="K90" s="161">
        <v>-4.7</v>
      </c>
      <c r="L90" s="161">
        <v>1.6</v>
      </c>
      <c r="M90" s="161">
        <v>0.5</v>
      </c>
      <c r="Q90"/>
      <c r="R90"/>
      <c r="S90"/>
      <c r="T90"/>
    </row>
    <row r="91" spans="2:20" outlineLevel="1">
      <c r="B91" s="161" t="s">
        <v>298</v>
      </c>
      <c r="C91" s="161">
        <v>0</v>
      </c>
      <c r="D91" s="161">
        <v>0</v>
      </c>
      <c r="E91" s="161">
        <v>0</v>
      </c>
      <c r="F91" s="161">
        <v>0</v>
      </c>
      <c r="G91" s="161">
        <v>0</v>
      </c>
      <c r="H91" s="161">
        <v>0</v>
      </c>
      <c r="I91" s="161">
        <v>0</v>
      </c>
      <c r="J91" s="161">
        <v>0</v>
      </c>
      <c r="K91" s="161">
        <v>0</v>
      </c>
      <c r="L91" s="161">
        <v>0</v>
      </c>
      <c r="M91" s="161">
        <v>-1</v>
      </c>
      <c r="Q91"/>
      <c r="R91"/>
      <c r="S91"/>
      <c r="T91"/>
    </row>
    <row r="92" spans="2:20">
      <c r="B92" s="165" t="s">
        <v>299</v>
      </c>
      <c r="C92" s="179">
        <f>C88+C90+C91</f>
        <v>785.30000000000018</v>
      </c>
      <c r="D92" s="179">
        <f t="shared" ref="D92:M92" si="24">D88+D90+D91</f>
        <v>427.80000000000035</v>
      </c>
      <c r="E92" s="179">
        <f t="shared" si="24"/>
        <v>1140.8000000000002</v>
      </c>
      <c r="F92" s="179">
        <f t="shared" si="24"/>
        <v>1338.0999999999997</v>
      </c>
      <c r="G92" s="179">
        <f t="shared" si="24"/>
        <v>1384.7999999999995</v>
      </c>
      <c r="H92" s="179">
        <f t="shared" si="24"/>
        <v>1008.0999999999999</v>
      </c>
      <c r="I92" s="179">
        <f t="shared" si="24"/>
        <v>1535.6</v>
      </c>
      <c r="J92" s="179">
        <f t="shared" si="24"/>
        <v>2287.1000000000004</v>
      </c>
      <c r="K92" s="179">
        <f t="shared" si="24"/>
        <v>2330.0999999999981</v>
      </c>
      <c r="L92" s="179">
        <f t="shared" si="24"/>
        <v>1240.5000000000014</v>
      </c>
      <c r="M92" s="179">
        <f t="shared" si="24"/>
        <v>2395.5</v>
      </c>
      <c r="Q92"/>
      <c r="R92"/>
      <c r="S92"/>
      <c r="T92"/>
    </row>
    <row r="93" spans="2:20">
      <c r="Q93"/>
      <c r="R93"/>
      <c r="S93"/>
      <c r="T93"/>
    </row>
    <row r="94" spans="2:20">
      <c r="B94" s="161" t="s">
        <v>300</v>
      </c>
      <c r="C94" s="174">
        <f t="shared" ref="C94:L94" si="25">C92/C4</f>
        <v>0.13332767402376913</v>
      </c>
      <c r="D94" s="174">
        <f t="shared" si="25"/>
        <v>6.6253678178720826E-2</v>
      </c>
      <c r="E94" s="174">
        <f t="shared" si="25"/>
        <v>0.20313390313390317</v>
      </c>
      <c r="F94" s="174">
        <f t="shared" si="25"/>
        <v>0.14957522915269392</v>
      </c>
      <c r="G94" s="174">
        <f t="shared" si="25"/>
        <v>0.1468037739849464</v>
      </c>
      <c r="H94" s="174">
        <f t="shared" si="25"/>
        <v>8.7989875185476116E-2</v>
      </c>
      <c r="I94" s="174">
        <f t="shared" si="25"/>
        <v>0.12708764379707024</v>
      </c>
      <c r="J94" s="174">
        <f t="shared" si="25"/>
        <v>0.13825182856797438</v>
      </c>
      <c r="K94" s="174">
        <f t="shared" si="25"/>
        <v>0.22348935353922866</v>
      </c>
      <c r="L94" s="174">
        <f t="shared" si="25"/>
        <v>0.10281806879403244</v>
      </c>
      <c r="M94" s="174"/>
      <c r="Q94"/>
      <c r="R94"/>
      <c r="S94"/>
      <c r="T94"/>
    </row>
    <row r="95" spans="2:20">
      <c r="C95" s="174"/>
      <c r="D95" s="174"/>
      <c r="E95" s="174"/>
      <c r="F95" s="174"/>
      <c r="G95" s="174"/>
      <c r="H95" s="174"/>
      <c r="I95" s="174"/>
      <c r="J95" s="174"/>
      <c r="K95" s="174"/>
      <c r="L95" s="174"/>
      <c r="M95" s="174"/>
      <c r="Q95"/>
      <c r="R95" s="213"/>
      <c r="S95" s="213"/>
      <c r="T95" s="213"/>
    </row>
    <row r="96" spans="2:20">
      <c r="B96" s="161" t="s">
        <v>301</v>
      </c>
      <c r="C96" s="161">
        <v>226</v>
      </c>
      <c r="D96" s="161">
        <v>122</v>
      </c>
      <c r="E96" s="161">
        <v>328</v>
      </c>
      <c r="F96" s="161">
        <v>384</v>
      </c>
      <c r="G96" s="161">
        <v>397</v>
      </c>
      <c r="H96" s="161">
        <v>289</v>
      </c>
      <c r="I96" s="161">
        <v>426</v>
      </c>
      <c r="J96" s="161">
        <v>634</v>
      </c>
      <c r="K96" s="161">
        <v>646</v>
      </c>
      <c r="L96" s="161">
        <v>352</v>
      </c>
      <c r="M96" s="161">
        <v>623</v>
      </c>
      <c r="Q96"/>
      <c r="R96"/>
      <c r="S96"/>
      <c r="T96"/>
    </row>
    <row r="97" spans="2:20">
      <c r="B97" s="161" t="s">
        <v>302</v>
      </c>
      <c r="C97" s="161">
        <v>226</v>
      </c>
      <c r="D97" s="161">
        <v>122</v>
      </c>
      <c r="E97" s="161">
        <v>328</v>
      </c>
      <c r="F97" s="161">
        <v>384</v>
      </c>
      <c r="G97" s="161">
        <v>397</v>
      </c>
      <c r="H97" s="161">
        <v>289</v>
      </c>
      <c r="I97" s="161">
        <v>426</v>
      </c>
      <c r="J97" s="161">
        <v>634</v>
      </c>
      <c r="K97" s="161">
        <v>646</v>
      </c>
      <c r="L97" s="161">
        <v>352</v>
      </c>
      <c r="M97" s="161">
        <v>623</v>
      </c>
      <c r="Q97"/>
      <c r="R97"/>
      <c r="S97"/>
      <c r="T97"/>
    </row>
    <row r="98" spans="2:20">
      <c r="Q98"/>
      <c r="R98"/>
      <c r="S98"/>
      <c r="T98"/>
    </row>
  </sheetData>
  <pageMargins left="0.7" right="0.7" top="0.75" bottom="0.75" header="0.3" footer="0.3"/>
  <pageSetup orientation="portrait" horizontalDpi="4294967295" verticalDpi="429496729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2DED-A0AD-4713-A6B3-148C3AC4B165}">
  <sheetPr codeName="Sheet24"/>
  <dimension ref="B1:Y141"/>
  <sheetViews>
    <sheetView showGridLines="0" topLeftCell="A17" workbookViewId="0">
      <pane xSplit="3" topLeftCell="O1" activePane="topRight" state="frozen"/>
      <selection pane="topRight" activeCell="M8" sqref="M8"/>
    </sheetView>
  </sheetViews>
  <sheetFormatPr defaultColWidth="8.85546875" defaultRowHeight="15" outlineLevelRow="1"/>
  <cols>
    <col min="1" max="1" width="1.85546875" style="161" customWidth="1"/>
    <col min="2" max="2" width="44.140625" style="161" customWidth="1"/>
    <col min="3" max="3" width="20" style="161" hidden="1" customWidth="1"/>
    <col min="4" max="12" width="20" style="161" customWidth="1"/>
    <col min="13" max="13" width="18.42578125" style="161" customWidth="1"/>
    <col min="14" max="14" width="11.7109375" style="161" customWidth="1"/>
    <col min="15" max="15" width="33.28515625" style="161" bestFit="1" customWidth="1"/>
    <col min="16" max="25" width="11.7109375" style="161" customWidth="1"/>
    <col min="26" max="16384" width="8.85546875" style="161"/>
  </cols>
  <sheetData>
    <row r="1" spans="2:18">
      <c r="B1" s="180" t="s">
        <v>303</v>
      </c>
      <c r="C1" s="181" t="s">
        <v>229</v>
      </c>
      <c r="D1" s="181" t="s">
        <v>230</v>
      </c>
      <c r="E1" s="181" t="s">
        <v>231</v>
      </c>
      <c r="F1" s="181" t="s">
        <v>232</v>
      </c>
      <c r="G1" s="181" t="s">
        <v>233</v>
      </c>
      <c r="H1" s="181" t="s">
        <v>234</v>
      </c>
      <c r="I1" s="181" t="s">
        <v>235</v>
      </c>
      <c r="J1" s="181" t="s">
        <v>236</v>
      </c>
      <c r="K1" s="181" t="s">
        <v>237</v>
      </c>
      <c r="L1" s="181" t="s">
        <v>238</v>
      </c>
      <c r="M1" s="480">
        <v>45352</v>
      </c>
    </row>
    <row r="2" spans="2:18">
      <c r="B2" s="182"/>
      <c r="C2" s="182"/>
      <c r="D2" s="182"/>
      <c r="E2" s="182"/>
      <c r="F2" s="182"/>
      <c r="G2" s="182"/>
      <c r="H2" s="182"/>
      <c r="I2" s="182"/>
      <c r="J2" s="182"/>
      <c r="K2" s="182"/>
      <c r="L2" s="182"/>
    </row>
    <row r="3" spans="2:18">
      <c r="B3" s="165"/>
      <c r="C3" s="166"/>
      <c r="D3" s="166"/>
      <c r="E3" s="166"/>
      <c r="F3" s="166"/>
      <c r="G3" s="166"/>
      <c r="H3" s="166"/>
      <c r="I3" s="166"/>
      <c r="J3" s="166"/>
      <c r="K3" s="166"/>
      <c r="L3" s="166"/>
      <c r="O3" s="211"/>
    </row>
    <row r="4" spans="2:18">
      <c r="B4" s="165" t="s">
        <v>304</v>
      </c>
      <c r="C4" s="166"/>
      <c r="D4" s="166"/>
      <c r="E4" s="166"/>
      <c r="F4" s="166"/>
      <c r="G4" s="166"/>
      <c r="H4" s="166"/>
      <c r="I4" s="166"/>
      <c r="J4" s="166"/>
      <c r="K4" s="166"/>
      <c r="L4" s="166"/>
      <c r="O4"/>
    </row>
    <row r="5" spans="2:18">
      <c r="B5" s="165"/>
      <c r="C5" s="166"/>
      <c r="D5" s="166"/>
      <c r="E5" s="166"/>
      <c r="F5" s="166"/>
      <c r="G5" s="166"/>
      <c r="H5" s="166"/>
      <c r="I5" s="166"/>
      <c r="J5" s="166"/>
      <c r="K5" s="166"/>
      <c r="L5" s="166"/>
      <c r="O5" s="211"/>
      <c r="P5" s="481"/>
      <c r="Q5" s="481"/>
      <c r="R5" s="226"/>
    </row>
    <row r="6" spans="2:18">
      <c r="B6" s="165" t="s">
        <v>305</v>
      </c>
      <c r="C6" s="166">
        <v>2194</v>
      </c>
      <c r="D6" s="166">
        <v>3004</v>
      </c>
      <c r="E6" s="166">
        <v>3050</v>
      </c>
      <c r="F6" s="166">
        <v>2599</v>
      </c>
      <c r="G6" s="166">
        <v>3589</v>
      </c>
      <c r="H6" s="166">
        <v>6182</v>
      </c>
      <c r="I6" s="166">
        <v>6163</v>
      </c>
      <c r="J6" s="166">
        <v>6216</v>
      </c>
      <c r="K6" s="166">
        <v>7282</v>
      </c>
      <c r="L6" s="166">
        <v>7481</v>
      </c>
      <c r="M6" s="165">
        <v>9590.91</v>
      </c>
      <c r="O6"/>
      <c r="P6" s="226"/>
      <c r="Q6" s="226"/>
      <c r="R6" s="226"/>
    </row>
    <row r="7" spans="2:18" outlineLevel="1">
      <c r="B7" s="167" t="s">
        <v>6</v>
      </c>
      <c r="C7" s="170">
        <f t="shared" ref="C7:K7" si="0">C11-C12</f>
        <v>2194</v>
      </c>
      <c r="D7" s="170">
        <f t="shared" si="0"/>
        <v>3005</v>
      </c>
      <c r="E7" s="170">
        <f t="shared" si="0"/>
        <v>3050</v>
      </c>
      <c r="F7" s="170">
        <f t="shared" si="0"/>
        <v>2599</v>
      </c>
      <c r="G7" s="170">
        <f t="shared" si="0"/>
        <v>3589</v>
      </c>
      <c r="H7" s="170">
        <f t="shared" si="0"/>
        <v>6182</v>
      </c>
      <c r="I7" s="170">
        <f t="shared" si="0"/>
        <v>6163</v>
      </c>
      <c r="J7" s="170">
        <f t="shared" si="0"/>
        <v>6217</v>
      </c>
      <c r="K7" s="170">
        <f t="shared" si="0"/>
        <v>7282</v>
      </c>
      <c r="L7" s="170">
        <f>L11-L12</f>
        <v>7481</v>
      </c>
      <c r="O7"/>
      <c r="P7" s="226"/>
      <c r="Q7" s="226"/>
      <c r="R7" s="226"/>
    </row>
    <row r="8" spans="2:18" outlineLevel="1">
      <c r="B8" s="184" t="s">
        <v>632</v>
      </c>
      <c r="C8" s="170">
        <v>2193.77</v>
      </c>
      <c r="D8" s="170">
        <v>2921.19</v>
      </c>
      <c r="E8" s="170">
        <v>3050.17</v>
      </c>
      <c r="F8" s="170">
        <v>2586.34</v>
      </c>
      <c r="G8" s="170">
        <v>3577.11</v>
      </c>
      <c r="H8" s="170">
        <v>6138.16</v>
      </c>
      <c r="I8" s="170">
        <v>5697.35</v>
      </c>
      <c r="J8" s="170">
        <v>5714.5</v>
      </c>
      <c r="K8" s="170">
        <v>6724.19</v>
      </c>
      <c r="L8" s="170">
        <v>6794.74</v>
      </c>
      <c r="M8" s="161">
        <v>8836</v>
      </c>
      <c r="O8"/>
      <c r="P8" s="149"/>
      <c r="Q8" s="149"/>
      <c r="R8" s="149"/>
    </row>
    <row r="9" spans="2:18" outlineLevel="1">
      <c r="B9" s="184" t="s">
        <v>633</v>
      </c>
      <c r="C9" s="170">
        <v>0</v>
      </c>
      <c r="D9" s="170">
        <v>83.14</v>
      </c>
      <c r="E9" s="170">
        <v>0</v>
      </c>
      <c r="F9" s="170">
        <v>0</v>
      </c>
      <c r="G9" s="170">
        <v>0</v>
      </c>
      <c r="H9" s="170">
        <v>0</v>
      </c>
      <c r="I9" s="170">
        <v>412.46</v>
      </c>
      <c r="J9" s="170">
        <v>441.5</v>
      </c>
      <c r="K9" s="170">
        <v>500.8</v>
      </c>
      <c r="L9" s="170">
        <v>612.46</v>
      </c>
      <c r="M9" s="161">
        <v>632.51</v>
      </c>
      <c r="O9"/>
      <c r="P9" s="149"/>
      <c r="Q9" s="149"/>
      <c r="R9" s="149"/>
    </row>
    <row r="10" spans="2:18" outlineLevel="1">
      <c r="B10" s="184" t="s">
        <v>575</v>
      </c>
      <c r="C10" s="170">
        <v>0</v>
      </c>
      <c r="D10" s="170"/>
      <c r="E10" s="170">
        <v>0</v>
      </c>
      <c r="F10" s="170">
        <v>12.88</v>
      </c>
      <c r="G10" s="170">
        <v>12.07</v>
      </c>
      <c r="H10" s="170">
        <v>46.49</v>
      </c>
      <c r="I10" s="170">
        <v>53.21</v>
      </c>
      <c r="J10" s="170">
        <v>60.25</v>
      </c>
      <c r="K10" s="170">
        <v>57.25</v>
      </c>
      <c r="L10" s="170">
        <v>74.67</v>
      </c>
      <c r="M10" s="161">
        <v>123.45</v>
      </c>
      <c r="O10"/>
      <c r="P10" s="226"/>
      <c r="Q10" s="226"/>
      <c r="R10" s="226"/>
    </row>
    <row r="11" spans="2:18" outlineLevel="1">
      <c r="B11" s="183" t="s">
        <v>306</v>
      </c>
      <c r="C11" s="170">
        <v>6908</v>
      </c>
      <c r="D11" s="170">
        <v>8650</v>
      </c>
      <c r="E11" s="170">
        <v>3872</v>
      </c>
      <c r="F11" s="170">
        <v>4635</v>
      </c>
      <c r="G11" s="170">
        <v>6548</v>
      </c>
      <c r="H11" s="170">
        <v>10621</v>
      </c>
      <c r="I11" s="170">
        <v>12407</v>
      </c>
      <c r="J11" s="170">
        <v>13706</v>
      </c>
      <c r="K11" s="170">
        <v>15921</v>
      </c>
      <c r="L11" s="170">
        <v>17820</v>
      </c>
      <c r="M11" s="161">
        <v>21785</v>
      </c>
      <c r="O11"/>
      <c r="P11" s="226"/>
      <c r="Q11" s="226"/>
      <c r="R11" s="226"/>
    </row>
    <row r="12" spans="2:18" outlineLevel="1">
      <c r="B12" s="183" t="s">
        <v>307</v>
      </c>
      <c r="C12" s="170">
        <v>4714</v>
      </c>
      <c r="D12" s="170">
        <v>5645</v>
      </c>
      <c r="E12" s="170">
        <v>822</v>
      </c>
      <c r="F12" s="170">
        <v>2036</v>
      </c>
      <c r="G12" s="170">
        <v>2959</v>
      </c>
      <c r="H12" s="170">
        <v>4439</v>
      </c>
      <c r="I12" s="170">
        <v>6244</v>
      </c>
      <c r="J12" s="170">
        <v>7489</v>
      </c>
      <c r="K12" s="170">
        <v>8639</v>
      </c>
      <c r="L12" s="170">
        <v>10339</v>
      </c>
      <c r="M12" s="161">
        <v>12194</v>
      </c>
      <c r="O12"/>
      <c r="P12" s="226"/>
      <c r="Q12" s="226"/>
      <c r="R12" s="226"/>
    </row>
    <row r="13" spans="2:18">
      <c r="B13" s="183"/>
      <c r="C13" s="170"/>
      <c r="D13" s="170"/>
      <c r="E13" s="170"/>
      <c r="F13" s="170"/>
      <c r="G13" s="170"/>
      <c r="H13" s="170"/>
      <c r="I13" s="170"/>
      <c r="J13" s="170"/>
      <c r="K13" s="170"/>
      <c r="L13" s="170"/>
      <c r="O13"/>
      <c r="P13" s="226"/>
      <c r="Q13" s="226"/>
      <c r="R13" s="226"/>
    </row>
    <row r="14" spans="2:18">
      <c r="B14" s="165" t="s">
        <v>7</v>
      </c>
      <c r="C14" s="166">
        <v>758</v>
      </c>
      <c r="D14" s="166">
        <v>511</v>
      </c>
      <c r="E14" s="166">
        <v>264</v>
      </c>
      <c r="F14" s="166">
        <v>710</v>
      </c>
      <c r="G14" s="166">
        <v>1427</v>
      </c>
      <c r="H14" s="166">
        <v>1129</v>
      </c>
      <c r="I14" s="166">
        <v>1198</v>
      </c>
      <c r="J14" s="166">
        <v>997</v>
      </c>
      <c r="K14" s="166">
        <v>1054</v>
      </c>
      <c r="L14" s="166">
        <v>2797</v>
      </c>
      <c r="M14" s="165">
        <v>1929.67</v>
      </c>
      <c r="O14"/>
      <c r="P14" s="226"/>
      <c r="Q14" s="226"/>
      <c r="R14" s="226"/>
    </row>
    <row r="15" spans="2:18">
      <c r="B15" s="165"/>
      <c r="C15" s="166"/>
      <c r="D15" s="166"/>
      <c r="E15" s="166"/>
      <c r="F15" s="166"/>
      <c r="G15" s="166"/>
      <c r="H15" s="166"/>
      <c r="I15" s="166"/>
      <c r="J15" s="166"/>
      <c r="K15" s="166"/>
      <c r="L15" s="166"/>
      <c r="O15"/>
      <c r="P15" s="149"/>
      <c r="Q15" s="149"/>
      <c r="R15" s="149"/>
    </row>
    <row r="16" spans="2:18">
      <c r="B16" s="165" t="s">
        <v>308</v>
      </c>
      <c r="C16" s="166">
        <v>1904</v>
      </c>
      <c r="D16" s="166">
        <v>2055</v>
      </c>
      <c r="E16" s="166">
        <v>3968</v>
      </c>
      <c r="F16" s="166">
        <v>4067</v>
      </c>
      <c r="G16" s="166">
        <v>3912</v>
      </c>
      <c r="H16" s="166">
        <v>2850</v>
      </c>
      <c r="I16" s="166">
        <v>3947</v>
      </c>
      <c r="J16" s="166">
        <v>5327</v>
      </c>
      <c r="K16" s="166">
        <v>6268</v>
      </c>
      <c r="L16" s="166">
        <v>6406</v>
      </c>
      <c r="M16" s="166">
        <v>3562.5</v>
      </c>
      <c r="O16"/>
      <c r="P16" s="149"/>
      <c r="Q16" s="149"/>
      <c r="R16" s="226"/>
    </row>
    <row r="17" spans="2:25">
      <c r="B17" s="161" t="s">
        <v>603</v>
      </c>
      <c r="C17" s="170"/>
      <c r="D17" s="170">
        <f>D18+D21</f>
        <v>2055</v>
      </c>
      <c r="E17" s="170">
        <f t="shared" ref="E17:K17" si="1">E18+E21</f>
        <v>3348</v>
      </c>
      <c r="F17" s="170">
        <f t="shared" si="1"/>
        <v>3845</v>
      </c>
      <c r="G17" s="170">
        <f t="shared" si="1"/>
        <v>3675</v>
      </c>
      <c r="H17" s="170">
        <f t="shared" si="1"/>
        <v>2778</v>
      </c>
      <c r="I17" s="170">
        <f t="shared" si="1"/>
        <v>3743</v>
      </c>
      <c r="J17" s="170">
        <f t="shared" si="1"/>
        <v>5179</v>
      </c>
      <c r="K17" s="170">
        <f t="shared" si="1"/>
        <v>6100</v>
      </c>
      <c r="L17" s="170">
        <f>L18+L21</f>
        <v>6149</v>
      </c>
      <c r="M17" s="170">
        <v>3378</v>
      </c>
      <c r="O17"/>
      <c r="P17" s="149"/>
      <c r="Q17" s="149"/>
      <c r="R17" s="149"/>
    </row>
    <row r="18" spans="2:25" hidden="1" outlineLevel="1">
      <c r="B18" s="167" t="s">
        <v>309</v>
      </c>
      <c r="C18" s="170">
        <v>1519</v>
      </c>
      <c r="D18" s="170">
        <v>1499</v>
      </c>
      <c r="E18" s="170">
        <v>2950</v>
      </c>
      <c r="F18" s="170">
        <v>3388</v>
      </c>
      <c r="G18" s="170">
        <v>3123</v>
      </c>
      <c r="H18" s="170">
        <v>2253</v>
      </c>
      <c r="I18" s="170">
        <v>3271</v>
      </c>
      <c r="J18" s="170">
        <v>4699</v>
      </c>
      <c r="K18" s="170">
        <v>5506</v>
      </c>
      <c r="L18" s="170">
        <v>5285</v>
      </c>
      <c r="M18" s="337"/>
      <c r="O18"/>
      <c r="P18" s="226"/>
      <c r="Q18" s="226"/>
      <c r="R18" s="226"/>
    </row>
    <row r="19" spans="2:25" hidden="1" outlineLevel="1">
      <c r="B19" s="184" t="s">
        <v>310</v>
      </c>
      <c r="C19" s="170"/>
      <c r="D19" s="170">
        <v>1353.79</v>
      </c>
      <c r="E19" s="170">
        <v>2547.64</v>
      </c>
      <c r="F19" s="170">
        <v>3185.82</v>
      </c>
      <c r="G19" s="170">
        <v>2846.72</v>
      </c>
      <c r="H19" s="170">
        <v>2079.88</v>
      </c>
      <c r="I19" s="170">
        <v>3139.19</v>
      </c>
      <c r="J19" s="170">
        <v>4624.43</v>
      </c>
      <c r="K19" s="170">
        <v>5432.73</v>
      </c>
      <c r="L19" s="170">
        <v>5211.72</v>
      </c>
      <c r="M19" s="279"/>
      <c r="N19" s="278"/>
      <c r="O19"/>
      <c r="P19"/>
      <c r="Q19"/>
      <c r="R19"/>
      <c r="S19" s="278"/>
      <c r="T19" s="278"/>
      <c r="U19" s="278"/>
      <c r="V19" s="278"/>
      <c r="W19" s="278"/>
      <c r="X19" s="278"/>
      <c r="Y19" s="278"/>
    </row>
    <row r="20" spans="2:25" hidden="1" outlineLevel="1">
      <c r="B20" s="184" t="s">
        <v>311</v>
      </c>
      <c r="C20" s="170"/>
      <c r="D20" s="170">
        <v>145.07</v>
      </c>
      <c r="E20" s="170">
        <v>402.63</v>
      </c>
      <c r="F20" s="170">
        <v>202.41</v>
      </c>
      <c r="G20" s="170">
        <v>276.32</v>
      </c>
      <c r="H20" s="170">
        <v>173.01</v>
      </c>
      <c r="I20" s="170">
        <v>132.09</v>
      </c>
      <c r="J20" s="170">
        <v>74.599999999999994</v>
      </c>
      <c r="K20" s="170">
        <v>73.61</v>
      </c>
      <c r="L20" s="170">
        <v>73.53</v>
      </c>
      <c r="M20" s="281"/>
      <c r="N20" s="279"/>
      <c r="O20"/>
      <c r="P20" s="226"/>
      <c r="Q20" s="226"/>
      <c r="R20" s="226"/>
      <c r="S20" s="279"/>
      <c r="T20" s="279"/>
      <c r="U20" s="279"/>
      <c r="V20" s="279"/>
      <c r="W20" s="279"/>
      <c r="X20" s="280"/>
      <c r="Y20" s="280"/>
    </row>
    <row r="21" spans="2:25" hidden="1" outlineLevel="1">
      <c r="B21" s="167" t="s">
        <v>312</v>
      </c>
      <c r="C21" s="170">
        <v>385</v>
      </c>
      <c r="D21" s="170">
        <v>556</v>
      </c>
      <c r="E21" s="170">
        <v>398</v>
      </c>
      <c r="F21" s="170">
        <v>457</v>
      </c>
      <c r="G21" s="170">
        <v>552</v>
      </c>
      <c r="H21" s="170">
        <v>525</v>
      </c>
      <c r="I21" s="170">
        <v>472</v>
      </c>
      <c r="J21" s="170">
        <v>480</v>
      </c>
      <c r="K21" s="170">
        <v>594</v>
      </c>
      <c r="L21" s="170">
        <v>864</v>
      </c>
      <c r="M21" s="337"/>
      <c r="N21" s="281"/>
      <c r="O21"/>
      <c r="P21" s="226"/>
      <c r="Q21" s="226"/>
      <c r="R21" s="226"/>
      <c r="S21" s="281"/>
      <c r="T21" s="281"/>
      <c r="U21" s="281"/>
      <c r="V21" s="281"/>
      <c r="W21" s="281"/>
      <c r="X21" s="281"/>
      <c r="Y21" s="278"/>
    </row>
    <row r="22" spans="2:25" collapsed="1">
      <c r="B22" s="210" t="s">
        <v>313</v>
      </c>
      <c r="C22" s="166">
        <v>0</v>
      </c>
      <c r="D22" s="166">
        <v>0</v>
      </c>
      <c r="E22" s="166">
        <v>620</v>
      </c>
      <c r="F22" s="166">
        <v>221</v>
      </c>
      <c r="G22" s="166">
        <v>237</v>
      </c>
      <c r="H22" s="166">
        <v>72</v>
      </c>
      <c r="I22" s="166">
        <v>204</v>
      </c>
      <c r="J22" s="166">
        <v>148</v>
      </c>
      <c r="K22" s="166">
        <v>168</v>
      </c>
      <c r="L22" s="166">
        <v>257</v>
      </c>
      <c r="M22" s="256">
        <v>184.45</v>
      </c>
      <c r="O22"/>
      <c r="P22" s="149"/>
      <c r="Q22" s="149"/>
      <c r="R22" s="149"/>
    </row>
    <row r="23" spans="2:25">
      <c r="B23" s="161" t="s">
        <v>358</v>
      </c>
      <c r="C23" s="170">
        <v>142.9</v>
      </c>
      <c r="D23" s="170">
        <v>195.2</v>
      </c>
      <c r="E23" s="170">
        <v>371.8</v>
      </c>
      <c r="F23" s="170">
        <v>507.7</v>
      </c>
      <c r="G23" s="170">
        <v>513</v>
      </c>
      <c r="H23" s="170">
        <v>612.4</v>
      </c>
      <c r="I23" s="170">
        <v>743.6</v>
      </c>
      <c r="J23" s="170">
        <v>786.1</v>
      </c>
      <c r="K23" s="170">
        <v>674.4</v>
      </c>
      <c r="L23" s="170">
        <v>682.3</v>
      </c>
      <c r="M23" s="161">
        <v>629.27</v>
      </c>
      <c r="O23"/>
      <c r="P23" s="226"/>
      <c r="Q23" s="226"/>
      <c r="R23" s="226"/>
    </row>
    <row r="24" spans="2:25">
      <c r="C24" s="170"/>
      <c r="D24" s="170"/>
      <c r="E24" s="170"/>
      <c r="F24" s="170"/>
      <c r="G24" s="170"/>
      <c r="H24" s="170"/>
      <c r="I24" s="170"/>
      <c r="J24" s="170"/>
      <c r="K24" s="170"/>
      <c r="L24" s="170"/>
      <c r="O24"/>
      <c r="P24" s="149"/>
      <c r="Q24" s="149"/>
      <c r="R24" s="149"/>
    </row>
    <row r="25" spans="2:25">
      <c r="B25" s="177" t="s">
        <v>314</v>
      </c>
      <c r="C25" s="185">
        <f>C16+C14+C6+C23</f>
        <v>4998.8999999999996</v>
      </c>
      <c r="D25" s="185">
        <f t="shared" ref="D25:M25" si="2">D16+D14+D6+D23</f>
        <v>5765.2</v>
      </c>
      <c r="E25" s="185">
        <f t="shared" si="2"/>
        <v>7653.8</v>
      </c>
      <c r="F25" s="185">
        <f t="shared" si="2"/>
        <v>7883.7</v>
      </c>
      <c r="G25" s="185">
        <f t="shared" si="2"/>
        <v>9441</v>
      </c>
      <c r="H25" s="185">
        <f t="shared" si="2"/>
        <v>10773.4</v>
      </c>
      <c r="I25" s="185">
        <f t="shared" si="2"/>
        <v>12051.6</v>
      </c>
      <c r="J25" s="185">
        <f t="shared" si="2"/>
        <v>13326.1</v>
      </c>
      <c r="K25" s="185">
        <f t="shared" si="2"/>
        <v>15278.4</v>
      </c>
      <c r="L25" s="185">
        <f t="shared" si="2"/>
        <v>17366.3</v>
      </c>
      <c r="M25" s="185">
        <f t="shared" si="2"/>
        <v>15712.35</v>
      </c>
      <c r="O25"/>
      <c r="P25" s="149"/>
      <c r="Q25" s="149"/>
      <c r="R25" s="149"/>
    </row>
    <row r="26" spans="2:25">
      <c r="C26" s="170"/>
      <c r="D26" s="170"/>
      <c r="E26" s="170"/>
      <c r="F26" s="170"/>
      <c r="G26" s="170"/>
      <c r="H26" s="170"/>
      <c r="I26" s="170"/>
      <c r="J26" s="170"/>
      <c r="K26" s="170"/>
      <c r="L26" s="170"/>
      <c r="O26"/>
      <c r="P26" s="149"/>
      <c r="Q26" s="149"/>
      <c r="R26" s="149"/>
    </row>
    <row r="27" spans="2:25">
      <c r="B27" s="165"/>
      <c r="C27" s="166"/>
      <c r="D27" s="166"/>
      <c r="E27" s="166"/>
      <c r="F27" s="166"/>
      <c r="G27" s="166"/>
      <c r="H27" s="166"/>
      <c r="I27" s="166"/>
      <c r="J27" s="166"/>
      <c r="K27" s="166"/>
      <c r="L27" s="166"/>
      <c r="O27"/>
      <c r="P27" s="149"/>
      <c r="Q27" s="149"/>
      <c r="R27" s="149"/>
    </row>
    <row r="28" spans="2:25">
      <c r="B28" s="165" t="s">
        <v>315</v>
      </c>
      <c r="C28" s="166">
        <v>810</v>
      </c>
      <c r="D28" s="166">
        <v>919</v>
      </c>
      <c r="E28" s="166">
        <v>815</v>
      </c>
      <c r="F28" s="166">
        <v>1314</v>
      </c>
      <c r="G28" s="166">
        <v>1569</v>
      </c>
      <c r="H28" s="166">
        <v>1870</v>
      </c>
      <c r="I28" s="166">
        <v>1713</v>
      </c>
      <c r="J28" s="166">
        <v>1716</v>
      </c>
      <c r="K28" s="166">
        <v>2497</v>
      </c>
      <c r="L28" s="166">
        <v>2760</v>
      </c>
      <c r="M28" s="165">
        <v>3555.07</v>
      </c>
      <c r="O28"/>
      <c r="P28" s="226"/>
      <c r="Q28" s="226"/>
      <c r="R28" s="226"/>
    </row>
    <row r="29" spans="2:25">
      <c r="C29" s="170"/>
      <c r="D29" s="170"/>
      <c r="E29" s="170"/>
      <c r="F29" s="170"/>
      <c r="G29" s="170"/>
      <c r="H29" s="170"/>
      <c r="I29" s="170"/>
      <c r="J29" s="170"/>
      <c r="K29" s="170"/>
      <c r="L29" s="170"/>
      <c r="O29"/>
      <c r="P29" s="149"/>
      <c r="Q29" s="226"/>
      <c r="R29" s="226"/>
    </row>
    <row r="30" spans="2:25">
      <c r="B30" s="165" t="s">
        <v>56</v>
      </c>
      <c r="C30" s="166">
        <f>C32+C36+C41+C45+C50</f>
        <v>1519</v>
      </c>
      <c r="D30" s="166">
        <f t="shared" ref="D30:K30" si="3">D32+D36+D41+D45+D50</f>
        <v>1313.4</v>
      </c>
      <c r="E30" s="166">
        <f t="shared" si="3"/>
        <v>995.7</v>
      </c>
      <c r="F30" s="166">
        <f t="shared" si="3"/>
        <v>1966.6</v>
      </c>
      <c r="G30" s="166">
        <f t="shared" si="3"/>
        <v>4130.1000000000004</v>
      </c>
      <c r="H30" s="166">
        <f t="shared" si="3"/>
        <v>2848.8</v>
      </c>
      <c r="I30" s="166">
        <f t="shared" si="3"/>
        <v>6180.1</v>
      </c>
      <c r="J30" s="166">
        <f t="shared" si="3"/>
        <v>6470</v>
      </c>
      <c r="K30" s="166">
        <f t="shared" si="3"/>
        <v>5971.4</v>
      </c>
      <c r="L30" s="166">
        <f>L32+L36+L41+L45+L50</f>
        <v>6208.1</v>
      </c>
      <c r="M30" s="166">
        <f>M32+M36+M41+M45+M50</f>
        <v>8657.1</v>
      </c>
      <c r="O30"/>
      <c r="P30" s="149"/>
      <c r="Q30" s="149"/>
      <c r="R30" s="149"/>
    </row>
    <row r="31" spans="2:25">
      <c r="B31" s="165"/>
      <c r="C31" s="166"/>
      <c r="D31" s="166"/>
      <c r="E31" s="166"/>
      <c r="F31" s="166"/>
      <c r="G31" s="166"/>
      <c r="H31" s="166"/>
      <c r="I31" s="166"/>
      <c r="J31" s="166"/>
      <c r="K31" s="166"/>
      <c r="L31" s="166"/>
      <c r="O31"/>
      <c r="P31" s="149"/>
      <c r="Q31" s="226"/>
      <c r="R31" s="226"/>
    </row>
    <row r="32" spans="2:25">
      <c r="B32" s="165" t="s">
        <v>8</v>
      </c>
      <c r="C32" s="166">
        <f>C33+C34</f>
        <v>725</v>
      </c>
      <c r="D32" s="166">
        <f t="shared" ref="D32:K32" si="4">D33+D34</f>
        <v>164</v>
      </c>
      <c r="E32" s="166">
        <f t="shared" si="4"/>
        <v>80</v>
      </c>
      <c r="F32" s="166">
        <f t="shared" si="4"/>
        <v>654</v>
      </c>
      <c r="G32" s="166">
        <f t="shared" si="4"/>
        <v>2311</v>
      </c>
      <c r="H32" s="166">
        <f t="shared" si="4"/>
        <v>33</v>
      </c>
      <c r="I32" s="166">
        <f t="shared" si="4"/>
        <v>3086</v>
      </c>
      <c r="J32" s="166">
        <f t="shared" si="4"/>
        <v>3801</v>
      </c>
      <c r="K32" s="166">
        <f t="shared" si="4"/>
        <v>3526</v>
      </c>
      <c r="L32" s="166">
        <f>L33+L34</f>
        <v>3398</v>
      </c>
      <c r="M32" s="166">
        <f>M33+M34</f>
        <v>5264</v>
      </c>
      <c r="O32"/>
      <c r="P32" s="149"/>
      <c r="Q32" s="149"/>
      <c r="R32" s="149"/>
    </row>
    <row r="33" spans="2:18">
      <c r="B33" s="167" t="s">
        <v>316</v>
      </c>
      <c r="C33" s="170">
        <v>130</v>
      </c>
      <c r="D33" s="170">
        <v>90</v>
      </c>
      <c r="E33" s="170">
        <v>0</v>
      </c>
      <c r="F33" s="170">
        <v>77</v>
      </c>
      <c r="G33" s="170">
        <v>40</v>
      </c>
      <c r="H33" s="170">
        <v>33</v>
      </c>
      <c r="I33" s="170">
        <v>3086</v>
      </c>
      <c r="J33" s="170">
        <v>3801</v>
      </c>
      <c r="K33" s="170">
        <v>3526</v>
      </c>
      <c r="L33" s="170">
        <v>3398</v>
      </c>
      <c r="M33" s="161">
        <v>5264</v>
      </c>
      <c r="O33"/>
      <c r="P33" s="149"/>
      <c r="Q33" s="149"/>
      <c r="R33" s="149"/>
    </row>
    <row r="34" spans="2:18">
      <c r="B34" s="167" t="s">
        <v>317</v>
      </c>
      <c r="C34" s="170">
        <v>595</v>
      </c>
      <c r="D34" s="170">
        <v>74</v>
      </c>
      <c r="E34" s="170">
        <v>80</v>
      </c>
      <c r="F34" s="170">
        <v>577</v>
      </c>
      <c r="G34" s="170">
        <v>2271</v>
      </c>
      <c r="H34" s="170">
        <v>0</v>
      </c>
      <c r="I34" s="170">
        <v>0</v>
      </c>
      <c r="J34" s="170">
        <v>0</v>
      </c>
      <c r="K34" s="170">
        <v>0</v>
      </c>
      <c r="L34" s="170">
        <v>0</v>
      </c>
      <c r="M34" s="170">
        <v>0</v>
      </c>
      <c r="O34"/>
      <c r="P34" s="149"/>
      <c r="Q34" s="149"/>
      <c r="R34" s="149"/>
    </row>
    <row r="35" spans="2:18">
      <c r="C35" s="170"/>
      <c r="D35" s="170"/>
      <c r="E35" s="170"/>
      <c r="F35" s="170"/>
      <c r="G35" s="170"/>
      <c r="H35" s="170"/>
      <c r="I35" s="170"/>
      <c r="J35" s="170"/>
      <c r="K35" s="170"/>
      <c r="L35" s="170"/>
      <c r="O35"/>
      <c r="P35" s="149"/>
      <c r="Q35" s="149"/>
      <c r="R35" s="149"/>
    </row>
    <row r="36" spans="2:18">
      <c r="B36" s="165" t="s">
        <v>318</v>
      </c>
      <c r="C36" s="166">
        <v>297</v>
      </c>
      <c r="D36" s="166">
        <v>476</v>
      </c>
      <c r="E36" s="166">
        <v>329</v>
      </c>
      <c r="F36" s="166">
        <v>335</v>
      </c>
      <c r="G36" s="166">
        <v>459</v>
      </c>
      <c r="H36" s="166">
        <v>1024</v>
      </c>
      <c r="I36" s="166">
        <v>1080</v>
      </c>
      <c r="J36" s="166">
        <v>679</v>
      </c>
      <c r="K36" s="166">
        <v>788</v>
      </c>
      <c r="L36" s="166">
        <v>1212</v>
      </c>
      <c r="M36" s="247">
        <v>1286.53</v>
      </c>
      <c r="O36"/>
      <c r="P36" s="149"/>
      <c r="Q36" s="149"/>
      <c r="R36" s="149"/>
    </row>
    <row r="37" spans="2:18">
      <c r="B37" s="167" t="s">
        <v>319</v>
      </c>
      <c r="C37" s="170">
        <v>6</v>
      </c>
      <c r="D37" s="170">
        <v>5.9</v>
      </c>
      <c r="E37" s="170">
        <v>0</v>
      </c>
      <c r="F37" s="170">
        <v>0</v>
      </c>
      <c r="G37" s="170">
        <v>0</v>
      </c>
      <c r="H37" s="170">
        <v>0</v>
      </c>
      <c r="I37" s="170">
        <v>0</v>
      </c>
      <c r="J37" s="170">
        <v>99</v>
      </c>
      <c r="K37" s="170">
        <v>92</v>
      </c>
      <c r="L37" s="170">
        <v>91</v>
      </c>
      <c r="M37" s="149">
        <v>92.22</v>
      </c>
      <c r="O37"/>
      <c r="P37" s="149"/>
      <c r="Q37" s="149"/>
      <c r="R37" s="149"/>
    </row>
    <row r="38" spans="2:18">
      <c r="B38" s="167" t="s">
        <v>320</v>
      </c>
      <c r="C38" s="170">
        <v>291</v>
      </c>
      <c r="D38" s="170">
        <v>470</v>
      </c>
      <c r="E38" s="170">
        <v>329</v>
      </c>
      <c r="F38" s="170">
        <v>335</v>
      </c>
      <c r="G38" s="170">
        <v>460</v>
      </c>
      <c r="H38" s="170">
        <v>1032</v>
      </c>
      <c r="I38" s="170">
        <v>1094</v>
      </c>
      <c r="J38" s="170">
        <v>614</v>
      </c>
      <c r="K38" s="170">
        <v>737</v>
      </c>
      <c r="L38" s="170">
        <v>1164</v>
      </c>
      <c r="M38" s="226">
        <v>1237.6199999999999</v>
      </c>
      <c r="O38"/>
      <c r="P38" s="149"/>
      <c r="Q38" s="149"/>
      <c r="R38" s="149"/>
    </row>
    <row r="39" spans="2:18">
      <c r="B39" s="167" t="s">
        <v>321</v>
      </c>
      <c r="C39" s="170">
        <v>0</v>
      </c>
      <c r="D39" s="170">
        <v>0</v>
      </c>
      <c r="E39" s="170">
        <v>0</v>
      </c>
      <c r="F39" s="170">
        <v>0</v>
      </c>
      <c r="G39" s="170">
        <v>0.4</v>
      </c>
      <c r="H39" s="170">
        <v>0.6</v>
      </c>
      <c r="I39" s="170">
        <v>4.3</v>
      </c>
      <c r="J39" s="170">
        <v>21</v>
      </c>
      <c r="K39" s="170">
        <v>6</v>
      </c>
      <c r="L39" s="170">
        <v>0.2</v>
      </c>
      <c r="O39"/>
      <c r="P39" s="149"/>
      <c r="Q39" s="149"/>
      <c r="R39" s="149"/>
    </row>
    <row r="40" spans="2:18">
      <c r="C40" s="170"/>
      <c r="D40" s="170"/>
      <c r="E40" s="170"/>
      <c r="F40" s="170"/>
      <c r="G40" s="170"/>
      <c r="H40" s="170"/>
      <c r="I40" s="170"/>
      <c r="J40" s="170"/>
      <c r="K40" s="170"/>
      <c r="L40" s="170"/>
      <c r="O40"/>
      <c r="P40" s="149"/>
      <c r="Q40" s="149"/>
      <c r="R40" s="149"/>
    </row>
    <row r="41" spans="2:18">
      <c r="B41" s="165" t="s">
        <v>322</v>
      </c>
      <c r="C41" s="166">
        <f>C42+C43</f>
        <v>159</v>
      </c>
      <c r="D41" s="166">
        <f t="shared" ref="D41:L41" si="5">D42+D43</f>
        <v>307.39999999999998</v>
      </c>
      <c r="E41" s="166">
        <f t="shared" si="5"/>
        <v>83.5</v>
      </c>
      <c r="F41" s="166">
        <f t="shared" si="5"/>
        <v>110.7</v>
      </c>
      <c r="G41" s="166">
        <f t="shared" si="5"/>
        <v>120.6</v>
      </c>
      <c r="H41" s="166">
        <f t="shared" si="5"/>
        <v>438.9</v>
      </c>
      <c r="I41" s="166">
        <f t="shared" si="5"/>
        <v>614.5</v>
      </c>
      <c r="J41" s="166">
        <f t="shared" si="5"/>
        <v>708</v>
      </c>
      <c r="K41" s="166">
        <f t="shared" si="5"/>
        <v>289.39999999999998</v>
      </c>
      <c r="L41" s="166">
        <f t="shared" si="5"/>
        <v>161.1</v>
      </c>
      <c r="M41" s="256">
        <v>421.81</v>
      </c>
      <c r="O41"/>
      <c r="P41" s="149"/>
      <c r="Q41" s="149"/>
      <c r="R41" s="149"/>
    </row>
    <row r="42" spans="2:18">
      <c r="B42" s="167" t="s">
        <v>323</v>
      </c>
      <c r="C42" s="170">
        <v>1</v>
      </c>
      <c r="D42" s="170">
        <v>0.4</v>
      </c>
      <c r="E42" s="170">
        <v>0.5</v>
      </c>
      <c r="F42" s="170">
        <v>0.7</v>
      </c>
      <c r="G42" s="170">
        <v>0.6</v>
      </c>
      <c r="H42" s="170">
        <v>0.9</v>
      </c>
      <c r="I42" s="170">
        <v>1.5</v>
      </c>
      <c r="J42" s="170">
        <v>1</v>
      </c>
      <c r="K42" s="170">
        <v>1.4</v>
      </c>
      <c r="L42" s="170">
        <v>3.1</v>
      </c>
      <c r="M42" s="149">
        <v>3.13</v>
      </c>
      <c r="O42"/>
      <c r="P42" s="149"/>
      <c r="Q42" s="149"/>
      <c r="R42" s="149"/>
    </row>
    <row r="43" spans="2:18">
      <c r="B43" s="167" t="s">
        <v>324</v>
      </c>
      <c r="C43" s="170">
        <v>158</v>
      </c>
      <c r="D43" s="170">
        <v>307</v>
      </c>
      <c r="E43" s="170">
        <v>83</v>
      </c>
      <c r="F43" s="170">
        <v>110</v>
      </c>
      <c r="G43" s="170">
        <v>120</v>
      </c>
      <c r="H43" s="170">
        <v>438</v>
      </c>
      <c r="I43" s="170">
        <v>613</v>
      </c>
      <c r="J43" s="170">
        <v>707</v>
      </c>
      <c r="K43" s="170">
        <v>288</v>
      </c>
      <c r="L43" s="170">
        <v>158</v>
      </c>
      <c r="M43" s="149">
        <v>418.68</v>
      </c>
      <c r="O43"/>
      <c r="P43" s="149"/>
      <c r="Q43" s="149"/>
      <c r="R43" s="149"/>
    </row>
    <row r="44" spans="2:18">
      <c r="C44" s="170"/>
      <c r="D44" s="170"/>
      <c r="E44" s="170"/>
      <c r="F44" s="170"/>
      <c r="G44" s="170"/>
      <c r="H44" s="170"/>
      <c r="I44" s="170"/>
      <c r="J44" s="170"/>
      <c r="K44" s="170"/>
      <c r="L44" s="170"/>
      <c r="O44"/>
      <c r="P44" s="226"/>
      <c r="Q44" s="226"/>
      <c r="R44" s="226"/>
    </row>
    <row r="45" spans="2:18">
      <c r="B45" s="165" t="s">
        <v>325</v>
      </c>
      <c r="C45" s="166">
        <f>SUM(C46:C48)</f>
        <v>287</v>
      </c>
      <c r="D45" s="166">
        <f t="shared" ref="D45:L45" si="6">SUM(D46:D48)</f>
        <v>334</v>
      </c>
      <c r="E45" s="166">
        <f t="shared" si="6"/>
        <v>199</v>
      </c>
      <c r="F45" s="166">
        <f t="shared" si="6"/>
        <v>86</v>
      </c>
      <c r="G45" s="166">
        <f t="shared" si="6"/>
        <v>119</v>
      </c>
      <c r="H45" s="166">
        <f t="shared" si="6"/>
        <v>171</v>
      </c>
      <c r="I45" s="166">
        <f t="shared" si="6"/>
        <v>151</v>
      </c>
      <c r="J45" s="166">
        <f t="shared" si="6"/>
        <v>118</v>
      </c>
      <c r="K45" s="166">
        <f t="shared" si="6"/>
        <v>150</v>
      </c>
      <c r="L45" s="166">
        <f t="shared" si="6"/>
        <v>173</v>
      </c>
      <c r="M45" s="149">
        <v>171.37</v>
      </c>
      <c r="O45"/>
      <c r="P45" s="149"/>
      <c r="Q45" s="149"/>
      <c r="R45" s="149"/>
    </row>
    <row r="46" spans="2:18" outlineLevel="1">
      <c r="B46" s="167" t="s">
        <v>326</v>
      </c>
      <c r="C46" s="170">
        <v>116</v>
      </c>
      <c r="D46" s="170">
        <v>216</v>
      </c>
      <c r="E46" s="170">
        <v>41</v>
      </c>
      <c r="F46" s="170">
        <v>50</v>
      </c>
      <c r="G46" s="170">
        <v>99</v>
      </c>
      <c r="H46" s="170">
        <v>116</v>
      </c>
      <c r="I46" s="170">
        <v>136</v>
      </c>
      <c r="J46" s="170">
        <v>93</v>
      </c>
      <c r="K46" s="170">
        <v>115</v>
      </c>
      <c r="L46" s="170">
        <v>159</v>
      </c>
      <c r="M46" s="149">
        <v>156.5</v>
      </c>
      <c r="O46"/>
      <c r="P46" s="149"/>
      <c r="Q46" s="149"/>
      <c r="R46" s="149"/>
    </row>
    <row r="47" spans="2:18" outlineLevel="1">
      <c r="B47" s="167" t="s">
        <v>327</v>
      </c>
      <c r="C47" s="170">
        <v>0</v>
      </c>
      <c r="D47" s="170">
        <v>0</v>
      </c>
      <c r="E47" s="170">
        <v>45</v>
      </c>
      <c r="F47" s="170">
        <v>0</v>
      </c>
      <c r="G47" s="170">
        <v>0</v>
      </c>
      <c r="H47" s="170">
        <v>0</v>
      </c>
      <c r="I47" s="170">
        <v>0</v>
      </c>
      <c r="J47" s="170">
        <v>0</v>
      </c>
      <c r="K47" s="170">
        <v>0</v>
      </c>
      <c r="L47" s="170">
        <v>0</v>
      </c>
      <c r="M47" s="170">
        <v>0</v>
      </c>
      <c r="O47"/>
      <c r="P47" s="149"/>
      <c r="Q47" s="149"/>
      <c r="R47" s="149"/>
    </row>
    <row r="48" spans="2:18" outlineLevel="1">
      <c r="B48" s="167" t="s">
        <v>328</v>
      </c>
      <c r="C48" s="170">
        <v>171</v>
      </c>
      <c r="D48" s="170">
        <v>118</v>
      </c>
      <c r="E48" s="170">
        <v>113</v>
      </c>
      <c r="F48" s="170">
        <v>36</v>
      </c>
      <c r="G48" s="170">
        <v>20</v>
      </c>
      <c r="H48" s="170">
        <v>55</v>
      </c>
      <c r="I48" s="170">
        <v>15</v>
      </c>
      <c r="J48" s="170">
        <v>25</v>
      </c>
      <c r="K48" s="170">
        <v>35</v>
      </c>
      <c r="L48" s="170">
        <v>14</v>
      </c>
      <c r="M48" s="149">
        <v>14.87</v>
      </c>
      <c r="O48"/>
      <c r="P48" s="149"/>
      <c r="Q48" s="149"/>
      <c r="R48" s="149"/>
    </row>
    <row r="49" spans="2:18">
      <c r="C49" s="170"/>
      <c r="D49" s="170"/>
      <c r="E49" s="170"/>
      <c r="F49" s="170"/>
      <c r="G49" s="170"/>
      <c r="H49" s="170"/>
      <c r="I49" s="170"/>
      <c r="J49" s="170"/>
      <c r="K49" s="170"/>
      <c r="L49" s="170"/>
      <c r="O49"/>
      <c r="P49" s="149"/>
      <c r="Q49" s="149"/>
      <c r="R49" s="149"/>
    </row>
    <row r="50" spans="2:18">
      <c r="B50" s="165" t="s">
        <v>288</v>
      </c>
      <c r="C50" s="166">
        <f>SUM(C51:C55)</f>
        <v>51</v>
      </c>
      <c r="D50" s="166">
        <f t="shared" ref="D50:K50" si="7">SUM(D51:D55)</f>
        <v>32</v>
      </c>
      <c r="E50" s="166">
        <f t="shared" si="7"/>
        <v>304.2</v>
      </c>
      <c r="F50" s="166">
        <f t="shared" si="7"/>
        <v>780.9</v>
      </c>
      <c r="G50" s="166">
        <f t="shared" si="7"/>
        <v>1120.5</v>
      </c>
      <c r="H50" s="166">
        <f t="shared" si="7"/>
        <v>1181.9000000000001</v>
      </c>
      <c r="I50" s="166">
        <f t="shared" si="7"/>
        <v>1248.5999999999999</v>
      </c>
      <c r="J50" s="166">
        <f t="shared" si="7"/>
        <v>1164</v>
      </c>
      <c r="K50" s="166">
        <f t="shared" si="7"/>
        <v>1218</v>
      </c>
      <c r="L50" s="166">
        <f>SUM(L51:L55)</f>
        <v>1264</v>
      </c>
      <c r="M50" s="247">
        <v>1513.39</v>
      </c>
      <c r="O50"/>
      <c r="P50" s="226"/>
      <c r="Q50" s="226"/>
      <c r="R50" s="226"/>
    </row>
    <row r="51" spans="2:18" outlineLevel="1">
      <c r="B51" s="167" t="s">
        <v>329</v>
      </c>
      <c r="C51" s="170">
        <v>5.3</v>
      </c>
      <c r="D51" s="170">
        <v>2.4</v>
      </c>
      <c r="E51" s="170">
        <v>0</v>
      </c>
      <c r="F51" s="170">
        <v>0</v>
      </c>
      <c r="G51" s="170">
        <v>0</v>
      </c>
      <c r="H51" s="170">
        <v>0</v>
      </c>
      <c r="I51" s="170">
        <v>0</v>
      </c>
      <c r="J51" s="170">
        <v>0</v>
      </c>
      <c r="K51" s="170">
        <v>0</v>
      </c>
      <c r="L51" s="170">
        <v>0</v>
      </c>
      <c r="M51" s="170">
        <v>0</v>
      </c>
      <c r="O51"/>
      <c r="P51" s="226"/>
      <c r="Q51" s="226"/>
      <c r="R51" s="226"/>
    </row>
    <row r="52" spans="2:18" outlineLevel="1">
      <c r="B52" s="167" t="s">
        <v>330</v>
      </c>
      <c r="C52" s="170">
        <v>13</v>
      </c>
      <c r="D52" s="170">
        <v>13</v>
      </c>
      <c r="E52" s="170">
        <v>25</v>
      </c>
      <c r="F52" s="170">
        <v>57</v>
      </c>
      <c r="G52" s="170">
        <v>74</v>
      </c>
      <c r="H52" s="170">
        <v>58</v>
      </c>
      <c r="I52" s="170">
        <v>96</v>
      </c>
      <c r="J52" s="170">
        <v>138</v>
      </c>
      <c r="K52" s="170">
        <v>155</v>
      </c>
      <c r="L52" s="170">
        <v>146</v>
      </c>
      <c r="M52" s="149">
        <v>106.54</v>
      </c>
      <c r="O52"/>
      <c r="P52" s="226"/>
      <c r="Q52" s="226"/>
      <c r="R52" s="226"/>
    </row>
    <row r="53" spans="2:18" outlineLevel="1">
      <c r="B53" s="167" t="s">
        <v>331</v>
      </c>
      <c r="C53" s="170">
        <v>13</v>
      </c>
      <c r="D53" s="170">
        <v>12</v>
      </c>
      <c r="E53" s="170">
        <v>0</v>
      </c>
      <c r="F53" s="170">
        <v>0</v>
      </c>
      <c r="G53" s="170">
        <v>0</v>
      </c>
      <c r="H53" s="170">
        <v>0</v>
      </c>
      <c r="I53" s="170">
        <v>0</v>
      </c>
      <c r="J53" s="170">
        <v>0</v>
      </c>
      <c r="K53" s="170">
        <v>0</v>
      </c>
      <c r="L53" s="170">
        <v>0</v>
      </c>
      <c r="M53" s="170">
        <v>0</v>
      </c>
      <c r="O53"/>
      <c r="P53" s="149"/>
      <c r="Q53" s="149"/>
      <c r="R53" s="149"/>
    </row>
    <row r="54" spans="2:18" outlineLevel="1">
      <c r="B54" s="167" t="s">
        <v>55</v>
      </c>
      <c r="C54" s="170">
        <v>3.7</v>
      </c>
      <c r="D54" s="170">
        <v>4.5999999999999996</v>
      </c>
      <c r="E54" s="170">
        <v>3.2</v>
      </c>
      <c r="F54" s="170">
        <v>3.9</v>
      </c>
      <c r="G54" s="170">
        <v>5.5</v>
      </c>
      <c r="H54" s="170">
        <v>7.9</v>
      </c>
      <c r="I54" s="170">
        <v>8.6</v>
      </c>
      <c r="J54" s="170">
        <v>12</v>
      </c>
      <c r="K54" s="170">
        <v>12</v>
      </c>
      <c r="L54" s="170">
        <v>13</v>
      </c>
      <c r="M54" s="149">
        <v>30.53</v>
      </c>
      <c r="O54"/>
      <c r="P54" s="226"/>
      <c r="Q54" s="226"/>
      <c r="R54" s="226"/>
    </row>
    <row r="55" spans="2:18" outlineLevel="1">
      <c r="B55" s="167" t="s">
        <v>332</v>
      </c>
      <c r="C55" s="170">
        <v>16</v>
      </c>
      <c r="D55" s="170">
        <v>0</v>
      </c>
      <c r="E55" s="170">
        <v>276</v>
      </c>
      <c r="F55" s="170">
        <v>720</v>
      </c>
      <c r="G55" s="170">
        <v>1041</v>
      </c>
      <c r="H55" s="170">
        <v>1116</v>
      </c>
      <c r="I55" s="170">
        <v>1144</v>
      </c>
      <c r="J55" s="170">
        <v>1014</v>
      </c>
      <c r="K55" s="170">
        <v>1051</v>
      </c>
      <c r="L55" s="170">
        <v>1105</v>
      </c>
      <c r="M55" s="161">
        <v>1376.32</v>
      </c>
      <c r="O55"/>
      <c r="P55" s="226"/>
      <c r="Q55" s="149"/>
      <c r="R55" s="149"/>
    </row>
    <row r="56" spans="2:18">
      <c r="C56" s="170"/>
      <c r="D56" s="170"/>
      <c r="E56" s="170"/>
      <c r="F56" s="170"/>
      <c r="G56" s="170"/>
      <c r="H56" s="170"/>
      <c r="I56" s="170"/>
      <c r="J56" s="170"/>
      <c r="K56" s="170"/>
      <c r="L56" s="170"/>
      <c r="O56"/>
      <c r="P56" s="149"/>
      <c r="Q56" s="149"/>
      <c r="R56" s="149"/>
    </row>
    <row r="57" spans="2:18">
      <c r="B57" s="177" t="s">
        <v>333</v>
      </c>
      <c r="C57" s="185">
        <f>C28+C32+C36+C41+C45+C50</f>
        <v>2329</v>
      </c>
      <c r="D57" s="185">
        <f t="shared" ref="D57:M57" si="8">D28+D32+D36+D41+D45+D50</f>
        <v>2232.4</v>
      </c>
      <c r="E57" s="185">
        <f t="shared" si="8"/>
        <v>1810.7</v>
      </c>
      <c r="F57" s="185">
        <f t="shared" si="8"/>
        <v>3280.6</v>
      </c>
      <c r="G57" s="185">
        <f t="shared" si="8"/>
        <v>5699.1</v>
      </c>
      <c r="H57" s="185">
        <f t="shared" si="8"/>
        <v>4718.8</v>
      </c>
      <c r="I57" s="185">
        <f t="shared" si="8"/>
        <v>7893.1</v>
      </c>
      <c r="J57" s="185">
        <f t="shared" si="8"/>
        <v>8186</v>
      </c>
      <c r="K57" s="185">
        <f t="shared" si="8"/>
        <v>8468.4</v>
      </c>
      <c r="L57" s="185">
        <f t="shared" si="8"/>
        <v>8968.1</v>
      </c>
      <c r="M57" s="185">
        <f t="shared" si="8"/>
        <v>12212.17</v>
      </c>
      <c r="O57"/>
      <c r="P57" s="149"/>
      <c r="Q57" s="149"/>
      <c r="R57" s="149"/>
    </row>
    <row r="58" spans="2:18">
      <c r="C58" s="170"/>
      <c r="D58" s="170"/>
      <c r="E58" s="170"/>
      <c r="F58" s="170"/>
      <c r="G58" s="170"/>
      <c r="H58" s="170"/>
      <c r="I58" s="170"/>
      <c r="J58" s="170"/>
      <c r="K58" s="170"/>
      <c r="L58" s="170"/>
      <c r="O58"/>
      <c r="P58" s="226"/>
      <c r="Q58" s="226"/>
      <c r="R58" s="226"/>
    </row>
    <row r="59" spans="2:18">
      <c r="C59" s="170"/>
      <c r="D59" s="170"/>
      <c r="E59" s="170"/>
      <c r="F59" s="170"/>
      <c r="G59" s="170"/>
      <c r="H59" s="170"/>
      <c r="I59" s="170"/>
      <c r="J59" s="170"/>
      <c r="K59" s="170"/>
      <c r="L59" s="170"/>
      <c r="O59"/>
      <c r="P59" s="226"/>
      <c r="Q59" s="226"/>
      <c r="R59" s="226"/>
    </row>
    <row r="60" spans="2:18" ht="15.75" thickBot="1">
      <c r="B60" s="171" t="s">
        <v>127</v>
      </c>
      <c r="C60" s="172">
        <f t="shared" ref="C60:M60" si="9">C57+C25</f>
        <v>7327.9</v>
      </c>
      <c r="D60" s="172">
        <f t="shared" si="9"/>
        <v>7997.6</v>
      </c>
      <c r="E60" s="172">
        <f t="shared" si="9"/>
        <v>9464.5</v>
      </c>
      <c r="F60" s="172">
        <f t="shared" si="9"/>
        <v>11164.3</v>
      </c>
      <c r="G60" s="172">
        <f t="shared" si="9"/>
        <v>15140.1</v>
      </c>
      <c r="H60" s="172">
        <f t="shared" si="9"/>
        <v>15492.2</v>
      </c>
      <c r="I60" s="172">
        <f t="shared" si="9"/>
        <v>19944.7</v>
      </c>
      <c r="J60" s="172">
        <f t="shared" si="9"/>
        <v>21512.1</v>
      </c>
      <c r="K60" s="172">
        <f t="shared" si="9"/>
        <v>23746.799999999999</v>
      </c>
      <c r="L60" s="172">
        <f t="shared" si="9"/>
        <v>26334.400000000001</v>
      </c>
      <c r="M60" s="172">
        <f t="shared" si="9"/>
        <v>27924.52</v>
      </c>
      <c r="O60"/>
      <c r="P60" s="226"/>
      <c r="Q60" s="226"/>
      <c r="R60" s="226"/>
    </row>
    <row r="61" spans="2:18">
      <c r="C61" s="170"/>
      <c r="D61" s="170"/>
      <c r="E61" s="170"/>
      <c r="F61" s="170"/>
      <c r="G61" s="170"/>
      <c r="H61" s="170"/>
      <c r="I61" s="170"/>
      <c r="J61" s="170"/>
      <c r="K61" s="170"/>
      <c r="L61" s="170"/>
      <c r="O61"/>
      <c r="P61" s="226"/>
      <c r="Q61" s="226"/>
      <c r="R61" s="226"/>
    </row>
    <row r="62" spans="2:18">
      <c r="C62" s="170"/>
      <c r="D62" s="170"/>
      <c r="E62" s="170"/>
      <c r="F62" s="170"/>
      <c r="G62" s="170"/>
      <c r="H62" s="170"/>
      <c r="I62" s="170"/>
      <c r="J62" s="170"/>
      <c r="K62" s="170"/>
      <c r="L62" s="170"/>
      <c r="O62"/>
      <c r="P62" s="149"/>
      <c r="Q62" s="226"/>
      <c r="R62" s="149"/>
    </row>
    <row r="63" spans="2:18">
      <c r="C63" s="170"/>
      <c r="D63" s="170"/>
      <c r="E63" s="170"/>
      <c r="F63" s="170"/>
      <c r="G63" s="170"/>
      <c r="H63" s="170"/>
      <c r="I63" s="170"/>
      <c r="J63" s="170"/>
      <c r="K63" s="170"/>
      <c r="L63" s="170"/>
      <c r="O63"/>
      <c r="P63" s="226"/>
      <c r="Q63" s="226"/>
      <c r="R63" s="226"/>
    </row>
    <row r="64" spans="2:18">
      <c r="C64" s="170"/>
      <c r="D64" s="170"/>
      <c r="E64" s="170"/>
      <c r="F64" s="170"/>
      <c r="G64" s="170"/>
      <c r="H64" s="170"/>
      <c r="I64" s="170"/>
      <c r="J64" s="170"/>
      <c r="K64" s="170"/>
      <c r="L64" s="170"/>
      <c r="O64"/>
      <c r="P64" s="149"/>
      <c r="Q64" s="226"/>
      <c r="R64" s="226"/>
    </row>
    <row r="65" spans="2:18">
      <c r="C65" s="170"/>
      <c r="D65" s="170"/>
      <c r="E65" s="170"/>
      <c r="F65" s="170"/>
      <c r="G65" s="170"/>
      <c r="H65" s="170"/>
      <c r="I65" s="170"/>
      <c r="J65" s="170"/>
      <c r="K65" s="170"/>
      <c r="L65" s="170"/>
      <c r="O65"/>
      <c r="P65" s="149"/>
      <c r="Q65" s="149"/>
      <c r="R65" s="149"/>
    </row>
    <row r="66" spans="2:18">
      <c r="C66" s="170"/>
      <c r="D66" s="170"/>
      <c r="E66" s="170"/>
      <c r="F66" s="170"/>
      <c r="G66" s="170"/>
      <c r="H66" s="170"/>
      <c r="I66" s="170"/>
      <c r="J66" s="170"/>
      <c r="K66" s="170"/>
      <c r="L66" s="170"/>
      <c r="O66"/>
      <c r="P66" s="226"/>
      <c r="Q66" s="226"/>
      <c r="R66" s="226"/>
    </row>
    <row r="67" spans="2:18">
      <c r="C67" s="170"/>
      <c r="D67" s="170"/>
      <c r="E67" s="170"/>
      <c r="F67" s="170"/>
      <c r="G67" s="170"/>
      <c r="H67" s="170"/>
      <c r="I67" s="170"/>
      <c r="J67" s="170"/>
      <c r="K67" s="170"/>
      <c r="L67" s="170"/>
      <c r="O67"/>
      <c r="P67" s="149"/>
      <c r="Q67" s="149"/>
      <c r="R67" s="149"/>
    </row>
    <row r="68" spans="2:18">
      <c r="B68" s="165" t="s">
        <v>334</v>
      </c>
      <c r="C68" s="166">
        <v>7186</v>
      </c>
      <c r="D68" s="166">
        <v>7803</v>
      </c>
      <c r="E68" s="166">
        <v>9091</v>
      </c>
      <c r="F68" s="166">
        <v>10658</v>
      </c>
      <c r="G68" s="166">
        <v>14629</v>
      </c>
      <c r="H68" s="166">
        <v>14880</v>
      </c>
      <c r="I68" s="166">
        <v>19200</v>
      </c>
      <c r="J68" s="166">
        <v>20727</v>
      </c>
      <c r="K68" s="166">
        <v>23074</v>
      </c>
      <c r="L68" s="166">
        <v>25652</v>
      </c>
      <c r="M68" s="166"/>
      <c r="O68"/>
      <c r="P68" s="149"/>
      <c r="Q68" s="226"/>
      <c r="R68" s="226"/>
    </row>
    <row r="69" spans="2:18">
      <c r="B69" s="165"/>
      <c r="C69" s="166"/>
      <c r="D69" s="166"/>
      <c r="E69" s="166"/>
      <c r="F69" s="166"/>
      <c r="G69" s="166"/>
      <c r="H69" s="166"/>
      <c r="I69" s="166"/>
      <c r="J69" s="166"/>
      <c r="K69" s="166"/>
      <c r="L69" s="166"/>
      <c r="O69"/>
      <c r="P69" s="149"/>
      <c r="Q69" s="149"/>
      <c r="R69" s="149"/>
    </row>
    <row r="70" spans="2:18">
      <c r="B70" s="165" t="s">
        <v>335</v>
      </c>
      <c r="C70" s="166">
        <v>35</v>
      </c>
      <c r="D70" s="166">
        <v>35</v>
      </c>
      <c r="E70" s="166">
        <v>35</v>
      </c>
      <c r="F70" s="166">
        <v>35</v>
      </c>
      <c r="G70" s="166">
        <v>35</v>
      </c>
      <c r="H70" s="166">
        <v>35</v>
      </c>
      <c r="I70" s="166">
        <v>36</v>
      </c>
      <c r="J70" s="166">
        <v>36</v>
      </c>
      <c r="K70" s="166">
        <v>36</v>
      </c>
      <c r="L70" s="166">
        <v>36</v>
      </c>
      <c r="M70" s="256">
        <v>36.08</v>
      </c>
      <c r="O70"/>
      <c r="P70" s="149"/>
      <c r="Q70" s="149"/>
      <c r="R70" s="149"/>
    </row>
    <row r="71" spans="2:18" hidden="1" outlineLevel="1">
      <c r="B71" s="167" t="s">
        <v>336</v>
      </c>
      <c r="C71" s="170">
        <v>60</v>
      </c>
      <c r="D71" s="170">
        <v>60</v>
      </c>
      <c r="E71" s="170">
        <v>60</v>
      </c>
      <c r="F71" s="170">
        <v>60</v>
      </c>
      <c r="G71" s="170">
        <v>60</v>
      </c>
      <c r="H71" s="170">
        <v>60</v>
      </c>
      <c r="I71" s="170">
        <v>60</v>
      </c>
      <c r="J71" s="170">
        <v>60</v>
      </c>
      <c r="K71" s="170">
        <v>60</v>
      </c>
      <c r="L71" s="170">
        <v>60</v>
      </c>
      <c r="M71" s="149">
        <v>60</v>
      </c>
      <c r="O71"/>
      <c r="P71" s="149"/>
      <c r="Q71" s="149"/>
      <c r="R71" s="149"/>
    </row>
    <row r="72" spans="2:18" hidden="1" outlineLevel="1">
      <c r="B72" s="167" t="s">
        <v>337</v>
      </c>
      <c r="C72" s="170">
        <v>35</v>
      </c>
      <c r="D72" s="170">
        <v>35</v>
      </c>
      <c r="E72" s="170">
        <v>35</v>
      </c>
      <c r="F72" s="170">
        <v>35</v>
      </c>
      <c r="G72" s="170">
        <v>35</v>
      </c>
      <c r="H72" s="170">
        <v>35</v>
      </c>
      <c r="I72" s="170">
        <v>36</v>
      </c>
      <c r="J72" s="170">
        <v>36</v>
      </c>
      <c r="K72" s="170">
        <v>36</v>
      </c>
      <c r="L72" s="170">
        <v>36</v>
      </c>
      <c r="M72" s="149">
        <v>36.08</v>
      </c>
      <c r="O72"/>
      <c r="P72" s="149"/>
      <c r="Q72" s="149"/>
      <c r="R72" s="149"/>
    </row>
    <row r="73" spans="2:18" hidden="1" outlineLevel="1">
      <c r="B73" s="167" t="s">
        <v>338</v>
      </c>
      <c r="C73" s="170">
        <v>35</v>
      </c>
      <c r="D73" s="170">
        <v>35</v>
      </c>
      <c r="E73" s="170">
        <v>35</v>
      </c>
      <c r="F73" s="170">
        <v>35</v>
      </c>
      <c r="G73" s="170">
        <v>35</v>
      </c>
      <c r="H73" s="170">
        <v>35</v>
      </c>
      <c r="I73" s="170">
        <v>36</v>
      </c>
      <c r="J73" s="170">
        <v>36</v>
      </c>
      <c r="K73" s="170">
        <v>36</v>
      </c>
      <c r="L73" s="170">
        <v>36</v>
      </c>
      <c r="M73" s="149">
        <v>36.08</v>
      </c>
      <c r="O73"/>
      <c r="P73" s="149"/>
      <c r="Q73" s="149"/>
      <c r="R73" s="149"/>
    </row>
    <row r="74" spans="2:18" collapsed="1">
      <c r="B74" s="167"/>
      <c r="C74" s="170"/>
      <c r="D74" s="170"/>
      <c r="E74" s="170"/>
      <c r="F74" s="170"/>
      <c r="G74" s="170"/>
      <c r="H74" s="170"/>
      <c r="I74" s="170"/>
      <c r="J74" s="170"/>
      <c r="K74" s="170"/>
      <c r="L74" s="170"/>
      <c r="O74"/>
      <c r="P74" s="149"/>
      <c r="Q74" s="149"/>
      <c r="R74" s="149"/>
    </row>
    <row r="75" spans="2:18">
      <c r="B75" s="165" t="s">
        <v>339</v>
      </c>
      <c r="C75" s="166">
        <f>SUM(C76:C81)</f>
        <v>4676</v>
      </c>
      <c r="D75" s="166">
        <f t="shared" ref="D75:M75" si="10">SUM(D76:D81)</f>
        <v>5242</v>
      </c>
      <c r="E75" s="166">
        <f t="shared" si="10"/>
        <v>6811</v>
      </c>
      <c r="F75" s="166">
        <f t="shared" si="10"/>
        <v>7663.5</v>
      </c>
      <c r="G75" s="166">
        <f t="shared" si="10"/>
        <v>8862.2999999999993</v>
      </c>
      <c r="H75" s="166">
        <f t="shared" si="10"/>
        <v>9636.6</v>
      </c>
      <c r="I75" s="166">
        <f t="shared" si="10"/>
        <v>13134</v>
      </c>
      <c r="J75" s="166">
        <f t="shared" si="10"/>
        <v>15362</v>
      </c>
      <c r="K75" s="166">
        <f t="shared" si="10"/>
        <v>17425</v>
      </c>
      <c r="L75" s="166">
        <f t="shared" si="10"/>
        <v>18600</v>
      </c>
      <c r="M75" s="166">
        <f t="shared" si="10"/>
        <v>20666.84</v>
      </c>
      <c r="O75"/>
      <c r="P75" s="149"/>
      <c r="Q75" s="149"/>
      <c r="R75" s="149"/>
    </row>
    <row r="76" spans="2:18" outlineLevel="1">
      <c r="B76" s="167" t="s">
        <v>340</v>
      </c>
      <c r="C76" s="170">
        <v>27</v>
      </c>
      <c r="D76" s="170">
        <v>27</v>
      </c>
      <c r="E76" s="170">
        <v>27</v>
      </c>
      <c r="F76" s="170">
        <v>27</v>
      </c>
      <c r="G76" s="170">
        <v>27</v>
      </c>
      <c r="H76" s="170">
        <v>27</v>
      </c>
      <c r="I76" s="170">
        <v>2409</v>
      </c>
      <c r="J76" s="170">
        <v>2409</v>
      </c>
      <c r="K76" s="170">
        <v>2409</v>
      </c>
      <c r="L76" s="170">
        <v>2409</v>
      </c>
      <c r="M76" s="226">
        <v>2408.63</v>
      </c>
      <c r="O76"/>
      <c r="P76" s="149"/>
      <c r="Q76" s="149"/>
      <c r="R76" s="149"/>
    </row>
    <row r="77" spans="2:18" outlineLevel="1">
      <c r="B77" s="167" t="s">
        <v>341</v>
      </c>
      <c r="C77" s="170">
        <v>567</v>
      </c>
      <c r="D77" s="170">
        <v>806</v>
      </c>
      <c r="E77" s="170">
        <v>0</v>
      </c>
      <c r="F77" s="170">
        <v>0</v>
      </c>
      <c r="G77" s="170">
        <v>0</v>
      </c>
      <c r="H77" s="170">
        <v>11</v>
      </c>
      <c r="I77" s="170">
        <v>11</v>
      </c>
      <c r="J77" s="170">
        <v>11</v>
      </c>
      <c r="K77" s="170">
        <v>11</v>
      </c>
      <c r="L77" s="170">
        <v>11</v>
      </c>
      <c r="M77" s="149">
        <v>10.84</v>
      </c>
      <c r="O77"/>
      <c r="P77" s="149"/>
      <c r="Q77" s="149"/>
      <c r="R77" s="149"/>
    </row>
    <row r="78" spans="2:18" outlineLevel="1">
      <c r="B78" s="167" t="s">
        <v>342</v>
      </c>
      <c r="C78" s="170">
        <v>867</v>
      </c>
      <c r="D78" s="170">
        <v>694</v>
      </c>
      <c r="E78" s="170">
        <v>2777</v>
      </c>
      <c r="F78" s="170">
        <v>2632</v>
      </c>
      <c r="G78" s="170">
        <v>3334</v>
      </c>
      <c r="H78" s="170">
        <v>3908</v>
      </c>
      <c r="I78" s="170">
        <v>4523</v>
      </c>
      <c r="J78" s="170">
        <v>6323</v>
      </c>
      <c r="K78" s="170">
        <v>7781</v>
      </c>
      <c r="L78" s="170">
        <v>8716</v>
      </c>
      <c r="M78" s="226">
        <v>10731.64</v>
      </c>
      <c r="O78"/>
      <c r="P78" s="149"/>
      <c r="Q78" s="149"/>
      <c r="R78" s="149"/>
    </row>
    <row r="79" spans="2:18" outlineLevel="1">
      <c r="B79" s="167" t="s">
        <v>343</v>
      </c>
      <c r="C79" s="170">
        <v>2500</v>
      </c>
      <c r="D79" s="170">
        <v>3000</v>
      </c>
      <c r="E79" s="170">
        <v>3500</v>
      </c>
      <c r="F79" s="170">
        <v>5000</v>
      </c>
      <c r="G79" s="170">
        <v>5500</v>
      </c>
      <c r="H79" s="170">
        <v>5700</v>
      </c>
      <c r="I79" s="170">
        <v>6000</v>
      </c>
      <c r="J79" s="170">
        <v>6500</v>
      </c>
      <c r="K79" s="170">
        <v>7000</v>
      </c>
      <c r="L79" s="170">
        <v>7000</v>
      </c>
      <c r="M79" s="226">
        <v>7000</v>
      </c>
      <c r="O79"/>
      <c r="P79" s="226"/>
      <c r="Q79" s="226"/>
      <c r="R79" s="226"/>
    </row>
    <row r="80" spans="2:18" outlineLevel="1">
      <c r="B80" s="167" t="s">
        <v>344</v>
      </c>
      <c r="C80" s="170">
        <v>0</v>
      </c>
      <c r="D80" s="170">
        <v>0</v>
      </c>
      <c r="E80" s="170">
        <v>0</v>
      </c>
      <c r="F80" s="170">
        <v>0</v>
      </c>
      <c r="G80" s="170">
        <v>0</v>
      </c>
      <c r="H80" s="170">
        <v>0</v>
      </c>
      <c r="I80" s="170">
        <v>0</v>
      </c>
      <c r="J80" s="170">
        <v>0</v>
      </c>
      <c r="K80" s="170">
        <v>0</v>
      </c>
      <c r="L80" s="170">
        <v>0</v>
      </c>
      <c r="M80" s="170">
        <v>0</v>
      </c>
      <c r="O80"/>
      <c r="P80" s="226"/>
      <c r="Q80" s="226"/>
      <c r="R80" s="226"/>
    </row>
    <row r="81" spans="2:18" outlineLevel="1">
      <c r="B81" s="167" t="s">
        <v>345</v>
      </c>
      <c r="C81" s="170">
        <v>715</v>
      </c>
      <c r="D81" s="170">
        <v>715</v>
      </c>
      <c r="E81" s="170">
        <v>507</v>
      </c>
      <c r="F81" s="170">
        <v>4.5</v>
      </c>
      <c r="G81" s="170">
        <v>1.3</v>
      </c>
      <c r="H81" s="170">
        <v>-9.4</v>
      </c>
      <c r="I81" s="170">
        <v>191</v>
      </c>
      <c r="J81" s="170">
        <v>119</v>
      </c>
      <c r="K81" s="170">
        <v>224</v>
      </c>
      <c r="L81" s="170">
        <v>464</v>
      </c>
      <c r="M81" s="161">
        <v>515.73</v>
      </c>
      <c r="O81"/>
      <c r="P81" s="149"/>
      <c r="Q81" s="149"/>
      <c r="R81" s="149"/>
    </row>
    <row r="82" spans="2:18">
      <c r="C82" s="170"/>
      <c r="D82" s="170"/>
      <c r="E82" s="170"/>
      <c r="F82" s="170"/>
      <c r="G82" s="170"/>
      <c r="H82" s="170"/>
      <c r="I82" s="170"/>
      <c r="J82" s="170"/>
      <c r="K82" s="170"/>
      <c r="L82" s="170"/>
      <c r="O82"/>
      <c r="P82" s="226"/>
      <c r="Q82" s="226"/>
      <c r="R82" s="226"/>
    </row>
    <row r="83" spans="2:18">
      <c r="B83" s="165" t="s">
        <v>346</v>
      </c>
      <c r="C83" s="166">
        <f>C85</f>
        <v>446.6</v>
      </c>
      <c r="D83" s="166">
        <f t="shared" ref="D83:L83" si="11">D85</f>
        <v>401.9</v>
      </c>
      <c r="E83" s="166">
        <f t="shared" si="11"/>
        <v>531</v>
      </c>
      <c r="F83" s="166">
        <f t="shared" si="11"/>
        <v>519</v>
      </c>
      <c r="G83" s="166">
        <f t="shared" si="11"/>
        <v>2208</v>
      </c>
      <c r="H83" s="166">
        <f t="shared" si="11"/>
        <v>2310</v>
      </c>
      <c r="I83" s="166">
        <f t="shared" si="11"/>
        <v>1639</v>
      </c>
      <c r="J83" s="166">
        <f t="shared" si="11"/>
        <v>1332</v>
      </c>
      <c r="K83" s="166">
        <f t="shared" si="11"/>
        <v>1298</v>
      </c>
      <c r="L83" s="166">
        <f t="shared" si="11"/>
        <v>581</v>
      </c>
      <c r="M83" s="256">
        <v>713.08</v>
      </c>
      <c r="O83"/>
    </row>
    <row r="84" spans="2:18">
      <c r="B84" s="165"/>
      <c r="C84" s="166"/>
      <c r="D84" s="166"/>
      <c r="E84" s="166"/>
      <c r="F84" s="166"/>
      <c r="G84" s="166"/>
      <c r="H84" s="166"/>
      <c r="I84" s="166"/>
      <c r="J84" s="166"/>
      <c r="K84" s="166"/>
      <c r="L84" s="166"/>
      <c r="O84"/>
    </row>
    <row r="85" spans="2:18">
      <c r="B85" s="165" t="s">
        <v>347</v>
      </c>
      <c r="C85" s="166">
        <f>SUM(C87:C90)</f>
        <v>446.6</v>
      </c>
      <c r="D85" s="166">
        <f t="shared" ref="D85:M85" si="12">SUM(D87:D90)</f>
        <v>401.9</v>
      </c>
      <c r="E85" s="166">
        <f t="shared" si="12"/>
        <v>531</v>
      </c>
      <c r="F85" s="166">
        <f t="shared" si="12"/>
        <v>519</v>
      </c>
      <c r="G85" s="166">
        <f t="shared" si="12"/>
        <v>2208</v>
      </c>
      <c r="H85" s="166">
        <f t="shared" si="12"/>
        <v>2310</v>
      </c>
      <c r="I85" s="166">
        <f t="shared" si="12"/>
        <v>1639</v>
      </c>
      <c r="J85" s="166">
        <f t="shared" si="12"/>
        <v>1332</v>
      </c>
      <c r="K85" s="166">
        <f t="shared" si="12"/>
        <v>1298</v>
      </c>
      <c r="L85" s="166">
        <f t="shared" si="12"/>
        <v>581</v>
      </c>
      <c r="M85" s="166">
        <f t="shared" si="12"/>
        <v>713.08</v>
      </c>
      <c r="O85"/>
      <c r="P85" s="226"/>
      <c r="Q85" s="226"/>
      <c r="R85" s="226"/>
    </row>
    <row r="86" spans="2:18" outlineLevel="1">
      <c r="B86" s="167" t="s">
        <v>348</v>
      </c>
      <c r="C86" s="170">
        <v>447</v>
      </c>
      <c r="D86" s="170">
        <v>401</v>
      </c>
      <c r="E86" s="170">
        <v>531</v>
      </c>
      <c r="F86" s="170">
        <v>519</v>
      </c>
      <c r="G86" s="170">
        <v>2208</v>
      </c>
      <c r="H86" s="170">
        <v>2309</v>
      </c>
      <c r="I86" s="170">
        <v>1639</v>
      </c>
      <c r="J86" s="170">
        <v>1332</v>
      </c>
      <c r="K86" s="170">
        <v>1298</v>
      </c>
      <c r="L86" s="170">
        <v>581</v>
      </c>
      <c r="M86" s="149">
        <v>713.08</v>
      </c>
      <c r="O86"/>
      <c r="P86" s="149"/>
      <c r="Q86" s="149"/>
      <c r="R86" s="149"/>
    </row>
    <row r="87" spans="2:18" outlineLevel="1">
      <c r="B87" s="167" t="s">
        <v>349</v>
      </c>
      <c r="C87" s="170">
        <v>200</v>
      </c>
      <c r="D87" s="170">
        <v>200</v>
      </c>
      <c r="E87" s="170">
        <v>0</v>
      </c>
      <c r="F87" s="170">
        <v>0</v>
      </c>
      <c r="G87" s="170">
        <v>0</v>
      </c>
      <c r="H87" s="170">
        <v>0</v>
      </c>
      <c r="I87" s="170">
        <v>0</v>
      </c>
      <c r="J87" s="170">
        <v>0</v>
      </c>
      <c r="K87" s="170">
        <v>0</v>
      </c>
      <c r="L87" s="170">
        <v>0</v>
      </c>
      <c r="M87" s="149">
        <v>698.73</v>
      </c>
      <c r="O87"/>
      <c r="P87" s="226"/>
      <c r="Q87" s="226"/>
      <c r="R87" s="226"/>
    </row>
    <row r="88" spans="2:18" outlineLevel="1">
      <c r="B88" s="167" t="s">
        <v>350</v>
      </c>
      <c r="C88" s="170">
        <v>368</v>
      </c>
      <c r="D88" s="170">
        <v>502</v>
      </c>
      <c r="E88" s="170">
        <v>125</v>
      </c>
      <c r="F88" s="170">
        <v>0</v>
      </c>
      <c r="G88" s="170">
        <v>75</v>
      </c>
      <c r="H88" s="170">
        <v>68</v>
      </c>
      <c r="I88" s="170">
        <v>0</v>
      </c>
      <c r="J88" s="170">
        <v>0</v>
      </c>
      <c r="K88" s="170">
        <v>322</v>
      </c>
      <c r="L88" s="170">
        <v>489</v>
      </c>
      <c r="M88" s="149">
        <v>54.58</v>
      </c>
      <c r="O88"/>
      <c r="P88" s="149"/>
      <c r="Q88" s="149"/>
      <c r="R88" s="149"/>
    </row>
    <row r="89" spans="2:18" outlineLevel="1">
      <c r="B89" s="167" t="s">
        <v>424</v>
      </c>
      <c r="C89" s="170">
        <v>0</v>
      </c>
      <c r="D89" s="170">
        <v>0</v>
      </c>
      <c r="E89" s="170">
        <v>0</v>
      </c>
      <c r="F89" s="170">
        <v>0</v>
      </c>
      <c r="G89" s="170">
        <v>0</v>
      </c>
      <c r="H89" s="170">
        <v>0</v>
      </c>
      <c r="I89" s="170">
        <v>0</v>
      </c>
      <c r="J89" s="170">
        <v>0</v>
      </c>
      <c r="K89" s="170">
        <v>0</v>
      </c>
      <c r="L89" s="170">
        <v>0</v>
      </c>
      <c r="O89"/>
      <c r="P89"/>
      <c r="Q89"/>
      <c r="R89"/>
    </row>
    <row r="90" spans="2:18" outlineLevel="1">
      <c r="B90" s="167" t="s">
        <v>351</v>
      </c>
      <c r="C90" s="170">
        <v>-121.4</v>
      </c>
      <c r="D90" s="170">
        <v>-300.10000000000002</v>
      </c>
      <c r="E90" s="170">
        <v>406</v>
      </c>
      <c r="F90" s="170">
        <v>519</v>
      </c>
      <c r="G90" s="170">
        <v>2133</v>
      </c>
      <c r="H90" s="170">
        <v>2242</v>
      </c>
      <c r="I90" s="170">
        <v>1639</v>
      </c>
      <c r="J90" s="170">
        <v>1332</v>
      </c>
      <c r="K90" s="170">
        <v>976</v>
      </c>
      <c r="L90" s="170">
        <v>92</v>
      </c>
      <c r="M90" s="482">
        <v>-40.229999999999997</v>
      </c>
      <c r="O90"/>
      <c r="P90" s="226"/>
      <c r="Q90" s="149"/>
      <c r="R90" s="149"/>
    </row>
    <row r="91" spans="2:18">
      <c r="C91" s="170"/>
      <c r="D91" s="170"/>
      <c r="E91" s="170"/>
      <c r="F91" s="170"/>
      <c r="G91" s="170"/>
      <c r="H91" s="170"/>
      <c r="I91" s="170"/>
      <c r="J91" s="170"/>
      <c r="K91" s="170"/>
      <c r="L91" s="170"/>
      <c r="O91"/>
      <c r="P91" s="149"/>
      <c r="Q91" s="149"/>
      <c r="R91" s="149"/>
    </row>
    <row r="92" spans="2:18">
      <c r="C92" s="170"/>
      <c r="D92" s="170"/>
      <c r="E92" s="170"/>
      <c r="F92" s="170"/>
      <c r="G92" s="170"/>
      <c r="H92" s="170"/>
      <c r="I92" s="170"/>
      <c r="J92" s="170"/>
      <c r="K92" s="170"/>
      <c r="L92" s="170"/>
      <c r="O92"/>
      <c r="P92" s="226"/>
      <c r="Q92" s="149"/>
      <c r="R92" s="149"/>
    </row>
    <row r="93" spans="2:18">
      <c r="B93" s="165" t="s">
        <v>104</v>
      </c>
      <c r="C93" s="166">
        <f>C94+C96</f>
        <v>672</v>
      </c>
      <c r="D93" s="166">
        <f t="shared" ref="D93:M93" si="13">D94+D96</f>
        <v>871</v>
      </c>
      <c r="E93" s="166">
        <f t="shared" si="13"/>
        <v>925.7</v>
      </c>
      <c r="F93" s="166">
        <f t="shared" si="13"/>
        <v>960.3</v>
      </c>
      <c r="G93" s="166">
        <f t="shared" si="13"/>
        <v>1069.5999999999999</v>
      </c>
      <c r="H93" s="166">
        <f t="shared" si="13"/>
        <v>1324</v>
      </c>
      <c r="I93" s="166">
        <f t="shared" si="13"/>
        <v>1051</v>
      </c>
      <c r="J93" s="166">
        <f t="shared" si="13"/>
        <v>290</v>
      </c>
      <c r="K93" s="166">
        <f t="shared" si="13"/>
        <v>254</v>
      </c>
      <c r="L93" s="166">
        <f t="shared" si="13"/>
        <v>344</v>
      </c>
      <c r="M93" s="166">
        <f t="shared" si="13"/>
        <v>339.64</v>
      </c>
      <c r="O93"/>
      <c r="P93" s="149"/>
      <c r="Q93" s="149"/>
      <c r="R93" s="149"/>
    </row>
    <row r="94" spans="2:18" outlineLevel="1">
      <c r="B94" s="161" t="s">
        <v>360</v>
      </c>
      <c r="C94" s="170">
        <v>653</v>
      </c>
      <c r="D94" s="170">
        <v>852</v>
      </c>
      <c r="E94" s="170">
        <v>919</v>
      </c>
      <c r="F94" s="170">
        <v>953</v>
      </c>
      <c r="G94" s="170">
        <v>1062</v>
      </c>
      <c r="H94" s="170">
        <v>1292</v>
      </c>
      <c r="I94" s="170">
        <v>1016</v>
      </c>
      <c r="J94" s="170">
        <v>258</v>
      </c>
      <c r="K94" s="170">
        <v>224</v>
      </c>
      <c r="L94" s="170">
        <v>310</v>
      </c>
      <c r="M94" s="149">
        <v>308.92</v>
      </c>
      <c r="O94"/>
      <c r="P94" s="149"/>
      <c r="Q94" s="149"/>
      <c r="R94" s="149"/>
    </row>
    <row r="95" spans="2:18" outlineLevel="1">
      <c r="B95" s="161" t="s">
        <v>361</v>
      </c>
      <c r="C95" s="170">
        <v>0</v>
      </c>
      <c r="D95" s="170">
        <v>0</v>
      </c>
      <c r="E95" s="170">
        <v>0</v>
      </c>
      <c r="F95" s="170">
        <v>0</v>
      </c>
      <c r="G95" s="170">
        <v>0</v>
      </c>
      <c r="H95" s="170">
        <v>0</v>
      </c>
      <c r="I95" s="170">
        <v>0</v>
      </c>
      <c r="J95" s="170">
        <v>0</v>
      </c>
      <c r="K95" s="170">
        <v>0</v>
      </c>
      <c r="L95" s="170">
        <v>0</v>
      </c>
      <c r="M95" s="170">
        <v>0</v>
      </c>
      <c r="O95"/>
      <c r="P95" s="149"/>
      <c r="Q95" s="149"/>
      <c r="R95" s="149"/>
    </row>
    <row r="96" spans="2:18" outlineLevel="1">
      <c r="B96" s="161" t="s">
        <v>362</v>
      </c>
      <c r="C96" s="170">
        <v>19</v>
      </c>
      <c r="D96" s="170">
        <v>19</v>
      </c>
      <c r="E96" s="170">
        <v>6.7</v>
      </c>
      <c r="F96" s="170">
        <v>7.3</v>
      </c>
      <c r="G96" s="170">
        <v>7.6</v>
      </c>
      <c r="H96" s="170">
        <v>32</v>
      </c>
      <c r="I96" s="170">
        <v>35</v>
      </c>
      <c r="J96" s="170">
        <v>32</v>
      </c>
      <c r="K96" s="170">
        <v>30</v>
      </c>
      <c r="L96" s="170">
        <v>34</v>
      </c>
      <c r="M96" s="149">
        <v>30.72</v>
      </c>
      <c r="O96"/>
      <c r="P96" s="149"/>
      <c r="Q96" s="149"/>
      <c r="R96" s="149"/>
    </row>
    <row r="97" spans="2:18">
      <c r="C97" s="170"/>
      <c r="D97" s="170"/>
      <c r="E97" s="170"/>
      <c r="F97" s="170"/>
      <c r="G97" s="170"/>
      <c r="H97" s="170"/>
      <c r="I97" s="170"/>
      <c r="J97" s="170"/>
      <c r="K97" s="170"/>
      <c r="L97" s="170"/>
      <c r="O97"/>
      <c r="P97" s="149"/>
      <c r="Q97" s="149"/>
      <c r="R97" s="149"/>
    </row>
    <row r="98" spans="2:18">
      <c r="B98" s="177" t="s">
        <v>363</v>
      </c>
      <c r="C98" s="185">
        <f>C93+C85+C75+C70</f>
        <v>5829.6</v>
      </c>
      <c r="D98" s="185">
        <f t="shared" ref="D98:M98" si="14">D93+D85+D75+D70</f>
        <v>6549.9</v>
      </c>
      <c r="E98" s="185">
        <f t="shared" si="14"/>
        <v>8302.7000000000007</v>
      </c>
      <c r="F98" s="185">
        <f t="shared" si="14"/>
        <v>9177.7999999999993</v>
      </c>
      <c r="G98" s="185">
        <f t="shared" si="14"/>
        <v>12174.9</v>
      </c>
      <c r="H98" s="185">
        <f t="shared" si="14"/>
        <v>13305.6</v>
      </c>
      <c r="I98" s="185">
        <f t="shared" si="14"/>
        <v>15860</v>
      </c>
      <c r="J98" s="185">
        <f t="shared" si="14"/>
        <v>17020</v>
      </c>
      <c r="K98" s="185">
        <f t="shared" si="14"/>
        <v>19013</v>
      </c>
      <c r="L98" s="185">
        <f t="shared" si="14"/>
        <v>19561</v>
      </c>
      <c r="M98" s="185">
        <f t="shared" si="14"/>
        <v>21755.640000000003</v>
      </c>
      <c r="O98"/>
      <c r="P98" s="149"/>
      <c r="Q98" s="149"/>
      <c r="R98" s="149"/>
    </row>
    <row r="99" spans="2:18">
      <c r="C99" s="170"/>
      <c r="D99" s="170"/>
      <c r="E99" s="170"/>
      <c r="F99" s="170"/>
      <c r="G99" s="170"/>
      <c r="H99" s="170"/>
      <c r="I99" s="170"/>
      <c r="J99" s="170"/>
      <c r="K99" s="170"/>
      <c r="L99" s="170"/>
      <c r="O99"/>
      <c r="P99" s="149"/>
      <c r="Q99" s="149"/>
      <c r="R99" s="149"/>
    </row>
    <row r="100" spans="2:18">
      <c r="C100" s="170"/>
      <c r="D100" s="170"/>
      <c r="E100" s="170"/>
      <c r="F100" s="170"/>
      <c r="G100" s="170"/>
      <c r="H100" s="170"/>
      <c r="I100" s="170"/>
      <c r="J100" s="170"/>
      <c r="K100" s="170"/>
      <c r="L100" s="170"/>
      <c r="O100"/>
      <c r="P100"/>
      <c r="Q100"/>
      <c r="R100"/>
    </row>
    <row r="101" spans="2:18">
      <c r="B101" s="165" t="s">
        <v>118</v>
      </c>
      <c r="C101" s="166"/>
      <c r="D101" s="166"/>
      <c r="E101" s="166"/>
      <c r="F101" s="166"/>
      <c r="G101" s="166"/>
      <c r="H101" s="166"/>
      <c r="I101" s="166"/>
      <c r="J101" s="166"/>
      <c r="K101" s="166"/>
      <c r="L101" s="166"/>
      <c r="O101"/>
      <c r="P101" s="149"/>
      <c r="Q101" s="149"/>
      <c r="R101" s="149"/>
    </row>
    <row r="102" spans="2:18">
      <c r="B102" s="165"/>
      <c r="C102" s="166"/>
      <c r="D102" s="166"/>
      <c r="E102" s="166"/>
      <c r="F102" s="166"/>
      <c r="G102" s="166"/>
      <c r="H102" s="166"/>
      <c r="I102" s="166"/>
      <c r="J102" s="166"/>
      <c r="K102" s="166"/>
      <c r="L102" s="166"/>
      <c r="O102"/>
      <c r="P102" s="149"/>
      <c r="Q102" s="149"/>
      <c r="R102" s="149"/>
    </row>
    <row r="103" spans="2:18">
      <c r="B103" s="165" t="s">
        <v>364</v>
      </c>
      <c r="C103" s="166">
        <v>188</v>
      </c>
      <c r="D103" s="166">
        <v>292</v>
      </c>
      <c r="E103" s="166">
        <v>257</v>
      </c>
      <c r="F103" s="166">
        <v>352</v>
      </c>
      <c r="G103" s="166">
        <v>727</v>
      </c>
      <c r="H103" s="166">
        <v>538</v>
      </c>
      <c r="I103" s="166">
        <v>658</v>
      </c>
      <c r="J103" s="166">
        <v>883</v>
      </c>
      <c r="K103" s="166">
        <v>890</v>
      </c>
      <c r="L103" s="166">
        <v>1196</v>
      </c>
      <c r="M103" s="247">
        <v>1214.23</v>
      </c>
      <c r="O103"/>
      <c r="P103" s="149"/>
      <c r="Q103" s="149"/>
      <c r="R103" s="149"/>
    </row>
    <row r="104" spans="2:18">
      <c r="B104" s="161" t="s">
        <v>365</v>
      </c>
      <c r="C104" s="170">
        <v>188</v>
      </c>
      <c r="D104" s="170">
        <v>292</v>
      </c>
      <c r="E104" s="170">
        <v>257</v>
      </c>
      <c r="F104" s="170">
        <v>352</v>
      </c>
      <c r="G104" s="170">
        <v>727</v>
      </c>
      <c r="H104" s="170">
        <v>538</v>
      </c>
      <c r="I104" s="170">
        <v>658</v>
      </c>
      <c r="J104" s="170">
        <v>883</v>
      </c>
      <c r="K104" s="170">
        <v>890</v>
      </c>
      <c r="L104" s="170">
        <v>1196</v>
      </c>
      <c r="M104" s="226">
        <v>1214.23</v>
      </c>
      <c r="O104"/>
      <c r="P104" s="149"/>
      <c r="Q104" s="149"/>
      <c r="R104" s="149"/>
    </row>
    <row r="105" spans="2:18">
      <c r="C105" s="170"/>
      <c r="D105" s="170"/>
      <c r="E105" s="170"/>
      <c r="F105" s="170"/>
      <c r="G105" s="170"/>
      <c r="H105" s="170"/>
      <c r="I105" s="170"/>
      <c r="J105" s="170"/>
      <c r="K105" s="170"/>
      <c r="L105" s="170"/>
      <c r="O105"/>
      <c r="P105" s="149"/>
      <c r="Q105" s="149"/>
      <c r="R105" s="149"/>
    </row>
    <row r="106" spans="2:18">
      <c r="B106" s="165" t="s">
        <v>352</v>
      </c>
      <c r="C106" s="166">
        <f>SUM(C107:C111)</f>
        <v>632</v>
      </c>
      <c r="D106" s="166">
        <f t="shared" ref="D106:M106" si="15">SUM(D107:D111)</f>
        <v>215.1</v>
      </c>
      <c r="E106" s="166">
        <f t="shared" si="15"/>
        <v>195.8</v>
      </c>
      <c r="F106" s="166">
        <f t="shared" si="15"/>
        <v>774.4</v>
      </c>
      <c r="G106" s="166">
        <f t="shared" si="15"/>
        <v>1186</v>
      </c>
      <c r="H106" s="166">
        <f t="shared" si="15"/>
        <v>473.3</v>
      </c>
      <c r="I106" s="166">
        <f t="shared" si="15"/>
        <v>709.8</v>
      </c>
      <c r="J106" s="166">
        <f t="shared" si="15"/>
        <v>509.2</v>
      </c>
      <c r="K106" s="166">
        <f t="shared" si="15"/>
        <v>319.5</v>
      </c>
      <c r="L106" s="166">
        <f t="shared" si="15"/>
        <v>972.4</v>
      </c>
      <c r="M106" s="166">
        <f t="shared" si="15"/>
        <v>475.91999999999996</v>
      </c>
      <c r="O106"/>
      <c r="P106" s="149"/>
      <c r="Q106" s="149"/>
      <c r="R106" s="149"/>
    </row>
    <row r="107" spans="2:18" outlineLevel="1">
      <c r="B107" s="167" t="s">
        <v>353</v>
      </c>
      <c r="C107" s="170">
        <v>192</v>
      </c>
      <c r="D107" s="170">
        <v>215</v>
      </c>
      <c r="E107" s="170">
        <v>150</v>
      </c>
      <c r="F107" s="170">
        <v>167</v>
      </c>
      <c r="G107" s="170">
        <v>168</v>
      </c>
      <c r="H107" s="170">
        <v>473</v>
      </c>
      <c r="I107" s="170">
        <v>670</v>
      </c>
      <c r="J107" s="170">
        <v>310</v>
      </c>
      <c r="K107" s="170">
        <v>320</v>
      </c>
      <c r="L107" s="170">
        <v>972</v>
      </c>
      <c r="M107" s="149">
        <v>176.92</v>
      </c>
      <c r="O107"/>
      <c r="P107" s="149"/>
      <c r="Q107" s="226"/>
      <c r="R107" s="226"/>
    </row>
    <row r="108" spans="2:18" outlineLevel="1">
      <c r="B108" s="167" t="s">
        <v>354</v>
      </c>
      <c r="C108" s="170">
        <v>113</v>
      </c>
      <c r="D108" s="170">
        <v>215</v>
      </c>
      <c r="E108" s="170">
        <v>150</v>
      </c>
      <c r="F108" s="170">
        <v>167</v>
      </c>
      <c r="G108" s="170">
        <v>168</v>
      </c>
      <c r="H108" s="170">
        <v>473</v>
      </c>
      <c r="I108" s="170">
        <v>670</v>
      </c>
      <c r="J108" s="170">
        <v>310</v>
      </c>
      <c r="K108" s="170">
        <v>320</v>
      </c>
      <c r="L108" s="170">
        <v>972</v>
      </c>
      <c r="M108" s="149">
        <v>176.92</v>
      </c>
      <c r="O108"/>
      <c r="P108" s="149"/>
      <c r="Q108" s="226"/>
      <c r="R108" s="226"/>
    </row>
    <row r="109" spans="2:18" outlineLevel="1">
      <c r="B109" s="167" t="s">
        <v>355</v>
      </c>
      <c r="C109" s="170">
        <v>440</v>
      </c>
      <c r="D109" s="170">
        <v>0</v>
      </c>
      <c r="E109" s="170">
        <v>46</v>
      </c>
      <c r="F109" s="170">
        <v>607</v>
      </c>
      <c r="G109" s="170">
        <v>1018</v>
      </c>
      <c r="H109" s="170">
        <v>0</v>
      </c>
      <c r="I109" s="170">
        <v>0</v>
      </c>
      <c r="J109" s="170">
        <v>0</v>
      </c>
      <c r="K109" s="170">
        <v>0</v>
      </c>
      <c r="L109" s="170">
        <v>0</v>
      </c>
      <c r="M109" s="170">
        <v>0</v>
      </c>
      <c r="O109"/>
      <c r="P109" s="149"/>
      <c r="Q109" s="149"/>
      <c r="R109" s="149"/>
    </row>
    <row r="110" spans="2:18" outlineLevel="1">
      <c r="B110" s="167" t="s">
        <v>356</v>
      </c>
      <c r="C110" s="170">
        <v>0</v>
      </c>
      <c r="D110" s="170">
        <v>0</v>
      </c>
      <c r="E110" s="170">
        <v>0</v>
      </c>
      <c r="F110" s="170">
        <v>0</v>
      </c>
      <c r="G110" s="170">
        <v>0</v>
      </c>
      <c r="H110" s="170">
        <v>0</v>
      </c>
      <c r="I110" s="170">
        <v>0</v>
      </c>
      <c r="J110" s="170">
        <v>0</v>
      </c>
      <c r="K110" s="170">
        <v>0</v>
      </c>
      <c r="L110" s="170">
        <v>0</v>
      </c>
      <c r="M110" s="170">
        <v>0</v>
      </c>
      <c r="O110"/>
      <c r="P110" s="149"/>
      <c r="Q110" s="149"/>
      <c r="R110" s="149"/>
    </row>
    <row r="111" spans="2:18" outlineLevel="1">
      <c r="B111" s="167" t="s">
        <v>357</v>
      </c>
      <c r="C111" s="170">
        <v>-113</v>
      </c>
      <c r="D111" s="170">
        <v>-214.9</v>
      </c>
      <c r="E111" s="170">
        <v>-150.19999999999999</v>
      </c>
      <c r="F111" s="170">
        <v>-166.6</v>
      </c>
      <c r="G111" s="170">
        <v>-168</v>
      </c>
      <c r="H111" s="170">
        <v>-472.7</v>
      </c>
      <c r="I111" s="170">
        <v>-630.20000000000005</v>
      </c>
      <c r="J111" s="170">
        <v>-110.8</v>
      </c>
      <c r="K111" s="170">
        <v>-320.5</v>
      </c>
      <c r="L111" s="170">
        <v>-971.6</v>
      </c>
      <c r="M111" s="149">
        <v>122.08</v>
      </c>
      <c r="O111"/>
      <c r="P111" s="226"/>
      <c r="Q111" s="226"/>
      <c r="R111" s="226"/>
    </row>
    <row r="112" spans="2:18">
      <c r="C112" s="170"/>
      <c r="D112" s="170"/>
      <c r="E112" s="170"/>
      <c r="F112" s="170"/>
      <c r="G112" s="170"/>
      <c r="H112" s="170"/>
      <c r="I112" s="170"/>
      <c r="J112" s="170"/>
      <c r="K112" s="170"/>
      <c r="L112" s="170"/>
      <c r="O112"/>
      <c r="P112" s="149"/>
      <c r="Q112" s="149"/>
      <c r="R112" s="149"/>
    </row>
    <row r="113" spans="2:18">
      <c r="B113" s="165" t="s">
        <v>366</v>
      </c>
      <c r="C113" s="166">
        <f>SUM(C114:C119)</f>
        <v>99.699999999999989</v>
      </c>
      <c r="D113" s="166">
        <f t="shared" ref="D113:M113" si="16">SUM(D114:D119)</f>
        <v>69.099999999999994</v>
      </c>
      <c r="E113" s="166">
        <f t="shared" si="16"/>
        <v>2.2999999999999998</v>
      </c>
      <c r="F113" s="166">
        <f t="shared" si="16"/>
        <v>2.2000000000000002</v>
      </c>
      <c r="G113" s="166">
        <f t="shared" si="16"/>
        <v>23</v>
      </c>
      <c r="H113" s="166">
        <f t="shared" si="16"/>
        <v>28</v>
      </c>
      <c r="I113" s="166">
        <f t="shared" si="16"/>
        <v>71.5</v>
      </c>
      <c r="J113" s="166">
        <f t="shared" si="16"/>
        <v>76.3</v>
      </c>
      <c r="K113" s="166">
        <f t="shared" si="16"/>
        <v>322.40000000000003</v>
      </c>
      <c r="L113" s="166">
        <f t="shared" si="16"/>
        <v>324.2</v>
      </c>
      <c r="M113" s="166">
        <f t="shared" si="16"/>
        <v>409.19</v>
      </c>
      <c r="O113"/>
      <c r="P113" s="149"/>
      <c r="Q113" s="149"/>
      <c r="R113" s="149"/>
    </row>
    <row r="114" spans="2:18" outlineLevel="1">
      <c r="B114" s="167" t="s">
        <v>367</v>
      </c>
      <c r="C114" s="170">
        <v>42</v>
      </c>
      <c r="D114" s="170">
        <v>49</v>
      </c>
      <c r="E114" s="170">
        <v>0</v>
      </c>
      <c r="F114" s="170">
        <v>0</v>
      </c>
      <c r="G114" s="170">
        <v>0</v>
      </c>
      <c r="H114" s="170">
        <v>0</v>
      </c>
      <c r="I114" s="170">
        <v>0</v>
      </c>
      <c r="J114" s="170">
        <v>0</v>
      </c>
      <c r="K114" s="170">
        <v>0</v>
      </c>
      <c r="L114" s="170">
        <v>0</v>
      </c>
      <c r="M114" s="170">
        <v>0</v>
      </c>
      <c r="O114"/>
      <c r="P114" s="149"/>
      <c r="Q114" s="149"/>
      <c r="R114" s="149"/>
    </row>
    <row r="115" spans="2:18" outlineLevel="1">
      <c r="B115" s="167" t="s">
        <v>368</v>
      </c>
      <c r="C115" s="170">
        <v>7.1</v>
      </c>
      <c r="D115" s="170">
        <v>9.9</v>
      </c>
      <c r="E115" s="170">
        <v>0</v>
      </c>
      <c r="F115" s="170">
        <v>0</v>
      </c>
      <c r="G115" s="170">
        <v>0</v>
      </c>
      <c r="H115" s="170">
        <v>0</v>
      </c>
      <c r="I115" s="170">
        <v>0</v>
      </c>
      <c r="J115" s="170">
        <v>0</v>
      </c>
      <c r="K115" s="170">
        <v>0</v>
      </c>
      <c r="L115" s="170">
        <v>0</v>
      </c>
      <c r="M115" s="170">
        <v>0</v>
      </c>
      <c r="O115"/>
      <c r="P115" s="149"/>
      <c r="Q115" s="149"/>
      <c r="R115" s="149"/>
    </row>
    <row r="116" spans="2:18" outlineLevel="1">
      <c r="B116" s="167" t="s">
        <v>369</v>
      </c>
      <c r="C116" s="170">
        <v>47</v>
      </c>
      <c r="D116" s="170">
        <v>6.4</v>
      </c>
      <c r="E116" s="170">
        <v>1.3</v>
      </c>
      <c r="F116" s="170">
        <v>1.3</v>
      </c>
      <c r="G116" s="170">
        <v>22</v>
      </c>
      <c r="H116" s="170">
        <v>22</v>
      </c>
      <c r="I116" s="170">
        <v>64</v>
      </c>
      <c r="J116" s="170">
        <v>68</v>
      </c>
      <c r="K116" s="170">
        <v>314</v>
      </c>
      <c r="L116" s="170">
        <v>314</v>
      </c>
      <c r="M116" s="149">
        <v>397.48</v>
      </c>
      <c r="O116"/>
      <c r="P116" s="149"/>
      <c r="Q116" s="149"/>
      <c r="R116" s="149"/>
    </row>
    <row r="117" spans="2:18" outlineLevel="1">
      <c r="B117" s="167" t="s">
        <v>370</v>
      </c>
      <c r="C117" s="170">
        <v>2.8</v>
      </c>
      <c r="D117" s="170">
        <v>3.1</v>
      </c>
      <c r="E117" s="170">
        <v>0.2</v>
      </c>
      <c r="F117" s="170">
        <v>0.3</v>
      </c>
      <c r="G117" s="170">
        <v>0.3</v>
      </c>
      <c r="H117" s="170">
        <v>5.2</v>
      </c>
      <c r="I117" s="170">
        <v>6.6</v>
      </c>
      <c r="J117" s="170">
        <v>7.2</v>
      </c>
      <c r="K117" s="170">
        <v>7.1</v>
      </c>
      <c r="L117" s="170">
        <v>9.5</v>
      </c>
      <c r="M117" s="149">
        <v>10.45</v>
      </c>
      <c r="O117"/>
      <c r="P117" s="149"/>
      <c r="Q117" s="149"/>
      <c r="R117" s="149"/>
    </row>
    <row r="118" spans="2:18" outlineLevel="1">
      <c r="B118" s="167" t="s">
        <v>371</v>
      </c>
      <c r="C118" s="170">
        <v>0</v>
      </c>
      <c r="D118" s="170">
        <v>0</v>
      </c>
      <c r="E118" s="170">
        <v>0</v>
      </c>
      <c r="F118" s="170">
        <v>0</v>
      </c>
      <c r="G118" s="170">
        <v>0</v>
      </c>
      <c r="H118" s="170">
        <v>0</v>
      </c>
      <c r="I118" s="170">
        <v>0</v>
      </c>
      <c r="J118" s="170">
        <v>0</v>
      </c>
      <c r="K118" s="170">
        <v>0</v>
      </c>
      <c r="L118" s="170">
        <v>0</v>
      </c>
      <c r="M118" s="170">
        <v>0</v>
      </c>
      <c r="O118"/>
      <c r="P118" s="226"/>
      <c r="Q118" s="226"/>
      <c r="R118" s="226"/>
    </row>
    <row r="119" spans="2:18" outlineLevel="1">
      <c r="B119" s="167" t="s">
        <v>372</v>
      </c>
      <c r="C119" s="170">
        <v>0.8</v>
      </c>
      <c r="D119" s="170">
        <v>0.7</v>
      </c>
      <c r="E119" s="170">
        <v>0.8</v>
      </c>
      <c r="F119" s="170">
        <v>0.6</v>
      </c>
      <c r="G119" s="170">
        <v>0.7</v>
      </c>
      <c r="H119" s="170">
        <v>0.8</v>
      </c>
      <c r="I119" s="170">
        <v>0.9</v>
      </c>
      <c r="J119" s="170">
        <v>1.1000000000000001</v>
      </c>
      <c r="K119" s="170">
        <v>1.3</v>
      </c>
      <c r="L119" s="170">
        <v>0.7</v>
      </c>
      <c r="M119" s="161">
        <v>1.26</v>
      </c>
      <c r="O119"/>
      <c r="P119" s="149"/>
      <c r="Q119" s="149"/>
      <c r="R119" s="149"/>
    </row>
    <row r="120" spans="2:18">
      <c r="C120" s="170"/>
      <c r="D120" s="170"/>
      <c r="E120" s="170"/>
      <c r="F120" s="170"/>
      <c r="G120" s="170"/>
      <c r="H120" s="170"/>
      <c r="I120" s="170"/>
      <c r="J120" s="170"/>
      <c r="K120" s="170"/>
      <c r="L120" s="170"/>
      <c r="O120"/>
      <c r="P120" s="149"/>
      <c r="Q120" s="149"/>
      <c r="R120" s="149"/>
    </row>
    <row r="121" spans="2:18">
      <c r="B121" s="165" t="s">
        <v>373</v>
      </c>
      <c r="C121" s="166">
        <v>0</v>
      </c>
      <c r="D121" s="166">
        <v>0</v>
      </c>
      <c r="E121" s="166">
        <v>0</v>
      </c>
      <c r="F121" s="166">
        <v>0</v>
      </c>
      <c r="G121" s="166">
        <v>0</v>
      </c>
      <c r="H121" s="166">
        <v>62</v>
      </c>
      <c r="I121" s="166">
        <v>70</v>
      </c>
      <c r="J121" s="166">
        <v>51</v>
      </c>
      <c r="K121" s="166">
        <v>50</v>
      </c>
      <c r="L121" s="166">
        <v>41</v>
      </c>
      <c r="M121" s="165">
        <v>41.12</v>
      </c>
      <c r="O121"/>
      <c r="P121" s="149"/>
      <c r="Q121" s="149"/>
      <c r="R121" s="149"/>
    </row>
    <row r="122" spans="2:18">
      <c r="B122" s="165"/>
      <c r="C122" s="166"/>
      <c r="D122" s="166"/>
      <c r="E122" s="166"/>
      <c r="F122" s="166"/>
      <c r="G122" s="166"/>
      <c r="H122" s="166"/>
      <c r="I122" s="166"/>
      <c r="J122" s="166"/>
      <c r="K122" s="166"/>
      <c r="L122" s="166"/>
      <c r="O122"/>
      <c r="P122" s="149"/>
      <c r="Q122" s="149"/>
      <c r="R122" s="149"/>
    </row>
    <row r="123" spans="2:18">
      <c r="B123" s="165" t="s">
        <v>102</v>
      </c>
      <c r="C123" s="166">
        <f>SUM(C124:C130)</f>
        <v>581</v>
      </c>
      <c r="D123" s="166">
        <f t="shared" ref="D123:M123" si="17">SUM(D124:D130)</f>
        <v>872</v>
      </c>
      <c r="E123" s="166">
        <f t="shared" si="17"/>
        <v>706.7</v>
      </c>
      <c r="F123" s="166">
        <f>SUM(F124:F130)</f>
        <v>857.9</v>
      </c>
      <c r="G123" s="166">
        <f t="shared" si="17"/>
        <v>1029</v>
      </c>
      <c r="H123" s="166">
        <f t="shared" si="17"/>
        <v>1087.4000000000001</v>
      </c>
      <c r="I123" s="166">
        <f t="shared" si="17"/>
        <v>2576.4</v>
      </c>
      <c r="J123" s="166">
        <f t="shared" si="17"/>
        <v>2974.2</v>
      </c>
      <c r="K123" s="166">
        <f t="shared" si="17"/>
        <v>3153.3</v>
      </c>
      <c r="L123" s="166">
        <f t="shared" si="17"/>
        <v>4240.3</v>
      </c>
      <c r="M123" s="166">
        <f t="shared" si="17"/>
        <v>4028.49</v>
      </c>
      <c r="O123"/>
      <c r="P123" s="149"/>
      <c r="Q123" s="149"/>
      <c r="R123" s="149"/>
    </row>
    <row r="124" spans="2:18" outlineLevel="1">
      <c r="B124" s="167" t="s">
        <v>374</v>
      </c>
      <c r="C124" s="170">
        <v>0</v>
      </c>
      <c r="D124" s="170">
        <v>0</v>
      </c>
      <c r="E124" s="170">
        <v>0</v>
      </c>
      <c r="F124" s="170">
        <v>0</v>
      </c>
      <c r="G124" s="170">
        <v>0</v>
      </c>
      <c r="H124" s="170">
        <v>0</v>
      </c>
      <c r="I124" s="170">
        <v>0</v>
      </c>
      <c r="J124" s="170">
        <v>0</v>
      </c>
      <c r="K124" s="170">
        <v>0</v>
      </c>
      <c r="L124" s="170">
        <v>0</v>
      </c>
      <c r="M124" s="170">
        <v>0</v>
      </c>
      <c r="O124"/>
      <c r="P124" s="149"/>
      <c r="Q124" s="149"/>
      <c r="R124" s="149"/>
    </row>
    <row r="125" spans="2:18" outlineLevel="1">
      <c r="B125" s="167" t="s">
        <v>375</v>
      </c>
      <c r="C125" s="170">
        <v>74</v>
      </c>
      <c r="D125" s="170">
        <v>93</v>
      </c>
      <c r="E125" s="170">
        <v>93</v>
      </c>
      <c r="F125" s="170">
        <v>149</v>
      </c>
      <c r="G125" s="170">
        <v>164</v>
      </c>
      <c r="H125" s="170">
        <v>136</v>
      </c>
      <c r="I125" s="170">
        <v>208</v>
      </c>
      <c r="J125" s="170">
        <v>210</v>
      </c>
      <c r="K125" s="170">
        <v>237</v>
      </c>
      <c r="L125" s="170">
        <v>271</v>
      </c>
      <c r="M125" s="170">
        <v>317.14</v>
      </c>
      <c r="O125"/>
      <c r="P125" s="149"/>
      <c r="Q125" s="149"/>
      <c r="R125" s="149"/>
    </row>
    <row r="126" spans="2:18" outlineLevel="1">
      <c r="B126" s="167" t="s">
        <v>376</v>
      </c>
      <c r="C126" s="170">
        <v>12</v>
      </c>
      <c r="D126" s="170">
        <v>11</v>
      </c>
      <c r="E126" s="170">
        <v>8.6999999999999993</v>
      </c>
      <c r="F126" s="170">
        <v>9.9</v>
      </c>
      <c r="G126" s="170">
        <v>6.5</v>
      </c>
      <c r="H126" s="170">
        <v>5.9</v>
      </c>
      <c r="I126" s="170">
        <v>4.4000000000000004</v>
      </c>
      <c r="J126" s="170">
        <v>0.2</v>
      </c>
      <c r="K126" s="170">
        <v>0.3</v>
      </c>
      <c r="L126" s="170">
        <v>3.3</v>
      </c>
      <c r="M126" s="170">
        <v>28.96</v>
      </c>
      <c r="O126"/>
      <c r="P126" s="226"/>
      <c r="Q126" s="226"/>
      <c r="R126" s="226"/>
    </row>
    <row r="127" spans="2:18" outlineLevel="1">
      <c r="B127" s="167" t="s">
        <v>377</v>
      </c>
      <c r="C127" s="170">
        <v>0</v>
      </c>
      <c r="D127" s="170">
        <v>0</v>
      </c>
      <c r="E127" s="170">
        <v>0</v>
      </c>
      <c r="F127" s="170">
        <v>0</v>
      </c>
      <c r="G127" s="170">
        <v>0</v>
      </c>
      <c r="H127" s="170">
        <v>0</v>
      </c>
      <c r="I127" s="170">
        <v>0</v>
      </c>
      <c r="J127" s="170">
        <v>0</v>
      </c>
      <c r="K127" s="170">
        <v>0</v>
      </c>
      <c r="L127" s="170">
        <v>0</v>
      </c>
      <c r="M127" s="170">
        <v>0</v>
      </c>
      <c r="O127"/>
      <c r="P127" s="226"/>
      <c r="Q127" s="226"/>
      <c r="R127" s="226"/>
    </row>
    <row r="128" spans="2:18" outlineLevel="1">
      <c r="B128" s="167" t="s">
        <v>378</v>
      </c>
      <c r="C128" s="170">
        <v>0</v>
      </c>
      <c r="D128" s="170">
        <v>200</v>
      </c>
      <c r="E128" s="170">
        <v>0</v>
      </c>
      <c r="F128" s="170">
        <v>0</v>
      </c>
      <c r="G128" s="170">
        <v>0</v>
      </c>
      <c r="H128" s="170">
        <v>0</v>
      </c>
      <c r="I128" s="170">
        <v>0</v>
      </c>
      <c r="J128" s="170">
        <v>0</v>
      </c>
      <c r="K128" s="170">
        <v>0</v>
      </c>
      <c r="L128" s="170">
        <v>0</v>
      </c>
      <c r="M128" s="170">
        <v>0</v>
      </c>
      <c r="O128"/>
    </row>
    <row r="129" spans="2:13" outlineLevel="1">
      <c r="B129" s="167" t="s">
        <v>379</v>
      </c>
      <c r="C129" s="170">
        <v>0</v>
      </c>
      <c r="D129" s="170">
        <v>0</v>
      </c>
      <c r="E129" s="170">
        <v>0</v>
      </c>
      <c r="F129" s="170">
        <v>0</v>
      </c>
      <c r="G129" s="170">
        <v>1.5</v>
      </c>
      <c r="H129" s="170">
        <v>1.5</v>
      </c>
      <c r="I129" s="170">
        <v>0</v>
      </c>
      <c r="J129" s="170">
        <v>0</v>
      </c>
      <c r="K129" s="170">
        <v>0</v>
      </c>
      <c r="L129" s="170">
        <v>0</v>
      </c>
      <c r="M129" s="170">
        <v>0</v>
      </c>
    </row>
    <row r="130" spans="2:13" outlineLevel="1">
      <c r="B130" s="167" t="s">
        <v>13</v>
      </c>
      <c r="C130" s="170">
        <v>495</v>
      </c>
      <c r="D130" s="170">
        <v>568</v>
      </c>
      <c r="E130" s="170">
        <v>605</v>
      </c>
      <c r="F130" s="170">
        <v>699</v>
      </c>
      <c r="G130" s="170">
        <v>857</v>
      </c>
      <c r="H130" s="170">
        <v>944</v>
      </c>
      <c r="I130" s="170">
        <v>2364</v>
      </c>
      <c r="J130" s="170">
        <v>2764</v>
      </c>
      <c r="K130" s="170">
        <v>2916</v>
      </c>
      <c r="L130" s="170">
        <v>3966</v>
      </c>
      <c r="M130" s="170">
        <v>3682.39</v>
      </c>
    </row>
    <row r="131" spans="2:13">
      <c r="C131" s="170"/>
      <c r="D131" s="170"/>
      <c r="E131" s="170"/>
      <c r="F131" s="170"/>
      <c r="G131" s="170"/>
      <c r="H131" s="170"/>
      <c r="I131" s="170"/>
      <c r="J131" s="170"/>
      <c r="K131" s="170"/>
      <c r="L131" s="170"/>
    </row>
    <row r="132" spans="2:13">
      <c r="B132" s="177" t="s">
        <v>380</v>
      </c>
      <c r="C132" s="185">
        <f>C123+C121+C113+C103+C106</f>
        <v>1500.7</v>
      </c>
      <c r="D132" s="185">
        <f t="shared" ref="D132:M132" si="18">D123+D121+D113+D103+D106</f>
        <v>1448.1999999999998</v>
      </c>
      <c r="E132" s="185">
        <f t="shared" si="18"/>
        <v>1161.8</v>
      </c>
      <c r="F132" s="185">
        <f>F123+F121+F113+F103+F106</f>
        <v>1986.5</v>
      </c>
      <c r="G132" s="185">
        <f t="shared" si="18"/>
        <v>2965</v>
      </c>
      <c r="H132" s="185">
        <f t="shared" si="18"/>
        <v>2188.7000000000003</v>
      </c>
      <c r="I132" s="185">
        <f t="shared" si="18"/>
        <v>4085.7</v>
      </c>
      <c r="J132" s="185">
        <f t="shared" si="18"/>
        <v>4493.7</v>
      </c>
      <c r="K132" s="185">
        <f t="shared" si="18"/>
        <v>4735.2000000000007</v>
      </c>
      <c r="L132" s="185">
        <f t="shared" si="18"/>
        <v>6773.9</v>
      </c>
      <c r="M132" s="185">
        <f t="shared" si="18"/>
        <v>6168.9499999999989</v>
      </c>
    </row>
    <row r="133" spans="2:13">
      <c r="C133" s="170"/>
      <c r="D133" s="170"/>
      <c r="E133" s="170"/>
      <c r="F133" s="170"/>
      <c r="G133" s="170"/>
      <c r="H133" s="170"/>
      <c r="I133" s="170"/>
      <c r="J133" s="170"/>
      <c r="K133" s="170"/>
      <c r="L133" s="170"/>
    </row>
    <row r="134" spans="2:13">
      <c r="C134" s="170"/>
      <c r="D134" s="170"/>
      <c r="E134" s="170"/>
      <c r="F134" s="170"/>
      <c r="G134" s="170"/>
      <c r="H134" s="170"/>
      <c r="I134" s="170"/>
      <c r="J134" s="170"/>
      <c r="K134" s="170"/>
      <c r="L134" s="170"/>
    </row>
    <row r="135" spans="2:13" ht="15.75" thickBot="1">
      <c r="B135" s="171" t="s">
        <v>381</v>
      </c>
      <c r="C135" s="172">
        <f t="shared" ref="C135:M135" si="19">C132+C98</f>
        <v>7330.3</v>
      </c>
      <c r="D135" s="172">
        <f t="shared" si="19"/>
        <v>7998.0999999999995</v>
      </c>
      <c r="E135" s="172">
        <f t="shared" si="19"/>
        <v>9464.5</v>
      </c>
      <c r="F135" s="172">
        <f t="shared" si="19"/>
        <v>11164.3</v>
      </c>
      <c r="G135" s="172">
        <f t="shared" si="19"/>
        <v>15139.9</v>
      </c>
      <c r="H135" s="172">
        <f t="shared" si="19"/>
        <v>15494.300000000001</v>
      </c>
      <c r="I135" s="172">
        <f t="shared" si="19"/>
        <v>19945.7</v>
      </c>
      <c r="J135" s="172">
        <f t="shared" si="19"/>
        <v>21513.7</v>
      </c>
      <c r="K135" s="172">
        <f t="shared" si="19"/>
        <v>23748.2</v>
      </c>
      <c r="L135" s="172">
        <f t="shared" si="19"/>
        <v>26334.9</v>
      </c>
      <c r="M135" s="172">
        <f t="shared" si="19"/>
        <v>27924.590000000004</v>
      </c>
    </row>
    <row r="136" spans="2:13">
      <c r="C136" s="170"/>
      <c r="D136" s="170"/>
      <c r="E136" s="170"/>
      <c r="F136" s="170"/>
      <c r="G136" s="170"/>
      <c r="H136" s="170"/>
      <c r="I136" s="170"/>
      <c r="J136" s="170"/>
      <c r="K136" s="170"/>
      <c r="L136" s="170"/>
    </row>
    <row r="137" spans="2:13">
      <c r="C137" s="170">
        <f t="shared" ref="C137:M137" si="20">C135-C60</f>
        <v>2.4000000000005457</v>
      </c>
      <c r="D137" s="170">
        <f t="shared" si="20"/>
        <v>0.49999999999909051</v>
      </c>
      <c r="E137" s="170">
        <f t="shared" si="20"/>
        <v>0</v>
      </c>
      <c r="F137" s="170">
        <f t="shared" si="20"/>
        <v>0</v>
      </c>
      <c r="G137" s="308">
        <f t="shared" si="20"/>
        <v>-0.2000000000007276</v>
      </c>
      <c r="H137" s="170">
        <f t="shared" si="20"/>
        <v>2.1000000000003638</v>
      </c>
      <c r="I137" s="170">
        <f t="shared" si="20"/>
        <v>1</v>
      </c>
      <c r="J137" s="170">
        <f t="shared" si="20"/>
        <v>1.6000000000021828</v>
      </c>
      <c r="K137" s="170">
        <f t="shared" si="20"/>
        <v>1.4000000000014552</v>
      </c>
      <c r="L137" s="170">
        <f t="shared" si="20"/>
        <v>0.5</v>
      </c>
      <c r="M137" s="170">
        <f t="shared" si="20"/>
        <v>7.0000000003346941E-2</v>
      </c>
    </row>
    <row r="138" spans="2:13">
      <c r="C138" s="170"/>
      <c r="D138" s="170"/>
      <c r="E138" s="170"/>
      <c r="F138" s="170"/>
      <c r="G138" s="170"/>
      <c r="H138" s="170"/>
      <c r="I138" s="170"/>
      <c r="J138" s="170"/>
      <c r="K138" s="170"/>
      <c r="L138" s="170"/>
    </row>
    <row r="139" spans="2:13">
      <c r="C139" s="170"/>
      <c r="D139" s="170"/>
      <c r="E139" s="170"/>
      <c r="F139" s="170"/>
      <c r="G139" s="170"/>
      <c r="H139" s="170"/>
      <c r="I139" s="170"/>
      <c r="J139" s="170"/>
      <c r="K139" s="170"/>
      <c r="L139" s="170"/>
    </row>
    <row r="140" spans="2:13">
      <c r="C140" s="170"/>
      <c r="D140" s="170"/>
      <c r="E140" s="170"/>
      <c r="F140" s="170"/>
      <c r="G140" s="170"/>
      <c r="H140" s="170"/>
      <c r="I140" s="170"/>
      <c r="J140" s="170"/>
      <c r="K140" s="170"/>
      <c r="L140" s="170"/>
    </row>
    <row r="141" spans="2:13">
      <c r="C141" s="170"/>
      <c r="D141" s="170"/>
      <c r="E141" s="170"/>
      <c r="F141" s="170"/>
      <c r="G141" s="170"/>
      <c r="H141" s="170"/>
      <c r="I141" s="170"/>
      <c r="J141" s="170"/>
      <c r="K141" s="170"/>
      <c r="L141" s="170"/>
    </row>
  </sheetData>
  <pageMargins left="0.7" right="0.7" top="0.75" bottom="0.75" header="0.3" footer="0.3"/>
  <pageSetup orientation="portrait" horizontalDpi="4294967295" verticalDpi="4294967295"/>
  <ignoredErrors>
    <ignoredError sqref="C85:K85 M85"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FB410-B300-4815-830C-5705B85A03F8}">
  <sheetPr codeName="Sheet25"/>
  <dimension ref="B1:T69"/>
  <sheetViews>
    <sheetView showGridLines="0" topLeftCell="A6" workbookViewId="0">
      <pane xSplit="5" topLeftCell="H1" activePane="topRight" state="frozen"/>
      <selection activeCell="A4" sqref="A4"/>
      <selection pane="topRight" activeCell="M20" sqref="M20"/>
    </sheetView>
  </sheetViews>
  <sheetFormatPr defaultColWidth="8.85546875" defaultRowHeight="15"/>
  <cols>
    <col min="1" max="1" width="1.85546875" style="161" customWidth="1"/>
    <col min="2" max="2" width="58" style="161" customWidth="1"/>
    <col min="3" max="5" width="20" style="161" hidden="1" customWidth="1"/>
    <col min="6" max="12" width="20" style="161" customWidth="1"/>
    <col min="13" max="13" width="15.85546875" style="161" customWidth="1"/>
    <col min="14" max="16" width="8.85546875" style="161"/>
    <col min="17" max="17" width="40.140625" style="161" bestFit="1" customWidth="1"/>
    <col min="18" max="20" width="8.7109375" style="161" bestFit="1" customWidth="1"/>
    <col min="21" max="16384" width="8.85546875" style="161"/>
  </cols>
  <sheetData>
    <row r="1" spans="2:20">
      <c r="B1" s="180" t="s">
        <v>382</v>
      </c>
      <c r="C1" s="181" t="s">
        <v>229</v>
      </c>
      <c r="D1" s="181" t="s">
        <v>230</v>
      </c>
      <c r="E1" s="181" t="s">
        <v>231</v>
      </c>
      <c r="F1" s="181" t="s">
        <v>232</v>
      </c>
      <c r="G1" s="181" t="s">
        <v>233</v>
      </c>
      <c r="H1" s="181" t="s">
        <v>234</v>
      </c>
      <c r="I1" s="181" t="s">
        <v>235</v>
      </c>
      <c r="J1" s="181" t="s">
        <v>236</v>
      </c>
      <c r="K1" s="181" t="s">
        <v>237</v>
      </c>
      <c r="L1" s="181" t="s">
        <v>238</v>
      </c>
      <c r="M1" s="181" t="s">
        <v>504</v>
      </c>
    </row>
    <row r="2" spans="2:20">
      <c r="B2" s="164"/>
      <c r="C2" s="164"/>
      <c r="D2" s="164"/>
      <c r="E2" s="164"/>
      <c r="F2" s="164"/>
      <c r="G2" s="164"/>
      <c r="H2" s="164"/>
      <c r="I2" s="164"/>
      <c r="J2" s="164"/>
      <c r="K2" s="164"/>
      <c r="L2" s="164"/>
      <c r="Q2"/>
      <c r="R2" s="226"/>
      <c r="S2" s="226"/>
      <c r="T2" s="226"/>
    </row>
    <row r="3" spans="2:20">
      <c r="B3" t="s">
        <v>419</v>
      </c>
      <c r="C3" s="149"/>
      <c r="D3" s="149">
        <v>41.13</v>
      </c>
      <c r="E3" s="149">
        <v>5.58</v>
      </c>
      <c r="F3" s="149">
        <v>36.380000000000003</v>
      </c>
      <c r="G3" s="149">
        <v>23.31</v>
      </c>
      <c r="H3" s="149">
        <v>33.520000000000003</v>
      </c>
      <c r="I3" s="149">
        <v>117.72</v>
      </c>
      <c r="J3" s="149">
        <v>81.69</v>
      </c>
      <c r="K3" s="149">
        <v>451.99</v>
      </c>
      <c r="L3" s="149">
        <v>127.71</v>
      </c>
      <c r="M3" s="149">
        <v>14.35</v>
      </c>
      <c r="N3" s="315"/>
      <c r="O3" s="315"/>
      <c r="Q3"/>
      <c r="R3" s="149"/>
      <c r="S3" s="226"/>
      <c r="T3" s="226"/>
    </row>
    <row r="4" spans="2:20">
      <c r="B4" s="164"/>
      <c r="C4" s="164"/>
      <c r="D4" s="164"/>
      <c r="E4" s="164"/>
      <c r="F4" s="164"/>
      <c r="G4" s="164"/>
      <c r="H4" s="164"/>
      <c r="I4" s="164"/>
      <c r="J4" s="164"/>
      <c r="K4" s="164"/>
      <c r="L4" s="164"/>
      <c r="Q4"/>
      <c r="R4" s="226"/>
      <c r="S4" s="226"/>
      <c r="T4" s="226"/>
    </row>
    <row r="5" spans="2:20">
      <c r="B5" s="164" t="s">
        <v>383</v>
      </c>
      <c r="C5" s="164"/>
      <c r="D5" s="164"/>
      <c r="E5" s="164"/>
      <c r="F5" s="164"/>
      <c r="G5" s="164"/>
      <c r="H5" s="164"/>
      <c r="I5" s="164"/>
      <c r="J5" s="164"/>
      <c r="K5" s="164"/>
      <c r="L5" s="164"/>
      <c r="Q5"/>
      <c r="R5" s="149"/>
      <c r="S5" s="149"/>
      <c r="T5" s="149"/>
    </row>
    <row r="6" spans="2:20" ht="12" customHeight="1">
      <c r="B6" s="164"/>
      <c r="C6" s="164"/>
      <c r="D6" s="164"/>
      <c r="E6" s="164"/>
      <c r="F6" s="164"/>
      <c r="G6" s="164"/>
      <c r="H6" s="164"/>
      <c r="I6" s="164"/>
      <c r="J6" s="164"/>
      <c r="K6" s="164"/>
      <c r="L6" s="164"/>
      <c r="Q6"/>
      <c r="R6" s="149"/>
      <c r="S6" s="149"/>
      <c r="T6" s="149"/>
    </row>
    <row r="7" spans="2:20">
      <c r="B7" s="165" t="s">
        <v>384</v>
      </c>
      <c r="C7" s="166">
        <v>815</v>
      </c>
      <c r="D7" s="166">
        <v>401</v>
      </c>
      <c r="E7" s="166">
        <v>1176</v>
      </c>
      <c r="F7" s="166">
        <v>1531</v>
      </c>
      <c r="G7" s="166">
        <v>1827</v>
      </c>
      <c r="H7" s="166">
        <v>1324</v>
      </c>
      <c r="I7" s="166">
        <v>1934</v>
      </c>
      <c r="J7" s="166">
        <v>3004</v>
      </c>
      <c r="K7" s="166">
        <v>2892</v>
      </c>
      <c r="L7" s="166">
        <v>1495</v>
      </c>
      <c r="M7" s="166">
        <v>2959.2</v>
      </c>
      <c r="Q7"/>
      <c r="R7" s="149"/>
      <c r="S7" s="149"/>
      <c r="T7" s="149"/>
    </row>
    <row r="8" spans="2:20" ht="14.45" customHeight="1">
      <c r="B8" s="165"/>
      <c r="C8" s="166"/>
      <c r="D8" s="166"/>
      <c r="E8" s="166"/>
      <c r="F8" s="166"/>
      <c r="G8" s="166"/>
      <c r="H8" s="166"/>
      <c r="I8" s="166"/>
      <c r="J8" s="166"/>
      <c r="K8" s="166"/>
      <c r="L8" s="166"/>
      <c r="M8" s="166"/>
      <c r="Q8"/>
      <c r="R8" s="149"/>
      <c r="S8" s="149"/>
      <c r="T8" s="149"/>
    </row>
    <row r="9" spans="2:20">
      <c r="B9" s="183" t="s">
        <v>385</v>
      </c>
      <c r="C9" s="170">
        <v>550</v>
      </c>
      <c r="D9" s="170">
        <v>925</v>
      </c>
      <c r="E9" s="170">
        <v>828</v>
      </c>
      <c r="F9" s="170">
        <v>1215</v>
      </c>
      <c r="G9" s="170">
        <v>899</v>
      </c>
      <c r="H9" s="170">
        <v>1472</v>
      </c>
      <c r="I9" s="170">
        <v>1808</v>
      </c>
      <c r="J9" s="170">
        <v>1262</v>
      </c>
      <c r="K9" s="170">
        <v>1146</v>
      </c>
      <c r="L9" s="170">
        <v>1661</v>
      </c>
      <c r="M9" s="226">
        <v>1897.32</v>
      </c>
      <c r="Q9"/>
      <c r="R9" s="149"/>
      <c r="S9" s="149"/>
      <c r="T9" s="149"/>
    </row>
    <row r="10" spans="2:20">
      <c r="B10" s="183" t="s">
        <v>84</v>
      </c>
      <c r="C10" s="170">
        <v>129</v>
      </c>
      <c r="D10" s="170">
        <v>121</v>
      </c>
      <c r="E10" s="170">
        <v>76</v>
      </c>
      <c r="F10" s="170">
        <v>129</v>
      </c>
      <c r="G10" s="170">
        <v>135</v>
      </c>
      <c r="H10" s="170">
        <v>248</v>
      </c>
      <c r="I10" s="170">
        <v>291</v>
      </c>
      <c r="J10" s="170">
        <v>251</v>
      </c>
      <c r="K10" s="170">
        <v>216</v>
      </c>
      <c r="L10" s="170">
        <v>263</v>
      </c>
      <c r="M10" s="149">
        <v>258.33999999999997</v>
      </c>
      <c r="Q10"/>
      <c r="R10" s="149"/>
      <c r="S10" s="149"/>
      <c r="T10" s="149"/>
    </row>
    <row r="11" spans="2:20">
      <c r="B11" s="183" t="s">
        <v>386</v>
      </c>
      <c r="C11" s="170">
        <v>-0.5</v>
      </c>
      <c r="D11" s="170">
        <v>1.5</v>
      </c>
      <c r="E11" s="170">
        <v>8.8000000000000007</v>
      </c>
      <c r="F11" s="170">
        <v>4</v>
      </c>
      <c r="G11" s="170">
        <v>1.1000000000000001</v>
      </c>
      <c r="H11" s="170">
        <v>22</v>
      </c>
      <c r="I11" s="170">
        <v>-1.4</v>
      </c>
      <c r="J11" s="170">
        <v>-3.7</v>
      </c>
      <c r="K11" s="170">
        <v>-5.0999999999999996</v>
      </c>
      <c r="L11" s="170">
        <v>-6.8</v>
      </c>
      <c r="M11" s="170">
        <v>-9.7200000000000006</v>
      </c>
      <c r="Q11"/>
      <c r="R11" s="149"/>
      <c r="S11" s="149"/>
      <c r="T11" s="149"/>
    </row>
    <row r="12" spans="2:20">
      <c r="B12" s="183" t="s">
        <v>387</v>
      </c>
      <c r="C12" s="170">
        <v>-50.2</v>
      </c>
      <c r="D12" s="170">
        <v>-30.6</v>
      </c>
      <c r="E12" s="170">
        <v>-5.3</v>
      </c>
      <c r="F12" s="170">
        <v>-11.4</v>
      </c>
      <c r="G12" s="170">
        <v>-36.4</v>
      </c>
      <c r="H12" s="170">
        <v>-9.9</v>
      </c>
      <c r="I12" s="170">
        <v>3.4</v>
      </c>
      <c r="J12" s="170">
        <v>-35.1</v>
      </c>
      <c r="K12" s="170">
        <v>-102.5</v>
      </c>
      <c r="L12" s="170">
        <v>1.9</v>
      </c>
      <c r="M12" s="149">
        <v>16.5</v>
      </c>
      <c r="Q12"/>
      <c r="R12" s="149"/>
      <c r="S12" s="149"/>
      <c r="T12" s="149"/>
    </row>
    <row r="13" spans="2:20">
      <c r="B13" s="183" t="s">
        <v>283</v>
      </c>
      <c r="C13" s="170">
        <v>-26</v>
      </c>
      <c r="D13" s="170">
        <v>-24.4</v>
      </c>
      <c r="E13" s="170">
        <v>-38.4</v>
      </c>
      <c r="F13" s="170">
        <v>-58.2</v>
      </c>
      <c r="G13" s="170">
        <v>-82.5</v>
      </c>
      <c r="H13" s="170">
        <v>-52.8</v>
      </c>
      <c r="I13" s="170">
        <v>-40.799999999999997</v>
      </c>
      <c r="J13" s="170">
        <v>-9.1999999999999993</v>
      </c>
      <c r="K13" s="170">
        <v>-6.3</v>
      </c>
      <c r="L13" s="170">
        <v>-6.1</v>
      </c>
      <c r="M13" s="170">
        <v>-6.15</v>
      </c>
      <c r="Q13"/>
      <c r="R13" s="226"/>
      <c r="S13" s="226"/>
      <c r="T13" s="226"/>
    </row>
    <row r="14" spans="2:20">
      <c r="B14" s="183" t="s">
        <v>388</v>
      </c>
      <c r="C14" s="170">
        <v>-79.7</v>
      </c>
      <c r="D14" s="170">
        <v>-55.2</v>
      </c>
      <c r="E14" s="170">
        <v>-151.19999999999999</v>
      </c>
      <c r="F14" s="170">
        <v>-250.4</v>
      </c>
      <c r="G14" s="170">
        <v>-209.3</v>
      </c>
      <c r="H14" s="170">
        <v>-165.3</v>
      </c>
      <c r="I14" s="170">
        <v>-176</v>
      </c>
      <c r="J14" s="170">
        <v>-229.9</v>
      </c>
      <c r="K14" s="170">
        <v>-315.7</v>
      </c>
      <c r="L14" s="170">
        <v>-306.3</v>
      </c>
      <c r="M14" s="170">
        <v>-270.98</v>
      </c>
      <c r="Q14"/>
      <c r="R14" s="226"/>
      <c r="S14" s="226"/>
      <c r="T14" s="226"/>
    </row>
    <row r="15" spans="2:20">
      <c r="B15" s="183" t="s">
        <v>389</v>
      </c>
      <c r="C15" s="170">
        <v>0.6</v>
      </c>
      <c r="D15" s="170">
        <v>0.1</v>
      </c>
      <c r="E15" s="170">
        <v>-0.9</v>
      </c>
      <c r="F15" s="170">
        <v>22</v>
      </c>
      <c r="G15" s="170">
        <v>21</v>
      </c>
      <c r="H15" s="170">
        <v>142</v>
      </c>
      <c r="I15" s="170">
        <v>-1.4</v>
      </c>
      <c r="J15" s="170">
        <v>2.2999999999999998</v>
      </c>
      <c r="K15" s="170">
        <v>1.4</v>
      </c>
      <c r="L15" s="170">
        <v>-3.4</v>
      </c>
      <c r="M15" s="170">
        <v>-0.56000000000000005</v>
      </c>
      <c r="Q15"/>
      <c r="R15" s="149"/>
      <c r="S15" s="149"/>
      <c r="T15" s="149"/>
    </row>
    <row r="16" spans="2:20">
      <c r="B16" s="183" t="s">
        <v>390</v>
      </c>
      <c r="C16" s="170">
        <v>-0.7</v>
      </c>
      <c r="D16" s="170">
        <v>13</v>
      </c>
      <c r="E16" s="170">
        <v>-8.4</v>
      </c>
      <c r="F16" s="170">
        <v>-39.700000000000003</v>
      </c>
      <c r="G16" s="170">
        <v>-57.1</v>
      </c>
      <c r="H16" s="170">
        <v>-19.100000000000001</v>
      </c>
      <c r="I16" s="170">
        <v>-50.7</v>
      </c>
      <c r="J16" s="170">
        <v>-135.9</v>
      </c>
      <c r="K16" s="170">
        <v>-108.6</v>
      </c>
      <c r="L16" s="170">
        <v>-144.30000000000001</v>
      </c>
      <c r="M16" s="170">
        <v>-326.99</v>
      </c>
      <c r="Q16"/>
      <c r="R16" s="149"/>
      <c r="S16" s="149"/>
      <c r="T16" s="149"/>
    </row>
    <row r="17" spans="2:20">
      <c r="B17" s="183"/>
      <c r="C17" s="170"/>
      <c r="D17" s="170"/>
      <c r="E17" s="170"/>
      <c r="F17" s="170"/>
      <c r="G17" s="170"/>
      <c r="H17" s="170"/>
      <c r="I17" s="170"/>
      <c r="J17" s="170"/>
      <c r="K17" s="170"/>
      <c r="L17" s="170"/>
      <c r="M17" s="170"/>
      <c r="Q17"/>
      <c r="R17" s="149"/>
      <c r="S17" s="149"/>
      <c r="T17" s="149"/>
    </row>
    <row r="18" spans="2:20">
      <c r="B18" s="165" t="s">
        <v>391</v>
      </c>
      <c r="C18" s="166">
        <f t="shared" ref="C18:M18" si="0">C7+(SUM(C9:C16))</f>
        <v>1337.5</v>
      </c>
      <c r="D18" s="166">
        <f t="shared" si="0"/>
        <v>1351.4</v>
      </c>
      <c r="E18" s="166">
        <f t="shared" si="0"/>
        <v>1884.6000000000001</v>
      </c>
      <c r="F18" s="166">
        <f t="shared" si="0"/>
        <v>2541.2999999999997</v>
      </c>
      <c r="G18" s="166">
        <f t="shared" si="0"/>
        <v>2497.7999999999997</v>
      </c>
      <c r="H18" s="166">
        <f t="shared" si="0"/>
        <v>2960.9</v>
      </c>
      <c r="I18" s="166">
        <f t="shared" si="0"/>
        <v>3766.0999999999995</v>
      </c>
      <c r="J18" s="166">
        <f t="shared" si="0"/>
        <v>4105.5</v>
      </c>
      <c r="K18" s="166">
        <f t="shared" si="0"/>
        <v>3717.2</v>
      </c>
      <c r="L18" s="166">
        <f t="shared" si="0"/>
        <v>2954</v>
      </c>
      <c r="M18" s="166">
        <f t="shared" si="0"/>
        <v>4516.96</v>
      </c>
      <c r="Q18"/>
      <c r="R18" s="149"/>
      <c r="S18" s="149"/>
      <c r="T18" s="149"/>
    </row>
    <row r="19" spans="2:20">
      <c r="C19" s="170"/>
      <c r="D19" s="170"/>
      <c r="E19" s="170"/>
      <c r="F19" s="170"/>
      <c r="G19" s="170"/>
      <c r="H19" s="170"/>
      <c r="I19" s="170"/>
      <c r="J19" s="170"/>
      <c r="K19" s="170"/>
      <c r="L19" s="170"/>
      <c r="M19" s="170"/>
      <c r="Q19"/>
      <c r="R19" s="226"/>
      <c r="S19" s="226"/>
      <c r="T19" s="226"/>
    </row>
    <row r="20" spans="2:20">
      <c r="B20" s="165" t="s">
        <v>392</v>
      </c>
      <c r="C20" s="166">
        <v>119</v>
      </c>
      <c r="D20" s="166">
        <v>-21.8</v>
      </c>
      <c r="E20" s="166">
        <v>-174.8</v>
      </c>
      <c r="F20" s="166">
        <v>-50.9</v>
      </c>
      <c r="G20" s="166">
        <v>-113.1</v>
      </c>
      <c r="H20" s="166">
        <v>-650.5</v>
      </c>
      <c r="I20" s="166">
        <v>693</v>
      </c>
      <c r="J20" s="166">
        <v>893</v>
      </c>
      <c r="K20" s="166">
        <v>-847.7</v>
      </c>
      <c r="L20" s="166">
        <v>-51.6</v>
      </c>
      <c r="M20" s="166">
        <v>-725.28</v>
      </c>
      <c r="Q20"/>
      <c r="R20" s="226"/>
      <c r="S20" s="226"/>
      <c r="T20" s="226"/>
    </row>
    <row r="21" spans="2:20">
      <c r="C21" s="170"/>
      <c r="D21" s="170"/>
      <c r="E21" s="170"/>
      <c r="F21" s="170"/>
      <c r="G21" s="170"/>
      <c r="H21" s="170"/>
      <c r="I21" s="170"/>
      <c r="J21" s="170"/>
      <c r="K21" s="170"/>
      <c r="L21" s="170"/>
      <c r="M21" s="170"/>
      <c r="Q21"/>
      <c r="R21" s="149"/>
      <c r="S21" s="149"/>
      <c r="T21" s="149"/>
    </row>
    <row r="22" spans="2:20">
      <c r="B22" s="165" t="s">
        <v>393</v>
      </c>
      <c r="C22" s="166">
        <f t="shared" ref="C22:J22" si="1">C18+C20</f>
        <v>1456.5</v>
      </c>
      <c r="D22" s="166">
        <f t="shared" si="1"/>
        <v>1329.6000000000001</v>
      </c>
      <c r="E22" s="166">
        <f t="shared" si="1"/>
        <v>1709.8000000000002</v>
      </c>
      <c r="F22" s="166">
        <f t="shared" si="1"/>
        <v>2490.3999999999996</v>
      </c>
      <c r="G22" s="166">
        <f t="shared" si="1"/>
        <v>2384.6999999999998</v>
      </c>
      <c r="H22" s="166">
        <f t="shared" si="1"/>
        <v>2310.4</v>
      </c>
      <c r="I22" s="166">
        <f t="shared" si="1"/>
        <v>4459.0999999999995</v>
      </c>
      <c r="J22" s="166">
        <f t="shared" si="1"/>
        <v>4998.5</v>
      </c>
      <c r="K22" s="166">
        <f>K18+K20</f>
        <v>2869.5</v>
      </c>
      <c r="L22" s="166">
        <f>L18+L20</f>
        <v>2902.4</v>
      </c>
      <c r="M22" s="166">
        <f>M18+M20</f>
        <v>3791.6800000000003</v>
      </c>
      <c r="Q22"/>
      <c r="R22" s="226"/>
      <c r="S22" s="149"/>
      <c r="T22" s="149"/>
    </row>
    <row r="23" spans="2:20">
      <c r="B23" s="165"/>
      <c r="C23" s="166"/>
      <c r="D23" s="166"/>
      <c r="E23" s="166"/>
      <c r="F23" s="166"/>
      <c r="G23" s="166"/>
      <c r="H23" s="166"/>
      <c r="I23" s="166"/>
      <c r="J23" s="166"/>
      <c r="K23" s="166"/>
      <c r="L23" s="166"/>
      <c r="M23" s="166"/>
      <c r="Q23"/>
      <c r="R23" s="149"/>
      <c r="S23" s="149"/>
      <c r="T23" s="226"/>
    </row>
    <row r="24" spans="2:20">
      <c r="B24" s="165" t="s">
        <v>394</v>
      </c>
      <c r="C24" s="170">
        <v>1401</v>
      </c>
      <c r="D24" s="170">
        <v>1239</v>
      </c>
      <c r="E24" s="170">
        <v>1566</v>
      </c>
      <c r="F24" s="170">
        <v>2202</v>
      </c>
      <c r="G24" s="170">
        <v>1879</v>
      </c>
      <c r="H24" s="170">
        <v>2080</v>
      </c>
      <c r="I24" s="170">
        <v>3973</v>
      </c>
      <c r="J24" s="170">
        <v>4254</v>
      </c>
      <c r="K24" s="170">
        <v>2668</v>
      </c>
      <c r="L24" s="170">
        <v>2569</v>
      </c>
      <c r="M24" s="226">
        <v>3347.49</v>
      </c>
      <c r="Q24"/>
      <c r="R24" s="149"/>
      <c r="S24" s="149"/>
      <c r="T24" s="149"/>
    </row>
    <row r="25" spans="2:20">
      <c r="B25" s="161" t="s">
        <v>395</v>
      </c>
      <c r="C25" s="170">
        <v>-55.6</v>
      </c>
      <c r="D25" s="170">
        <v>-90.6</v>
      </c>
      <c r="E25" s="170">
        <v>-143.1</v>
      </c>
      <c r="F25" s="170">
        <v>-289.10000000000002</v>
      </c>
      <c r="G25" s="170">
        <v>-506.8</v>
      </c>
      <c r="H25" s="170">
        <v>-230.2</v>
      </c>
      <c r="I25" s="170">
        <v>-486.2</v>
      </c>
      <c r="J25" s="170">
        <v>-745.1</v>
      </c>
      <c r="K25" s="170">
        <v>-201.3</v>
      </c>
      <c r="L25" s="170">
        <v>-333.2</v>
      </c>
      <c r="M25" s="170">
        <v>-444.19</v>
      </c>
      <c r="Q25"/>
      <c r="R25" s="149"/>
      <c r="S25" s="149"/>
      <c r="T25" s="149"/>
    </row>
    <row r="26" spans="2:20">
      <c r="B26" s="161" t="s">
        <v>396</v>
      </c>
      <c r="C26" s="170">
        <v>0</v>
      </c>
      <c r="D26" s="170">
        <v>0</v>
      </c>
      <c r="E26" s="170">
        <v>0</v>
      </c>
      <c r="F26" s="170">
        <v>0</v>
      </c>
      <c r="G26" s="170">
        <v>0</v>
      </c>
      <c r="H26" s="170">
        <v>0</v>
      </c>
      <c r="I26" s="170">
        <v>0</v>
      </c>
      <c r="J26" s="170">
        <v>0</v>
      </c>
      <c r="K26" s="170">
        <v>0</v>
      </c>
      <c r="L26" s="170">
        <v>0</v>
      </c>
      <c r="M26" s="170">
        <v>0</v>
      </c>
      <c r="Q26"/>
      <c r="R26" s="149"/>
      <c r="S26" s="149"/>
      <c r="T26" s="149"/>
    </row>
    <row r="27" spans="2:20">
      <c r="B27" s="161" t="s">
        <v>397</v>
      </c>
      <c r="C27" s="170">
        <v>0</v>
      </c>
      <c r="D27" s="170">
        <v>0</v>
      </c>
      <c r="E27" s="170">
        <v>0</v>
      </c>
      <c r="F27" s="170">
        <v>0</v>
      </c>
      <c r="G27" s="170">
        <v>0</v>
      </c>
      <c r="H27" s="170">
        <v>0</v>
      </c>
      <c r="I27" s="170">
        <v>0</v>
      </c>
      <c r="J27" s="170">
        <v>0</v>
      </c>
      <c r="K27" s="170">
        <v>0</v>
      </c>
      <c r="L27" s="170">
        <v>0</v>
      </c>
      <c r="M27" s="170">
        <v>0</v>
      </c>
      <c r="Q27"/>
      <c r="R27" s="149"/>
      <c r="S27" s="149"/>
      <c r="T27" s="226"/>
    </row>
    <row r="28" spans="2:20">
      <c r="C28" s="170"/>
      <c r="D28" s="170"/>
      <c r="E28" s="170"/>
      <c r="F28" s="170"/>
      <c r="G28" s="170"/>
      <c r="H28" s="170"/>
      <c r="I28" s="170"/>
      <c r="J28" s="170"/>
      <c r="K28" s="170"/>
      <c r="L28" s="170"/>
      <c r="M28" s="170"/>
      <c r="Q28"/>
      <c r="R28" s="149"/>
      <c r="S28" s="149"/>
      <c r="T28" s="149"/>
    </row>
    <row r="29" spans="2:20">
      <c r="B29" s="177" t="s">
        <v>398</v>
      </c>
      <c r="C29" s="185">
        <f>C22+C25</f>
        <v>1400.9</v>
      </c>
      <c r="D29" s="185">
        <f t="shared" ref="D29:M29" si="2">D22+D25</f>
        <v>1239.0000000000002</v>
      </c>
      <c r="E29" s="185">
        <f t="shared" si="2"/>
        <v>1566.7000000000003</v>
      </c>
      <c r="F29" s="185">
        <f t="shared" si="2"/>
        <v>2201.2999999999997</v>
      </c>
      <c r="G29" s="185">
        <f t="shared" si="2"/>
        <v>1877.8999999999999</v>
      </c>
      <c r="H29" s="185">
        <f t="shared" si="2"/>
        <v>2080.2000000000003</v>
      </c>
      <c r="I29" s="185">
        <f t="shared" si="2"/>
        <v>3972.8999999999996</v>
      </c>
      <c r="J29" s="185">
        <f t="shared" si="2"/>
        <v>4253.3999999999996</v>
      </c>
      <c r="K29" s="185">
        <f t="shared" si="2"/>
        <v>2668.2</v>
      </c>
      <c r="L29" s="185">
        <f t="shared" si="2"/>
        <v>2569.2000000000003</v>
      </c>
      <c r="M29" s="185">
        <f t="shared" si="2"/>
        <v>3347.4900000000002</v>
      </c>
      <c r="Q29"/>
      <c r="R29" s="149"/>
      <c r="S29" s="149"/>
      <c r="T29" s="149"/>
    </row>
    <row r="30" spans="2:20">
      <c r="B30" s="165"/>
      <c r="C30" s="166"/>
      <c r="D30" s="166"/>
      <c r="E30" s="166"/>
      <c r="F30" s="166"/>
      <c r="G30" s="166"/>
      <c r="H30" s="166"/>
      <c r="I30" s="166"/>
      <c r="J30" s="166"/>
      <c r="K30" s="166"/>
      <c r="L30" s="166"/>
      <c r="M30" s="166"/>
      <c r="Q30"/>
      <c r="R30" s="149"/>
      <c r="S30" s="149"/>
      <c r="T30" s="226"/>
    </row>
    <row r="31" spans="2:20">
      <c r="C31" s="170"/>
      <c r="D31" s="170"/>
      <c r="E31" s="170"/>
      <c r="F31" s="170"/>
      <c r="G31" s="170"/>
      <c r="H31" s="170"/>
      <c r="I31" s="170"/>
      <c r="J31" s="170"/>
      <c r="K31" s="170"/>
      <c r="L31" s="170"/>
      <c r="M31" s="170"/>
      <c r="Q31"/>
      <c r="R31" s="149"/>
      <c r="S31" s="149"/>
      <c r="T31" s="149"/>
    </row>
    <row r="32" spans="2:20">
      <c r="B32" s="165" t="s">
        <v>399</v>
      </c>
      <c r="C32" s="170"/>
      <c r="D32" s="170"/>
      <c r="E32" s="170"/>
      <c r="F32" s="170"/>
      <c r="G32" s="170"/>
      <c r="H32" s="170"/>
      <c r="I32" s="170"/>
      <c r="J32" s="170"/>
      <c r="K32" s="170"/>
      <c r="L32" s="170"/>
      <c r="M32" s="170"/>
      <c r="Q32"/>
      <c r="R32" s="149"/>
      <c r="S32" s="149"/>
      <c r="T32" s="149"/>
    </row>
    <row r="33" spans="2:20" ht="15" customHeight="1">
      <c r="B33" s="165"/>
      <c r="C33" s="170"/>
      <c r="D33" s="170"/>
      <c r="E33" s="170"/>
      <c r="F33" s="170"/>
      <c r="G33" s="170"/>
      <c r="H33" s="170"/>
      <c r="I33" s="170"/>
      <c r="J33" s="170"/>
      <c r="K33" s="170"/>
      <c r="L33" s="170"/>
      <c r="M33" s="170"/>
      <c r="Q33"/>
      <c r="R33" s="149"/>
      <c r="S33" s="149"/>
      <c r="T33" s="149"/>
    </row>
    <row r="34" spans="2:20">
      <c r="B34" s="183" t="s">
        <v>400</v>
      </c>
      <c r="C34" s="170">
        <v>-1584.6</v>
      </c>
      <c r="D34" s="170">
        <v>-1124.9000000000001</v>
      </c>
      <c r="E34" s="170">
        <v>-738.7</v>
      </c>
      <c r="F34" s="170">
        <v>-1296.2</v>
      </c>
      <c r="G34" s="170">
        <v>-2527.8000000000002</v>
      </c>
      <c r="H34" s="170">
        <v>-1936.4</v>
      </c>
      <c r="I34" s="170">
        <v>-1544.8</v>
      </c>
      <c r="J34" s="170">
        <v>-1134.5999999999999</v>
      </c>
      <c r="K34" s="170">
        <v>-2218.1999999999998</v>
      </c>
      <c r="L34" s="170">
        <v>-3314.4</v>
      </c>
      <c r="M34" s="170">
        <v>-3200.35</v>
      </c>
      <c r="Q34"/>
      <c r="R34" s="149"/>
      <c r="S34" s="149"/>
      <c r="T34" s="149"/>
    </row>
    <row r="35" spans="2:20">
      <c r="B35" s="183" t="s">
        <v>401</v>
      </c>
      <c r="C35" s="170">
        <v>1.7</v>
      </c>
      <c r="D35" s="170">
        <v>1.4</v>
      </c>
      <c r="E35" s="170">
        <v>1.7</v>
      </c>
      <c r="F35" s="170">
        <v>1.6</v>
      </c>
      <c r="G35" s="170">
        <v>1.6</v>
      </c>
      <c r="H35" s="170">
        <v>14</v>
      </c>
      <c r="I35" s="170">
        <v>4.4000000000000004</v>
      </c>
      <c r="J35" s="170">
        <v>5.5</v>
      </c>
      <c r="K35" s="170">
        <v>8.8000000000000007</v>
      </c>
      <c r="L35" s="170">
        <v>35</v>
      </c>
      <c r="M35" s="170">
        <v>30.85</v>
      </c>
      <c r="Q35"/>
      <c r="R35" s="149"/>
      <c r="S35" s="149"/>
      <c r="T35" s="149"/>
    </row>
    <row r="36" spans="2:20">
      <c r="B36" s="183" t="s">
        <v>402</v>
      </c>
      <c r="C36" s="170">
        <v>-1859</v>
      </c>
      <c r="D36" s="170">
        <v>-773</v>
      </c>
      <c r="E36" s="170">
        <v>-972.3</v>
      </c>
      <c r="F36" s="170">
        <v>-1556</v>
      </c>
      <c r="G36" s="170">
        <v>-2811.9</v>
      </c>
      <c r="H36" s="170">
        <v>-2243.6999999999998</v>
      </c>
      <c r="I36" s="170">
        <v>-4814.7</v>
      </c>
      <c r="J36" s="170">
        <v>-3134.7</v>
      </c>
      <c r="K36" s="170">
        <v>-1186.5999999999999</v>
      </c>
      <c r="L36" s="170">
        <v>-171.4</v>
      </c>
      <c r="M36" s="170">
        <v>-290.86</v>
      </c>
      <c r="Q36"/>
      <c r="R36" s="149"/>
      <c r="S36" s="149"/>
      <c r="T36" s="149"/>
    </row>
    <row r="37" spans="2:20">
      <c r="B37" s="183" t="s">
        <v>403</v>
      </c>
      <c r="C37" s="170">
        <v>2099</v>
      </c>
      <c r="D37" s="170">
        <v>829</v>
      </c>
      <c r="E37" s="170">
        <v>357</v>
      </c>
      <c r="F37" s="170">
        <v>400</v>
      </c>
      <c r="G37" s="170">
        <v>976</v>
      </c>
      <c r="H37" s="170">
        <v>3194</v>
      </c>
      <c r="I37" s="170">
        <v>565</v>
      </c>
      <c r="J37" s="170">
        <v>1415</v>
      </c>
      <c r="K37" s="170">
        <v>975</v>
      </c>
      <c r="L37" s="170">
        <v>654</v>
      </c>
      <c r="M37" s="170">
        <v>1690.08</v>
      </c>
      <c r="Q37"/>
      <c r="R37" s="149"/>
      <c r="S37" s="149"/>
      <c r="T37" s="149"/>
    </row>
    <row r="38" spans="2:20">
      <c r="B38" s="183" t="s">
        <v>404</v>
      </c>
      <c r="C38" s="170">
        <v>26</v>
      </c>
      <c r="D38" s="170">
        <v>19</v>
      </c>
      <c r="E38" s="170">
        <v>41</v>
      </c>
      <c r="F38" s="170">
        <v>38</v>
      </c>
      <c r="G38" s="170">
        <v>96</v>
      </c>
      <c r="H38" s="170">
        <v>59</v>
      </c>
      <c r="I38" s="170">
        <v>44</v>
      </c>
      <c r="J38" s="170">
        <v>9.1999999999999993</v>
      </c>
      <c r="K38" s="170">
        <v>6.3</v>
      </c>
      <c r="L38" s="170">
        <v>6.1</v>
      </c>
      <c r="M38" s="170">
        <v>6.15</v>
      </c>
      <c r="Q38"/>
      <c r="R38" s="149"/>
      <c r="S38" s="149"/>
      <c r="T38" s="149"/>
    </row>
    <row r="39" spans="2:20">
      <c r="B39" s="183" t="s">
        <v>282</v>
      </c>
      <c r="C39" s="170">
        <v>83</v>
      </c>
      <c r="D39" s="170">
        <v>58</v>
      </c>
      <c r="E39" s="170">
        <v>47</v>
      </c>
      <c r="F39" s="170">
        <v>367</v>
      </c>
      <c r="G39" s="170">
        <v>672</v>
      </c>
      <c r="H39" s="170">
        <v>191</v>
      </c>
      <c r="I39" s="170">
        <v>149</v>
      </c>
      <c r="J39" s="170">
        <v>209</v>
      </c>
      <c r="K39" s="170">
        <v>297</v>
      </c>
      <c r="L39" s="170">
        <v>357</v>
      </c>
      <c r="M39" s="170">
        <v>343.51</v>
      </c>
    </row>
    <row r="40" spans="2:20">
      <c r="B40" s="183" t="s">
        <v>405</v>
      </c>
      <c r="C40" s="170">
        <v>-0.2</v>
      </c>
      <c r="D40" s="170">
        <v>-0.3</v>
      </c>
      <c r="E40" s="170">
        <v>-0.1</v>
      </c>
      <c r="F40" s="170">
        <v>-1.8</v>
      </c>
      <c r="G40" s="170">
        <v>-0.1</v>
      </c>
      <c r="H40" s="170">
        <v>-0.1</v>
      </c>
      <c r="I40" s="170">
        <v>-2.4</v>
      </c>
      <c r="J40" s="170">
        <v>-14.6</v>
      </c>
      <c r="K40" s="170">
        <v>-33.4</v>
      </c>
      <c r="L40" s="170">
        <v>19</v>
      </c>
      <c r="M40" s="170">
        <v>2.16</v>
      </c>
    </row>
    <row r="41" spans="2:20">
      <c r="C41" s="170"/>
      <c r="D41" s="170"/>
      <c r="E41" s="170"/>
      <c r="F41" s="170"/>
      <c r="G41" s="170"/>
      <c r="H41" s="170"/>
      <c r="I41" s="170"/>
      <c r="J41" s="170"/>
      <c r="K41" s="170"/>
      <c r="L41" s="170"/>
      <c r="M41" s="170"/>
    </row>
    <row r="42" spans="2:20">
      <c r="B42" s="177" t="s">
        <v>406</v>
      </c>
      <c r="C42" s="185">
        <f>SUM(C34:C40)</f>
        <v>-1234.0999999999997</v>
      </c>
      <c r="D42" s="185">
        <f t="shared" ref="D42:M42" si="3">SUM(D34:D40)</f>
        <v>-990.8</v>
      </c>
      <c r="E42" s="185">
        <f t="shared" si="3"/>
        <v>-1264.3999999999999</v>
      </c>
      <c r="F42" s="185">
        <f t="shared" si="3"/>
        <v>-2047.4000000000003</v>
      </c>
      <c r="G42" s="185">
        <f t="shared" si="3"/>
        <v>-3594.2000000000003</v>
      </c>
      <c r="H42" s="185">
        <f t="shared" si="3"/>
        <v>-722.20000000000039</v>
      </c>
      <c r="I42" s="185">
        <f t="shared" si="3"/>
        <v>-5599.4999999999991</v>
      </c>
      <c r="J42" s="185">
        <f t="shared" si="3"/>
        <v>-2645.1999999999994</v>
      </c>
      <c r="K42" s="185">
        <f t="shared" si="3"/>
        <v>-2151.0999999999995</v>
      </c>
      <c r="L42" s="185">
        <f t="shared" si="3"/>
        <v>-2414.7000000000003</v>
      </c>
      <c r="M42" s="185">
        <f t="shared" si="3"/>
        <v>-1418.46</v>
      </c>
    </row>
    <row r="43" spans="2:20">
      <c r="C43" s="170"/>
      <c r="D43" s="170"/>
      <c r="E43" s="170"/>
      <c r="F43" s="170"/>
      <c r="G43" s="170"/>
      <c r="H43" s="170"/>
      <c r="I43" s="170"/>
      <c r="J43" s="170"/>
      <c r="K43" s="170"/>
      <c r="L43" s="170"/>
      <c r="M43" s="170"/>
    </row>
    <row r="44" spans="2:20">
      <c r="C44" s="170"/>
      <c r="D44" s="170"/>
      <c r="E44" s="170"/>
      <c r="F44" s="170"/>
      <c r="G44" s="170"/>
      <c r="H44" s="170"/>
      <c r="I44" s="170"/>
      <c r="J44" s="170"/>
      <c r="K44" s="170"/>
      <c r="L44" s="170"/>
      <c r="M44" s="170"/>
    </row>
    <row r="45" spans="2:20">
      <c r="B45" s="165" t="s">
        <v>407</v>
      </c>
      <c r="C45" s="170"/>
      <c r="D45" s="170"/>
      <c r="E45" s="170"/>
      <c r="F45" s="170"/>
      <c r="G45" s="170"/>
      <c r="H45" s="170"/>
      <c r="I45" s="170"/>
      <c r="J45" s="170"/>
      <c r="K45" s="170"/>
      <c r="L45" s="170"/>
      <c r="M45" s="170"/>
    </row>
    <row r="46" spans="2:20" ht="4.9000000000000004" customHeight="1">
      <c r="B46" s="165"/>
      <c r="C46" s="170"/>
      <c r="D46" s="170"/>
      <c r="E46" s="170"/>
      <c r="F46" s="170"/>
      <c r="G46" s="170"/>
      <c r="H46" s="170"/>
      <c r="I46" s="170"/>
      <c r="J46" s="170"/>
      <c r="K46" s="170"/>
      <c r="L46" s="170"/>
      <c r="M46" s="170"/>
    </row>
    <row r="47" spans="2:20">
      <c r="B47" s="183" t="s">
        <v>408</v>
      </c>
      <c r="C47" s="170">
        <v>0</v>
      </c>
      <c r="D47" s="170">
        <v>0</v>
      </c>
      <c r="E47" s="170">
        <v>0</v>
      </c>
      <c r="F47" s="170">
        <v>0</v>
      </c>
      <c r="G47" s="170">
        <v>0</v>
      </c>
      <c r="H47" s="170">
        <v>0</v>
      </c>
      <c r="I47" s="170">
        <v>2383</v>
      </c>
      <c r="J47" s="170">
        <v>0</v>
      </c>
      <c r="K47" s="170">
        <v>0</v>
      </c>
      <c r="L47" s="170">
        <v>0</v>
      </c>
      <c r="M47" s="170"/>
    </row>
    <row r="48" spans="2:20">
      <c r="B48" s="183" t="s">
        <v>409</v>
      </c>
      <c r="C48" s="170">
        <v>125</v>
      </c>
      <c r="D48" s="170">
        <v>255</v>
      </c>
      <c r="E48" s="170">
        <v>266</v>
      </c>
      <c r="F48" s="170">
        <v>0</v>
      </c>
      <c r="G48" s="170">
        <v>1685</v>
      </c>
      <c r="H48" s="170">
        <v>0</v>
      </c>
      <c r="I48" s="170">
        <v>0</v>
      </c>
      <c r="J48" s="170">
        <v>0</v>
      </c>
      <c r="K48" s="170">
        <v>322</v>
      </c>
      <c r="L48" s="170">
        <v>194</v>
      </c>
      <c r="M48" s="170">
        <v>698.57</v>
      </c>
    </row>
    <row r="49" spans="2:13">
      <c r="B49" s="183" t="s">
        <v>410</v>
      </c>
      <c r="C49" s="170">
        <v>-310.89999999999998</v>
      </c>
      <c r="D49" s="170">
        <v>-121.6</v>
      </c>
      <c r="E49" s="170">
        <v>-300.3</v>
      </c>
      <c r="F49" s="170">
        <v>-146.30000000000001</v>
      </c>
      <c r="G49" s="170">
        <v>0</v>
      </c>
      <c r="H49" s="170">
        <v>-7.5</v>
      </c>
      <c r="I49" s="170">
        <v>-67.5</v>
      </c>
      <c r="J49" s="170">
        <v>-710.3</v>
      </c>
      <c r="K49" s="170">
        <v>-290.2</v>
      </c>
      <c r="L49" s="170">
        <v>-378.9</v>
      </c>
      <c r="M49" s="170">
        <v>-1168.49</v>
      </c>
    </row>
    <row r="50" spans="2:13">
      <c r="B50" s="183" t="s">
        <v>411</v>
      </c>
      <c r="C50" s="170">
        <v>96</v>
      </c>
      <c r="D50" s="170">
        <v>-416.6</v>
      </c>
      <c r="E50" s="170">
        <v>12</v>
      </c>
      <c r="F50" s="170">
        <v>592</v>
      </c>
      <c r="G50" s="170">
        <v>354</v>
      </c>
      <c r="H50" s="170">
        <v>-750.1</v>
      </c>
      <c r="I50" s="170">
        <v>230</v>
      </c>
      <c r="J50" s="170">
        <v>-189.2</v>
      </c>
      <c r="K50" s="170">
        <v>-188.9</v>
      </c>
      <c r="L50" s="170">
        <v>640</v>
      </c>
      <c r="M50" s="170">
        <v>-492.3</v>
      </c>
    </row>
    <row r="51" spans="2:13">
      <c r="B51" s="183" t="s">
        <v>412</v>
      </c>
      <c r="C51" s="170">
        <v>-89.5</v>
      </c>
      <c r="D51" s="170">
        <v>-89.3</v>
      </c>
      <c r="E51" s="170">
        <v>-159.19999999999999</v>
      </c>
      <c r="F51" s="170">
        <v>-484.6</v>
      </c>
      <c r="G51" s="170">
        <v>-184.3</v>
      </c>
      <c r="H51" s="170">
        <v>-240.7</v>
      </c>
      <c r="I51" s="170">
        <v>-628.4</v>
      </c>
      <c r="J51" s="170">
        <v>-11.1</v>
      </c>
      <c r="K51" s="170">
        <v>-384.3</v>
      </c>
      <c r="L51" s="170">
        <v>-324.5</v>
      </c>
      <c r="M51" s="170">
        <v>-379.03</v>
      </c>
    </row>
    <row r="52" spans="2:13">
      <c r="B52" s="183" t="s">
        <v>413</v>
      </c>
      <c r="C52" s="170">
        <v>-146.5</v>
      </c>
      <c r="D52" s="170">
        <v>-124.6</v>
      </c>
      <c r="E52" s="170">
        <v>-89.2</v>
      </c>
      <c r="F52" s="170">
        <v>-127.8</v>
      </c>
      <c r="G52" s="170">
        <v>-124.8</v>
      </c>
      <c r="H52" s="170">
        <v>-276.10000000000002</v>
      </c>
      <c r="I52" s="170">
        <v>-289.2</v>
      </c>
      <c r="J52" s="170">
        <v>-254</v>
      </c>
      <c r="K52" s="170">
        <v>-209.1</v>
      </c>
      <c r="L52" s="170">
        <v>-258.60000000000002</v>
      </c>
      <c r="M52" s="170">
        <v>-219.71</v>
      </c>
    </row>
    <row r="53" spans="2:13">
      <c r="B53" s="183" t="s">
        <v>414</v>
      </c>
      <c r="C53" s="170">
        <v>169.66</v>
      </c>
      <c r="D53" s="170">
        <v>238.66</v>
      </c>
      <c r="E53" s="170"/>
      <c r="F53" s="170"/>
      <c r="G53" s="170"/>
      <c r="H53" s="170"/>
      <c r="I53" s="170"/>
      <c r="J53" s="170"/>
      <c r="K53" s="170"/>
      <c r="L53" s="170"/>
      <c r="M53" s="170"/>
    </row>
    <row r="54" spans="2:13">
      <c r="B54" s="183" t="s">
        <v>415</v>
      </c>
      <c r="C54" s="170"/>
      <c r="D54" s="170"/>
      <c r="E54" s="170"/>
      <c r="F54" s="170"/>
      <c r="G54" s="170">
        <v>-3.98</v>
      </c>
      <c r="H54" s="170">
        <v>-1.52</v>
      </c>
      <c r="I54" s="170">
        <v>-44.51</v>
      </c>
      <c r="J54" s="170">
        <v>-61.55</v>
      </c>
      <c r="K54" s="170">
        <v>-98.38</v>
      </c>
      <c r="L54" s="170">
        <v>-147.61000000000001</v>
      </c>
      <c r="M54" s="170">
        <v>-148.9</v>
      </c>
    </row>
    <row r="55" spans="2:13" ht="45">
      <c r="B55" s="186" t="s">
        <v>416</v>
      </c>
      <c r="C55" s="170"/>
      <c r="D55" s="170"/>
      <c r="E55" s="170"/>
      <c r="F55" s="170"/>
      <c r="G55" s="170"/>
      <c r="H55" s="170"/>
      <c r="I55" s="170">
        <v>-2.12</v>
      </c>
      <c r="J55" s="170">
        <v>-6.53</v>
      </c>
      <c r="K55" s="170">
        <v>-0.81</v>
      </c>
      <c r="L55" s="170">
        <v>-0.87</v>
      </c>
      <c r="M55" s="170">
        <v>-0.19</v>
      </c>
    </row>
    <row r="56" spans="2:13">
      <c r="B56" s="186"/>
      <c r="C56" s="170"/>
      <c r="D56" s="170"/>
      <c r="E56" s="170"/>
      <c r="F56" s="170"/>
      <c r="G56" s="170"/>
      <c r="H56" s="170"/>
      <c r="I56" s="170"/>
      <c r="J56" s="170"/>
      <c r="K56" s="170"/>
      <c r="L56" s="170"/>
      <c r="M56" s="170"/>
    </row>
    <row r="57" spans="2:13">
      <c r="B57" s="177" t="s">
        <v>417</v>
      </c>
      <c r="C57" s="185">
        <f>SUM(C47:C55)</f>
        <v>-156.23999999999998</v>
      </c>
      <c r="D57" s="185">
        <f t="shared" ref="D57:M57" si="4">SUM(D47:D55)</f>
        <v>-258.44000000000005</v>
      </c>
      <c r="E57" s="185">
        <f t="shared" si="4"/>
        <v>-270.7</v>
      </c>
      <c r="F57" s="185">
        <f t="shared" si="4"/>
        <v>-166.70000000000005</v>
      </c>
      <c r="G57" s="185">
        <f t="shared" si="4"/>
        <v>1725.92</v>
      </c>
      <c r="H57" s="185">
        <f t="shared" si="4"/>
        <v>-1275.92</v>
      </c>
      <c r="I57" s="185">
        <f t="shared" si="4"/>
        <v>1581.27</v>
      </c>
      <c r="J57" s="185">
        <f t="shared" si="4"/>
        <v>-1232.6799999999998</v>
      </c>
      <c r="K57" s="185">
        <f t="shared" si="4"/>
        <v>-849.68999999999994</v>
      </c>
      <c r="L57" s="185">
        <f t="shared" si="4"/>
        <v>-276.48</v>
      </c>
      <c r="M57" s="185">
        <f t="shared" si="4"/>
        <v>-1710.0500000000002</v>
      </c>
    </row>
    <row r="58" spans="2:13">
      <c r="C58" s="170"/>
      <c r="D58" s="170"/>
      <c r="E58" s="170"/>
      <c r="F58" s="170"/>
      <c r="G58" s="170"/>
      <c r="H58" s="170"/>
      <c r="I58" s="170"/>
      <c r="J58" s="170"/>
      <c r="K58" s="170"/>
      <c r="L58" s="170"/>
      <c r="M58" s="170"/>
    </row>
    <row r="59" spans="2:13">
      <c r="C59" s="170"/>
      <c r="D59" s="170"/>
      <c r="E59" s="170"/>
      <c r="F59" s="170"/>
      <c r="G59" s="170"/>
      <c r="H59" s="170"/>
      <c r="I59" s="170"/>
      <c r="J59" s="170"/>
      <c r="K59" s="170"/>
      <c r="L59" s="170"/>
      <c r="M59" s="170"/>
    </row>
    <row r="60" spans="2:13">
      <c r="C60" s="170"/>
      <c r="D60" s="170"/>
      <c r="E60" s="170"/>
      <c r="F60" s="170"/>
      <c r="G60" s="170"/>
      <c r="H60" s="170"/>
      <c r="I60" s="170"/>
      <c r="J60" s="170"/>
      <c r="K60" s="170"/>
      <c r="L60" s="170"/>
      <c r="M60" s="170"/>
    </row>
    <row r="61" spans="2:13">
      <c r="B61" s="165" t="s">
        <v>418</v>
      </c>
      <c r="C61" s="170">
        <f>C57+C42+C29</f>
        <v>10.5600000000004</v>
      </c>
      <c r="D61" s="170">
        <f t="shared" ref="D61:M61" si="5">D57+D42+D29</f>
        <v>-10.239999999999782</v>
      </c>
      <c r="E61" s="170">
        <f t="shared" si="5"/>
        <v>31.600000000000364</v>
      </c>
      <c r="F61" s="170">
        <f t="shared" si="5"/>
        <v>-12.800000000000637</v>
      </c>
      <c r="G61" s="170">
        <f t="shared" si="5"/>
        <v>9.6199999999996635</v>
      </c>
      <c r="H61" s="170">
        <f t="shared" si="5"/>
        <v>82.079999999999927</v>
      </c>
      <c r="I61" s="170">
        <f t="shared" si="5"/>
        <v>-45.329999999999472</v>
      </c>
      <c r="J61" s="170">
        <f t="shared" si="5"/>
        <v>375.52000000000044</v>
      </c>
      <c r="K61" s="170">
        <f t="shared" si="5"/>
        <v>-332.58999999999969</v>
      </c>
      <c r="L61" s="170">
        <f t="shared" si="5"/>
        <v>-121.98000000000002</v>
      </c>
      <c r="M61" s="170">
        <f t="shared" si="5"/>
        <v>218.98000000000002</v>
      </c>
    </row>
    <row r="62" spans="2:13">
      <c r="B62" s="183" t="s">
        <v>419</v>
      </c>
      <c r="C62" s="170">
        <v>30</v>
      </c>
      <c r="D62" s="170">
        <v>41</v>
      </c>
      <c r="E62" s="170">
        <v>5.6</v>
      </c>
      <c r="F62" s="149">
        <v>36.380000000000003</v>
      </c>
      <c r="G62" s="149">
        <v>23.31</v>
      </c>
      <c r="H62" s="149">
        <v>35.21</v>
      </c>
      <c r="I62" s="149">
        <v>126.16</v>
      </c>
      <c r="J62" s="149">
        <v>75.88</v>
      </c>
      <c r="K62" s="149">
        <v>460.48</v>
      </c>
      <c r="L62" s="149">
        <v>136.81</v>
      </c>
      <c r="M62" s="149">
        <v>14.94</v>
      </c>
    </row>
    <row r="63" spans="2:13">
      <c r="B63" s="183"/>
      <c r="C63" s="170"/>
      <c r="D63" s="170"/>
      <c r="E63" s="170"/>
      <c r="F63" s="149"/>
      <c r="G63" s="149"/>
      <c r="H63" s="149"/>
      <c r="I63" s="149"/>
      <c r="J63" s="149"/>
      <c r="K63" s="149"/>
      <c r="L63" s="149"/>
      <c r="M63" s="149"/>
    </row>
    <row r="64" spans="2:13">
      <c r="C64" s="170"/>
      <c r="D64" s="170"/>
      <c r="E64" s="170"/>
      <c r="F64" s="170"/>
      <c r="G64" s="170"/>
      <c r="H64" s="170"/>
      <c r="I64" s="170"/>
      <c r="J64" s="170"/>
      <c r="K64" s="170"/>
      <c r="L64" s="170"/>
      <c r="M64" s="170"/>
    </row>
    <row r="65" spans="2:13" ht="15.75" thickBot="1">
      <c r="B65" s="171" t="s">
        <v>421</v>
      </c>
      <c r="C65" s="172" t="e">
        <f>C61+C62+#REF!</f>
        <v>#REF!</v>
      </c>
      <c r="D65" s="172" t="e">
        <f>D61+D62+#REF!</f>
        <v>#REF!</v>
      </c>
      <c r="E65" s="172" t="e">
        <f>E61+E62+#REF!</f>
        <v>#REF!</v>
      </c>
      <c r="F65" s="172">
        <f>F61+F62</f>
        <v>23.579999999999366</v>
      </c>
      <c r="G65" s="172">
        <f t="shared" ref="G65:M65" si="6">G61+G62</f>
        <v>32.929999999999666</v>
      </c>
      <c r="H65" s="172">
        <f t="shared" si="6"/>
        <v>117.28999999999994</v>
      </c>
      <c r="I65" s="172">
        <f t="shared" si="6"/>
        <v>80.830000000000524</v>
      </c>
      <c r="J65" s="172">
        <f t="shared" si="6"/>
        <v>451.40000000000043</v>
      </c>
      <c r="K65" s="172">
        <f t="shared" si="6"/>
        <v>127.89000000000033</v>
      </c>
      <c r="L65" s="172">
        <f t="shared" si="6"/>
        <v>14.829999999999984</v>
      </c>
      <c r="M65" s="172">
        <f t="shared" si="6"/>
        <v>233.92000000000002</v>
      </c>
    </row>
    <row r="67" spans="2:13">
      <c r="C67" s="161">
        <v>41</v>
      </c>
      <c r="D67" s="161">
        <v>31</v>
      </c>
      <c r="E67" s="161">
        <v>36</v>
      </c>
      <c r="F67" s="161">
        <v>23</v>
      </c>
      <c r="G67" s="161">
        <v>34</v>
      </c>
      <c r="H67" s="161">
        <v>118</v>
      </c>
      <c r="I67" s="161">
        <v>82</v>
      </c>
      <c r="J67" s="161">
        <v>452</v>
      </c>
      <c r="K67" s="161">
        <v>128</v>
      </c>
      <c r="L67" s="161">
        <v>14</v>
      </c>
      <c r="M67" s="161">
        <v>14.35</v>
      </c>
    </row>
    <row r="69" spans="2:13">
      <c r="B69" s="183" t="s">
        <v>420</v>
      </c>
      <c r="C69" s="170">
        <v>0</v>
      </c>
      <c r="D69" s="170">
        <v>0</v>
      </c>
      <c r="E69" s="170">
        <v>0</v>
      </c>
      <c r="F69" s="170">
        <v>0</v>
      </c>
      <c r="G69" s="170">
        <v>0</v>
      </c>
      <c r="H69" s="170">
        <v>1.7</v>
      </c>
      <c r="I69" s="170">
        <v>8.4</v>
      </c>
      <c r="J69" s="170">
        <v>-5.8</v>
      </c>
      <c r="K69" s="170">
        <v>8.5</v>
      </c>
      <c r="L69" s="170">
        <v>9.1</v>
      </c>
      <c r="M69" s="170">
        <v>0.59</v>
      </c>
    </row>
  </sheetData>
  <pageMargins left="0.7" right="0.7" top="0.75" bottom="0.75" header="0.3" footer="0.3"/>
  <pageSetup orientation="portrait" horizontalDpi="4294967295" verticalDpi="429496729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2EB4A-F0FA-4E67-87CB-8AD8FFEA4FB3}">
  <sheetPr codeName="Sheet26"/>
  <dimension ref="B2:H37"/>
  <sheetViews>
    <sheetView showGridLines="0" topLeftCell="A18" zoomScale="130" zoomScaleNormal="130" workbookViewId="0">
      <selection activeCell="D16" sqref="D16"/>
    </sheetView>
  </sheetViews>
  <sheetFormatPr defaultColWidth="11.42578125" defaultRowHeight="12"/>
  <cols>
    <col min="1" max="2" width="11.42578125" style="394"/>
    <col min="3" max="3" width="11.5703125" style="394" bestFit="1" customWidth="1"/>
    <col min="4" max="4" width="35.42578125" style="394" customWidth="1"/>
    <col min="5" max="5" width="12.140625" style="394" bestFit="1" customWidth="1"/>
    <col min="6" max="6" width="11.42578125" style="394"/>
    <col min="7" max="7" width="11.5703125" style="394" bestFit="1" customWidth="1"/>
    <col min="8" max="16384" width="11.42578125" style="394"/>
  </cols>
  <sheetData>
    <row r="2" spans="2:8" s="391" customFormat="1" ht="18">
      <c r="B2" s="389" t="s">
        <v>1045</v>
      </c>
      <c r="C2" s="389"/>
      <c r="D2" s="389"/>
      <c r="E2" s="390"/>
      <c r="F2" s="389"/>
      <c r="G2" s="389"/>
      <c r="H2" s="389"/>
    </row>
    <row r="3" spans="2:8" ht="15">
      <c r="B3" s="392" t="s">
        <v>1046</v>
      </c>
      <c r="C3" s="392"/>
      <c r="D3" s="392"/>
      <c r="E3" s="393"/>
      <c r="F3" s="392"/>
      <c r="G3" s="392"/>
      <c r="H3" s="392"/>
    </row>
    <row r="4" spans="2:8" ht="15">
      <c r="B4" s="392" t="s">
        <v>1047</v>
      </c>
      <c r="C4" s="392"/>
      <c r="D4" s="392"/>
      <c r="E4" s="395"/>
      <c r="F4" s="392"/>
      <c r="G4" s="392"/>
      <c r="H4" s="392"/>
    </row>
    <row r="5" spans="2:8" ht="15">
      <c r="B5" s="392" t="s">
        <v>1048</v>
      </c>
      <c r="C5" s="392"/>
      <c r="D5" s="392"/>
      <c r="E5" s="393"/>
      <c r="F5" s="392"/>
      <c r="G5" s="392"/>
      <c r="H5" s="392"/>
    </row>
    <row r="6" spans="2:8" ht="15">
      <c r="B6" s="392" t="s">
        <v>1049</v>
      </c>
      <c r="C6" s="392"/>
      <c r="D6" s="392"/>
      <c r="E6" s="396"/>
      <c r="F6" s="392" t="s">
        <v>1050</v>
      </c>
      <c r="G6" s="392"/>
      <c r="H6" s="392"/>
    </row>
    <row r="7" spans="2:8" ht="15">
      <c r="B7" s="392" t="s">
        <v>1051</v>
      </c>
      <c r="C7" s="392"/>
      <c r="D7" s="392"/>
      <c r="E7" s="397"/>
      <c r="F7" s="392"/>
      <c r="G7" s="392"/>
      <c r="H7" s="392"/>
    </row>
    <row r="8" spans="2:8" ht="15">
      <c r="B8" s="392" t="s">
        <v>1052</v>
      </c>
      <c r="C8" s="392"/>
      <c r="D8" s="392"/>
      <c r="E8" s="397"/>
      <c r="F8" s="392"/>
      <c r="G8" s="392"/>
      <c r="H8" s="392"/>
    </row>
    <row r="9" spans="2:8" ht="15">
      <c r="B9" s="392" t="s">
        <v>1053</v>
      </c>
      <c r="C9" s="392"/>
      <c r="D9" s="392"/>
      <c r="E9" s="393"/>
      <c r="F9" s="392"/>
      <c r="G9" s="392"/>
      <c r="H9" s="392"/>
    </row>
    <row r="10" spans="2:8" ht="15">
      <c r="B10" s="392" t="s">
        <v>1054</v>
      </c>
      <c r="C10" s="392"/>
      <c r="D10" s="392"/>
      <c r="E10" s="393"/>
      <c r="F10" s="392"/>
      <c r="G10" s="392"/>
      <c r="H10" s="392"/>
    </row>
    <row r="11" spans="2:8" ht="15">
      <c r="B11" s="392"/>
      <c r="C11" s="392"/>
      <c r="D11" s="392"/>
      <c r="E11" s="392"/>
      <c r="F11" s="392"/>
      <c r="G11" s="392"/>
      <c r="H11" s="392"/>
    </row>
    <row r="12" spans="2:8" s="400" customFormat="1" ht="15">
      <c r="B12" s="398" t="s">
        <v>1055</v>
      </c>
      <c r="C12" s="399"/>
      <c r="D12" s="399"/>
      <c r="E12" s="399"/>
      <c r="F12" s="399"/>
      <c r="G12" s="399"/>
      <c r="H12" s="399"/>
    </row>
    <row r="13" spans="2:8" s="401" customFormat="1" ht="15">
      <c r="B13" s="389" t="s">
        <v>1056</v>
      </c>
      <c r="C13" s="392"/>
      <c r="D13" s="392"/>
      <c r="E13" s="392"/>
      <c r="F13" s="392"/>
      <c r="G13" s="392"/>
      <c r="H13" s="392"/>
    </row>
    <row r="14" spans="2:8" s="401" customFormat="1" ht="15">
      <c r="B14" s="392" t="s">
        <v>1057</v>
      </c>
      <c r="C14" s="392"/>
      <c r="D14" s="402">
        <f>E3</f>
        <v>0</v>
      </c>
      <c r="E14" s="392" t="s">
        <v>1058</v>
      </c>
      <c r="F14" s="392"/>
      <c r="G14" s="403">
        <f>E9</f>
        <v>0</v>
      </c>
      <c r="H14" s="404"/>
    </row>
    <row r="15" spans="2:8" s="401" customFormat="1" ht="15">
      <c r="B15" s="392" t="s">
        <v>1059</v>
      </c>
      <c r="C15" s="392"/>
      <c r="D15" s="402">
        <f>E4</f>
        <v>0</v>
      </c>
      <c r="E15" s="392" t="s">
        <v>1060</v>
      </c>
      <c r="F15" s="392"/>
      <c r="G15" s="403">
        <f>E10</f>
        <v>0</v>
      </c>
      <c r="H15" s="404"/>
    </row>
    <row r="16" spans="2:8" s="401" customFormat="1" ht="15">
      <c r="B16" s="392" t="s">
        <v>1061</v>
      </c>
      <c r="C16" s="392"/>
      <c r="D16" s="402" t="e">
        <f ca="1">(D14*G15+D27*G14)/(G15+G14)</f>
        <v>#DIV/0!</v>
      </c>
      <c r="E16" s="392" t="s">
        <v>1062</v>
      </c>
      <c r="F16" s="392"/>
      <c r="G16" s="405">
        <f>E8</f>
        <v>0</v>
      </c>
      <c r="H16" s="392"/>
    </row>
    <row r="17" spans="2:8" s="401" customFormat="1" ht="15">
      <c r="B17" s="392" t="s">
        <v>1063</v>
      </c>
      <c r="C17" s="392"/>
      <c r="D17" s="402">
        <f>D15</f>
        <v>0</v>
      </c>
      <c r="E17" s="392" t="s">
        <v>1064</v>
      </c>
      <c r="F17" s="392"/>
      <c r="G17" s="406">
        <f>E6^2</f>
        <v>0</v>
      </c>
      <c r="H17" s="392"/>
    </row>
    <row r="18" spans="2:8" s="401" customFormat="1" ht="15">
      <c r="B18" s="392" t="s">
        <v>1065</v>
      </c>
      <c r="C18" s="392"/>
      <c r="D18" s="402">
        <f>E5</f>
        <v>0</v>
      </c>
      <c r="E18" s="392" t="s">
        <v>1066</v>
      </c>
      <c r="F18" s="392"/>
      <c r="G18" s="405">
        <f>E7</f>
        <v>0</v>
      </c>
      <c r="H18" s="392"/>
    </row>
    <row r="19" spans="2:8" s="401" customFormat="1" ht="15">
      <c r="B19" s="392"/>
      <c r="C19" s="392"/>
      <c r="D19" s="389"/>
      <c r="E19" s="392" t="s">
        <v>1067</v>
      </c>
      <c r="F19" s="392"/>
      <c r="G19" s="407">
        <f>G16-G18</f>
        <v>0</v>
      </c>
      <c r="H19" s="392"/>
    </row>
    <row r="20" spans="2:8" s="401" customFormat="1" ht="15">
      <c r="B20" s="392"/>
      <c r="C20" s="392"/>
      <c r="D20" s="392"/>
      <c r="E20" s="392"/>
      <c r="F20" s="392"/>
      <c r="G20" s="392"/>
      <c r="H20" s="392"/>
    </row>
    <row r="21" spans="2:8" s="401" customFormat="1" ht="15">
      <c r="B21" s="392" t="s">
        <v>1068</v>
      </c>
      <c r="C21" s="408" t="e">
        <f ca="1">(LN(D16/D17)+(G19+(G17/2))*D18)/(((G17)^(0.5))*(D18^0.5))</f>
        <v>#DIV/0!</v>
      </c>
      <c r="D21" s="392"/>
      <c r="E21" s="392"/>
      <c r="F21" s="392"/>
      <c r="G21" s="392"/>
      <c r="H21" s="392"/>
    </row>
    <row r="22" spans="2:8" s="401" customFormat="1" ht="15">
      <c r="B22" s="392" t="s">
        <v>1069</v>
      </c>
      <c r="C22" s="408" t="e">
        <f ca="1">NORMSDIST(C21)</f>
        <v>#DIV/0!</v>
      </c>
      <c r="D22" s="392"/>
      <c r="E22" s="392"/>
      <c r="F22" s="392"/>
      <c r="G22" s="392"/>
      <c r="H22" s="392"/>
    </row>
    <row r="23" spans="2:8" s="401" customFormat="1" ht="15">
      <c r="B23" s="392"/>
      <c r="C23" s="409"/>
      <c r="D23" s="392"/>
      <c r="E23" s="392"/>
      <c r="F23" s="392"/>
      <c r="G23" s="392"/>
      <c r="H23" s="392"/>
    </row>
    <row r="24" spans="2:8" s="401" customFormat="1" ht="15.75" customHeight="1">
      <c r="B24" s="392" t="s">
        <v>1070</v>
      </c>
      <c r="C24" s="408" t="e">
        <f ca="1">C21-((G17^0.5)*(D18^(0.5)))</f>
        <v>#DIV/0!</v>
      </c>
      <c r="D24" s="392"/>
      <c r="E24" s="392"/>
      <c r="F24" s="392"/>
      <c r="G24" s="392"/>
      <c r="H24" s="392"/>
    </row>
    <row r="25" spans="2:8" s="401" customFormat="1" ht="15">
      <c r="B25" s="392" t="s">
        <v>1071</v>
      </c>
      <c r="C25" s="408" t="e">
        <f ca="1">NORMSDIST(C24)</f>
        <v>#DIV/0!</v>
      </c>
      <c r="D25" s="392"/>
      <c r="E25" s="392"/>
      <c r="F25" s="392"/>
      <c r="G25" s="392"/>
      <c r="H25" s="392"/>
    </row>
    <row r="26" spans="2:8" ht="15.75" thickBot="1">
      <c r="B26" s="392"/>
      <c r="C26" s="392"/>
      <c r="D26" s="392"/>
      <c r="E26" s="392"/>
      <c r="F26" s="392"/>
      <c r="G26" s="392"/>
      <c r="H26" s="392"/>
    </row>
    <row r="27" spans="2:8" s="401" customFormat="1" ht="15.75" thickBot="1">
      <c r="B27" s="392" t="s">
        <v>1072</v>
      </c>
      <c r="C27" s="392"/>
      <c r="D27" s="410" t="e">
        <f ca="1">((EXP((0-G18)*D18))*D16*C22-D17*(EXP((0-G16)*D18))*C25)</f>
        <v>#DIV/0!</v>
      </c>
      <c r="E27" s="411"/>
      <c r="F27" s="392"/>
      <c r="G27" s="392"/>
      <c r="H27" s="412"/>
    </row>
    <row r="28" spans="2:8" s="401" customFormat="1" ht="15.75" thickBot="1">
      <c r="B28" s="392" t="s">
        <v>1073</v>
      </c>
      <c r="C28" s="392"/>
      <c r="D28" s="392"/>
      <c r="E28" s="413" t="e">
        <f ca="1">D27*E9</f>
        <v>#DIV/0!</v>
      </c>
      <c r="F28" s="392"/>
      <c r="G28" s="392"/>
      <c r="H28" s="392"/>
    </row>
    <row r="29" spans="2:8" ht="15">
      <c r="B29" s="392"/>
      <c r="C29" s="392"/>
      <c r="D29" s="392"/>
      <c r="E29" s="392"/>
      <c r="F29" s="392"/>
      <c r="G29" s="392"/>
      <c r="H29" s="392"/>
    </row>
    <row r="30" spans="2:8" ht="15">
      <c r="B30" s="392"/>
      <c r="C30" s="392"/>
      <c r="D30" s="392"/>
      <c r="E30" s="392"/>
      <c r="F30" s="392"/>
      <c r="G30" s="392"/>
      <c r="H30" s="392"/>
    </row>
    <row r="31" spans="2:8" ht="15">
      <c r="B31" s="392"/>
      <c r="C31" s="392"/>
      <c r="D31" s="392"/>
      <c r="E31" s="392"/>
      <c r="F31" s="392"/>
      <c r="G31" s="392"/>
      <c r="H31" s="392"/>
    </row>
    <row r="32" spans="2:8" ht="15">
      <c r="B32" s="392"/>
      <c r="C32" s="392"/>
      <c r="D32" s="392"/>
      <c r="E32" s="392"/>
      <c r="F32" s="392"/>
      <c r="G32" s="392"/>
      <c r="H32" s="392"/>
    </row>
    <row r="33" spans="2:8" ht="15">
      <c r="B33" s="392"/>
      <c r="C33" s="392"/>
      <c r="D33" s="392"/>
      <c r="E33" s="392"/>
      <c r="F33" s="392"/>
      <c r="G33" s="392"/>
      <c r="H33" s="392"/>
    </row>
    <row r="34" spans="2:8" ht="15">
      <c r="B34" s="392"/>
      <c r="C34" s="392"/>
      <c r="D34" s="392"/>
      <c r="E34" s="392"/>
      <c r="F34" s="392"/>
      <c r="G34" s="392"/>
      <c r="H34" s="392"/>
    </row>
    <row r="35" spans="2:8" ht="15">
      <c r="B35" s="392"/>
      <c r="C35" s="392"/>
      <c r="D35" s="392"/>
      <c r="E35" s="392"/>
      <c r="F35" s="392"/>
      <c r="G35" s="392"/>
      <c r="H35" s="392"/>
    </row>
    <row r="36" spans="2:8" ht="15">
      <c r="B36" s="392"/>
      <c r="C36" s="392"/>
      <c r="D36" s="392"/>
      <c r="E36" s="392"/>
      <c r="F36" s="392"/>
      <c r="G36" s="392"/>
      <c r="H36" s="392"/>
    </row>
    <row r="37" spans="2:8" ht="15">
      <c r="B37" s="392"/>
      <c r="C37" s="392"/>
      <c r="D37" s="392"/>
      <c r="E37" s="392"/>
      <c r="F37" s="392"/>
      <c r="G37" s="392"/>
      <c r="H37" s="392"/>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Case </vt:lpstr>
      <vt:lpstr>Industry Information</vt:lpstr>
      <vt:lpstr>Market Size Information</vt:lpstr>
      <vt:lpstr>Company Information</vt:lpstr>
      <vt:lpstr>Past Data</vt:lpstr>
      <vt:lpstr>Damodaran Data</vt:lpstr>
      <vt:lpstr>Input Sheet</vt:lpstr>
      <vt:lpstr>WACC</vt:lpstr>
      <vt:lpstr>Control Sheet</vt:lpstr>
      <vt:lpstr>CoverPage&gt;</vt:lpstr>
      <vt:lpstr>Schedules</vt:lpstr>
      <vt:lpstr>3 Statment Model</vt:lpstr>
      <vt:lpstr>Common Size Statmen</vt:lpstr>
      <vt:lpstr>Ratio Analysis</vt:lpstr>
      <vt:lpstr>DCF Valuation&gt;</vt:lpstr>
      <vt:lpstr>DCF Valuation</vt:lpstr>
      <vt:lpstr>Relative Valuation&gt;</vt:lpstr>
      <vt:lpstr>Comps Description</vt:lpstr>
      <vt:lpstr>Benchmarking</vt:lpstr>
      <vt:lpstr>Sheet3</vt:lpstr>
      <vt:lpstr>Sheet1</vt:lpstr>
      <vt:lpstr>Relative valuation</vt:lpstr>
      <vt:lpstr>Workings&gt;</vt:lpstr>
      <vt:lpstr>Income Statement</vt:lpstr>
      <vt:lpstr>Balance Sheet </vt:lpstr>
      <vt:lpstr>Cash Flow Statemenet</vt:lpstr>
      <vt:lpstr>Option value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Komal Singh Doneriya</cp:lastModifiedBy>
  <cp:lastPrinted>2024-09-22T13:52:36Z</cp:lastPrinted>
  <dcterms:created xsi:type="dcterms:W3CDTF">2012-08-17T09:55:37Z</dcterms:created>
  <dcterms:modified xsi:type="dcterms:W3CDTF">2025-05-11T21:04:56Z</dcterms:modified>
</cp:coreProperties>
</file>