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Learning\Python\FD-Calculator\"/>
    </mc:Choice>
  </mc:AlternateContent>
  <xr:revisionPtr revIDLastSave="0" documentId="13_ncr:1_{3D8FDB7D-FAC7-4A73-848F-AA83C1318521}" xr6:coauthVersionLast="47" xr6:coauthVersionMax="47" xr10:uidLastSave="{00000000-0000-0000-0000-000000000000}"/>
  <bookViews>
    <workbookView xWindow="-120" yWindow="-120" windowWidth="20730" windowHeight="11310" tabRatio="735" activeTab="1" xr2:uid="{00000000-000D-0000-FFFF-FFFF00000000}"/>
  </bookViews>
  <sheets>
    <sheet name="Tax Calculation" sheetId="2" r:id="rId1"/>
    <sheet name="FD" sheetId="1" r:id="rId2"/>
    <sheet name="Investment Scenarios" sheetId="4" r:id="rId3"/>
    <sheet name="Investment Scenarios (2)" sheetId="5" r:id="rId4"/>
    <sheet name="FD Break Analysi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5" l="1"/>
  <c r="F16" i="5"/>
  <c r="N7" i="5"/>
  <c r="N8" i="5" s="1"/>
  <c r="O8" i="5" s="1"/>
  <c r="N6" i="5"/>
  <c r="F7" i="5"/>
  <c r="F6" i="5"/>
  <c r="G6" i="5" s="1"/>
  <c r="C26" i="5"/>
  <c r="O16" i="5"/>
  <c r="J14" i="5"/>
  <c r="J15" i="5" s="1"/>
  <c r="K15" i="5" s="1"/>
  <c r="L15" i="5"/>
  <c r="M15" i="5" s="1"/>
  <c r="B18" i="5"/>
  <c r="C18" i="5" s="1"/>
  <c r="D15" i="5"/>
  <c r="E15" i="5" s="1"/>
  <c r="F14" i="5"/>
  <c r="F15" i="5" s="1"/>
  <c r="G15" i="5" s="1"/>
  <c r="N4" i="5"/>
  <c r="N5" i="5" s="1"/>
  <c r="O5" i="5" s="1"/>
  <c r="F4" i="5"/>
  <c r="F5" i="5" s="1"/>
  <c r="G5" i="5" s="1"/>
  <c r="J5" i="5"/>
  <c r="K5" i="5" s="1"/>
  <c r="D5" i="5"/>
  <c r="E5" i="5" s="1"/>
  <c r="D4" i="6"/>
  <c r="D5" i="6" s="1"/>
  <c r="E4" i="6" s="1"/>
  <c r="E7" i="6" s="1"/>
  <c r="E9" i="6" s="1"/>
  <c r="B6" i="6"/>
  <c r="C6" i="6"/>
  <c r="B7" i="6"/>
  <c r="C7" i="6"/>
  <c r="B9" i="6"/>
  <c r="C9" i="6"/>
  <c r="B10" i="6"/>
  <c r="C10" i="6"/>
  <c r="D2" i="6" s="1"/>
  <c r="L18" i="5"/>
  <c r="M18" i="5" s="1"/>
  <c r="M17" i="5"/>
  <c r="M16" i="5"/>
  <c r="L8" i="5"/>
  <c r="M8" i="5" s="1"/>
  <c r="M7" i="5"/>
  <c r="M6" i="5"/>
  <c r="D18" i="5"/>
  <c r="E18" i="5" s="1"/>
  <c r="E17" i="5"/>
  <c r="E16" i="5"/>
  <c r="D8" i="5"/>
  <c r="E8" i="5" s="1"/>
  <c r="E7" i="5"/>
  <c r="E6" i="5"/>
  <c r="J18" i="5"/>
  <c r="F18" i="5"/>
  <c r="G18" i="5" s="1"/>
  <c r="O17" i="5"/>
  <c r="K17" i="5"/>
  <c r="G17" i="5"/>
  <c r="C17" i="5"/>
  <c r="K16" i="5"/>
  <c r="G16" i="5"/>
  <c r="C16" i="5"/>
  <c r="J8" i="5"/>
  <c r="F8" i="5"/>
  <c r="G8" i="5" s="1"/>
  <c r="B8" i="5"/>
  <c r="C8" i="5" s="1"/>
  <c r="O7" i="5"/>
  <c r="K7" i="5"/>
  <c r="G7" i="5"/>
  <c r="C7" i="5"/>
  <c r="O6" i="5"/>
  <c r="K6" i="5"/>
  <c r="C6" i="5"/>
  <c r="C5" i="5"/>
  <c r="N18" i="5" l="1"/>
  <c r="O18" i="5" s="1"/>
  <c r="J20" i="5"/>
  <c r="K20" i="5" s="1"/>
  <c r="N15" i="5"/>
  <c r="O15" i="5" s="1"/>
  <c r="B20" i="5"/>
  <c r="C20" i="5" s="1"/>
  <c r="B14" i="5"/>
  <c r="B15" i="5" s="1"/>
  <c r="C15" i="5" s="1"/>
  <c r="J10" i="5"/>
  <c r="K10" i="5" s="1"/>
  <c r="D7" i="6"/>
  <c r="D9" i="6" s="1"/>
  <c r="D10" i="6" s="1"/>
  <c r="K8" i="5"/>
  <c r="K18" i="5"/>
  <c r="J14" i="4"/>
  <c r="H14" i="4"/>
  <c r="H15" i="4"/>
  <c r="J18" i="4"/>
  <c r="K18" i="4" s="1"/>
  <c r="H18" i="4"/>
  <c r="I18" i="4" s="1"/>
  <c r="K17" i="4"/>
  <c r="I17" i="4"/>
  <c r="K16" i="4"/>
  <c r="I16" i="4"/>
  <c r="K15" i="4"/>
  <c r="I15" i="4"/>
  <c r="D14" i="4"/>
  <c r="B15" i="4"/>
  <c r="C15" i="4" s="1"/>
  <c r="D18" i="4"/>
  <c r="E18" i="4" s="1"/>
  <c r="B18" i="4"/>
  <c r="C18" i="4" s="1"/>
  <c r="E17" i="4"/>
  <c r="C17" i="4"/>
  <c r="E16" i="4"/>
  <c r="C16" i="4"/>
  <c r="E15" i="4"/>
  <c r="J8" i="4"/>
  <c r="K8" i="4" s="1"/>
  <c r="H8" i="4"/>
  <c r="I8" i="4" s="1"/>
  <c r="K7" i="4"/>
  <c r="I7" i="4"/>
  <c r="K6" i="4"/>
  <c r="I6" i="4"/>
  <c r="K5" i="4"/>
  <c r="I5" i="4"/>
  <c r="D8" i="4"/>
  <c r="E8" i="4" s="1"/>
  <c r="B8" i="4"/>
  <c r="C8" i="4" s="1"/>
  <c r="E7" i="4"/>
  <c r="E6" i="4"/>
  <c r="E5" i="4"/>
  <c r="C6" i="4"/>
  <c r="C7" i="4"/>
  <c r="C5" i="4"/>
  <c r="C3" i="2"/>
  <c r="C2" i="1"/>
  <c r="D14" i="1"/>
  <c r="D15" i="1" s="1"/>
  <c r="C14" i="1"/>
  <c r="C15" i="1" s="1"/>
  <c r="F3" i="1"/>
  <c r="B7" i="1"/>
  <c r="C13" i="1" l="1"/>
  <c r="D13" i="1"/>
  <c r="E2" i="6"/>
  <c r="E10" i="6" s="1"/>
  <c r="E12" i="6" s="1"/>
  <c r="D12" i="6"/>
  <c r="D11" i="1"/>
  <c r="D10" i="1" s="1"/>
  <c r="B11" i="1"/>
  <c r="B14" i="1" s="1"/>
  <c r="B15" i="1" s="1"/>
  <c r="C11" i="1"/>
  <c r="C10" i="1" s="1"/>
  <c r="H20" i="4"/>
  <c r="I20" i="4" s="1"/>
  <c r="B14" i="4"/>
  <c r="H10" i="4"/>
  <c r="I10" i="4" s="1"/>
  <c r="B20" i="4"/>
  <c r="C20" i="4" s="1"/>
  <c r="Z7" i="2"/>
  <c r="E12" i="2"/>
  <c r="F13" i="2" s="1"/>
  <c r="E11" i="2"/>
  <c r="E10" i="2"/>
  <c r="Z8" i="2"/>
  <c r="AA9" i="2" s="1"/>
  <c r="S9" i="2"/>
  <c r="T10" i="2" s="1"/>
  <c r="L9" i="2"/>
  <c r="M10" i="2" s="1"/>
  <c r="E9" i="2"/>
  <c r="S8" i="2"/>
  <c r="L8" i="2"/>
  <c r="E8" i="2"/>
  <c r="S7" i="2"/>
  <c r="L7" i="2"/>
  <c r="E7" i="2"/>
  <c r="B10" i="1" l="1"/>
  <c r="D12" i="1"/>
  <c r="C12" i="1"/>
  <c r="B12" i="1"/>
  <c r="F8" i="2"/>
  <c r="M9" i="2"/>
  <c r="T9" i="2"/>
  <c r="T8" i="2"/>
  <c r="AA8" i="2"/>
  <c r="AA15" i="2" s="1"/>
  <c r="F9" i="2"/>
  <c r="F12" i="2"/>
  <c r="F11" i="2"/>
  <c r="F10" i="2"/>
  <c r="M8" i="2"/>
  <c r="M15" i="2" s="1"/>
  <c r="T15" i="2" l="1"/>
  <c r="F15" i="2"/>
  <c r="L5" i="5"/>
  <c r="M5" i="5" s="1"/>
</calcChain>
</file>

<file path=xl/sharedStrings.xml><?xml version="1.0" encoding="utf-8"?>
<sst xmlns="http://schemas.openxmlformats.org/spreadsheetml/2006/main" count="152" uniqueCount="69">
  <si>
    <t>Yearly Income</t>
  </si>
  <si>
    <t>New Tax Regime</t>
  </si>
  <si>
    <t>Old Tax Regime (Normal Citizen)</t>
  </si>
  <si>
    <t>Old Tax Regime (Senior Citizen - 60 to 80 years)</t>
  </si>
  <si>
    <t>Old Tax Regime (Senior Citizen - 80+ years)</t>
  </si>
  <si>
    <t>Tax Slabs</t>
  </si>
  <si>
    <t>Slab Upper Limits</t>
  </si>
  <si>
    <t>Tax Rate</t>
  </si>
  <si>
    <t>Amount After Slab Deduction</t>
  </si>
  <si>
    <t>Tax Calculated</t>
  </si>
  <si>
    <t>Nil</t>
  </si>
  <si>
    <t xml:space="preserve">Up to ₹ 2,50,000 </t>
  </si>
  <si>
    <t xml:space="preserve">Up to ₹ 3,00,000 </t>
  </si>
  <si>
    <t xml:space="preserve">₹ 2,50,001 - ₹ 5,00,000 </t>
  </si>
  <si>
    <t xml:space="preserve">₹ 3,00,001 - ₹ 5,00,000 </t>
  </si>
  <si>
    <t>₹ 5,00,001 - ₹ 10,00,000</t>
  </si>
  <si>
    <t xml:space="preserve">Above ₹ 10,00,000 	</t>
  </si>
  <si>
    <t>Total Tax</t>
  </si>
  <si>
    <t>Upto ₹ 4,00,000</t>
  </si>
  <si>
    <t>₹ 4,00,001 - ₹ 8,00,000</t>
  </si>
  <si>
    <t>₹ 8,00,001 - ₹ 12,00,000</t>
  </si>
  <si>
    <t>₹ 12,00,001 - ₹ 16,00,000</t>
  </si>
  <si>
    <t>₹ 16,00,001 - ₹ 20,00,000</t>
  </si>
  <si>
    <t>₹ 20,00,001 - ₹ 24,00,000</t>
  </si>
  <si>
    <t>Above ₹ 24,00,000</t>
  </si>
  <si>
    <t xml:space="preserve">Up to ₹ 5,00,000 </t>
  </si>
  <si>
    <t>Interest Rate</t>
  </si>
  <si>
    <t>Single Payout</t>
  </si>
  <si>
    <t>Monthly Payout</t>
  </si>
  <si>
    <t>Investment Amount</t>
  </si>
  <si>
    <t>Years</t>
  </si>
  <si>
    <t>Months</t>
  </si>
  <si>
    <t>Days</t>
  </si>
  <si>
    <t>Investment Period</t>
  </si>
  <si>
    <t>Total Tenure in Days</t>
  </si>
  <si>
    <t>Start Date</t>
  </si>
  <si>
    <t>End Date</t>
  </si>
  <si>
    <t>Interest Payout</t>
  </si>
  <si>
    <t>Total Interest</t>
  </si>
  <si>
    <t>Maturity Amount</t>
  </si>
  <si>
    <t>Quaterly Payout</t>
  </si>
  <si>
    <t>Compunding</t>
  </si>
  <si>
    <t>No. of payouts</t>
  </si>
  <si>
    <t>Quarterly</t>
  </si>
  <si>
    <t>Scenario 1</t>
  </si>
  <si>
    <t>Mom</t>
  </si>
  <si>
    <t>Child</t>
  </si>
  <si>
    <t>Amount</t>
  </si>
  <si>
    <t>Earnings</t>
  </si>
  <si>
    <t>Tax</t>
  </si>
  <si>
    <t>Total Saving</t>
  </si>
  <si>
    <t>Amount %</t>
  </si>
  <si>
    <t>Scenario 2</t>
  </si>
  <si>
    <t>Scenario 4</t>
  </si>
  <si>
    <t>Scenario 3</t>
  </si>
  <si>
    <t>Child 1</t>
  </si>
  <si>
    <t>Child 2</t>
  </si>
  <si>
    <t>Maturity Value</t>
  </si>
  <si>
    <t>Time Period</t>
  </si>
  <si>
    <t>Compounding</t>
  </si>
  <si>
    <t>Duration Months</t>
  </si>
  <si>
    <t>Duration Days</t>
  </si>
  <si>
    <t>Principal</t>
  </si>
  <si>
    <t>New FD</t>
  </si>
  <si>
    <t>Breaking FD</t>
  </si>
  <si>
    <t>Current FD</t>
  </si>
  <si>
    <t>35.49 Lakh</t>
  </si>
  <si>
    <t>35.70 Lakh</t>
  </si>
  <si>
    <t>35.87 Lakh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</si>
</sst>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31425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164" fontId="0" fillId="0" borderId="0" xfId="0" applyNumberFormat="1"/>
    <xf numFmtId="0" fontId="3" fillId="0" borderId="0" xfId="0" applyFont="1"/>
    <xf numFmtId="2" fontId="0" fillId="0" borderId="0" xfId="2" applyNumberFormat="1" applyFont="1"/>
    <xf numFmtId="44" fontId="0" fillId="0" borderId="0" xfId="0" applyNumberFormat="1"/>
    <xf numFmtId="0" fontId="0" fillId="6" borderId="0" xfId="0" applyFill="1"/>
    <xf numFmtId="0" fontId="0" fillId="0" borderId="1" xfId="0" applyBorder="1"/>
    <xf numFmtId="0" fontId="0" fillId="4" borderId="1" xfId="0" applyFill="1" applyBorder="1"/>
    <xf numFmtId="0" fontId="4" fillId="0" borderId="1" xfId="0" applyFont="1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/>
    <xf numFmtId="15" fontId="0" fillId="4" borderId="1" xfId="0" applyNumberFormat="1" applyFill="1" applyBorder="1" applyAlignment="1">
      <alignment horizontal="center" vertical="center"/>
    </xf>
    <xf numFmtId="44" fontId="2" fillId="4" borderId="9" xfId="0" applyNumberFormat="1" applyFont="1" applyFill="1" applyBorder="1"/>
    <xf numFmtId="0" fontId="0" fillId="0" borderId="5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4" fontId="0" fillId="0" borderId="15" xfId="0" applyNumberFormat="1" applyBorder="1"/>
    <xf numFmtId="44" fontId="0" fillId="0" borderId="16" xfId="0" applyNumberFormat="1" applyBorder="1"/>
    <xf numFmtId="44" fontId="0" fillId="0" borderId="17" xfId="0" applyNumberFormat="1" applyBorder="1"/>
    <xf numFmtId="44" fontId="2" fillId="4" borderId="18" xfId="0" applyNumberFormat="1" applyFont="1" applyFill="1" applyBorder="1"/>
    <xf numFmtId="44" fontId="2" fillId="4" borderId="19" xfId="0" applyNumberFormat="1" applyFont="1" applyFill="1" applyBorder="1"/>
    <xf numFmtId="44" fontId="2" fillId="4" borderId="20" xfId="0" applyNumberFormat="1" applyFont="1" applyFill="1" applyBorder="1"/>
    <xf numFmtId="2" fontId="0" fillId="6" borderId="18" xfId="0" applyNumberFormat="1" applyFill="1" applyBorder="1" applyAlignment="1">
      <alignment horizontal="center" vertical="center"/>
    </xf>
    <xf numFmtId="2" fontId="0" fillId="6" borderId="19" xfId="0" applyNumberFormat="1" applyFill="1" applyBorder="1" applyAlignment="1">
      <alignment horizontal="center" vertical="center"/>
    </xf>
    <xf numFmtId="2" fontId="0" fillId="6" borderId="20" xfId="0" applyNumberFormat="1" applyFill="1" applyBorder="1" applyAlignment="1">
      <alignment horizontal="center" vertical="center"/>
    </xf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44" fontId="5" fillId="0" borderId="1" xfId="1" applyFont="1" applyFill="1" applyBorder="1" applyAlignment="1">
      <alignment horizontal="center" vertical="center"/>
    </xf>
    <xf numFmtId="44" fontId="2" fillId="4" borderId="18" xfId="0" applyNumberFormat="1" applyFont="1" applyFill="1" applyBorder="1" applyAlignment="1">
      <alignment horizontal="right" vertical="center"/>
    </xf>
    <xf numFmtId="44" fontId="2" fillId="4" borderId="19" xfId="0" applyNumberFormat="1" applyFont="1" applyFill="1" applyBorder="1" applyAlignment="1">
      <alignment horizontal="right" vertical="center"/>
    </xf>
    <xf numFmtId="44" fontId="2" fillId="4" borderId="20" xfId="0" applyNumberFormat="1" applyFont="1" applyFill="1" applyBorder="1" applyAlignment="1">
      <alignment horizontal="right" vertical="center"/>
    </xf>
    <xf numFmtId="44" fontId="2" fillId="4" borderId="21" xfId="0" applyNumberFormat="1" applyFont="1" applyFill="1" applyBorder="1" applyAlignment="1">
      <alignment horizontal="right" vertical="center"/>
    </xf>
    <xf numFmtId="44" fontId="2" fillId="4" borderId="22" xfId="0" applyNumberFormat="1" applyFont="1" applyFill="1" applyBorder="1" applyAlignment="1">
      <alignment horizontal="right" vertical="center"/>
    </xf>
    <xf numFmtId="44" fontId="2" fillId="4" borderId="23" xfId="0" applyNumberFormat="1" applyFont="1" applyFill="1" applyBorder="1" applyAlignment="1">
      <alignment horizontal="right" vertical="center"/>
    </xf>
    <xf numFmtId="0" fontId="0" fillId="0" borderId="6" xfId="0" applyBorder="1"/>
    <xf numFmtId="44" fontId="0" fillId="0" borderId="1" xfId="2" applyNumberFormat="1" applyFont="1" applyBorder="1" applyAlignment="1">
      <alignment horizontal="center" vertical="center"/>
    </xf>
    <xf numFmtId="44" fontId="0" fillId="0" borderId="7" xfId="2" applyNumberFormat="1" applyFont="1" applyBorder="1" applyAlignment="1">
      <alignment horizontal="center" vertical="center"/>
    </xf>
    <xf numFmtId="0" fontId="0" fillId="0" borderId="8" xfId="0" applyBorder="1"/>
    <xf numFmtId="44" fontId="0" fillId="0" borderId="9" xfId="2" applyNumberFormat="1" applyFont="1" applyBorder="1" applyAlignment="1">
      <alignment horizontal="center" vertical="center"/>
    </xf>
    <xf numFmtId="44" fontId="0" fillId="0" borderId="10" xfId="2" applyNumberFormat="1" applyFont="1" applyBorder="1" applyAlignment="1">
      <alignment horizontal="center" vertical="center"/>
    </xf>
    <xf numFmtId="0" fontId="0" fillId="0" borderId="11" xfId="0" applyBorder="1"/>
    <xf numFmtId="0" fontId="0" fillId="0" borderId="27" xfId="0" applyBorder="1"/>
    <xf numFmtId="0" fontId="0" fillId="0" borderId="28" xfId="0" applyBorder="1"/>
    <xf numFmtId="9" fontId="0" fillId="0" borderId="4" xfId="2" applyFont="1" applyBorder="1" applyAlignment="1">
      <alignment horizontal="center" vertical="center"/>
    </xf>
    <xf numFmtId="0" fontId="0" fillId="0" borderId="32" xfId="0" applyBorder="1"/>
    <xf numFmtId="9" fontId="2" fillId="0" borderId="1" xfId="2" applyFont="1" applyBorder="1" applyAlignment="1">
      <alignment horizontal="center" vertical="center"/>
    </xf>
    <xf numFmtId="44" fontId="0" fillId="3" borderId="1" xfId="2" applyNumberFormat="1" applyFont="1" applyFill="1" applyBorder="1" applyAlignment="1">
      <alignment horizontal="center" vertical="center"/>
    </xf>
    <xf numFmtId="44" fontId="0" fillId="8" borderId="1" xfId="2" applyNumberFormat="1" applyFont="1" applyFill="1" applyBorder="1" applyAlignment="1">
      <alignment horizontal="center" vertical="center"/>
    </xf>
    <xf numFmtId="44" fontId="0" fillId="2" borderId="1" xfId="2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2" fillId="4" borderId="0" xfId="0" applyNumberFormat="1" applyFont="1" applyFill="1"/>
    <xf numFmtId="0" fontId="2" fillId="4" borderId="0" xfId="0" applyFont="1" applyFill="1"/>
    <xf numFmtId="44" fontId="5" fillId="2" borderId="1" xfId="1" applyFont="1" applyFill="1" applyBorder="1" applyProtection="1">
      <protection locked="0"/>
    </xf>
    <xf numFmtId="15" fontId="0" fillId="2" borderId="1" xfId="0" applyNumberFormat="1" applyFill="1" applyBorder="1" applyAlignment="1" applyProtection="1">
      <alignment horizontal="center" vertical="center"/>
      <protection locked="0"/>
    </xf>
    <xf numFmtId="10" fontId="3" fillId="5" borderId="1" xfId="2" applyNumberFormat="1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5" borderId="0" xfId="0" applyFill="1" applyAlignment="1" applyProtection="1">
      <alignment horizontal="center" vertical="center"/>
      <protection locked="0"/>
    </xf>
    <xf numFmtId="0" fontId="2" fillId="0" borderId="0" xfId="0" applyFont="1"/>
    <xf numFmtId="164" fontId="0" fillId="0" borderId="33" xfId="2" applyNumberFormat="1" applyFont="1" applyBorder="1" applyAlignment="1">
      <alignment horizontal="center" vertical="center"/>
    </xf>
    <xf numFmtId="9" fontId="0" fillId="0" borderId="33" xfId="2" applyFont="1" applyBorder="1" applyAlignment="1">
      <alignment horizontal="center" vertical="center"/>
    </xf>
    <xf numFmtId="164" fontId="0" fillId="0" borderId="34" xfId="0" applyNumberFormat="1" applyBorder="1"/>
    <xf numFmtId="0" fontId="0" fillId="0" borderId="33" xfId="0" applyBorder="1"/>
    <xf numFmtId="0" fontId="0" fillId="0" borderId="35" xfId="0" applyBorder="1" applyAlignment="1">
      <alignment horizontal="center" vertical="center"/>
    </xf>
    <xf numFmtId="164" fontId="0" fillId="0" borderId="35" xfId="2" applyNumberFormat="1" applyFont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12" xfId="0" applyBorder="1"/>
    <xf numFmtId="0" fontId="3" fillId="0" borderId="12" xfId="0" applyFont="1" applyBorder="1"/>
    <xf numFmtId="164" fontId="2" fillId="4" borderId="13" xfId="0" applyNumberFormat="1" applyFont="1" applyFill="1" applyBorder="1"/>
    <xf numFmtId="164" fontId="0" fillId="0" borderId="39" xfId="0" applyNumberFormat="1" applyBorder="1"/>
    <xf numFmtId="164" fontId="0" fillId="0" borderId="40" xfId="0" applyNumberFormat="1" applyBorder="1"/>
    <xf numFmtId="0" fontId="0" fillId="0" borderId="41" xfId="0" applyBorder="1"/>
    <xf numFmtId="0" fontId="0" fillId="0" borderId="42" xfId="0" applyBorder="1"/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/>
    <xf numFmtId="0" fontId="2" fillId="0" borderId="5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4" fontId="3" fillId="0" borderId="1" xfId="1" applyFont="1" applyFill="1" applyBorder="1" applyAlignment="1">
      <alignment horizontal="center" vertical="center"/>
    </xf>
    <xf numFmtId="0" fontId="3" fillId="0" borderId="5" xfId="0" applyFont="1" applyBorder="1"/>
    <xf numFmtId="0" fontId="0" fillId="0" borderId="40" xfId="0" applyBorder="1"/>
    <xf numFmtId="0" fontId="0" fillId="0" borderId="44" xfId="0" applyBorder="1"/>
    <xf numFmtId="44" fontId="3" fillId="7" borderId="1" xfId="1" applyFont="1" applyFill="1" applyBorder="1" applyAlignment="1" applyProtection="1">
      <alignment horizontal="center" vertical="center"/>
      <protection locked="0"/>
    </xf>
    <xf numFmtId="3" fontId="6" fillId="0" borderId="0" xfId="0" applyNumberFormat="1" applyFont="1"/>
    <xf numFmtId="44" fontId="0" fillId="0" borderId="0" xfId="1" applyFont="1"/>
    <xf numFmtId="164" fontId="0" fillId="0" borderId="0" xfId="1" applyNumberFormat="1" applyFont="1"/>
    <xf numFmtId="14" fontId="0" fillId="0" borderId="0" xfId="0" applyNumberFormat="1"/>
    <xf numFmtId="10" fontId="0" fillId="0" borderId="0" xfId="0" applyNumberFormat="1"/>
    <xf numFmtId="0" fontId="3" fillId="0" borderId="46" xfId="0" applyFont="1" applyBorder="1" applyAlignment="1">
      <alignment horizontal="left"/>
    </xf>
    <xf numFmtId="0" fontId="3" fillId="0" borderId="47" xfId="0" applyFont="1" applyBorder="1" applyAlignment="1">
      <alignment horizontal="left"/>
    </xf>
    <xf numFmtId="0" fontId="3" fillId="0" borderId="48" xfId="0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8" borderId="29" xfId="0" applyFont="1" applyFill="1" applyBorder="1" applyAlignment="1">
      <alignment horizontal="center" wrapText="1"/>
    </xf>
    <xf numFmtId="0" fontId="3" fillId="8" borderId="30" xfId="0" applyFont="1" applyFill="1" applyBorder="1" applyAlignment="1">
      <alignment horizontal="center" wrapText="1"/>
    </xf>
    <xf numFmtId="0" fontId="3" fillId="8" borderId="31" xfId="0" applyFont="1" applyFill="1" applyBorder="1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14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EB8F979-DBB1-4F7A-B5AD-123EA2C88DF9}">
  <we:reference id="wa200003696" version="1.3.0.0" store="en-US" storeType="OMEX"/>
  <we:alternateReferences>
    <we:reference id="wa200003696" version="1.3.0.0" store="WA200003696" storeType="OMEX"/>
  </we:alternateReferences>
  <we:properties>
    <we:property name="projectV0_1-56c6e055-265e-4713-816e-a646dbb708de" value="{&quot;kind&quot;:&quot;AFEJSONBlobNode&quot;,&quot;id&quot;:&quot;{BC84815B-F75A-40EC-A810-02CFEB581A81}&quot;}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7F37-7934-4701-993D-9A653D45AB4B}">
  <dimension ref="B2:AA15"/>
  <sheetViews>
    <sheetView workbookViewId="0">
      <selection activeCell="B4" sqref="B4"/>
    </sheetView>
  </sheetViews>
  <sheetFormatPr defaultRowHeight="15" x14ac:dyDescent="0.25"/>
  <cols>
    <col min="2" max="2" width="24.42578125" customWidth="1"/>
    <col min="3" max="3" width="18.140625" customWidth="1"/>
    <col min="4" max="4" width="14.85546875" customWidth="1"/>
    <col min="5" max="5" width="16.5703125" customWidth="1"/>
    <col min="6" max="6" width="17.85546875" customWidth="1"/>
    <col min="9" max="9" width="24.42578125" customWidth="1"/>
    <col min="10" max="10" width="16.7109375" hidden="1" customWidth="1"/>
    <col min="11" max="11" width="16.85546875" customWidth="1"/>
    <col min="12" max="12" width="16.5703125" hidden="1" customWidth="1"/>
    <col min="13" max="13" width="16.85546875" customWidth="1"/>
    <col min="16" max="16" width="24.42578125" customWidth="1"/>
    <col min="17" max="17" width="16.7109375" hidden="1" customWidth="1"/>
    <col min="18" max="18" width="16.85546875" customWidth="1"/>
    <col min="19" max="19" width="30.7109375" hidden="1" customWidth="1"/>
    <col min="20" max="20" width="16.85546875" customWidth="1"/>
    <col min="23" max="23" width="24.42578125" customWidth="1"/>
    <col min="24" max="24" width="16.7109375" hidden="1" customWidth="1"/>
    <col min="25" max="25" width="11.42578125" bestFit="1" customWidth="1"/>
    <col min="26" max="26" width="30.7109375" hidden="1" customWidth="1"/>
    <col min="27" max="27" width="15.140625" bestFit="1" customWidth="1"/>
  </cols>
  <sheetData>
    <row r="2" spans="2:27" ht="18.75" x14ac:dyDescent="0.3">
      <c r="B2" s="2" t="s">
        <v>0</v>
      </c>
    </row>
    <row r="3" spans="2:27" ht="18.75" x14ac:dyDescent="0.25">
      <c r="B3" s="88">
        <v>3726488</v>
      </c>
      <c r="C3" s="84" t="str">
        <f>IF(B3&gt;=10000000, TEXT(B3/10000000,"0.00") &amp; " Cr",
 IF(B3&gt;=100000, TEXT(B3/100000,"0.00") &amp; " Lakh",
 TEXT(B3,"#,##0")))</f>
        <v>37.26 Lakh</v>
      </c>
    </row>
    <row r="4" spans="2:27" ht="15.75" thickBot="1" x14ac:dyDescent="0.3"/>
    <row r="5" spans="2:27" ht="19.5" thickBot="1" x14ac:dyDescent="0.35">
      <c r="B5" s="85" t="s">
        <v>1</v>
      </c>
      <c r="I5" s="94" t="s">
        <v>2</v>
      </c>
      <c r="J5" s="95"/>
      <c r="K5" s="96"/>
      <c r="P5" s="94" t="s">
        <v>3</v>
      </c>
      <c r="Q5" s="95"/>
      <c r="R5" s="95"/>
      <c r="S5" s="95"/>
      <c r="T5" s="96"/>
      <c r="W5" s="94" t="s">
        <v>4</v>
      </c>
      <c r="X5" s="95"/>
      <c r="Y5" s="95"/>
      <c r="Z5" s="95"/>
      <c r="AA5" s="96"/>
    </row>
    <row r="6" spans="2:27" ht="16.5" thickBot="1" x14ac:dyDescent="0.3">
      <c r="B6" s="80" t="s">
        <v>5</v>
      </c>
      <c r="C6" s="81" t="s">
        <v>6</v>
      </c>
      <c r="D6" s="82" t="s">
        <v>7</v>
      </c>
      <c r="E6" s="82" t="s">
        <v>8</v>
      </c>
      <c r="F6" s="83" t="s">
        <v>9</v>
      </c>
      <c r="I6" s="80" t="s">
        <v>5</v>
      </c>
      <c r="J6" s="81" t="s">
        <v>6</v>
      </c>
      <c r="K6" s="82" t="s">
        <v>7</v>
      </c>
      <c r="L6" s="82" t="s">
        <v>8</v>
      </c>
      <c r="M6" s="83" t="s">
        <v>9</v>
      </c>
      <c r="P6" s="80" t="s">
        <v>5</v>
      </c>
      <c r="Q6" s="81" t="s">
        <v>6</v>
      </c>
      <c r="R6" s="82" t="s">
        <v>7</v>
      </c>
      <c r="S6" s="82" t="s">
        <v>8</v>
      </c>
      <c r="T6" s="83" t="s">
        <v>9</v>
      </c>
      <c r="W6" s="80" t="s">
        <v>5</v>
      </c>
      <c r="X6" s="81" t="s">
        <v>6</v>
      </c>
      <c r="Y6" s="82" t="s">
        <v>7</v>
      </c>
      <c r="Z6" s="82" t="s">
        <v>8</v>
      </c>
      <c r="AA6" s="83" t="s">
        <v>9</v>
      </c>
    </row>
    <row r="7" spans="2:27" x14ac:dyDescent="0.25">
      <c r="B7" s="77" t="s">
        <v>18</v>
      </c>
      <c r="C7" s="73">
        <v>400000</v>
      </c>
      <c r="D7" s="65" t="s">
        <v>10</v>
      </c>
      <c r="E7" s="66">
        <f t="shared" ref="E7:E12" si="0">MAX(0,$B$3-C7)</f>
        <v>3326488</v>
      </c>
      <c r="F7" s="67">
        <v>0</v>
      </c>
      <c r="I7" s="77" t="s">
        <v>11</v>
      </c>
      <c r="J7" s="73">
        <v>250000</v>
      </c>
      <c r="K7" s="65" t="s">
        <v>10</v>
      </c>
      <c r="L7" s="66">
        <f>MAX(0,$B$3-J7)</f>
        <v>3476488</v>
      </c>
      <c r="M7" s="67">
        <v>0</v>
      </c>
      <c r="P7" s="77" t="s">
        <v>12</v>
      </c>
      <c r="Q7" s="73">
        <v>300000</v>
      </c>
      <c r="R7" s="65" t="s">
        <v>10</v>
      </c>
      <c r="S7" s="66">
        <f>MAX(0,$B$3-Q7)</f>
        <v>3426488</v>
      </c>
      <c r="T7" s="67">
        <v>0</v>
      </c>
      <c r="W7" s="77" t="s">
        <v>25</v>
      </c>
      <c r="X7" s="73">
        <v>500000</v>
      </c>
      <c r="Y7" s="65" t="s">
        <v>10</v>
      </c>
      <c r="Z7" s="66">
        <f>MAX(0,$B$3-X7)</f>
        <v>3226488</v>
      </c>
      <c r="AA7" s="67">
        <v>0</v>
      </c>
    </row>
    <row r="8" spans="2:27" x14ac:dyDescent="0.25">
      <c r="B8" s="78" t="s">
        <v>19</v>
      </c>
      <c r="C8" s="74">
        <v>800000</v>
      </c>
      <c r="D8" s="62">
        <v>0.05</v>
      </c>
      <c r="E8" s="61">
        <f t="shared" si="0"/>
        <v>2926488</v>
      </c>
      <c r="F8" s="63">
        <f t="shared" ref="F8:F13" si="1">(E7-E8)*D8</f>
        <v>20000</v>
      </c>
      <c r="I8" s="78" t="s">
        <v>13</v>
      </c>
      <c r="J8" s="74">
        <v>500000</v>
      </c>
      <c r="K8" s="62">
        <v>0.05</v>
      </c>
      <c r="L8" s="61">
        <f>MAX(0,$B$3-J8)</f>
        <v>3226488</v>
      </c>
      <c r="M8" s="63">
        <f>(L7-L8)*K8</f>
        <v>12500</v>
      </c>
      <c r="P8" s="78" t="s">
        <v>14</v>
      </c>
      <c r="Q8" s="74">
        <v>500000</v>
      </c>
      <c r="R8" s="62">
        <v>0.05</v>
      </c>
      <c r="S8" s="61">
        <f>MAX(0,$B$3-Q8)</f>
        <v>3226488</v>
      </c>
      <c r="T8" s="63">
        <f>(S7-S8)*R8</f>
        <v>10000</v>
      </c>
      <c r="W8" s="78" t="s">
        <v>15</v>
      </c>
      <c r="X8" s="74">
        <v>1000000</v>
      </c>
      <c r="Y8" s="62">
        <v>0.2</v>
      </c>
      <c r="Z8" s="61">
        <f>MAX(0,$B$3-X8)</f>
        <v>2726488</v>
      </c>
      <c r="AA8" s="63">
        <f>(Z7-Z8)*Y8</f>
        <v>100000</v>
      </c>
    </row>
    <row r="9" spans="2:27" x14ac:dyDescent="0.25">
      <c r="B9" s="78" t="s">
        <v>20</v>
      </c>
      <c r="C9" s="74">
        <v>1200000</v>
      </c>
      <c r="D9" s="62">
        <v>0.1</v>
      </c>
      <c r="E9" s="61">
        <f t="shared" si="0"/>
        <v>2526488</v>
      </c>
      <c r="F9" s="63">
        <f t="shared" si="1"/>
        <v>40000</v>
      </c>
      <c r="I9" s="78" t="s">
        <v>15</v>
      </c>
      <c r="J9" s="74">
        <v>1000000</v>
      </c>
      <c r="K9" s="62">
        <v>0.2</v>
      </c>
      <c r="L9" s="61">
        <f>MAX(0,$B$3-J9)</f>
        <v>2726488</v>
      </c>
      <c r="M9" s="63">
        <f>(L8-L9)*K9</f>
        <v>100000</v>
      </c>
      <c r="P9" s="78" t="s">
        <v>15</v>
      </c>
      <c r="Q9" s="74">
        <v>1000000</v>
      </c>
      <c r="R9" s="62">
        <v>0.2</v>
      </c>
      <c r="S9" s="61">
        <f>MAX(0,$B$3-Q9)</f>
        <v>2726488</v>
      </c>
      <c r="T9" s="63">
        <f>(S8-S9)*R9</f>
        <v>100000</v>
      </c>
      <c r="W9" s="78" t="s">
        <v>16</v>
      </c>
      <c r="X9" s="74"/>
      <c r="Y9" s="62">
        <v>0.3</v>
      </c>
      <c r="Z9" s="61">
        <v>0</v>
      </c>
      <c r="AA9" s="63">
        <f>(Z8-Z9)*Y9</f>
        <v>817946.4</v>
      </c>
    </row>
    <row r="10" spans="2:27" x14ac:dyDescent="0.25">
      <c r="B10" s="78" t="s">
        <v>21</v>
      </c>
      <c r="C10" s="74">
        <v>1600000</v>
      </c>
      <c r="D10" s="62">
        <v>0.15</v>
      </c>
      <c r="E10" s="61">
        <f t="shared" si="0"/>
        <v>2126488</v>
      </c>
      <c r="F10" s="63">
        <f t="shared" si="1"/>
        <v>60000</v>
      </c>
      <c r="I10" s="78" t="s">
        <v>16</v>
      </c>
      <c r="J10" s="74"/>
      <c r="K10" s="62">
        <v>0.3</v>
      </c>
      <c r="L10" s="61">
        <v>0</v>
      </c>
      <c r="M10" s="63">
        <f>(L9-L10)*K10</f>
        <v>817946.4</v>
      </c>
      <c r="P10" s="78" t="s">
        <v>16</v>
      </c>
      <c r="Q10" s="74"/>
      <c r="R10" s="62">
        <v>0.3</v>
      </c>
      <c r="S10" s="61">
        <v>0</v>
      </c>
      <c r="T10" s="63">
        <f>(S9-S10)*R10</f>
        <v>817946.4</v>
      </c>
      <c r="W10" s="87"/>
      <c r="X10" s="86"/>
      <c r="Y10" s="64"/>
      <c r="Z10" s="64"/>
      <c r="AA10" s="63"/>
    </row>
    <row r="11" spans="2:27" x14ac:dyDescent="0.25">
      <c r="B11" s="78" t="s">
        <v>22</v>
      </c>
      <c r="C11" s="74">
        <v>2000000</v>
      </c>
      <c r="D11" s="62">
        <v>0.2</v>
      </c>
      <c r="E11" s="61">
        <f t="shared" si="0"/>
        <v>1726488</v>
      </c>
      <c r="F11" s="63">
        <f t="shared" si="1"/>
        <v>80000</v>
      </c>
      <c r="I11" s="78"/>
      <c r="J11" s="74"/>
      <c r="K11" s="62"/>
      <c r="L11" s="61"/>
      <c r="M11" s="63"/>
      <c r="P11" s="78"/>
      <c r="Q11" s="74"/>
      <c r="R11" s="62"/>
      <c r="S11" s="61"/>
      <c r="T11" s="63"/>
      <c r="W11" s="78"/>
      <c r="X11" s="74"/>
      <c r="Y11" s="62"/>
      <c r="Z11" s="61"/>
      <c r="AA11" s="63"/>
    </row>
    <row r="12" spans="2:27" x14ac:dyDescent="0.25">
      <c r="B12" s="78" t="s">
        <v>23</v>
      </c>
      <c r="C12" s="74">
        <v>2400000</v>
      </c>
      <c r="D12" s="62">
        <v>0.25</v>
      </c>
      <c r="E12" s="61">
        <f t="shared" si="0"/>
        <v>1326488</v>
      </c>
      <c r="F12" s="63">
        <f t="shared" si="1"/>
        <v>100000</v>
      </c>
      <c r="I12" s="78"/>
      <c r="J12" s="74"/>
      <c r="K12" s="62"/>
      <c r="L12" s="61"/>
      <c r="M12" s="63"/>
      <c r="P12" s="78"/>
      <c r="Q12" s="74"/>
      <c r="R12" s="62"/>
      <c r="S12" s="61"/>
      <c r="T12" s="63"/>
      <c r="W12" s="78"/>
      <c r="X12" s="74"/>
      <c r="Y12" s="62"/>
      <c r="Z12" s="61"/>
      <c r="AA12" s="63"/>
    </row>
    <row r="13" spans="2:27" x14ac:dyDescent="0.25">
      <c r="B13" s="78" t="s">
        <v>24</v>
      </c>
      <c r="C13" s="74"/>
      <c r="D13" s="62">
        <v>0.3</v>
      </c>
      <c r="E13" s="61">
        <v>0</v>
      </c>
      <c r="F13" s="63">
        <f t="shared" si="1"/>
        <v>397946.39999999997</v>
      </c>
      <c r="I13" s="78"/>
      <c r="J13" s="74"/>
      <c r="K13" s="62"/>
      <c r="L13" s="61"/>
      <c r="M13" s="63"/>
      <c r="P13" s="78"/>
      <c r="Q13" s="74"/>
      <c r="R13" s="62"/>
      <c r="S13" s="61"/>
      <c r="T13" s="63"/>
      <c r="W13" s="78"/>
      <c r="X13" s="74"/>
      <c r="Y13" s="62"/>
      <c r="Z13" s="61"/>
      <c r="AA13" s="63"/>
    </row>
    <row r="14" spans="2:27" ht="15.75" thickBot="1" x14ac:dyDescent="0.3">
      <c r="B14" s="79"/>
      <c r="C14" s="75"/>
      <c r="D14" s="68"/>
      <c r="E14" s="68"/>
      <c r="F14" s="69"/>
      <c r="I14" s="79"/>
      <c r="J14" s="75"/>
      <c r="K14" s="68"/>
      <c r="L14" s="68"/>
      <c r="M14" s="69"/>
      <c r="P14" s="79"/>
      <c r="Q14" s="75"/>
      <c r="R14" s="68"/>
      <c r="S14" s="68"/>
      <c r="T14" s="69"/>
      <c r="W14" s="79"/>
      <c r="X14" s="75"/>
      <c r="Y14" s="68"/>
      <c r="Z14" s="68"/>
      <c r="AA14" s="69"/>
    </row>
    <row r="15" spans="2:27" ht="19.5" thickBot="1" x14ac:dyDescent="0.35">
      <c r="B15" s="13"/>
      <c r="C15" s="76"/>
      <c r="D15" s="71" t="s">
        <v>17</v>
      </c>
      <c r="E15" s="70"/>
      <c r="F15" s="72">
        <f>SUM(F7:F14)</f>
        <v>697946.39999999991</v>
      </c>
      <c r="I15" s="13"/>
      <c r="J15" s="76"/>
      <c r="K15" s="71" t="s">
        <v>17</v>
      </c>
      <c r="L15" s="70"/>
      <c r="M15" s="72">
        <f>SUM(M7:M14)</f>
        <v>930446.4</v>
      </c>
      <c r="P15" s="13"/>
      <c r="Q15" s="76"/>
      <c r="R15" s="71" t="s">
        <v>17</v>
      </c>
      <c r="S15" s="70"/>
      <c r="T15" s="72">
        <f>SUM(T7:T14)</f>
        <v>927946.4</v>
      </c>
      <c r="W15" s="13"/>
      <c r="X15" s="76"/>
      <c r="Y15" s="71" t="s">
        <v>17</v>
      </c>
      <c r="Z15" s="70"/>
      <c r="AA15" s="72">
        <f>SUM(AA7:AA14)</f>
        <v>917946.4</v>
      </c>
    </row>
  </sheetData>
  <sheetProtection algorithmName="SHA-512" hashValue="QxqZSXDkK22G5hiwN28tMmgn2fdK2/xbQZbnaaYRRnwGCsxlDMpaqJ2lmSRq5ukJOdfLtz1WxG6IPE2/pn7xSg==" saltValue="lJPQu1P1U4L11lsoZxvZbw==" spinCount="100000" sheet="1" objects="1" scenarios="1"/>
  <mergeCells count="3">
    <mergeCell ref="I5:K5"/>
    <mergeCell ref="P5:T5"/>
    <mergeCell ref="W5:A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2"/>
  <sheetViews>
    <sheetView tabSelected="1" workbookViewId="0">
      <selection activeCell="C11" sqref="C11"/>
    </sheetView>
  </sheetViews>
  <sheetFormatPr defaultRowHeight="15" x14ac:dyDescent="0.25"/>
  <cols>
    <col min="1" max="1" width="24.42578125" bestFit="1" customWidth="1"/>
    <col min="2" max="4" width="27.42578125" customWidth="1"/>
    <col min="5" max="5" width="12.85546875" customWidth="1"/>
    <col min="6" max="6" width="14.85546875" customWidth="1"/>
    <col min="7" max="7" width="12" customWidth="1"/>
  </cols>
  <sheetData>
    <row r="2" spans="1:7" ht="21" x14ac:dyDescent="0.35">
      <c r="A2" s="10" t="s">
        <v>29</v>
      </c>
      <c r="B2" s="55">
        <v>1000</v>
      </c>
      <c r="C2" s="29" t="str">
        <f>IF(B2&gt;=10000000, TEXT(B2/10000000,"0.00") &amp; " Cr",
 IF(B2&gt;=100000, TEXT(B2/100000,"0.00") &amp; " Lakh",
 TEXT(B2,"#,##0")))</f>
        <v>1,000</v>
      </c>
      <c r="E2" s="6" t="s">
        <v>35</v>
      </c>
      <c r="F2" s="56">
        <v>45810</v>
      </c>
    </row>
    <row r="3" spans="1:7" ht="18.75" x14ac:dyDescent="0.3">
      <c r="A3" s="8" t="s">
        <v>26</v>
      </c>
      <c r="B3" s="57">
        <v>7.0000000000000007E-2</v>
      </c>
      <c r="C3" s="6"/>
      <c r="E3" s="6" t="s">
        <v>36</v>
      </c>
      <c r="F3" s="11">
        <f>IF(ISNUMBER(F2), DATE(YEAR(F2)+B4, MONTH(F2)+B5, DAY(F2)+B6), "")</f>
        <v>46810</v>
      </c>
    </row>
    <row r="4" spans="1:7" x14ac:dyDescent="0.25">
      <c r="A4" s="97" t="s">
        <v>33</v>
      </c>
      <c r="B4" s="58">
        <v>0</v>
      </c>
      <c r="C4" s="9" t="s">
        <v>30</v>
      </c>
    </row>
    <row r="5" spans="1:7" x14ac:dyDescent="0.25">
      <c r="A5" s="98"/>
      <c r="B5" s="58"/>
      <c r="C5" s="9" t="s">
        <v>31</v>
      </c>
      <c r="E5" t="s">
        <v>41</v>
      </c>
      <c r="F5" s="59">
        <v>4</v>
      </c>
      <c r="G5" s="5" t="s">
        <v>43</v>
      </c>
    </row>
    <row r="6" spans="1:7" x14ac:dyDescent="0.25">
      <c r="A6" s="99"/>
      <c r="B6" s="58">
        <v>1000</v>
      </c>
      <c r="C6" s="9" t="s">
        <v>32</v>
      </c>
    </row>
    <row r="7" spans="1:7" x14ac:dyDescent="0.25">
      <c r="A7" s="8" t="s">
        <v>34</v>
      </c>
      <c r="B7" s="7">
        <f>IF(ISNUMBER(F2), DATEDIF(F2, DATE(YEAR(F2)+B4, MONTH(F2)+B5, DAY(F2)+B6), "d"), B4*365 + B5*30 + B6)</f>
        <v>1000</v>
      </c>
      <c r="C7" s="6"/>
    </row>
    <row r="8" spans="1:7" ht="15.75" thickBot="1" x14ac:dyDescent="0.3"/>
    <row r="9" spans="1:7" ht="15.75" thickBot="1" x14ac:dyDescent="0.3">
      <c r="A9" s="13"/>
      <c r="B9" s="16" t="s">
        <v>27</v>
      </c>
      <c r="C9" s="14" t="s">
        <v>40</v>
      </c>
      <c r="D9" s="15" t="s">
        <v>28</v>
      </c>
    </row>
    <row r="10" spans="1:7" x14ac:dyDescent="0.25">
      <c r="A10" s="26" t="s">
        <v>39</v>
      </c>
      <c r="B10" s="17">
        <f>B2+B11</f>
        <v>1209.3972124377897</v>
      </c>
      <c r="C10" s="18">
        <f>B2+C11</f>
        <v>1191.7808219178082</v>
      </c>
      <c r="D10" s="19">
        <f>B2+D11</f>
        <v>1191.7808219178082</v>
      </c>
    </row>
    <row r="11" spans="1:7" ht="15.75" x14ac:dyDescent="0.25">
      <c r="A11" s="27" t="s">
        <v>38</v>
      </c>
      <c r="B11" s="20">
        <f>B2 * (((1 + (B3 / F5)) ^ ((F5 * B7) / 365)) - 1)</f>
        <v>209.39721243778965</v>
      </c>
      <c r="C11" s="21">
        <f>B2*B3*B7/365</f>
        <v>191.78082191780823</v>
      </c>
      <c r="D11" s="22">
        <f>B2*B3*B7/365</f>
        <v>191.78082191780823</v>
      </c>
    </row>
    <row r="12" spans="1:7" ht="15.75" x14ac:dyDescent="0.25">
      <c r="A12" s="27"/>
      <c r="B12" s="30" t="str">
        <f>IF(B11 &gt;= 10000000, TEXT(B11 / 10000000, "0.00") &amp; " Cr", IF(B11 &gt;= 100000, TEXT(B11 / 100000, "0.00") &amp; " Lakh", TEXT(B11, "#,##0")))</f>
        <v>209</v>
      </c>
      <c r="C12" s="31" t="str">
        <f t="shared" ref="C12:D12" si="0">IF(C11 &gt;= 10000000, TEXT(C11 / 10000000, "0.00") &amp; " Cr", IF(C11 &gt;= 100000, TEXT(C11 / 100000, "0.00") &amp; " Lakh", TEXT(C11, "#,##0")))</f>
        <v>192</v>
      </c>
      <c r="D12" s="32" t="str">
        <f t="shared" si="0"/>
        <v>192</v>
      </c>
    </row>
    <row r="13" spans="1:7" x14ac:dyDescent="0.25">
      <c r="A13" s="27" t="s">
        <v>42</v>
      </c>
      <c r="B13" s="23">
        <v>1</v>
      </c>
      <c r="C13" s="24">
        <f>B7/(365/4)</f>
        <v>10.95890410958904</v>
      </c>
      <c r="D13" s="25">
        <f>B7/(365/12)</f>
        <v>32.87671232876712</v>
      </c>
    </row>
    <row r="14" spans="1:7" ht="15.75" x14ac:dyDescent="0.25">
      <c r="A14" s="27" t="s">
        <v>37</v>
      </c>
      <c r="B14" s="30">
        <f>B11*B13</f>
        <v>209.39721243778965</v>
      </c>
      <c r="C14" s="31">
        <f>B2*(B3/4)</f>
        <v>17.5</v>
      </c>
      <c r="D14" s="32">
        <f>B2*(B3/12)</f>
        <v>5.8333333333333339</v>
      </c>
    </row>
    <row r="15" spans="1:7" ht="16.5" thickBot="1" x14ac:dyDescent="0.3">
      <c r="A15" s="28"/>
      <c r="B15" s="33" t="str">
        <f>IF(B14 &gt;= 10000000, TEXT(B14 / 10000000, "0.00") &amp; " Cr", IF(B14 &gt;= 100000, TEXT(B14 / 100000, "0.00") &amp; " Lakh", TEXT(B14, "#,##0")))</f>
        <v>209</v>
      </c>
      <c r="C15" s="34" t="str">
        <f t="shared" ref="C15" si="1">IF(C14 &gt;= 10000000, TEXT(C14 / 10000000, "0.00") &amp; " Cr", IF(C14 &gt;= 100000, TEXT(C14 / 100000, "0.00") &amp; " Lakh", TEXT(C14, "#,##0")))</f>
        <v>18</v>
      </c>
      <c r="D15" s="35" t="str">
        <f t="shared" ref="D15" si="2">IF(D14 &gt;= 10000000, TEXT(D14 / 10000000, "0.00") &amp; " Cr", IF(D14 &gt;= 100000, TEXT(D14 / 100000, "0.00") &amp; " Lakh", TEXT(D14, "#,##0")))</f>
        <v>6</v>
      </c>
    </row>
    <row r="20" spans="2:4" x14ac:dyDescent="0.25">
      <c r="B20" s="3"/>
      <c r="C20" s="4"/>
      <c r="D20" s="4"/>
    </row>
    <row r="21" spans="2:4" x14ac:dyDescent="0.25">
      <c r="C21" s="4"/>
      <c r="D21" s="4"/>
    </row>
    <row r="22" spans="2:4" x14ac:dyDescent="0.25">
      <c r="B22" s="4"/>
      <c r="C22" s="4"/>
      <c r="D22" s="4"/>
    </row>
  </sheetData>
  <sheetProtection algorithmName="SHA-512" hashValue="XgpmeNfgmCfYBugUFMLwKaCUYNy1PCOh8dn+tgkep2ONYWALtjEBPOMW/Z2MIsHUG/YmdJZO2jgKPopGjbGBOA==" saltValue="XVuMiZv8oyRgtfzE64ZpRg==" spinCount="100000" sheet="1" objects="1" scenarios="1"/>
  <mergeCells count="1">
    <mergeCell ref="A4:A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E1E5-E73B-4DF5-BB3B-E955E83FA0D7}">
  <dimension ref="A1:K20"/>
  <sheetViews>
    <sheetView workbookViewId="0">
      <selection activeCell="B20" sqref="B20"/>
    </sheetView>
  </sheetViews>
  <sheetFormatPr defaultRowHeight="15" x14ac:dyDescent="0.25"/>
  <cols>
    <col min="1" max="1" width="17.28515625" customWidth="1"/>
    <col min="2" max="2" width="17.5703125" customWidth="1"/>
    <col min="3" max="3" width="13" customWidth="1"/>
    <col min="4" max="4" width="16.5703125" customWidth="1"/>
    <col min="5" max="5" width="11.28515625" customWidth="1"/>
    <col min="7" max="7" width="17.28515625" customWidth="1"/>
    <col min="8" max="8" width="17.5703125" customWidth="1"/>
    <col min="9" max="9" width="13" customWidth="1"/>
    <col min="10" max="10" width="16.5703125" customWidth="1"/>
    <col min="11" max="11" width="11.28515625" customWidth="1"/>
  </cols>
  <sheetData>
    <row r="1" spans="1:11" ht="15.75" thickBot="1" x14ac:dyDescent="0.3"/>
    <row r="2" spans="1:11" ht="18.75" x14ac:dyDescent="0.3">
      <c r="A2" s="43"/>
      <c r="B2" s="100" t="s">
        <v>44</v>
      </c>
      <c r="C2" s="101"/>
      <c r="D2" s="101"/>
      <c r="E2" s="102"/>
      <c r="G2" s="43"/>
      <c r="H2" s="100" t="s">
        <v>52</v>
      </c>
      <c r="I2" s="101"/>
      <c r="J2" s="101"/>
      <c r="K2" s="102"/>
    </row>
    <row r="3" spans="1:11" ht="18.75" x14ac:dyDescent="0.25">
      <c r="A3" s="44"/>
      <c r="B3" s="51" t="s">
        <v>45</v>
      </c>
      <c r="C3" s="52"/>
      <c r="D3" s="51" t="s">
        <v>46</v>
      </c>
      <c r="E3" s="46"/>
      <c r="G3" s="44"/>
      <c r="H3" s="51" t="s">
        <v>45</v>
      </c>
      <c r="I3" s="52"/>
      <c r="J3" s="51" t="s">
        <v>46</v>
      </c>
      <c r="K3" s="46"/>
    </row>
    <row r="4" spans="1:11" ht="15.75" x14ac:dyDescent="0.25">
      <c r="A4" s="36" t="s">
        <v>51</v>
      </c>
      <c r="B4" s="47">
        <v>1</v>
      </c>
      <c r="C4" s="45"/>
      <c r="D4" s="47">
        <v>1</v>
      </c>
      <c r="E4" s="42"/>
      <c r="G4" s="36" t="s">
        <v>51</v>
      </c>
      <c r="H4" s="47">
        <v>0.5</v>
      </c>
      <c r="I4" s="45"/>
      <c r="J4" s="47">
        <v>0.5</v>
      </c>
      <c r="K4" s="42"/>
    </row>
    <row r="5" spans="1:11" x14ac:dyDescent="0.25">
      <c r="A5" s="36" t="s">
        <v>47</v>
      </c>
      <c r="B5" s="50">
        <v>40000000</v>
      </c>
      <c r="C5" s="37" t="str">
        <f>IF(B5&gt;=10000000, TEXT(B5/10000000,"0.00") &amp; " Cr",
 IF(B5&gt;=100000, TEXT(B5/100000,"0.00") &amp; " Lakh",
 TEXT(B5,"#,##0")))</f>
        <v>4.00 Cr</v>
      </c>
      <c r="D5" s="50">
        <v>40000000</v>
      </c>
      <c r="E5" s="38" t="str">
        <f>IF(D5&gt;=10000000, TEXT(D5/10000000,"0.00") &amp; " Cr",
 IF(D5&gt;=100000, TEXT(D5/100000,"0.00") &amp; " Lakh",
 TEXT(D5,"#,##0")))</f>
        <v>4.00 Cr</v>
      </c>
      <c r="G5" s="36" t="s">
        <v>47</v>
      </c>
      <c r="H5" s="50">
        <v>20000000</v>
      </c>
      <c r="I5" s="37" t="str">
        <f>IF(H5&gt;=10000000, TEXT(H5/10000000,"0.00") &amp; " Cr",
 IF(H5&gt;=100000, TEXT(H5/100000,"0.00") &amp; " Lakh",
 TEXT(H5,"#,##0")))</f>
        <v>2.00 Cr</v>
      </c>
      <c r="J5" s="50">
        <v>20000000</v>
      </c>
      <c r="K5" s="38" t="str">
        <f>IF(J5&gt;=10000000, TEXT(J5/10000000,"0.00") &amp; " Cr",
 IF(J5&gt;=100000, TEXT(J5/100000,"0.00") &amp; " Lakh",
 TEXT(J5,"#,##0")))</f>
        <v>2.00 Cr</v>
      </c>
    </row>
    <row r="6" spans="1:11" x14ac:dyDescent="0.25">
      <c r="A6" s="36" t="s">
        <v>48</v>
      </c>
      <c r="B6" s="49">
        <v>3783961.12</v>
      </c>
      <c r="C6" s="37" t="str">
        <f t="shared" ref="C6:E8" si="0">IF(B6&gt;=10000000, TEXT(B6/10000000,"0.00") &amp; " Cr",
 IF(B6&gt;=100000, TEXT(B6/100000,"0.00") &amp; " Lakh",
 TEXT(B6,"#,##0")))</f>
        <v>37.84 Lakh</v>
      </c>
      <c r="D6" s="49">
        <v>3523179.16</v>
      </c>
      <c r="E6" s="38" t="str">
        <f t="shared" si="0"/>
        <v>35.23 Lakh</v>
      </c>
      <c r="G6" s="36" t="s">
        <v>48</v>
      </c>
      <c r="H6" s="49">
        <v>1891980.5597284923</v>
      </c>
      <c r="I6" s="37" t="str">
        <f t="shared" ref="I6" si="1">IF(H6&gt;=10000000, TEXT(H6/10000000,"0.00") &amp; " Cr",
 IF(H6&gt;=100000, TEXT(H6/100000,"0.00") &amp; " Lakh",
 TEXT(H6,"#,##0")))</f>
        <v>18.92 Lakh</v>
      </c>
      <c r="J6" s="49">
        <v>1761589.581580516</v>
      </c>
      <c r="K6" s="38" t="str">
        <f t="shared" ref="K6" si="2">IF(J6&gt;=10000000, TEXT(J6/10000000,"0.00") &amp; " Cr",
 IF(J6&gt;=100000, TEXT(J6/100000,"0.00") &amp; " Lakh",
 TEXT(J6,"#,##0")))</f>
        <v>17.62 Lakh</v>
      </c>
    </row>
    <row r="7" spans="1:11" x14ac:dyDescent="0.25">
      <c r="A7" s="36" t="s">
        <v>49</v>
      </c>
      <c r="B7" s="48">
        <v>715188.34</v>
      </c>
      <c r="C7" s="37" t="str">
        <f t="shared" si="0"/>
        <v>7.15 Lakh</v>
      </c>
      <c r="D7" s="48">
        <v>636953.74800000002</v>
      </c>
      <c r="E7" s="38" t="str">
        <f t="shared" si="0"/>
        <v>6.37 Lakh</v>
      </c>
      <c r="G7" s="36" t="s">
        <v>49</v>
      </c>
      <c r="H7" s="48">
        <v>178396.11194569845</v>
      </c>
      <c r="I7" s="37" t="str">
        <f t="shared" ref="I7" si="3">IF(H7&gt;=10000000, TEXT(H7/10000000,"0.00") &amp; " Cr",
 IF(H7&gt;=100000, TEXT(H7/100000,"0.00") &amp; " Lakh",
 TEXT(H7,"#,##0")))</f>
        <v>1.78 Lakh</v>
      </c>
      <c r="J7" s="48">
        <v>152317.91631610319</v>
      </c>
      <c r="K7" s="38" t="str">
        <f t="shared" ref="K7" si="4">IF(J7&gt;=10000000, TEXT(J7/10000000,"0.00") &amp; " Cr",
 IF(J7&gt;=100000, TEXT(J7/100000,"0.00") &amp; " Lakh",
 TEXT(J7,"#,##0")))</f>
        <v>1.52 Lakh</v>
      </c>
    </row>
    <row r="8" spans="1:11" ht="16.5" thickBot="1" x14ac:dyDescent="0.3">
      <c r="A8" s="39" t="s">
        <v>50</v>
      </c>
      <c r="B8" s="12">
        <f>B6-B7</f>
        <v>3068772.7800000003</v>
      </c>
      <c r="C8" s="40" t="str">
        <f t="shared" si="0"/>
        <v>30.69 Lakh</v>
      </c>
      <c r="D8" s="12">
        <f>D6-D7</f>
        <v>2886225.412</v>
      </c>
      <c r="E8" s="41" t="str">
        <f t="shared" si="0"/>
        <v>28.86 Lakh</v>
      </c>
      <c r="G8" s="39" t="s">
        <v>50</v>
      </c>
      <c r="H8" s="12">
        <f>H6-H7</f>
        <v>1713584.4477827938</v>
      </c>
      <c r="I8" s="40" t="str">
        <f t="shared" ref="I8:I10" si="5">IF(H8&gt;=10000000, TEXT(H8/10000000,"0.00") &amp; " Cr",
 IF(H8&gt;=100000, TEXT(H8/100000,"0.00") &amp; " Lakh",
 TEXT(H8,"#,##0")))</f>
        <v>17.14 Lakh</v>
      </c>
      <c r="J8" s="12">
        <f>J6-J7</f>
        <v>1609271.6652644128</v>
      </c>
      <c r="K8" s="41" t="str">
        <f t="shared" ref="K8" si="6">IF(J8&gt;=10000000, TEXT(J8/10000000,"0.00") &amp; " Cr",
 IF(J8&gt;=100000, TEXT(J8/100000,"0.00") &amp; " Lakh",
 TEXT(J8,"#,##0")))</f>
        <v>16.09 Lakh</v>
      </c>
    </row>
    <row r="10" spans="1:11" ht="15.75" x14ac:dyDescent="0.25">
      <c r="H10" s="53">
        <f>H8+J8</f>
        <v>3322856.1130472068</v>
      </c>
      <c r="I10" s="54" t="str">
        <f t="shared" si="5"/>
        <v>33.23 Lakh</v>
      </c>
    </row>
    <row r="11" spans="1:11" ht="15.75" thickBot="1" x14ac:dyDescent="0.3"/>
    <row r="12" spans="1:11" ht="18.75" x14ac:dyDescent="0.3">
      <c r="A12" s="43"/>
      <c r="B12" s="100" t="s">
        <v>54</v>
      </c>
      <c r="C12" s="101"/>
      <c r="D12" s="101"/>
      <c r="E12" s="102"/>
      <c r="G12" s="43"/>
      <c r="H12" s="100" t="s">
        <v>53</v>
      </c>
      <c r="I12" s="101"/>
      <c r="J12" s="101"/>
      <c r="K12" s="102"/>
    </row>
    <row r="13" spans="1:11" ht="18.75" x14ac:dyDescent="0.25">
      <c r="A13" s="44"/>
      <c r="B13" s="51" t="s">
        <v>45</v>
      </c>
      <c r="C13" s="52"/>
      <c r="D13" s="51" t="s">
        <v>46</v>
      </c>
      <c r="E13" s="46"/>
      <c r="G13" s="44"/>
      <c r="H13" s="51" t="s">
        <v>45</v>
      </c>
      <c r="I13" s="52"/>
      <c r="J13" s="51" t="s">
        <v>46</v>
      </c>
      <c r="K13" s="46"/>
    </row>
    <row r="14" spans="1:11" ht="15.75" x14ac:dyDescent="0.25">
      <c r="A14" s="36" t="s">
        <v>51</v>
      </c>
      <c r="B14" s="47">
        <f>B15/B5</f>
        <v>0.66249999999999998</v>
      </c>
      <c r="C14" s="45"/>
      <c r="D14" s="47">
        <f>D15/B5</f>
        <v>0.33750000000000002</v>
      </c>
      <c r="E14" s="42"/>
      <c r="G14" s="36" t="s">
        <v>51</v>
      </c>
      <c r="H14" s="47">
        <f>H15/B5</f>
        <v>0.65500000000000003</v>
      </c>
      <c r="I14" s="45"/>
      <c r="J14" s="47">
        <f>J15/B5</f>
        <v>0.34499999999999997</v>
      </c>
      <c r="K14" s="42"/>
    </row>
    <row r="15" spans="1:11" x14ac:dyDescent="0.25">
      <c r="A15" s="36" t="s">
        <v>47</v>
      </c>
      <c r="B15" s="50">
        <f>B5-D15</f>
        <v>26500000</v>
      </c>
      <c r="C15" s="37" t="str">
        <f>IF(B15&gt;=10000000, TEXT(B15/10000000,"0.00") &amp; " Cr",
 IF(B15&gt;=100000, TEXT(B15/100000,"0.00") &amp; " Lakh",
 TEXT(B15,"#,##0")))</f>
        <v>2.65 Cr</v>
      </c>
      <c r="D15" s="50">
        <v>13500000</v>
      </c>
      <c r="E15" s="38" t="str">
        <f>IF(D15&gt;=10000000, TEXT(D15/10000000,"0.00") &amp; " Cr",
 IF(D15&gt;=100000, TEXT(D15/100000,"0.00") &amp; " Lakh",
 TEXT(D15,"#,##0")))</f>
        <v>1.35 Cr</v>
      </c>
      <c r="G15" s="36" t="s">
        <v>47</v>
      </c>
      <c r="H15" s="50">
        <f>B5-J15</f>
        <v>26200000</v>
      </c>
      <c r="I15" s="37" t="str">
        <f>IF(H15&gt;=10000000, TEXT(H15/10000000,"0.00") &amp; " Cr",
 IF(H15&gt;=100000, TEXT(H15/100000,"0.00") &amp; " Lakh",
 TEXT(H15,"#,##0")))</f>
        <v>2.62 Cr</v>
      </c>
      <c r="J15" s="50">
        <v>13800000</v>
      </c>
      <c r="K15" s="38" t="str">
        <f>IF(J15&gt;=10000000, TEXT(J15/10000000,"0.00") &amp; " Cr",
 IF(J15&gt;=100000, TEXT(J15/100000,"0.00") &amp; " Lakh",
 TEXT(J15,"#,##0")))</f>
        <v>1.38 Cr</v>
      </c>
    </row>
    <row r="16" spans="1:11" x14ac:dyDescent="0.25">
      <c r="A16" s="36" t="s">
        <v>48</v>
      </c>
      <c r="B16" s="49">
        <v>2506874.2416402521</v>
      </c>
      <c r="C16" s="37" t="str">
        <f t="shared" ref="C16" si="7">IF(B16&gt;=10000000, TEXT(B16/10000000,"0.00") &amp; " Cr",
 IF(B16&gt;=100000, TEXT(B16/100000,"0.00") &amp; " Lakh",
 TEXT(B16,"#,##0")))</f>
        <v>25.07 Lakh</v>
      </c>
      <c r="D16" s="49">
        <v>1189072.9675668483</v>
      </c>
      <c r="E16" s="38" t="str">
        <f t="shared" ref="E16:E18" si="8">IF(D16&gt;=10000000, TEXT(D16/10000000,"0.00") &amp; " Cr",
 IF(D16&gt;=100000, TEXT(D16/100000,"0.00") &amp; " Lakh",
 TEXT(D16,"#,##0")))</f>
        <v>11.89 Lakh</v>
      </c>
      <c r="G16" s="36" t="s">
        <v>48</v>
      </c>
      <c r="H16" s="49">
        <v>2478494.5332443248</v>
      </c>
      <c r="I16" s="37" t="str">
        <f t="shared" ref="I16" si="9">IF(H16&gt;=10000000, TEXT(H16/10000000,"0.00") &amp; " Cr",
 IF(H16&gt;=100000, TEXT(H16/100000,"0.00") &amp; " Lakh",
 TEXT(H16,"#,##0")))</f>
        <v>24.78 Lakh</v>
      </c>
      <c r="J16" s="49">
        <v>1189072.9675668483</v>
      </c>
      <c r="K16" s="38" t="str">
        <f t="shared" ref="K16:K18" si="10">IF(J16&gt;=10000000, TEXT(J16/10000000,"0.00") &amp; " Cr",
 IF(J16&gt;=100000, TEXT(J16/100000,"0.00") &amp; " Lakh",
 TEXT(J16,"#,##0")))</f>
        <v>11.89 Lakh</v>
      </c>
    </row>
    <row r="17" spans="1:11" x14ac:dyDescent="0.25">
      <c r="A17" s="36" t="s">
        <v>49</v>
      </c>
      <c r="B17" s="48">
        <v>76696.457748412984</v>
      </c>
      <c r="C17" s="37" t="str">
        <f t="shared" ref="C17" si="11">IF(B17&gt;=10000000, TEXT(B17/10000000,"0.00") &amp; " Cr",
 IF(B17&gt;=100000, TEXT(B17/100000,"0.00") &amp; " Lakh",
 TEXT(B17,"#,##0")))</f>
        <v>76,696</v>
      </c>
      <c r="D17" s="48">
        <v>0</v>
      </c>
      <c r="E17" s="38" t="str">
        <f t="shared" si="8"/>
        <v>0</v>
      </c>
      <c r="G17" s="36" t="s">
        <v>49</v>
      </c>
      <c r="H17" s="48">
        <v>323548.35997329745</v>
      </c>
      <c r="I17" s="37" t="str">
        <f t="shared" ref="I17" si="12">IF(H17&gt;=10000000, TEXT(H17/10000000,"0.00") &amp; " Cr",
 IF(H17&gt;=100000, TEXT(H17/100000,"0.00") &amp; " Lakh",
 TEXT(H17,"#,##0")))</f>
        <v>3.24 Lakh</v>
      </c>
      <c r="J17" s="48">
        <v>62324.521693583418</v>
      </c>
      <c r="K17" s="38" t="str">
        <f t="shared" si="10"/>
        <v>62,325</v>
      </c>
    </row>
    <row r="18" spans="1:11" ht="16.5" thickBot="1" x14ac:dyDescent="0.3">
      <c r="A18" s="39" t="s">
        <v>50</v>
      </c>
      <c r="B18" s="12">
        <f>B16-B17</f>
        <v>2430177.783891839</v>
      </c>
      <c r="C18" s="40" t="str">
        <f t="shared" ref="C18" si="13">IF(B18&gt;=10000000, TEXT(B18/10000000,"0.00") &amp; " Cr",
 IF(B18&gt;=100000, TEXT(B18/100000,"0.00") &amp; " Lakh",
 TEXT(B18,"#,##0")))</f>
        <v>24.30 Lakh</v>
      </c>
      <c r="D18" s="12">
        <f>D16-D17</f>
        <v>1189072.9675668483</v>
      </c>
      <c r="E18" s="41" t="str">
        <f t="shared" si="8"/>
        <v>11.89 Lakh</v>
      </c>
      <c r="G18" s="39" t="s">
        <v>50</v>
      </c>
      <c r="H18" s="12">
        <f>H16-H17</f>
        <v>2154946.1732710274</v>
      </c>
      <c r="I18" s="40" t="str">
        <f t="shared" ref="I18" si="14">IF(H18&gt;=10000000, TEXT(H18/10000000,"0.00") &amp; " Cr",
 IF(H18&gt;=100000, TEXT(H18/100000,"0.00") &amp; " Lakh",
 TEXT(H18,"#,##0")))</f>
        <v>21.55 Lakh</v>
      </c>
      <c r="J18" s="12">
        <f>J16-J17</f>
        <v>1126748.4458732649</v>
      </c>
      <c r="K18" s="41" t="str">
        <f t="shared" si="10"/>
        <v>11.27 Lakh</v>
      </c>
    </row>
    <row r="20" spans="1:11" ht="15.75" x14ac:dyDescent="0.25">
      <c r="B20" s="53">
        <f>B18+D18</f>
        <v>3619250.7514586872</v>
      </c>
      <c r="C20" s="54" t="str">
        <f t="shared" ref="C20" si="15">IF(B20&gt;=10000000, TEXT(B20/10000000,"0.00") &amp; " Cr",
 IF(B20&gt;=100000, TEXT(B20/100000,"0.00") &amp; " Lakh",
 TEXT(B20,"#,##0")))</f>
        <v>36.19 Lakh</v>
      </c>
      <c r="H20" s="53">
        <f>H18+J18</f>
        <v>3281694.6191442925</v>
      </c>
      <c r="I20" s="54" t="str">
        <f t="shared" ref="I20" si="16">IF(H20&gt;=10000000, TEXT(H20/10000000,"0.00") &amp; " Cr",
 IF(H20&gt;=100000, TEXT(H20/100000,"0.00") &amp; " Lakh",
 TEXT(H20,"#,##0")))</f>
        <v>32.82 Lakh</v>
      </c>
    </row>
  </sheetData>
  <mergeCells count="4">
    <mergeCell ref="B2:E2"/>
    <mergeCell ref="H2:K2"/>
    <mergeCell ref="B12:E12"/>
    <mergeCell ref="H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F3987-D617-42DA-BFBD-5D7602E8B666}">
  <dimension ref="A1:O29"/>
  <sheetViews>
    <sheetView topLeftCell="C3" workbookViewId="0">
      <selection activeCell="L17" sqref="L17"/>
    </sheetView>
  </sheetViews>
  <sheetFormatPr defaultRowHeight="15" x14ac:dyDescent="0.25"/>
  <cols>
    <col min="1" max="1" width="17.28515625" customWidth="1"/>
    <col min="2" max="2" width="17.5703125" customWidth="1"/>
    <col min="3" max="3" width="13" customWidth="1"/>
    <col min="4" max="4" width="16.5703125" customWidth="1"/>
    <col min="5" max="5" width="11.28515625" customWidth="1"/>
    <col min="6" max="6" width="16.5703125" customWidth="1"/>
    <col min="7" max="7" width="11.28515625" customWidth="1"/>
    <col min="9" max="9" width="17.28515625" customWidth="1"/>
    <col min="10" max="10" width="17.5703125" customWidth="1"/>
    <col min="11" max="11" width="13" customWidth="1"/>
    <col min="12" max="12" width="16.5703125" customWidth="1"/>
    <col min="13" max="13" width="11.28515625" customWidth="1"/>
    <col min="14" max="14" width="16.5703125" customWidth="1"/>
    <col min="15" max="15" width="11.28515625" customWidth="1"/>
  </cols>
  <sheetData>
    <row r="1" spans="1:15" ht="15.75" thickBot="1" x14ac:dyDescent="0.3"/>
    <row r="2" spans="1:15" ht="18.75" x14ac:dyDescent="0.3">
      <c r="A2" s="43"/>
      <c r="B2" s="100" t="s">
        <v>44</v>
      </c>
      <c r="C2" s="101"/>
      <c r="D2" s="101"/>
      <c r="E2" s="101"/>
      <c r="F2" s="101"/>
      <c r="G2" s="102"/>
      <c r="I2" s="43"/>
      <c r="J2" s="100" t="s">
        <v>52</v>
      </c>
      <c r="K2" s="101"/>
      <c r="L2" s="101"/>
      <c r="M2" s="101"/>
      <c r="N2" s="101"/>
      <c r="O2" s="102"/>
    </row>
    <row r="3" spans="1:15" ht="18.75" x14ac:dyDescent="0.25">
      <c r="A3" s="44"/>
      <c r="B3" s="51" t="s">
        <v>45</v>
      </c>
      <c r="C3" s="52"/>
      <c r="D3" s="51" t="s">
        <v>55</v>
      </c>
      <c r="E3" s="46"/>
      <c r="F3" s="51" t="s">
        <v>56</v>
      </c>
      <c r="G3" s="46"/>
      <c r="I3" s="44"/>
      <c r="J3" s="51" t="s">
        <v>45</v>
      </c>
      <c r="K3" s="52"/>
      <c r="L3" s="51" t="s">
        <v>55</v>
      </c>
      <c r="M3" s="46"/>
      <c r="N3" s="51" t="s">
        <v>56</v>
      </c>
      <c r="O3" s="46"/>
    </row>
    <row r="4" spans="1:15" ht="15.75" x14ac:dyDescent="0.25">
      <c r="A4" s="36" t="s">
        <v>51</v>
      </c>
      <c r="B4" s="47">
        <v>1</v>
      </c>
      <c r="C4" s="45"/>
      <c r="D4" s="47">
        <v>1</v>
      </c>
      <c r="E4" s="42"/>
      <c r="F4" s="47">
        <f>D4</f>
        <v>1</v>
      </c>
      <c r="G4" s="42"/>
      <c r="I4" s="36" t="s">
        <v>51</v>
      </c>
      <c r="J4" s="47">
        <v>0.5</v>
      </c>
      <c r="K4" s="45"/>
      <c r="L4" s="47">
        <v>0.25</v>
      </c>
      <c r="M4" s="42"/>
      <c r="N4" s="47">
        <f>L4</f>
        <v>0.25</v>
      </c>
      <c r="O4" s="42"/>
    </row>
    <row r="5" spans="1:15" x14ac:dyDescent="0.25">
      <c r="A5" s="36" t="s">
        <v>47</v>
      </c>
      <c r="B5" s="50">
        <v>65000000</v>
      </c>
      <c r="C5" s="37" t="str">
        <f>IF(B5&gt;=10000000, TEXT(B5/10000000,"0.00") &amp; " Cr",
 IF(B5&gt;=100000, TEXT(B5/100000,"0.00") &amp; " Lakh",
 TEXT(B5,"#,##0")))</f>
        <v>6.50 Cr</v>
      </c>
      <c r="D5" s="50">
        <f>$B$5*D4</f>
        <v>65000000</v>
      </c>
      <c r="E5" s="38" t="str">
        <f>IF(D5&gt;=10000000, TEXT(D5/10000000,"0.00") &amp; " Cr",
 IF(D5&gt;=100000, TEXT(D5/100000,"0.00") &amp; " Lakh",
 TEXT(D5,"#,##0")))</f>
        <v>6.50 Cr</v>
      </c>
      <c r="F5" s="50">
        <f>$B$5*F4</f>
        <v>65000000</v>
      </c>
      <c r="G5" s="38" t="str">
        <f>IF(F5&gt;=10000000, TEXT(F5/10000000,"0.00") &amp; " Cr",
 IF(F5&gt;=100000, TEXT(F5/100000,"0.00") &amp; " Lakh",
 TEXT(F5,"#,##0")))</f>
        <v>6.50 Cr</v>
      </c>
      <c r="I5" s="36" t="s">
        <v>47</v>
      </c>
      <c r="J5" s="50">
        <f>$B$5*J4</f>
        <v>32500000</v>
      </c>
      <c r="K5" s="37" t="str">
        <f>IF(J5&gt;=10000000, TEXT(J5/10000000,"0.00") &amp; " Cr",
 IF(J5&gt;=100000, TEXT(J5/100000,"0.00") &amp; " Lakh",
 TEXT(J5,"#,##0")))</f>
        <v>3.25 Cr</v>
      </c>
      <c r="L5" s="50">
        <f>$B$5*L4</f>
        <v>16250000</v>
      </c>
      <c r="M5" s="38" t="str">
        <f>IF(L5&gt;=10000000, TEXT(L5/10000000,"0.00") &amp; " Cr",
 IF(L5&gt;=100000, TEXT(L5/100000,"0.00") &amp; " Lakh",
 TEXT(L5,"#,##0")))</f>
        <v>1.63 Cr</v>
      </c>
      <c r="N5" s="50">
        <f>$B$5*N4</f>
        <v>16250000</v>
      </c>
      <c r="O5" s="38" t="str">
        <f>IF(N5&gt;=10000000, TEXT(N5/10000000,"0.00") &amp; " Cr",
 IF(N5&gt;=100000, TEXT(N5/100000,"0.00") &amp; " Lakh",
 TEXT(N5,"#,##0")))</f>
        <v>1.63 Cr</v>
      </c>
    </row>
    <row r="6" spans="1:15" x14ac:dyDescent="0.25">
      <c r="A6" s="36" t="s">
        <v>48</v>
      </c>
      <c r="B6" s="49">
        <v>5013831.2759399386</v>
      </c>
      <c r="C6" s="37" t="str">
        <f t="shared" ref="C6:G8" si="0">IF(B6&gt;=10000000, TEXT(B6/10000000,"0.00") &amp; " Cr",
 IF(B6&gt;=100000, TEXT(B6/100000,"0.00") &amp; " Lakh",
 TEXT(B6,"#,##0")))</f>
        <v>50.14 Lakh</v>
      </c>
      <c r="D6" s="49">
        <v>4670837.0337890815</v>
      </c>
      <c r="E6" s="38" t="str">
        <f t="shared" ref="E6:E8" si="1">IF(D6&gt;=10000000, TEXT(D6/10000000,"0.00") &amp; " Cr",
 IF(D6&gt;=100000, TEXT(D6/100000,"0.00") &amp; " Lakh",
 TEXT(D6,"#,##0")))</f>
        <v>46.71 Lakh</v>
      </c>
      <c r="F6" s="49">
        <f>D6</f>
        <v>4670837.0337890815</v>
      </c>
      <c r="G6" s="38" t="str">
        <f t="shared" si="0"/>
        <v>46.71 Lakh</v>
      </c>
      <c r="I6" s="36" t="s">
        <v>48</v>
      </c>
      <c r="J6" s="49">
        <v>2506915.6379699693</v>
      </c>
      <c r="K6" s="37" t="str">
        <f t="shared" ref="K6:K10" si="2">IF(J6&gt;=10000000, TEXT(J6/10000000,"0.00") &amp; " Cr",
 IF(J6&gt;=100000, TEXT(J6/100000,"0.00") &amp; " Lakh",
 TEXT(J6,"#,##0")))</f>
        <v>25.07 Lakh</v>
      </c>
      <c r="L6" s="49">
        <v>1167709.2584472704</v>
      </c>
      <c r="M6" s="38" t="str">
        <f t="shared" ref="M6:M8" si="3">IF(L6&gt;=10000000, TEXT(L6/10000000,"0.00") &amp; " Cr",
 IF(L6&gt;=100000, TEXT(L6/100000,"0.00") &amp; " Lakh",
 TEXT(L6,"#,##0")))</f>
        <v>11.68 Lakh</v>
      </c>
      <c r="N6" s="49">
        <f>L6</f>
        <v>1167709.2584472704</v>
      </c>
      <c r="O6" s="38" t="str">
        <f t="shared" ref="O6:O8" si="4">IF(N6&gt;=10000000, TEXT(N6/10000000,"0.00") &amp; " Cr",
 IF(N6&gt;=100000, TEXT(N6/100000,"0.00") &amp; " Lakh",
 TEXT(N6,"#,##0")))</f>
        <v>11.68 Lakh</v>
      </c>
    </row>
    <row r="7" spans="1:15" x14ac:dyDescent="0.25">
      <c r="A7" s="36" t="s">
        <v>49</v>
      </c>
      <c r="B7" s="48">
        <v>1084149.3827819815</v>
      </c>
      <c r="C7" s="37" t="str">
        <f t="shared" si="0"/>
        <v>10.84 Lakh</v>
      </c>
      <c r="D7" s="48">
        <v>981251.11013672443</v>
      </c>
      <c r="E7" s="38" t="str">
        <f t="shared" si="1"/>
        <v>9.81 Lakh</v>
      </c>
      <c r="F7" s="48">
        <f>D7</f>
        <v>981251.11013672443</v>
      </c>
      <c r="G7" s="38" t="str">
        <f t="shared" si="0"/>
        <v>9.81 Lakh</v>
      </c>
      <c r="I7" s="36" t="s">
        <v>49</v>
      </c>
      <c r="J7" s="48">
        <v>332074.6913909908</v>
      </c>
      <c r="K7" s="37" t="str">
        <f t="shared" si="2"/>
        <v>3.32 Lakh</v>
      </c>
      <c r="L7" s="48">
        <v>0</v>
      </c>
      <c r="M7" s="38" t="str">
        <f t="shared" si="3"/>
        <v>0</v>
      </c>
      <c r="N7" s="48">
        <f>L7</f>
        <v>0</v>
      </c>
      <c r="O7" s="38" t="str">
        <f t="shared" si="4"/>
        <v>0</v>
      </c>
    </row>
    <row r="8" spans="1:15" ht="16.5" thickBot="1" x14ac:dyDescent="0.3">
      <c r="A8" s="39" t="s">
        <v>50</v>
      </c>
      <c r="B8" s="12">
        <f>B6-B7</f>
        <v>3929681.8931579571</v>
      </c>
      <c r="C8" s="40" t="str">
        <f t="shared" si="0"/>
        <v>39.30 Lakh</v>
      </c>
      <c r="D8" s="12">
        <f>D6-D7</f>
        <v>3689585.923652357</v>
      </c>
      <c r="E8" s="41" t="str">
        <f t="shared" si="1"/>
        <v>36.90 Lakh</v>
      </c>
      <c r="F8" s="12">
        <f>F6-F7</f>
        <v>3689585.923652357</v>
      </c>
      <c r="G8" s="41" t="str">
        <f t="shared" si="0"/>
        <v>36.90 Lakh</v>
      </c>
      <c r="I8" s="39" t="s">
        <v>50</v>
      </c>
      <c r="J8" s="12">
        <f>J6-J7</f>
        <v>2174840.9465789786</v>
      </c>
      <c r="K8" s="40" t="str">
        <f t="shared" si="2"/>
        <v>21.75 Lakh</v>
      </c>
      <c r="L8" s="12">
        <f>L6-L7</f>
        <v>1167709.2584472704</v>
      </c>
      <c r="M8" s="41" t="str">
        <f t="shared" si="3"/>
        <v>11.68 Lakh</v>
      </c>
      <c r="N8" s="12">
        <f>N6-N7</f>
        <v>1167709.2584472704</v>
      </c>
      <c r="O8" s="41" t="str">
        <f t="shared" si="4"/>
        <v>11.68 Lakh</v>
      </c>
    </row>
    <row r="10" spans="1:15" ht="15.75" x14ac:dyDescent="0.25">
      <c r="J10" s="53">
        <f>J8+L8+N8</f>
        <v>4510259.4634735193</v>
      </c>
      <c r="K10" s="54" t="str">
        <f t="shared" si="2"/>
        <v>45.10 Lakh</v>
      </c>
    </row>
    <row r="11" spans="1:15" ht="15.75" thickBot="1" x14ac:dyDescent="0.3"/>
    <row r="12" spans="1:15" ht="18.75" x14ac:dyDescent="0.3">
      <c r="A12" s="43"/>
      <c r="B12" s="100" t="s">
        <v>54</v>
      </c>
      <c r="C12" s="101"/>
      <c r="D12" s="101"/>
      <c r="E12" s="101"/>
      <c r="F12" s="101"/>
      <c r="G12" s="102"/>
      <c r="I12" s="43"/>
      <c r="J12" s="100" t="s">
        <v>53</v>
      </c>
      <c r="K12" s="101"/>
      <c r="L12" s="101"/>
      <c r="M12" s="101"/>
      <c r="N12" s="101"/>
      <c r="O12" s="102"/>
    </row>
    <row r="13" spans="1:15" ht="18.75" x14ac:dyDescent="0.25">
      <c r="A13" s="44"/>
      <c r="B13" s="51" t="s">
        <v>45</v>
      </c>
      <c r="C13" s="52"/>
      <c r="D13" s="51" t="s">
        <v>55</v>
      </c>
      <c r="E13" s="46"/>
      <c r="F13" s="51" t="s">
        <v>56</v>
      </c>
      <c r="G13" s="46"/>
      <c r="I13" s="44"/>
      <c r="J13" s="51" t="s">
        <v>45</v>
      </c>
      <c r="K13" s="52"/>
      <c r="L13" s="51" t="s">
        <v>55</v>
      </c>
      <c r="M13" s="46"/>
      <c r="N13" s="51" t="s">
        <v>56</v>
      </c>
      <c r="O13" s="46"/>
    </row>
    <row r="14" spans="1:15" ht="15.75" x14ac:dyDescent="0.25">
      <c r="A14" s="36" t="s">
        <v>51</v>
      </c>
      <c r="B14" s="47">
        <f>100%-(D14+F14)</f>
        <v>0.48799999999999999</v>
      </c>
      <c r="C14" s="45"/>
      <c r="D14" s="47">
        <v>0.25600000000000001</v>
      </c>
      <c r="E14" s="42"/>
      <c r="F14" s="47">
        <f>D14</f>
        <v>0.25600000000000001</v>
      </c>
      <c r="G14" s="42"/>
      <c r="I14" s="36" t="s">
        <v>51</v>
      </c>
      <c r="J14" s="47">
        <f>100%-(L14+N14)</f>
        <v>0.23799999999999999</v>
      </c>
      <c r="K14" s="45"/>
      <c r="L14" s="47">
        <v>0.50600000000000001</v>
      </c>
      <c r="M14" s="42"/>
      <c r="N14" s="47">
        <v>0.25600000000000001</v>
      </c>
      <c r="O14" s="42"/>
    </row>
    <row r="15" spans="1:15" x14ac:dyDescent="0.25">
      <c r="A15" s="36" t="s">
        <v>47</v>
      </c>
      <c r="B15" s="50">
        <f>$B$5*B14</f>
        <v>31720000</v>
      </c>
      <c r="C15" s="37" t="str">
        <f>IF(B15&gt;=10000000, TEXT(B15/10000000,"0.00") &amp; " Cr",
 IF(B15&gt;=100000, TEXT(B15/100000,"0.00") &amp; " Lakh",
 TEXT(B15,"#,##0")))</f>
        <v>3.17 Cr</v>
      </c>
      <c r="D15" s="50">
        <f>$B$5*D14</f>
        <v>16640000</v>
      </c>
      <c r="E15" s="38" t="str">
        <f>IF(D15&gt;=10000000, TEXT(D15/10000000,"0.00") &amp; " Cr",
 IF(D15&gt;=100000, TEXT(D15/100000,"0.00") &amp; " Lakh",
 TEXT(D15,"#,##0")))</f>
        <v>1.66 Cr</v>
      </c>
      <c r="F15" s="50">
        <f>$B$5*F14</f>
        <v>16640000</v>
      </c>
      <c r="G15" s="38" t="str">
        <f>IF(F15&gt;=10000000, TEXT(F15/10000000,"0.00") &amp; " Cr",
 IF(F15&gt;=100000, TEXT(F15/100000,"0.00") &amp; " Lakh",
 TEXT(F15,"#,##0")))</f>
        <v>1.66 Cr</v>
      </c>
      <c r="I15" s="36" t="s">
        <v>47</v>
      </c>
      <c r="J15" s="50">
        <f>$B$5*J14</f>
        <v>15470000</v>
      </c>
      <c r="K15" s="37" t="str">
        <f>IF(J15&gt;=10000000, TEXT(J15/10000000,"0.00") &amp; " Cr",
 IF(J15&gt;=100000, TEXT(J15/100000,"0.00") &amp; " Lakh",
 TEXT(J15,"#,##0")))</f>
        <v>1.55 Cr</v>
      </c>
      <c r="L15" s="50">
        <f>$B$5*L14</f>
        <v>32890000</v>
      </c>
      <c r="M15" s="38" t="str">
        <f>IF(L15&gt;=10000000, TEXT(L15/10000000,"0.00") &amp; " Cr",
 IF(L15&gt;=100000, TEXT(L15/100000,"0.00") &amp; " Lakh",
 TEXT(L15,"#,##0")))</f>
        <v>3.29 Cr</v>
      </c>
      <c r="N15" s="50">
        <f>$B$5*N14</f>
        <v>16640000</v>
      </c>
      <c r="O15" s="38" t="str">
        <f>IF(N15&gt;=10000000, TEXT(N15/10000000,"0.00") &amp; " Cr",
 IF(N15&gt;=100000, TEXT(N15/100000,"0.00") &amp; " Lakh",
 TEXT(N15,"#,##0")))</f>
        <v>1.66 Cr</v>
      </c>
    </row>
    <row r="16" spans="1:15" x14ac:dyDescent="0.25">
      <c r="A16" s="36" t="s">
        <v>48</v>
      </c>
      <c r="B16" s="49">
        <v>2446749.66265869</v>
      </c>
      <c r="C16" s="37" t="str">
        <f t="shared" ref="C16:C18" si="5">IF(B16&gt;=10000000, TEXT(B16/10000000,"0.00") &amp; " Cr",
 IF(B16&gt;=100000, TEXT(B16/100000,"0.00") &amp; " Lakh",
 TEXT(B16,"#,##0")))</f>
        <v>24.47 Lakh</v>
      </c>
      <c r="D16" s="49">
        <v>1195734.2806500047</v>
      </c>
      <c r="E16" s="38" t="str">
        <f t="shared" ref="E16:E18" si="6">IF(D16&gt;=10000000, TEXT(D16/10000000,"0.00") &amp; " Cr",
 IF(D16&gt;=100000, TEXT(D16/100000,"0.00") &amp; " Lakh",
 TEXT(D16,"#,##0")))</f>
        <v>11.96 Lakh</v>
      </c>
      <c r="F16" s="49">
        <f>D16</f>
        <v>1195734.2806500047</v>
      </c>
      <c r="G16" s="38" t="str">
        <f t="shared" ref="G16:G18" si="7">IF(F16&gt;=10000000, TEXT(F16/10000000,"0.00") &amp; " Cr",
 IF(F16&gt;=100000, TEXT(F16/100000,"0.00") &amp; " Lakh",
 TEXT(F16,"#,##0")))</f>
        <v>11.96 Lakh</v>
      </c>
      <c r="I16" s="36" t="s">
        <v>48</v>
      </c>
      <c r="J16" s="49">
        <v>1193291.8436737054</v>
      </c>
      <c r="K16" s="37" t="str">
        <f t="shared" ref="K16:K18" si="8">IF(J16&gt;=10000000, TEXT(J16/10000000,"0.00") &amp; " Cr",
 IF(J16&gt;=100000, TEXT(J16/100000,"0.00") &amp; " Lakh",
 TEXT(J16,"#,##0")))</f>
        <v>11.93 Lakh</v>
      </c>
      <c r="L16" s="49">
        <v>2363443.5390972751</v>
      </c>
      <c r="M16" s="38" t="str">
        <f t="shared" ref="M16:M18" si="9">IF(L16&gt;=10000000, TEXT(L16/10000000,"0.00") &amp; " Cr",
 IF(L16&gt;=100000, TEXT(L16/100000,"0.00") &amp; " Lakh",
 TEXT(L16,"#,##0")))</f>
        <v>23.63 Lakh</v>
      </c>
      <c r="N16" s="49">
        <v>1195734.2806500047</v>
      </c>
      <c r="O16" s="38" t="str">
        <f t="shared" ref="O16:O18" si="10">IF(N16&gt;=10000000, TEXT(N16/10000000,"0.00") &amp; " Cr",
 IF(N16&gt;=100000, TEXT(N16/100000,"0.00") &amp; " Lakh",
 TEXT(N16,"#,##0")))</f>
        <v>11.96 Lakh</v>
      </c>
    </row>
    <row r="17" spans="1:15" x14ac:dyDescent="0.25">
      <c r="A17" s="36" t="s">
        <v>49</v>
      </c>
      <c r="B17" s="48">
        <v>314024.89879760699</v>
      </c>
      <c r="C17" s="37" t="str">
        <f t="shared" si="5"/>
        <v>3.14 Lakh</v>
      </c>
      <c r="D17" s="48">
        <v>0</v>
      </c>
      <c r="E17" s="38" t="str">
        <f t="shared" si="6"/>
        <v>0</v>
      </c>
      <c r="F17" s="48">
        <f>D17</f>
        <v>0</v>
      </c>
      <c r="G17" s="38" t="str">
        <f t="shared" si="7"/>
        <v>0</v>
      </c>
      <c r="I17" s="36" t="s">
        <v>49</v>
      </c>
      <c r="J17" s="48">
        <v>0</v>
      </c>
      <c r="K17" s="37" t="str">
        <f t="shared" si="8"/>
        <v>0</v>
      </c>
      <c r="L17" s="48">
        <v>290860.88477431878</v>
      </c>
      <c r="M17" s="38" t="str">
        <f t="shared" si="9"/>
        <v>2.91 Lakh</v>
      </c>
      <c r="N17" s="48">
        <v>0</v>
      </c>
      <c r="O17" s="38" t="str">
        <f t="shared" si="10"/>
        <v>0</v>
      </c>
    </row>
    <row r="18" spans="1:15" ht="16.5" thickBot="1" x14ac:dyDescent="0.3">
      <c r="A18" s="39" t="s">
        <v>50</v>
      </c>
      <c r="B18" s="12">
        <f>B16-B17</f>
        <v>2132724.763861083</v>
      </c>
      <c r="C18" s="40" t="str">
        <f t="shared" si="5"/>
        <v>21.33 Lakh</v>
      </c>
      <c r="D18" s="12">
        <f>D16-D17</f>
        <v>1195734.2806500047</v>
      </c>
      <c r="E18" s="41" t="str">
        <f t="shared" si="6"/>
        <v>11.96 Lakh</v>
      </c>
      <c r="F18" s="12">
        <f>F16-F17</f>
        <v>1195734.2806500047</v>
      </c>
      <c r="G18" s="41" t="str">
        <f t="shared" si="7"/>
        <v>11.96 Lakh</v>
      </c>
      <c r="I18" s="39" t="s">
        <v>50</v>
      </c>
      <c r="J18" s="12">
        <f>J16-J17</f>
        <v>1193291.8436737054</v>
      </c>
      <c r="K18" s="40" t="str">
        <f t="shared" si="8"/>
        <v>11.93 Lakh</v>
      </c>
      <c r="L18" s="12">
        <f>L16-L17</f>
        <v>2072582.6543229562</v>
      </c>
      <c r="M18" s="41" t="str">
        <f t="shared" si="9"/>
        <v>20.73 Lakh</v>
      </c>
      <c r="N18" s="12">
        <f>N16-N17</f>
        <v>1195734.2806500047</v>
      </c>
      <c r="O18" s="41" t="str">
        <f t="shared" si="10"/>
        <v>11.96 Lakh</v>
      </c>
    </row>
    <row r="20" spans="1:15" ht="15.75" x14ac:dyDescent="0.25">
      <c r="B20" s="53">
        <f>B18+D18+F18</f>
        <v>4524193.325161092</v>
      </c>
      <c r="C20" s="54" t="str">
        <f t="shared" ref="C20" si="11">IF(B20&gt;=10000000, TEXT(B20/10000000,"0.00") &amp; " Cr",
 IF(B20&gt;=100000, TEXT(B20/100000,"0.00") &amp; " Lakh",
 TEXT(B20,"#,##0")))</f>
        <v>45.24 Lakh</v>
      </c>
      <c r="J20" s="53">
        <f>J18+L18+N18</f>
        <v>4461608.7786466666</v>
      </c>
      <c r="K20" s="54" t="str">
        <f t="shared" ref="K20" si="12">IF(J20&gt;=10000000, TEXT(J20/10000000,"0.00") &amp; " Cr",
 IF(J20&gt;=100000, TEXT(J20/100000,"0.00") &amp; " Lakh",
 TEXT(J20,"#,##0")))</f>
        <v>44.62 Lakh</v>
      </c>
    </row>
    <row r="26" spans="1:15" ht="15.75" x14ac:dyDescent="0.25">
      <c r="A26">
        <v>25</v>
      </c>
      <c r="B26" s="53">
        <v>3539193.0979003971</v>
      </c>
      <c r="C26" s="54" t="str">
        <f t="shared" ref="C26" si="13">IF(B26&gt;=10000000, TEXT(B26/10000000,"0.00") &amp; " Cr",
 IF(B26&gt;=100000, TEXT(B26/100000,"0.00") &amp; " Lakh",
 TEXT(B26,"#,##0")))</f>
        <v>35.39 Lakh</v>
      </c>
    </row>
    <row r="27" spans="1:15" ht="15.75" x14ac:dyDescent="0.25">
      <c r="A27">
        <v>26</v>
      </c>
      <c r="B27" s="53">
        <v>3549343.4365625065</v>
      </c>
      <c r="C27" s="54" t="s">
        <v>66</v>
      </c>
    </row>
    <row r="28" spans="1:15" ht="15.75" x14ac:dyDescent="0.25">
      <c r="A28">
        <v>28</v>
      </c>
      <c r="B28" s="53">
        <v>3569644.1138867261</v>
      </c>
      <c r="C28" s="54" t="s">
        <v>67</v>
      </c>
    </row>
    <row r="29" spans="1:15" ht="15.75" x14ac:dyDescent="0.25">
      <c r="A29">
        <v>30</v>
      </c>
      <c r="B29" s="53">
        <v>3587080.6569946371</v>
      </c>
      <c r="C29" s="54" t="s">
        <v>68</v>
      </c>
    </row>
  </sheetData>
  <mergeCells count="4">
    <mergeCell ref="B2:G2"/>
    <mergeCell ref="J2:O2"/>
    <mergeCell ref="B12:G12"/>
    <mergeCell ref="J12:O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8854-E4B8-4A6F-B547-1B6E8C538853}">
  <dimension ref="A1:E21"/>
  <sheetViews>
    <sheetView workbookViewId="0">
      <selection activeCell="G20" sqref="G20"/>
    </sheetView>
  </sheetViews>
  <sheetFormatPr defaultRowHeight="15" x14ac:dyDescent="0.25"/>
  <cols>
    <col min="1" max="1" width="17.85546875" bestFit="1" customWidth="1"/>
    <col min="2" max="2" width="19.85546875" customWidth="1"/>
    <col min="3" max="3" width="17.28515625" customWidth="1"/>
    <col min="4" max="4" width="18.140625" customWidth="1"/>
    <col min="5" max="5" width="16.28515625" customWidth="1"/>
    <col min="6" max="6" width="16.5703125" customWidth="1"/>
    <col min="7" max="7" width="14.28515625" bestFit="1" customWidth="1"/>
    <col min="8" max="8" width="15.28515625" customWidth="1"/>
    <col min="9" max="9" width="17.42578125" customWidth="1"/>
  </cols>
  <sheetData>
    <row r="1" spans="1:5" x14ac:dyDescent="0.25">
      <c r="B1" t="s">
        <v>65</v>
      </c>
      <c r="C1" t="s">
        <v>64</v>
      </c>
      <c r="D1" t="s">
        <v>63</v>
      </c>
    </row>
    <row r="2" spans="1:5" x14ac:dyDescent="0.25">
      <c r="A2" t="s">
        <v>62</v>
      </c>
      <c r="B2" s="1">
        <v>1500000</v>
      </c>
      <c r="C2" s="1">
        <v>1500000</v>
      </c>
      <c r="D2" s="1">
        <f>C10</f>
        <v>1565621.8385009768</v>
      </c>
      <c r="E2" s="1">
        <f>D10</f>
        <v>1701377.8594497691</v>
      </c>
    </row>
    <row r="3" spans="1:5" x14ac:dyDescent="0.25">
      <c r="A3" t="s">
        <v>26</v>
      </c>
      <c r="B3" s="93">
        <v>6.7500000000000004E-2</v>
      </c>
      <c r="C3" s="93">
        <v>5.7500000000000002E-2</v>
      </c>
      <c r="D3" s="93">
        <v>7.7499999999999999E-2</v>
      </c>
      <c r="E3" s="93">
        <v>7.7499999999999999E-2</v>
      </c>
    </row>
    <row r="4" spans="1:5" x14ac:dyDescent="0.25">
      <c r="A4" t="s">
        <v>35</v>
      </c>
      <c r="B4" s="92">
        <v>44901</v>
      </c>
      <c r="C4" s="92">
        <v>44901</v>
      </c>
      <c r="D4" s="92">
        <f>C5</f>
        <v>45197</v>
      </c>
      <c r="E4" s="92">
        <f>D5</f>
        <v>45597</v>
      </c>
    </row>
    <row r="5" spans="1:5" x14ac:dyDescent="0.25">
      <c r="A5" t="s">
        <v>36</v>
      </c>
      <c r="B5" s="92">
        <v>45632</v>
      </c>
      <c r="C5" s="92">
        <v>45197</v>
      </c>
      <c r="D5" s="92">
        <f>D4+D6</f>
        <v>45597</v>
      </c>
      <c r="E5" s="92">
        <v>45632</v>
      </c>
    </row>
    <row r="6" spans="1:5" x14ac:dyDescent="0.25">
      <c r="A6" t="s">
        <v>61</v>
      </c>
      <c r="B6">
        <f>B5-B4</f>
        <v>731</v>
      </c>
      <c r="C6">
        <f>C5-C4</f>
        <v>296</v>
      </c>
      <c r="D6">
        <v>400</v>
      </c>
    </row>
    <row r="7" spans="1:5" x14ac:dyDescent="0.25">
      <c r="A7" t="s">
        <v>60</v>
      </c>
      <c r="B7">
        <f>DATEDIF(B4,B5,"m")</f>
        <v>24</v>
      </c>
      <c r="C7">
        <f>DATEDIF(C4,C5,"m")</f>
        <v>9</v>
      </c>
      <c r="D7">
        <f>DATEDIF(D4,D5,"m")</f>
        <v>13</v>
      </c>
      <c r="E7">
        <f>DATEDIF(E4,E5,"m")</f>
        <v>1</v>
      </c>
    </row>
    <row r="8" spans="1:5" x14ac:dyDescent="0.25">
      <c r="A8" t="s">
        <v>59</v>
      </c>
      <c r="B8">
        <v>4</v>
      </c>
      <c r="C8">
        <v>4</v>
      </c>
      <c r="D8">
        <v>4</v>
      </c>
      <c r="E8">
        <v>4</v>
      </c>
    </row>
    <row r="9" spans="1:5" x14ac:dyDescent="0.25">
      <c r="A9" t="s">
        <v>58</v>
      </c>
      <c r="B9">
        <f>B7/(12/B8)</f>
        <v>8</v>
      </c>
      <c r="C9">
        <f>C7/(12/C8)</f>
        <v>3</v>
      </c>
      <c r="D9">
        <f>D7/(12/D8)</f>
        <v>4.333333333333333</v>
      </c>
      <c r="E9">
        <f>E7/(12/E8)</f>
        <v>0.33333333333333331</v>
      </c>
    </row>
    <row r="10" spans="1:5" x14ac:dyDescent="0.25">
      <c r="A10" t="s">
        <v>57</v>
      </c>
      <c r="B10" s="1">
        <f>B2*((1+B3/B8)^(B9))</f>
        <v>1714872.4420485601</v>
      </c>
      <c r="C10" s="1">
        <f>C2*((1+C3/C8)^(C9))</f>
        <v>1565621.8385009768</v>
      </c>
      <c r="D10" s="1">
        <f>D2*((1+D3/D8)^(D9))</f>
        <v>1701377.8594497691</v>
      </c>
      <c r="E10" s="1">
        <f>E2*((1+E3/E8)^(E9))</f>
        <v>1712295.7143299736</v>
      </c>
    </row>
    <row r="12" spans="1:5" x14ac:dyDescent="0.25">
      <c r="D12" s="1">
        <f>D10-B10</f>
        <v>-13494.582598790992</v>
      </c>
      <c r="E12" s="1">
        <f>E10-B10</f>
        <v>-2576.7277185865678</v>
      </c>
    </row>
    <row r="13" spans="1:5" x14ac:dyDescent="0.25">
      <c r="C13" s="1"/>
    </row>
    <row r="16" spans="1:5" ht="15.75" x14ac:dyDescent="0.25">
      <c r="B16" s="60"/>
    </row>
    <row r="17" spans="2:4" x14ac:dyDescent="0.25">
      <c r="B17" s="91"/>
      <c r="D17" s="90"/>
    </row>
    <row r="18" spans="2:4" x14ac:dyDescent="0.25">
      <c r="B18" s="91"/>
      <c r="D18" s="90"/>
    </row>
    <row r="19" spans="2:4" ht="18" x14ac:dyDescent="0.25">
      <c r="B19" s="1"/>
      <c r="C19" s="89"/>
      <c r="D19" s="4"/>
    </row>
    <row r="20" spans="2:4" x14ac:dyDescent="0.25">
      <c r="B20" s="1"/>
      <c r="D20" s="4"/>
    </row>
    <row r="21" spans="2:4" x14ac:dyDescent="0.25">
      <c r="C2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FEJSONBlob xmlns="http://schemas.advancedformulaenvironment.officeapps.live.com/afejsonblob/1.0">ewAiAHMAYwBoAGUAbQBhACIAOgAiAGgAdAB0AHAAOgAvAC8AcwBjAGgAZQBtAGEAcwAuAGEAZAB2AGEAbgBjAGUAZABmAG8AcgBtAHUAbABhAGUAbgB2AGkAcgBvAG4AbQBlAG4AdAAuAG8AZgBmAGkAYwBlAGEAcABwAHMALgBsAGkAdgBlAC4AYwBvAG0ALwBhAGYAZQBwAHIAbwBqAGUAYwB0AHMALwAwAC4AMgAiACwAIgBmAGkAbABlAHMAIgA6AFsAewAiAHAAYQB0AGgAIgA6ACIALwBwAHIAbwBqAGUAYwB0AHMALwBXAG8AcgBrAGIAbwBvAGsAIgAsACIAdABlAHgAdAAiADoAIgAvAC8AIAAtAC0ALQAgAFcAbwByAGsAYgBvAG8AawAgAG0AbwBkAHUAbABlACAALQAtAC0AXABuAC8ALwAgAEEAIABmAGkAbABlACAAbwBmACAAbgBhAG0AZQAgAGQAZQBmAGkAbgBpAHQAaQBvAG4AcwAgAG8AZgAgAHQAaABlACAAZgBvAHIAbQA6AFwAbgAvAC8AIAAgACAAIABuAGEAbQBlACAAPQAgAGQAZQBmAGkAbgBpAHQAaQBvAG4AOwBcAG4AIgB9AF0ALAAiAHAAcgBvAGoAZQBjAHQATgBhAG0AZQBzACIAOgBbAF0ALAAiAGwAbwBjAGEAbABlACIAOgB7ACIAbABpAHMAdABTAGUAcABhAHIAYQB0AG8AcgAiADoAIgAsACIALAAiAHIAbwB3AFMAZQBwAGEAcgBhAHQAbwByACIAOgAiADsAIgAsACIAYwBvAGwAdQBtAG4AUwBlAHAAYQByAGEAdABvAHIAIgA6ACIALAAiACwAIgB0AGgAbwB1AHMAYQBuAGQAcwBTAGUAcABhAHIAYQB0AG8AcgAiADoAIgAsACIALAAiAHQAaABvAHUAcwBhAG4AZABzAFAAbwBzAGkAdABpAG8AbgBzACIAOgBbADMALAAyAF0ALAAiAGQAZQBjAGkAbQBhAGwAUwBlAHAAYQByAGEAdABvAHIAIgA6ACIALgAiACwAIgBkAGEAdABlAE8AcgBkAGUAcgAiADoAIgBEAE0AWQAiACwAIgBjAHUAcgByAGUAbgBjAHkAUwB5AG0AYgBvAGwAIgA6ACIAuSAiACwAIgBpAHMAQwB1AHIAcgBlAG4AYwB5AFMAeQBtAGIAbwBsAEwAZQBhAGQAIgA6AHQAcgB1AGUALAAiAGkAcwBDAHUAcgByAGUAbgBjAHkAUwBlAHAAQgB5AFMAcABhAGMAZQAiADoAdAByAHUAZQAsACIAcgBvAHcATABlAHQAdABlAHIAIgA6ACIAUgAiACwAIgBjAG8AbAB1AG0AbgBMAGUAdAB0AGUAcgAiADoAIgBDACIALAAiAHIAYwBMAGUAZgB0AEIAcgBhAGMAawBlAHQAIgA6ACIAWwAiACwAIgByAGMAUgBpAGcAaAB0AEIAcgBhAGMAawBlAHQAIgA6ACIAXQAiACwAIgBzAHQAYQB0AGUAbQBlAG4AdABTAGUAcABhAHIAYQB0AG8AcgAiADoAIgA7ACIALAAiAGwAbwBjAGEAbABlAE4AYQBtAGUAIgA6ACIAZQBuAC0AdQBzACIAfQB9AA==</AFEJSONBlob>
</file>

<file path=customXml/itemProps1.xml><?xml version="1.0" encoding="utf-8"?>
<ds:datastoreItem xmlns:ds="http://schemas.openxmlformats.org/officeDocument/2006/customXml" ds:itemID="{BC84815B-F75A-40EC-A810-02CFEB581A81}">
  <ds:schemaRefs>
    <ds:schemaRef ds:uri="http://schemas.advancedformulaenvironment.officeapps.live.com/afejsonblob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Tax Calculation</vt:lpstr>
      <vt:lpstr>FD</vt:lpstr>
      <vt:lpstr>Investment Scenarios</vt:lpstr>
      <vt:lpstr>Investment Scenarios (2)</vt:lpstr>
      <vt:lpstr>FD Break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Kundu</dc:creator>
  <cp:lastModifiedBy>Siddhant Kundu</cp:lastModifiedBy>
  <dcterms:created xsi:type="dcterms:W3CDTF">2015-06-05T18:17:20Z</dcterms:created>
  <dcterms:modified xsi:type="dcterms:W3CDTF">2025-07-04T15:30:37Z</dcterms:modified>
</cp:coreProperties>
</file>