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Copy of Datasheet" sheetId="2" r:id="rId5"/>
    <sheet state="visible" name="Year vs Reliability" sheetId="3" r:id="rId6"/>
    <sheet state="visible" name="Standard Balance curves" sheetId="4" r:id="rId7"/>
    <sheet state="visible" name="Hydrogen Balance Curves" sheetId="5" r:id="rId8"/>
    <sheet state="visible" name="Max" sheetId="6" r:id="rId9"/>
  </sheets>
  <definedNames>
    <definedName hidden="1" localSheetId="0" name="_xlnm._FilterDatabase">Datasheet!$A$1:$AG$657</definedName>
    <definedName hidden="1" localSheetId="5" name="_xlnm._FilterDatabase">Max!$A$1:$AC$1000</definedName>
    <definedName hidden="1" localSheetId="0" name="Z_13844019_9ED9_4FD1_B1E0_423230C1E434_.wvu.FilterData">Datasheet!$A$1:$AE$657</definedName>
    <definedName hidden="1" localSheetId="1" name="Z_13844019_9ED9_4FD1_B1E0_423230C1E434_.wvu.FilterData">'Copy of Datasheet'!$A$1:$AK$577</definedName>
    <definedName hidden="1" localSheetId="0" name="Z_9DB68C93_84DC_4985_B22F_B6683FB4F2A1_.wvu.FilterData">Datasheet!$A$1:$AE$657</definedName>
    <definedName hidden="1" localSheetId="1" name="Z_9DB68C93_84DC_4985_B22F_B6683FB4F2A1_.wvu.FilterData">'Copy of Datasheet'!$A$1:$AK$577</definedName>
  </definedNames>
  <calcPr/>
  <customWorkbookViews>
    <customWorkbookView activeSheetId="0" maximized="1" windowHeight="0" windowWidth="0" guid="{13844019-9ED9-4FD1-B1E0-423230C1E434}" name="Filter 2"/>
    <customWorkbookView activeSheetId="0" maximized="1" windowHeight="0" windowWidth="0" guid="{9DB68C93-84DC-4985-B22F-B6683FB4F2A1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526">
      <text>
        <t xml:space="preserve">Excluding Ablator
	-Capkirk</t>
      </text>
    </comment>
    <comment authorId="0" ref="S92">
      <text>
        <t xml:space="preserve">overridden for balance
	-Capkirk</t>
      </text>
    </comment>
    <comment authorId="0" ref="K525">
      <text>
        <t xml:space="preserve">Excluding ablator
	-Capkirk</t>
      </text>
    </comment>
    <comment authorId="0" ref="S548">
      <text>
        <t xml:space="preserve">Overridden to account for lack of pump mult
	-Capkirk</t>
      </text>
    </comment>
    <comment authorId="0" ref="S625">
      <text>
        <t xml:space="preserve">Overridden to compensate for lack of Pump mult on XLR11
	-Capkirk</t>
      </text>
    </comment>
    <comment authorId="0" ref="S93">
      <text>
        <t xml:space="preserve">Overridden for balance
	-Capkirk</t>
      </text>
    </comment>
    <comment authorId="0" ref="S94">
      <text>
        <t xml:space="preserve">Overridden for balance
	-Capkirk</t>
      </text>
    </comment>
    <comment authorId="0" ref="S97">
      <text>
        <t xml:space="preserve">overridden for balance
	-Capkirk</t>
      </text>
    </comment>
    <comment authorId="0" ref="S53">
      <text>
        <t xml:space="preserve">Overridden because the formula breaks at this size
	-Capkirk</t>
      </text>
    </comment>
    <comment authorId="0" ref="S546">
      <text>
        <t xml:space="preserve">Overridden to compensate for lack of pump mult
	-Capkirk</t>
      </text>
    </comment>
    <comment authorId="0" ref="S91">
      <text>
        <t xml:space="preserve">Overridden for balance
	-Capkirk</t>
      </text>
    </comment>
    <comment authorId="0" ref="K527">
      <text>
        <t xml:space="preserve">Excluding Ablator
	-Capkirk</t>
      </text>
    </comment>
    <comment authorId="0" ref="S96">
      <text>
        <t xml:space="preserve">overridden for balance
	-Capkirk</t>
      </text>
    </comment>
    <comment authorId="0" ref="S95">
      <text>
        <t xml:space="preserve">overridden for balance
	-Capkirk</t>
      </text>
    </comment>
    <comment authorId="0" ref="S547">
      <text>
        <t xml:space="preserve">Overridden to account for lack of pump mult
	-Capkirk</t>
      </text>
    </comment>
    <comment authorId="0" ref="S626">
      <text>
        <t xml:space="preserve">Overridden to compensate for lack of Pump mult on XLR11
	-Capkirk</t>
      </text>
    </comment>
    <comment authorId="0" ref="S39">
      <text>
        <t xml:space="preserve">Overridden because the formula breaks at this size
	-Capkirk</t>
      </text>
    </comment>
    <comment authorId="0" ref="S623">
      <text>
        <t xml:space="preserve">Overridden to compensate for lack of Pump mult on XLR11
	-Capkirk</t>
      </text>
    </comment>
    <comment authorId="0" ref="S624">
      <text>
        <t xml:space="preserve">Overridden to compensate for lack of Pump mult on XLR11
	-Capkirk</t>
      </text>
    </comment>
  </commentList>
</comments>
</file>

<file path=xl/sharedStrings.xml><?xml version="1.0" encoding="utf-8"?>
<sst xmlns="http://schemas.openxmlformats.org/spreadsheetml/2006/main" count="4309" uniqueCount="1103">
  <si>
    <t>Config</t>
  </si>
  <si>
    <t>Type</t>
  </si>
  <si>
    <t>Cost</t>
  </si>
  <si>
    <t>Year</t>
  </si>
  <si>
    <t>Hydrogen</t>
  </si>
  <si>
    <t>Pumpfed</t>
  </si>
  <si>
    <t>Solid</t>
  </si>
  <si>
    <t>Upper Stage</t>
  </si>
  <si>
    <t>Deep Throttle</t>
  </si>
  <si>
    <t>Nuclear</t>
  </si>
  <si>
    <t>Dry Mass</t>
  </si>
  <si>
    <t>Vac Thrust</t>
  </si>
  <si>
    <t>Vac ISP</t>
  </si>
  <si>
    <t>Chamber Pressure</t>
  </si>
  <si>
    <t>Ignition Reliability</t>
  </si>
  <si>
    <t>Cycle Reliability</t>
  </si>
  <si>
    <t>T/W</t>
  </si>
  <si>
    <t>Cost/kN</t>
  </si>
  <si>
    <t>Integration Mult</t>
  </si>
  <si>
    <t>Final Cost (NK)</t>
  </si>
  <si>
    <t>Delta Max</t>
  </si>
  <si>
    <t>Mass</t>
  </si>
  <si>
    <t>Isp</t>
  </si>
  <si>
    <t>Pc</t>
  </si>
  <si>
    <t>Thrttle/NTR</t>
  </si>
  <si>
    <t>Reliability</t>
  </si>
  <si>
    <t>CfgCost</t>
  </si>
  <si>
    <t>ConfigType</t>
  </si>
  <si>
    <t>partcost</t>
  </si>
  <si>
    <t>configcost</t>
  </si>
  <si>
    <t>subconf</t>
  </si>
  <si>
    <t>help:cname</t>
  </si>
  <si>
    <t>help:sub</t>
  </si>
  <si>
    <t>15D13</t>
  </si>
  <si>
    <t>11D423</t>
  </si>
  <si>
    <t>5D22</t>
  </si>
  <si>
    <t>A-4</t>
  </si>
  <si>
    <t>A-9</t>
  </si>
  <si>
    <t>A-1</t>
  </si>
  <si>
    <t>A1</t>
  </si>
  <si>
    <t>A-3A</t>
  </si>
  <si>
    <t>A3</t>
  </si>
  <si>
    <t>A-3B</t>
  </si>
  <si>
    <t>Aeon1-Vac</t>
  </si>
  <si>
    <t>Aeon1</t>
  </si>
  <si>
    <t>Aeon1-SL</t>
  </si>
  <si>
    <t>WAC-Corporal</t>
  </si>
  <si>
    <t>Aerobee</t>
  </si>
  <si>
    <t>XASR-1</t>
  </si>
  <si>
    <t>XASR-2</t>
  </si>
  <si>
    <t>AJ10-27</t>
  </si>
  <si>
    <t>Aestus</t>
  </si>
  <si>
    <t>Aestus-II</t>
  </si>
  <si>
    <t>Model117</t>
  </si>
  <si>
    <t>Agena</t>
  </si>
  <si>
    <t>XLR81-BA-1</t>
  </si>
  <si>
    <t>XLR81-BA-5</t>
  </si>
  <si>
    <t>XLR81-BA-3</t>
  </si>
  <si>
    <t>XLR81-BA-7</t>
  </si>
  <si>
    <t>XLR81-BA-11</t>
  </si>
  <si>
    <t>Model8096-39</t>
  </si>
  <si>
    <t>XLR81-BA-13</t>
  </si>
  <si>
    <t>XLR81-LF2-SPS</t>
  </si>
  <si>
    <t>Model8096A</t>
  </si>
  <si>
    <t>Model8096C</t>
  </si>
  <si>
    <t>Model8096L</t>
  </si>
  <si>
    <t>Agena-2000</t>
  </si>
  <si>
    <t>Model8250</t>
  </si>
  <si>
    <t>Agena SPS</t>
  </si>
  <si>
    <t>ISPS</t>
  </si>
  <si>
    <t>ISPS-HDA</t>
  </si>
  <si>
    <t>AJ10-137</t>
  </si>
  <si>
    <t>AJ10_137</t>
  </si>
  <si>
    <t>AJ10-190</t>
  </si>
  <si>
    <t>AJ10_190</t>
  </si>
  <si>
    <t>AJ10-138</t>
  </si>
  <si>
    <t>AJ10_Adv</t>
  </si>
  <si>
    <t>AJ10-133-Hylas</t>
  </si>
  <si>
    <t>AJ10-133-LH</t>
  </si>
  <si>
    <t>AJ10-118F</t>
  </si>
  <si>
    <t>AJ10-138A</t>
  </si>
  <si>
    <t>AJ10-118K</t>
  </si>
  <si>
    <t>AJ10-37</t>
  </si>
  <si>
    <t>AJ10_Early</t>
  </si>
  <si>
    <t>AJ10-42</t>
  </si>
  <si>
    <t>AJ10-101A</t>
  </si>
  <si>
    <t>AJ10-142</t>
  </si>
  <si>
    <t>AJ10-118D</t>
  </si>
  <si>
    <t>AJ10-118</t>
  </si>
  <si>
    <t>AJ10-104</t>
  </si>
  <si>
    <t>AJ10_Mid</t>
  </si>
  <si>
    <t>AJ10-118E</t>
  </si>
  <si>
    <t>AJ10-153</t>
  </si>
  <si>
    <t>AJ10_Transtar</t>
  </si>
  <si>
    <t>AJ10-151-OMS</t>
  </si>
  <si>
    <t>AJ10-156</t>
  </si>
  <si>
    <t>AJ10-154</t>
  </si>
  <si>
    <t>AJ1200</t>
  </si>
  <si>
    <t>ALCE</t>
  </si>
  <si>
    <t>AMBR-890N</t>
  </si>
  <si>
    <t>AMBR</t>
  </si>
  <si>
    <t>AMBR-623N</t>
  </si>
  <si>
    <t>AR-1</t>
  </si>
  <si>
    <t>AR1</t>
  </si>
  <si>
    <t>XLR42-NA-2</t>
  </si>
  <si>
    <t>AR2</t>
  </si>
  <si>
    <t>AR-2</t>
  </si>
  <si>
    <t>LR121-NA-1</t>
  </si>
  <si>
    <t>AR-22</t>
  </si>
  <si>
    <t>AR22</t>
  </si>
  <si>
    <t>AstrisII</t>
  </si>
  <si>
    <t>Astris</t>
  </si>
  <si>
    <t>AstrisI</t>
  </si>
  <si>
    <t>ATCRE</t>
  </si>
  <si>
    <t>ATCRE-BlockII</t>
  </si>
  <si>
    <t>BE3</t>
  </si>
  <si>
    <t>BE-3U</t>
  </si>
  <si>
    <t>BE3U</t>
  </si>
  <si>
    <t>BE-4</t>
  </si>
  <si>
    <t>BE4</t>
  </si>
  <si>
    <t>BNTR</t>
  </si>
  <si>
    <t>BNTR25k</t>
  </si>
  <si>
    <t>C-1</t>
  </si>
  <si>
    <t>C1</t>
  </si>
  <si>
    <t>COBRA</t>
  </si>
  <si>
    <t>COBRAH</t>
  </si>
  <si>
    <t>DFMMHPE-1</t>
  </si>
  <si>
    <t>DFMMHPE</t>
  </si>
  <si>
    <t>DFMMHPE-2</t>
  </si>
  <si>
    <t>E-1</t>
  </si>
  <si>
    <t>E1</t>
  </si>
  <si>
    <t>E-1-468k</t>
  </si>
  <si>
    <t>E-1-500k</t>
  </si>
  <si>
    <t>E-1-Upgrade</t>
  </si>
  <si>
    <t>E-1-575k</t>
  </si>
  <si>
    <t>E-1-Upgrade2</t>
  </si>
  <si>
    <t>E-1A_KS</t>
  </si>
  <si>
    <t>F-1A_ETS</t>
  </si>
  <si>
    <t>F-1-1.5M</t>
  </si>
  <si>
    <t>F1</t>
  </si>
  <si>
    <t>F-1-1.52M</t>
  </si>
  <si>
    <t>F-1A</t>
  </si>
  <si>
    <t>F-1B</t>
  </si>
  <si>
    <t>F1B</t>
  </si>
  <si>
    <t>G-1</t>
  </si>
  <si>
    <t>G1</t>
  </si>
  <si>
    <t>G-1A</t>
  </si>
  <si>
    <t>Gamma-2</t>
  </si>
  <si>
    <t>Gamma2</t>
  </si>
  <si>
    <t>Larch-2</t>
  </si>
  <si>
    <t>Gamma-201</t>
  </si>
  <si>
    <t>Gamma301</t>
  </si>
  <si>
    <t>Gamma-301</t>
  </si>
  <si>
    <t>Larch-4</t>
  </si>
  <si>
    <t>Gamma-8</t>
  </si>
  <si>
    <t>Gamma8</t>
  </si>
  <si>
    <t>Larch-8</t>
  </si>
  <si>
    <t>H-1-165K</t>
  </si>
  <si>
    <t>H1</t>
  </si>
  <si>
    <t>H-1-188K</t>
  </si>
  <si>
    <t>H-1-200K</t>
  </si>
  <si>
    <t>H-2-250K</t>
  </si>
  <si>
    <t>H-1-205K</t>
  </si>
  <si>
    <t>RS-27</t>
  </si>
  <si>
    <t>H-2-300K</t>
  </si>
  <si>
    <t>H-1-250K</t>
  </si>
  <si>
    <t>RS-27A</t>
  </si>
  <si>
    <t>HG-3-SL</t>
  </si>
  <si>
    <t>HG3</t>
  </si>
  <si>
    <t>HG-3</t>
  </si>
  <si>
    <t>HG-3A-SL</t>
  </si>
  <si>
    <t>HG-3A</t>
  </si>
  <si>
    <t>HG-3B-SL-2</t>
  </si>
  <si>
    <t>HG-3B-2</t>
  </si>
  <si>
    <t>HG-3B-SL</t>
  </si>
  <si>
    <t>HG-3B</t>
  </si>
  <si>
    <t>HM-7</t>
  </si>
  <si>
    <t>HM7</t>
  </si>
  <si>
    <t>HM-7B</t>
  </si>
  <si>
    <t>HM-7B+</t>
  </si>
  <si>
    <t>HM-7B++</t>
  </si>
  <si>
    <t>INsTAR</t>
  </si>
  <si>
    <t>ISE-100</t>
  </si>
  <si>
    <t>ISE100</t>
  </si>
  <si>
    <t>J-2-200K</t>
  </si>
  <si>
    <t>J2</t>
  </si>
  <si>
    <t>J-2-200K$EngineConditioningKit</t>
  </si>
  <si>
    <t>J-2-225K</t>
  </si>
  <si>
    <t>J-2-225K$EngineConditioningKit</t>
  </si>
  <si>
    <t>J-2-230K</t>
  </si>
  <si>
    <t>J-2-230K$EngineConditioningKit</t>
  </si>
  <si>
    <t>J-2S</t>
  </si>
  <si>
    <t>J-2T-200k</t>
  </si>
  <si>
    <t>J2T</t>
  </si>
  <si>
    <t>J-2T-250K</t>
  </si>
  <si>
    <t>J-2X</t>
  </si>
  <si>
    <t>J2X</t>
  </si>
  <si>
    <t>Juno45k-BI</t>
  </si>
  <si>
    <t>Juno45k</t>
  </si>
  <si>
    <t>Juno45k-BII</t>
  </si>
  <si>
    <t>Juno6k-BI</t>
  </si>
  <si>
    <t>Juno6k</t>
  </si>
  <si>
    <t>Juno6k-BII</t>
  </si>
  <si>
    <t>Kestrel</t>
  </si>
  <si>
    <t>Kestrel-2</t>
  </si>
  <si>
    <t>Kestrel-1B</t>
  </si>
  <si>
    <t>Kestrel_1B</t>
  </si>
  <si>
    <t>KIWIA24</t>
  </si>
  <si>
    <t>KIWIB48</t>
  </si>
  <si>
    <t>KRD-442</t>
  </si>
  <si>
    <t>KRD442</t>
  </si>
  <si>
    <t>KRD-61</t>
  </si>
  <si>
    <t>KRD61</t>
  </si>
  <si>
    <t>KRD-79</t>
  </si>
  <si>
    <t>KRD79</t>
  </si>
  <si>
    <t>S5_60</t>
  </si>
  <si>
    <t>KTDU35</t>
  </si>
  <si>
    <t>S5_35</t>
  </si>
  <si>
    <t>KTDU-416</t>
  </si>
  <si>
    <t>KTDU416</t>
  </si>
  <si>
    <t>11D417</t>
  </si>
  <si>
    <t>KTDU417</t>
  </si>
  <si>
    <t>11D417B</t>
  </si>
  <si>
    <t>KTDU-425</t>
  </si>
  <si>
    <t>KTDU425A</t>
  </si>
  <si>
    <t>KTDU-425A</t>
  </si>
  <si>
    <t>KTDU-5A</t>
  </si>
  <si>
    <t>KTDU5A</t>
  </si>
  <si>
    <t>RD-56</t>
  </si>
  <si>
    <t>KVD1</t>
  </si>
  <si>
    <t>KVD-1</t>
  </si>
  <si>
    <t>CE-7.5</t>
  </si>
  <si>
    <t>LE-3</t>
  </si>
  <si>
    <t>LE3</t>
  </si>
  <si>
    <t>LE-5</t>
  </si>
  <si>
    <t>LE5</t>
  </si>
  <si>
    <t>LE-5A</t>
  </si>
  <si>
    <t>LE-5B</t>
  </si>
  <si>
    <t>LE-5B-2</t>
  </si>
  <si>
    <t>LE-5B-3</t>
  </si>
  <si>
    <t>LE-7</t>
  </si>
  <si>
    <t>LE7</t>
  </si>
  <si>
    <t>LE-7A</t>
  </si>
  <si>
    <t>LE-7A-2</t>
  </si>
  <si>
    <t>LE-9</t>
  </si>
  <si>
    <t>LE9</t>
  </si>
  <si>
    <t>LEROS-1b</t>
  </si>
  <si>
    <t>LEROS1b</t>
  </si>
  <si>
    <t>LEROS-1c</t>
  </si>
  <si>
    <t>LEROS-2b</t>
  </si>
  <si>
    <t>LEROS-4</t>
  </si>
  <si>
    <t>LEROS4</t>
  </si>
  <si>
    <t>LMAE</t>
  </si>
  <si>
    <t>RS-18</t>
  </si>
  <si>
    <t>LMDE-H</t>
  </si>
  <si>
    <t>LMDE</t>
  </si>
  <si>
    <t>LMDE-J</t>
  </si>
  <si>
    <t>TR-201</t>
  </si>
  <si>
    <t>LPNTR-3200HP</t>
  </si>
  <si>
    <t>LPNTR</t>
  </si>
  <si>
    <t>LPNTR-3600HP</t>
  </si>
  <si>
    <t>LR101-NA-3</t>
  </si>
  <si>
    <t>LR101</t>
  </si>
  <si>
    <t>LR101-NA-11</t>
  </si>
  <si>
    <t>LR101-NA-15</t>
  </si>
  <si>
    <t>LR43-NA-5</t>
  </si>
  <si>
    <t>LR105</t>
  </si>
  <si>
    <t>LR105-NA-3</t>
  </si>
  <si>
    <t>LR105-NA-5</t>
  </si>
  <si>
    <t>LR105-NA-6</t>
  </si>
  <si>
    <t>LR105-NA-7.1</t>
  </si>
  <si>
    <t>LR105-NA-7.2</t>
  </si>
  <si>
    <t>RS-56-OSA</t>
  </si>
  <si>
    <t>XLR129-P-1</t>
  </si>
  <si>
    <t>LR129</t>
  </si>
  <si>
    <t>LR129-P-1</t>
  </si>
  <si>
    <t>LR129-P-2</t>
  </si>
  <si>
    <t>LR129-P-3</t>
  </si>
  <si>
    <t>S-3</t>
  </si>
  <si>
    <t>LR79</t>
  </si>
  <si>
    <t>S-3D</t>
  </si>
  <si>
    <t>LR79-NA-9</t>
  </si>
  <si>
    <t>LR79-NA-11</t>
  </si>
  <si>
    <t>S-3FH</t>
  </si>
  <si>
    <t>LR79-NA-13</t>
  </si>
  <si>
    <t>LR83-NA-1</t>
  </si>
  <si>
    <t>LR83</t>
  </si>
  <si>
    <t>LR87-AJ-1</t>
  </si>
  <si>
    <t>LR87</t>
  </si>
  <si>
    <t>LR87-AJ-1$25AR</t>
  </si>
  <si>
    <t>LR87-AJ-3</t>
  </si>
  <si>
    <t>LR87-AJ-3$25AR</t>
  </si>
  <si>
    <t>LR87-AJ-5</t>
  </si>
  <si>
    <t>LR87-AJ-5$15AR</t>
  </si>
  <si>
    <t>LR87-AJ-5$49AR</t>
  </si>
  <si>
    <t>LR87-AJ-5-Kero</t>
  </si>
  <si>
    <t>LR87-AJ-5-Kero$15AR</t>
  </si>
  <si>
    <t>LR87-AJ-5-Kero$49AR</t>
  </si>
  <si>
    <t>LR87-AJ-7</t>
  </si>
  <si>
    <t>LR87-AJ-7$15AR</t>
  </si>
  <si>
    <t>LR87-AJ-7$49AR</t>
  </si>
  <si>
    <t>LR87-AJ-7-Kero</t>
  </si>
  <si>
    <t>LR87-AJ-7-Kero$15AR</t>
  </si>
  <si>
    <t>LR87-AJ-7-Kero$49AR</t>
  </si>
  <si>
    <t>LR87-AJ-9</t>
  </si>
  <si>
    <t>LR87-AJ-9$15AR</t>
  </si>
  <si>
    <t>LR87-AJ-9$49AR</t>
  </si>
  <si>
    <t>LR87-AJ-9-Kero</t>
  </si>
  <si>
    <t>LR87-AJ-9-Kero$15AR</t>
  </si>
  <si>
    <t>LR87-AJ-9-Kero$49AR</t>
  </si>
  <si>
    <t>LR87-AJ-11</t>
  </si>
  <si>
    <t>LR87-AJ-11$8AR</t>
  </si>
  <si>
    <t>LR87-AJ-11$12AR</t>
  </si>
  <si>
    <t>LR87-AJ-11$49AR</t>
  </si>
  <si>
    <t>LR87-AJ-11-Kero</t>
  </si>
  <si>
    <t>LR87-AJ-11-Kero$8AR</t>
  </si>
  <si>
    <t>LR87-AJ-11-Kero$12AR</t>
  </si>
  <si>
    <t>LR87-AJ-11-Kero$49AR</t>
  </si>
  <si>
    <t>LR87-AJ-11A</t>
  </si>
  <si>
    <t>LR87-AJ-11A$12AR</t>
  </si>
  <si>
    <t>LR87-AJ-11A$49AR</t>
  </si>
  <si>
    <t>LR87-AJ-11A-Kero</t>
  </si>
  <si>
    <t>LR87-AJ-11A-Kero$12AR</t>
  </si>
  <si>
    <t>LR87-AJ-11A-Kero$49AR</t>
  </si>
  <si>
    <t>LR87-LH2-TitanC</t>
  </si>
  <si>
    <t>LR87LH2</t>
  </si>
  <si>
    <t>LR87-LH2-Vacuum</t>
  </si>
  <si>
    <t>LR87-LH2-SustainerUpgrade</t>
  </si>
  <si>
    <t>LR87-LH2-VacuumUpgrade</t>
  </si>
  <si>
    <t>XLR43-NA-3</t>
  </si>
  <si>
    <t>LR89</t>
  </si>
  <si>
    <t>LR43-NA-3</t>
  </si>
  <si>
    <t>LR89-NA-3</t>
  </si>
  <si>
    <t>LR89-NA-5</t>
  </si>
  <si>
    <t>LR89-NA-6</t>
  </si>
  <si>
    <t>LR89-NA-7.1</t>
  </si>
  <si>
    <t>LR89-NA-7.2</t>
  </si>
  <si>
    <t>RS-56-OBA</t>
  </si>
  <si>
    <t>LR91-AJ-1</t>
  </si>
  <si>
    <t>LR91</t>
  </si>
  <si>
    <t>LR91-AJ-3</t>
  </si>
  <si>
    <t>LR91-AJ-5</t>
  </si>
  <si>
    <t>LR91-AJ-5-Kero</t>
  </si>
  <si>
    <t>LR91-AJ-7</t>
  </si>
  <si>
    <t>LR91-AJ-7-Kero</t>
  </si>
  <si>
    <t>LR91-AJ-9</t>
  </si>
  <si>
    <t>LR91-AJ-9-Kero</t>
  </si>
  <si>
    <t>LR91-AJ-11</t>
  </si>
  <si>
    <t>LR91-AJ-11-Kero</t>
  </si>
  <si>
    <t>LR91-AJ-11A</t>
  </si>
  <si>
    <t>LR91-AJ-11A-Kero</t>
  </si>
  <si>
    <t>LRBE</t>
  </si>
  <si>
    <t>LRBE-BlockII</t>
  </si>
  <si>
    <t>LRCLNTR</t>
  </si>
  <si>
    <t>M-1-Spec</t>
  </si>
  <si>
    <t>M1</t>
  </si>
  <si>
    <t>M-1SL</t>
  </si>
  <si>
    <t>M-1</t>
  </si>
  <si>
    <t>M-1U</t>
  </si>
  <si>
    <t>M-1U-SL</t>
  </si>
  <si>
    <t>M10</t>
  </si>
  <si>
    <t>MB-35</t>
  </si>
  <si>
    <t>MB35</t>
  </si>
  <si>
    <t>MB-XX-Demo</t>
  </si>
  <si>
    <t>MB45</t>
  </si>
  <si>
    <t>MB-45</t>
  </si>
  <si>
    <t>MB-60</t>
  </si>
  <si>
    <t>MB60</t>
  </si>
  <si>
    <t>Merlin1C</t>
  </si>
  <si>
    <t>Merlin1</t>
  </si>
  <si>
    <t>Merlin1B</t>
  </si>
  <si>
    <t>Merlin1A</t>
  </si>
  <si>
    <t>Merlin1BVac</t>
  </si>
  <si>
    <t>Merlin1CVac</t>
  </si>
  <si>
    <t>Merlin1DVac</t>
  </si>
  <si>
    <t>Merlin1D</t>
  </si>
  <si>
    <t>Merlin1DVac+</t>
  </si>
  <si>
    <t>Merlin1D+</t>
  </si>
  <si>
    <t>Merlin1D++</t>
  </si>
  <si>
    <t>MR-80-TDE</t>
  </si>
  <si>
    <t>MR-80B</t>
  </si>
  <si>
    <t>XLR43-NA-1</t>
  </si>
  <si>
    <t>NAA75_110</t>
  </si>
  <si>
    <t>A-6</t>
  </si>
  <si>
    <t>A-6H</t>
  </si>
  <si>
    <t>A-7</t>
  </si>
  <si>
    <t>NERVA-I</t>
  </si>
  <si>
    <t>NERVA</t>
  </si>
  <si>
    <t>NERVA_NRX</t>
  </si>
  <si>
    <t>NERVA_XE</t>
  </si>
  <si>
    <t>NERVA-II</t>
  </si>
  <si>
    <t>NERVAII</t>
  </si>
  <si>
    <t>NK-15</t>
  </si>
  <si>
    <t>NK33</t>
  </si>
  <si>
    <t>NK-33</t>
  </si>
  <si>
    <t>AJ26-58</t>
  </si>
  <si>
    <t>AJ26-59</t>
  </si>
  <si>
    <t>AJ26-62</t>
  </si>
  <si>
    <t>NK-15V</t>
  </si>
  <si>
    <t>NK43</t>
  </si>
  <si>
    <t>NK-43</t>
  </si>
  <si>
    <t>AJ26-60</t>
  </si>
  <si>
    <t>NK-9</t>
  </si>
  <si>
    <t>NK9</t>
  </si>
  <si>
    <t>NK-9-1969</t>
  </si>
  <si>
    <t>NK-9-1972</t>
  </si>
  <si>
    <t>NK-9-2009</t>
  </si>
  <si>
    <t>NK-9V</t>
  </si>
  <si>
    <t>NK9V</t>
  </si>
  <si>
    <t>NK-21</t>
  </si>
  <si>
    <t>NK-19</t>
  </si>
  <si>
    <t>NK-39</t>
  </si>
  <si>
    <t>NK-31</t>
  </si>
  <si>
    <t>ORM-65</t>
  </si>
  <si>
    <t>ORM65</t>
  </si>
  <si>
    <t>RDA-1-150</t>
  </si>
  <si>
    <t>RDA-1-300</t>
  </si>
  <si>
    <t>PEWEE100</t>
  </si>
  <si>
    <t>Phoebus1N50</t>
  </si>
  <si>
    <t>Phoebus2N100</t>
  </si>
  <si>
    <t>PrincetonLNTR-WCH</t>
  </si>
  <si>
    <t>PrincetonLNTR</t>
  </si>
  <si>
    <t>PrincetonLNTR-ZrC</t>
  </si>
  <si>
    <t>R-40B</t>
  </si>
  <si>
    <t>R40</t>
  </si>
  <si>
    <t>R-40A</t>
  </si>
  <si>
    <t>R-42</t>
  </si>
  <si>
    <t>R42</t>
  </si>
  <si>
    <t>R-42DM</t>
  </si>
  <si>
    <t>R-4D-11$44AR</t>
  </si>
  <si>
    <t>R4D11</t>
  </si>
  <si>
    <t>R-4D-11</t>
  </si>
  <si>
    <t>R-4D-11$300AR</t>
  </si>
  <si>
    <t>R-4D-15DM$300AR</t>
  </si>
  <si>
    <t>R-4D-15</t>
  </si>
  <si>
    <t>R-4D-15DM</t>
  </si>
  <si>
    <t>R-4D-15$300AR</t>
  </si>
  <si>
    <t>MC-4-610</t>
  </si>
  <si>
    <t>RangerRetro</t>
  </si>
  <si>
    <t>Raptor 3</t>
  </si>
  <si>
    <t>Raptor</t>
  </si>
  <si>
    <t>Raptor 2</t>
  </si>
  <si>
    <t>RD-0105</t>
  </si>
  <si>
    <t>RD0105</t>
  </si>
  <si>
    <t>RD-0109</t>
  </si>
  <si>
    <t>RD-0107</t>
  </si>
  <si>
    <t>RD0110</t>
  </si>
  <si>
    <t>RD-0106</t>
  </si>
  <si>
    <t>RD-0108</t>
  </si>
  <si>
    <t>RD-0110</t>
  </si>
  <si>
    <t>RD-0110R</t>
  </si>
  <si>
    <t>RD0110R</t>
  </si>
  <si>
    <t>RD-0120</t>
  </si>
  <si>
    <t>RD0120</t>
  </si>
  <si>
    <t>RD-0120M</t>
  </si>
  <si>
    <t>RD-0122</t>
  </si>
  <si>
    <t>RD-0120T</t>
  </si>
  <si>
    <t>RD0120T</t>
  </si>
  <si>
    <t>RD-0124</t>
  </si>
  <si>
    <t>RD0124</t>
  </si>
  <si>
    <t>RD-0146</t>
  </si>
  <si>
    <t>RD0146</t>
  </si>
  <si>
    <t>RD-0146D</t>
  </si>
  <si>
    <t>RD-0162A</t>
  </si>
  <si>
    <t>RD0162</t>
  </si>
  <si>
    <t>RD-0162</t>
  </si>
  <si>
    <t>RD-0164</t>
  </si>
  <si>
    <t>RD0164</t>
  </si>
  <si>
    <t>RD-0169</t>
  </si>
  <si>
    <t>RD0169</t>
  </si>
  <si>
    <t>RD-0203</t>
  </si>
  <si>
    <t>RD0203</t>
  </si>
  <si>
    <t>RD-0203U</t>
  </si>
  <si>
    <t>RD-0208</t>
  </si>
  <si>
    <t>RD0210</t>
  </si>
  <si>
    <t>RD-0210</t>
  </si>
  <si>
    <t>RD-0210-Mk2</t>
  </si>
  <si>
    <t>RD-0210-Mk3</t>
  </si>
  <si>
    <t>RD-0205</t>
  </si>
  <si>
    <t>RD0212</t>
  </si>
  <si>
    <t>RD-0212</t>
  </si>
  <si>
    <t>RD-0212-Mk2</t>
  </si>
  <si>
    <t>RD-0212-Mk3</t>
  </si>
  <si>
    <t>RD-0206</t>
  </si>
  <si>
    <t>RD0213</t>
  </si>
  <si>
    <t>RD-0213</t>
  </si>
  <si>
    <t>RD-0213-Mk2</t>
  </si>
  <si>
    <t>RD-0213-Mk3</t>
  </si>
  <si>
    <t>RD-0207</t>
  </si>
  <si>
    <t>RD0214</t>
  </si>
  <si>
    <t>RD-0214</t>
  </si>
  <si>
    <t>RD-0216</t>
  </si>
  <si>
    <t>RD0216</t>
  </si>
  <si>
    <t>11D23</t>
  </si>
  <si>
    <t>RD-0235</t>
  </si>
  <si>
    <t>RD-0225</t>
  </si>
  <si>
    <t>RD0225</t>
  </si>
  <si>
    <t>RD-0228</t>
  </si>
  <si>
    <t>RD0228</t>
  </si>
  <si>
    <t>RD-0255</t>
  </si>
  <si>
    <t>RD-0229</t>
  </si>
  <si>
    <t>RD0229</t>
  </si>
  <si>
    <t>RD-0256</t>
  </si>
  <si>
    <t>RD-0230</t>
  </si>
  <si>
    <t>RD0230</t>
  </si>
  <si>
    <t>RD-0257</t>
  </si>
  <si>
    <t>RD-0233-15D95</t>
  </si>
  <si>
    <t>RD0233</t>
  </si>
  <si>
    <t>RD-0236</t>
  </si>
  <si>
    <t>RD0236</t>
  </si>
  <si>
    <t>RD-0242M2</t>
  </si>
  <si>
    <t>RD0242M2</t>
  </si>
  <si>
    <t>RD-0243</t>
  </si>
  <si>
    <t>RD0243</t>
  </si>
  <si>
    <t>RD-0410MID</t>
  </si>
  <si>
    <t>RD0410MID</t>
  </si>
  <si>
    <t>RD-0411-Hydrogen</t>
  </si>
  <si>
    <t>RD-1</t>
  </si>
  <si>
    <t>RD1</t>
  </si>
  <si>
    <t>RD-100</t>
  </si>
  <si>
    <t>RD100</t>
  </si>
  <si>
    <t>RD-101</t>
  </si>
  <si>
    <t>RD-102</t>
  </si>
  <si>
    <t>RD-103</t>
  </si>
  <si>
    <t>RD-103M</t>
  </si>
  <si>
    <t>5D60</t>
  </si>
  <si>
    <t>RD-107-8D74</t>
  </si>
  <si>
    <t>RD107-117</t>
  </si>
  <si>
    <t>RD-107-8D74PS</t>
  </si>
  <si>
    <t>RD-107-8D74-1958</t>
  </si>
  <si>
    <t>RD-107-8D76</t>
  </si>
  <si>
    <t>RD-107-8D74-1959</t>
  </si>
  <si>
    <t>RD-107-8D74K</t>
  </si>
  <si>
    <t>RD-107-8D728</t>
  </si>
  <si>
    <t>RD-107-11D512</t>
  </si>
  <si>
    <t>RD-107-11D512P</t>
  </si>
  <si>
    <t>RD-107A-14D22</t>
  </si>
  <si>
    <t>RD-108-8D75</t>
  </si>
  <si>
    <t>RD108-118</t>
  </si>
  <si>
    <t>RD-108-8D75PS</t>
  </si>
  <si>
    <t>RD-108-8D75-1958</t>
  </si>
  <si>
    <t>RD-108-8D77</t>
  </si>
  <si>
    <t>RD-108-8D75-1959</t>
  </si>
  <si>
    <t>RD-108-8D75K</t>
  </si>
  <si>
    <t>RD-108-8D727</t>
  </si>
  <si>
    <t>RD-108-11D511</t>
  </si>
  <si>
    <t>RD-108-11D511P</t>
  </si>
  <si>
    <t>RD-108A-14D21</t>
  </si>
  <si>
    <t>RD-109-8D711</t>
  </si>
  <si>
    <t>RD109</t>
  </si>
  <si>
    <t>RD-119-8D710</t>
  </si>
  <si>
    <t>RD-111-8D716</t>
  </si>
  <si>
    <t>RD111</t>
  </si>
  <si>
    <t>RD-111-8D716A</t>
  </si>
  <si>
    <t>RD-120</t>
  </si>
  <si>
    <t>RD120</t>
  </si>
  <si>
    <t>RD-120K</t>
  </si>
  <si>
    <t>RD-120F</t>
  </si>
  <si>
    <t>RD-170</t>
  </si>
  <si>
    <t>RD170</t>
  </si>
  <si>
    <t>RD-171</t>
  </si>
  <si>
    <t>RD-172-173</t>
  </si>
  <si>
    <t>RD-171M</t>
  </si>
  <si>
    <t>RD-180</t>
  </si>
  <si>
    <t>RD180</t>
  </si>
  <si>
    <t>RD-151</t>
  </si>
  <si>
    <t>RD191</t>
  </si>
  <si>
    <t>RD-193</t>
  </si>
  <si>
    <t>RD-191</t>
  </si>
  <si>
    <t>RD-181</t>
  </si>
  <si>
    <t>RD-200</t>
  </si>
  <si>
    <t>RD200</t>
  </si>
  <si>
    <t>RD-211-8D57</t>
  </si>
  <si>
    <t>RD211</t>
  </si>
  <si>
    <t>RD-212-8D41</t>
  </si>
  <si>
    <t>RD-213-8D13</t>
  </si>
  <si>
    <t>RD-214-8D59</t>
  </si>
  <si>
    <t>RD-214U-8D59U</t>
  </si>
  <si>
    <t>RD-215-8D513</t>
  </si>
  <si>
    <t>RD215</t>
  </si>
  <si>
    <t>RD-217-8D515</t>
  </si>
  <si>
    <t>RD-225-8D721</t>
  </si>
  <si>
    <t>RD-250-8D518</t>
  </si>
  <si>
    <t>RD-215M-8D613</t>
  </si>
  <si>
    <t>RD-250PM</t>
  </si>
  <si>
    <t>RD-219-8D713</t>
  </si>
  <si>
    <t>RD219</t>
  </si>
  <si>
    <t>RD-252-8D724</t>
  </si>
  <si>
    <t>RD-262-11D26</t>
  </si>
  <si>
    <t>RD-220</t>
  </si>
  <si>
    <t>RD220</t>
  </si>
  <si>
    <t>RD-112</t>
  </si>
  <si>
    <t>RD-221</t>
  </si>
  <si>
    <t>RD221</t>
  </si>
  <si>
    <t>RD-113</t>
  </si>
  <si>
    <t>RD-253</t>
  </si>
  <si>
    <t>RD253</t>
  </si>
  <si>
    <t>RD-253-Mk2</t>
  </si>
  <si>
    <t>RD-253-Mk3</t>
  </si>
  <si>
    <t>RD-253-Mk4</t>
  </si>
  <si>
    <t>RD-275</t>
  </si>
  <si>
    <t>RD-275M</t>
  </si>
  <si>
    <t>RD-114</t>
  </si>
  <si>
    <t>RD-222</t>
  </si>
  <si>
    <t>RD-254</t>
  </si>
  <si>
    <t>RD254</t>
  </si>
  <si>
    <t>RD-254-11D44-Mk2</t>
  </si>
  <si>
    <t>RD-254-11D44-Mk3</t>
  </si>
  <si>
    <t>RD-254-11D44-Mk4</t>
  </si>
  <si>
    <t>RD-277-14D16</t>
  </si>
  <si>
    <t>RD-277M-14D16M</t>
  </si>
  <si>
    <t>RD-115</t>
  </si>
  <si>
    <t>RD-223</t>
  </si>
  <si>
    <t>RD-263-15D117</t>
  </si>
  <si>
    <t>RD263</t>
  </si>
  <si>
    <t>RD-268-15D168</t>
  </si>
  <si>
    <t>RD-273-15D286</t>
  </si>
  <si>
    <t>RD-270M-8D420M</t>
  </si>
  <si>
    <t>RD270</t>
  </si>
  <si>
    <t>RD-270-8D420</t>
  </si>
  <si>
    <t>RD-116-8D420K</t>
  </si>
  <si>
    <t>RD-301</t>
  </si>
  <si>
    <t>RD301</t>
  </si>
  <si>
    <t>RD-510</t>
  </si>
  <si>
    <t>RD510</t>
  </si>
  <si>
    <t>RD-57</t>
  </si>
  <si>
    <t>RD57</t>
  </si>
  <si>
    <t>RD-57M</t>
  </si>
  <si>
    <t>RD-57A-1</t>
  </si>
  <si>
    <t>S1.5400</t>
  </si>
  <si>
    <t>RD58</t>
  </si>
  <si>
    <t>11D33</t>
  </si>
  <si>
    <t>11D33M</t>
  </si>
  <si>
    <t>RD-58</t>
  </si>
  <si>
    <t>RD-58M</t>
  </si>
  <si>
    <t>17D12</t>
  </si>
  <si>
    <t>RD-58S</t>
  </si>
  <si>
    <t>RD-58M-CCN</t>
  </si>
  <si>
    <t>RD-701</t>
  </si>
  <si>
    <t>RD701</t>
  </si>
  <si>
    <t>RD-704</t>
  </si>
  <si>
    <t>RD704</t>
  </si>
  <si>
    <t>RD-8</t>
  </si>
  <si>
    <t>RD8</t>
  </si>
  <si>
    <t>RD-805</t>
  </si>
  <si>
    <t>RD805</t>
  </si>
  <si>
    <t>RD-851</t>
  </si>
  <si>
    <t>RD855</t>
  </si>
  <si>
    <t>RD-855</t>
  </si>
  <si>
    <t>RD-852</t>
  </si>
  <si>
    <t>RD856</t>
  </si>
  <si>
    <t>RD-856</t>
  </si>
  <si>
    <t>RD-858</t>
  </si>
  <si>
    <t>RD858</t>
  </si>
  <si>
    <t>RD-859</t>
  </si>
  <si>
    <t>RD859</t>
  </si>
  <si>
    <t>RD-864-15D177</t>
  </si>
  <si>
    <t>RD864</t>
  </si>
  <si>
    <t>RD-869-15D300</t>
  </si>
  <si>
    <t>RL10A-1</t>
  </si>
  <si>
    <t>RL10</t>
  </si>
  <si>
    <t>RL10A-3-1</t>
  </si>
  <si>
    <t>RL10A-3-3</t>
  </si>
  <si>
    <t>RL10A-3-7</t>
  </si>
  <si>
    <t>RL10A-3-9</t>
  </si>
  <si>
    <t>RL10A-3-3A</t>
  </si>
  <si>
    <t>RL10A-3-3B</t>
  </si>
  <si>
    <t>RL10A-4</t>
  </si>
  <si>
    <t>RL10A-4N</t>
  </si>
  <si>
    <t>RL10A-4-1N</t>
  </si>
  <si>
    <t>RL10A-5</t>
  </si>
  <si>
    <t>RL10B-2</t>
  </si>
  <si>
    <t>RL10A-4-1-2</t>
  </si>
  <si>
    <t>RL10A-4-2N</t>
  </si>
  <si>
    <t>RL10C-1</t>
  </si>
  <si>
    <t>CECE-High</t>
  </si>
  <si>
    <t>CECE-Base</t>
  </si>
  <si>
    <t>CECE-Methane</t>
  </si>
  <si>
    <t>RL10C-1A</t>
  </si>
  <si>
    <t>RL10C-1-1</t>
  </si>
  <si>
    <t>RL10C-2-1</t>
  </si>
  <si>
    <t>RL10C-2</t>
  </si>
  <si>
    <t>RL10C-3</t>
  </si>
  <si>
    <t>RL10E-1</t>
  </si>
  <si>
    <t>RL10E-3EL</t>
  </si>
  <si>
    <t>RL10E-3ELL</t>
  </si>
  <si>
    <t>RL200S</t>
  </si>
  <si>
    <t>RL200</t>
  </si>
  <si>
    <t>RL200-230k</t>
  </si>
  <si>
    <t>RL200-225k</t>
  </si>
  <si>
    <t>RL200-200k</t>
  </si>
  <si>
    <t>RL60</t>
  </si>
  <si>
    <t>Vinci-180</t>
  </si>
  <si>
    <t>RS-2100</t>
  </si>
  <si>
    <t>RS2100</t>
  </si>
  <si>
    <t>RS-30</t>
  </si>
  <si>
    <t>RS30</t>
  </si>
  <si>
    <t>RS-44-Core</t>
  </si>
  <si>
    <t>RS44</t>
  </si>
  <si>
    <t>RS-44-Incremental</t>
  </si>
  <si>
    <t>RS-44-Full</t>
  </si>
  <si>
    <t>RS-68</t>
  </si>
  <si>
    <t>RS68</t>
  </si>
  <si>
    <t>RS-68A</t>
  </si>
  <si>
    <t>RS-68B</t>
  </si>
  <si>
    <t>RS-68K</t>
  </si>
  <si>
    <t>RS-800</t>
  </si>
  <si>
    <t>RS-76</t>
  </si>
  <si>
    <t>RS76</t>
  </si>
  <si>
    <t>RS-76A</t>
  </si>
  <si>
    <t>RS-83</t>
  </si>
  <si>
    <t>RS83</t>
  </si>
  <si>
    <t>RS-84</t>
  </si>
  <si>
    <t>RS84</t>
  </si>
  <si>
    <t>RS-88</t>
  </si>
  <si>
    <t>RS88</t>
  </si>
  <si>
    <t>LAE</t>
  </si>
  <si>
    <t>Rutherford-SL</t>
  </si>
  <si>
    <t>Rutherford</t>
  </si>
  <si>
    <t>Rutherford-Vac</t>
  </si>
  <si>
    <t>RutherfordVac</t>
  </si>
  <si>
    <t>RZ.1</t>
  </si>
  <si>
    <t>RZ.2</t>
  </si>
  <si>
    <t>RZ.2-Mk3</t>
  </si>
  <si>
    <t>RZ.2-Mk4</t>
  </si>
  <si>
    <t>RZ20-Mk1</t>
  </si>
  <si>
    <t>RZ20</t>
  </si>
  <si>
    <t>RZ20-Mk2</t>
  </si>
  <si>
    <t>S-155</t>
  </si>
  <si>
    <t>S155</t>
  </si>
  <si>
    <t>S2.253</t>
  </si>
  <si>
    <t>S3.42T</t>
  </si>
  <si>
    <t>S5.2</t>
  </si>
  <si>
    <t>Isayev-R17</t>
  </si>
  <si>
    <t>S5.19</t>
  </si>
  <si>
    <t>S5_19</t>
  </si>
  <si>
    <t>S5.23</t>
  </si>
  <si>
    <t>S5_23</t>
  </si>
  <si>
    <t>S5.4</t>
  </si>
  <si>
    <t>S5_4</t>
  </si>
  <si>
    <t>S5.92</t>
  </si>
  <si>
    <t>S5_92</t>
  </si>
  <si>
    <t>S5.92-l.n.</t>
  </si>
  <si>
    <t>S5.98M</t>
  </si>
  <si>
    <t>S5_98M</t>
  </si>
  <si>
    <t>SmallEngine</t>
  </si>
  <si>
    <t>SNTPPFE100-Hydrogen</t>
  </si>
  <si>
    <t>SNTPPFE100</t>
  </si>
  <si>
    <t>SNTPPFE100-Prototype</t>
  </si>
  <si>
    <t>SSBE</t>
  </si>
  <si>
    <t>SSBE-BlockII</t>
  </si>
  <si>
    <t>RS-25$35AR</t>
  </si>
  <si>
    <t>SSME</t>
  </si>
  <si>
    <t>RS-25$50AR</t>
  </si>
  <si>
    <t>RS-25</t>
  </si>
  <si>
    <t>RS-25$150AR</t>
  </si>
  <si>
    <t>RS-25A$35AR</t>
  </si>
  <si>
    <t>RS-25A$50AR</t>
  </si>
  <si>
    <t>RS-25A</t>
  </si>
  <si>
    <t>RS-25A$150AR</t>
  </si>
  <si>
    <t>RS-25C$35AR</t>
  </si>
  <si>
    <t>RS-25C$50AR</t>
  </si>
  <si>
    <t>RS-25C</t>
  </si>
  <si>
    <t>RS-25C$150AR</t>
  </si>
  <si>
    <t>RS-25D-E$35AR</t>
  </si>
  <si>
    <t>RS-25D-E$50AR</t>
  </si>
  <si>
    <t>RS-25D-E</t>
  </si>
  <si>
    <t>RS-25D-E$150AR</t>
  </si>
  <si>
    <t>RS-25A-50X</t>
  </si>
  <si>
    <t>SSME50X</t>
  </si>
  <si>
    <t>RS-25D-50X</t>
  </si>
  <si>
    <t>RS-25-650</t>
  </si>
  <si>
    <t>SSME650</t>
  </si>
  <si>
    <t>STBE</t>
  </si>
  <si>
    <t>STBE-1A</t>
  </si>
  <si>
    <t>STBE1</t>
  </si>
  <si>
    <t>STBE-1B</t>
  </si>
  <si>
    <t>STBE-3</t>
  </si>
  <si>
    <t>Stentor</t>
  </si>
  <si>
    <t>STME</t>
  </si>
  <si>
    <t>SuperDraco</t>
  </si>
  <si>
    <t>TD-339</t>
  </si>
  <si>
    <t>TD339</t>
  </si>
  <si>
    <t>TR-107</t>
  </si>
  <si>
    <t>TR107</t>
  </si>
  <si>
    <t>TR-308</t>
  </si>
  <si>
    <t>TR308</t>
  </si>
  <si>
    <t>TR-312-100YN</t>
  </si>
  <si>
    <t>TR-312-100MN</t>
  </si>
  <si>
    <t>U-1250</t>
  </si>
  <si>
    <t>U1250</t>
  </si>
  <si>
    <t>U-1700</t>
  </si>
  <si>
    <t>U-2000</t>
  </si>
  <si>
    <t>Veronique</t>
  </si>
  <si>
    <t>VeroniqueAGI</t>
  </si>
  <si>
    <t>Veronique61</t>
  </si>
  <si>
    <t>Vesta</t>
  </si>
  <si>
    <t>Vexin</t>
  </si>
  <si>
    <t>Valois-A</t>
  </si>
  <si>
    <t>Valois-B</t>
  </si>
  <si>
    <t>Vexin-A</t>
  </si>
  <si>
    <t>Vikas-1</t>
  </si>
  <si>
    <t>Vikas</t>
  </si>
  <si>
    <t>Vikas-1+</t>
  </si>
  <si>
    <t>Vikas-2</t>
  </si>
  <si>
    <t>Vikas-2B</t>
  </si>
  <si>
    <t>Vikas-X</t>
  </si>
  <si>
    <t>Viking-2</t>
  </si>
  <si>
    <t>VIking</t>
  </si>
  <si>
    <t>Viking-4</t>
  </si>
  <si>
    <t>Viking</t>
  </si>
  <si>
    <t>Viking-5</t>
  </si>
  <si>
    <t>Viking-5B</t>
  </si>
  <si>
    <t>Viking-4B</t>
  </si>
  <si>
    <t>Viking-5C</t>
  </si>
  <si>
    <t>Viking-6</t>
  </si>
  <si>
    <t>Viking-4C</t>
  </si>
  <si>
    <t>Vulcain</t>
  </si>
  <si>
    <t>Vulcain-2</t>
  </si>
  <si>
    <t>X-405</t>
  </si>
  <si>
    <t>X405</t>
  </si>
  <si>
    <t>X-405H</t>
  </si>
  <si>
    <t>X-405H-2</t>
  </si>
  <si>
    <t>X-405H-3</t>
  </si>
  <si>
    <t>X-405H-4</t>
  </si>
  <si>
    <t>XLR10-RM-2</t>
  </si>
  <si>
    <t>XLR10</t>
  </si>
  <si>
    <t>XLR11-RM-3</t>
  </si>
  <si>
    <t>XLR11</t>
  </si>
  <si>
    <t>XLR35-RM-1</t>
  </si>
  <si>
    <t>XLR11-RM-5</t>
  </si>
  <si>
    <t>XLR11-RM-13-8K</t>
  </si>
  <si>
    <t>XLR11-RM-13-10K</t>
  </si>
  <si>
    <t>XLR132</t>
  </si>
  <si>
    <t>XLR25-CW-1</t>
  </si>
  <si>
    <t>XLR25</t>
  </si>
  <si>
    <t>XLR41-NA-1</t>
  </si>
  <si>
    <t>XLR41</t>
  </si>
  <si>
    <t>XLR99-RM-2</t>
  </si>
  <si>
    <t>XLR99</t>
  </si>
  <si>
    <t>XLR99-RM-2A</t>
  </si>
  <si>
    <t>XLR99-RM-3</t>
  </si>
  <si>
    <t>XRS-2200</t>
  </si>
  <si>
    <t>XRS2200</t>
  </si>
  <si>
    <t>YF-1</t>
  </si>
  <si>
    <t>YF1</t>
  </si>
  <si>
    <t>YF-1A</t>
  </si>
  <si>
    <t>YF-1B</t>
  </si>
  <si>
    <t>YF-100</t>
  </si>
  <si>
    <t>YF100</t>
  </si>
  <si>
    <t>YF-100K</t>
  </si>
  <si>
    <t>YF-20</t>
  </si>
  <si>
    <t>YF20</t>
  </si>
  <si>
    <t>YF-20B</t>
  </si>
  <si>
    <t>YF-25K</t>
  </si>
  <si>
    <t>YF-20C</t>
  </si>
  <si>
    <t>YF-22</t>
  </si>
  <si>
    <t>YF22</t>
  </si>
  <si>
    <t>YF-22B</t>
  </si>
  <si>
    <t>YF-22E</t>
  </si>
  <si>
    <t>YF-23</t>
  </si>
  <si>
    <t>YF23</t>
  </si>
  <si>
    <t>YF-23B</t>
  </si>
  <si>
    <t>YF-3</t>
  </si>
  <si>
    <t>YF3</t>
  </si>
  <si>
    <t>YF-3A</t>
  </si>
  <si>
    <t>YF-40A</t>
  </si>
  <si>
    <t>YF40</t>
  </si>
  <si>
    <t>YF-40</t>
  </si>
  <si>
    <t>YF-40B</t>
  </si>
  <si>
    <t>YF-73</t>
  </si>
  <si>
    <t>YF73</t>
  </si>
  <si>
    <t>YF-75</t>
  </si>
  <si>
    <t>YF75</t>
  </si>
  <si>
    <t>YF-75D</t>
  </si>
  <si>
    <t>YF-75E</t>
  </si>
  <si>
    <t>YF-77</t>
  </si>
  <si>
    <t>YF77</t>
  </si>
  <si>
    <t>TinyTim</t>
  </si>
  <si>
    <t>R-103</t>
  </si>
  <si>
    <t>R103</t>
  </si>
  <si>
    <t>2_5KS18000</t>
  </si>
  <si>
    <t>25KS18000</t>
  </si>
  <si>
    <t>1_8KS7800</t>
  </si>
  <si>
    <t>18KS7800</t>
  </si>
  <si>
    <t>Nike-M5E1</t>
  </si>
  <si>
    <t>T17-E2</t>
  </si>
  <si>
    <t>BabySergeant</t>
  </si>
  <si>
    <t>XM-20</t>
  </si>
  <si>
    <t>Castor-1</t>
  </si>
  <si>
    <t>GCRC</t>
  </si>
  <si>
    <t>JPL-532A</t>
  </si>
  <si>
    <t>Altair</t>
  </si>
  <si>
    <t>Algol-I</t>
  </si>
  <si>
    <t>Antares-I</t>
  </si>
  <si>
    <t>Castor-1-SL</t>
  </si>
  <si>
    <t>Castor-1-Vac</t>
  </si>
  <si>
    <t>Algol-II</t>
  </si>
  <si>
    <t>Antares-II</t>
  </si>
  <si>
    <t>M55</t>
  </si>
  <si>
    <t>Altair-II</t>
  </si>
  <si>
    <t>Star-5C</t>
  </si>
  <si>
    <t>Star5C</t>
  </si>
  <si>
    <t>Altair-III</t>
  </si>
  <si>
    <t>Castor-2-SL</t>
  </si>
  <si>
    <t>Castor-2</t>
  </si>
  <si>
    <t>Castor-2-Vac</t>
  </si>
  <si>
    <t>Rubis</t>
  </si>
  <si>
    <t>Topaze</t>
  </si>
  <si>
    <t>UA1204</t>
  </si>
  <si>
    <t>UA1205</t>
  </si>
  <si>
    <t>AJ260-SL1</t>
  </si>
  <si>
    <t>AJ260SL</t>
  </si>
  <si>
    <t>Star-37</t>
  </si>
  <si>
    <t>Star37</t>
  </si>
  <si>
    <t>Star-37E</t>
  </si>
  <si>
    <t>Star37E</t>
  </si>
  <si>
    <t>S-II-Ullage</t>
  </si>
  <si>
    <t>SIIUllageMotor</t>
  </si>
  <si>
    <t>Star-13B</t>
  </si>
  <si>
    <t>Star13B</t>
  </si>
  <si>
    <t>UA1206</t>
  </si>
  <si>
    <t>Waxwing</t>
  </si>
  <si>
    <t>Star-17</t>
  </si>
  <si>
    <t>Star17</t>
  </si>
  <si>
    <t>AJ260-SL3</t>
  </si>
  <si>
    <t>Star-17A</t>
  </si>
  <si>
    <t>Star17A</t>
  </si>
  <si>
    <t>Dropt</t>
  </si>
  <si>
    <t>UA1207</t>
  </si>
  <si>
    <t>AJ260-FL</t>
  </si>
  <si>
    <t>AJ260FL</t>
  </si>
  <si>
    <t>Algol-III</t>
  </si>
  <si>
    <t>Alcyone</t>
  </si>
  <si>
    <t>Star-20</t>
  </si>
  <si>
    <t>Star20</t>
  </si>
  <si>
    <t>Castor-4</t>
  </si>
  <si>
    <t>Rita</t>
  </si>
  <si>
    <t>Star-27</t>
  </si>
  <si>
    <t>Star27</t>
  </si>
  <si>
    <t>RSRM</t>
  </si>
  <si>
    <t>Star-37FM</t>
  </si>
  <si>
    <t>Star37FM</t>
  </si>
  <si>
    <t>Star-48B/Long</t>
  </si>
  <si>
    <t>Star48B</t>
  </si>
  <si>
    <t>Star-48B/Short</t>
  </si>
  <si>
    <t>Star-48BV</t>
  </si>
  <si>
    <t>Star-63D</t>
  </si>
  <si>
    <t>Star63D</t>
  </si>
  <si>
    <t>Star-6B</t>
  </si>
  <si>
    <t>Star6B</t>
  </si>
  <si>
    <t>Castor-120</t>
  </si>
  <si>
    <t>Castor-4A</t>
  </si>
  <si>
    <t>SRMU</t>
  </si>
  <si>
    <t>UA1208</t>
  </si>
  <si>
    <t>GEM-40/Air</t>
  </si>
  <si>
    <t>GEM-40</t>
  </si>
  <si>
    <t>GEM-40/Ground</t>
  </si>
  <si>
    <t>FWC-SRM</t>
  </si>
  <si>
    <t>Star-9</t>
  </si>
  <si>
    <t>Star9</t>
  </si>
  <si>
    <t>Star-5D</t>
  </si>
  <si>
    <t>Star5D</t>
  </si>
  <si>
    <t>Star-15G</t>
  </si>
  <si>
    <t>Star15G</t>
  </si>
  <si>
    <t>GEM-46/Fixed-Air</t>
  </si>
  <si>
    <t>GEM-46</t>
  </si>
  <si>
    <t>GEM-46/Fixed-Ground</t>
  </si>
  <si>
    <t>GEM-46/TVC-Ground</t>
  </si>
  <si>
    <t>Star-4G</t>
  </si>
  <si>
    <t>Star4G</t>
  </si>
  <si>
    <t>Castor-4AXL</t>
  </si>
  <si>
    <t>AJ-60A</t>
  </si>
  <si>
    <t>AJ60A</t>
  </si>
  <si>
    <t>GEM-60/Fixed</t>
  </si>
  <si>
    <t>GEM-60</t>
  </si>
  <si>
    <t>GEM-60/TVC</t>
  </si>
  <si>
    <t>MPS-241</t>
  </si>
  <si>
    <t>EAP-241</t>
  </si>
  <si>
    <t>Star-8</t>
  </si>
  <si>
    <t>Star8</t>
  </si>
  <si>
    <t>Star-3</t>
  </si>
  <si>
    <t>Star3</t>
  </si>
  <si>
    <t>RSRMV</t>
  </si>
  <si>
    <t>Castor-30A</t>
  </si>
  <si>
    <t>Castor-30B</t>
  </si>
  <si>
    <t>Castor-30XL</t>
  </si>
  <si>
    <t>ASRB</t>
  </si>
  <si>
    <t>GEM-63</t>
  </si>
  <si>
    <t>GEM-63XL</t>
  </si>
  <si>
    <t>Antares-IIC</t>
  </si>
  <si>
    <t>Cajun</t>
  </si>
  <si>
    <t>MPS-241A</t>
  </si>
  <si>
    <t>Star-24C</t>
  </si>
  <si>
    <t>Star24C</t>
  </si>
  <si>
    <t>Star-27H</t>
  </si>
  <si>
    <t>Star-30</t>
  </si>
  <si>
    <t>Star30</t>
  </si>
  <si>
    <t>Base Cost</t>
  </si>
  <si>
    <t>Config Cost</t>
  </si>
  <si>
    <t>Part Cost</t>
  </si>
  <si>
    <t>Autocalculate Cost</t>
  </si>
  <si>
    <t>Eff Cost</t>
  </si>
  <si>
    <t>EC/kN</t>
  </si>
  <si>
    <t>Final Cost Mod</t>
  </si>
  <si>
    <t>Me</t>
  </si>
  <si>
    <t>Cost Delta</t>
  </si>
  <si>
    <t>Delta Kirk</t>
  </si>
  <si>
    <t>RD107_117</t>
  </si>
  <si>
    <t>RD108_118</t>
  </si>
  <si>
    <t>XLR11-RM-13-8k</t>
  </si>
  <si>
    <t>RZ</t>
  </si>
  <si>
    <t>H-1-165k</t>
  </si>
  <si>
    <t>KDU-414</t>
  </si>
  <si>
    <t>KDU414</t>
  </si>
  <si>
    <t>RZ.20-Mk1</t>
  </si>
  <si>
    <t>H-1-188k</t>
  </si>
  <si>
    <t>XLR11-RM-13-10k</t>
  </si>
  <si>
    <t>H-1-200k</t>
  </si>
  <si>
    <t>J-2-200k</t>
  </si>
  <si>
    <t>J-2-200K-CVS</t>
  </si>
  <si>
    <t>J-2-225k</t>
  </si>
  <si>
    <t>J-2-225K-CVS</t>
  </si>
  <si>
    <t>RZ.20-Mk2</t>
  </si>
  <si>
    <t>J-2-230k</t>
  </si>
  <si>
    <t>J-2-230K-CVS</t>
  </si>
  <si>
    <t>RD-254-Mk2</t>
  </si>
  <si>
    <t>TDE</t>
  </si>
  <si>
    <t>ValoisA</t>
  </si>
  <si>
    <t>H-1-205k</t>
  </si>
  <si>
    <t>RD-254-Mk3</t>
  </si>
  <si>
    <t>H-1-250k</t>
  </si>
  <si>
    <t>R-4D-15-300</t>
  </si>
  <si>
    <t>R-4D-15DM-300</t>
  </si>
  <si>
    <t>J-2T-250k</t>
  </si>
  <si>
    <t>R-4D-11-164</t>
  </si>
  <si>
    <t>RS-25-150</t>
  </si>
  <si>
    <t>RS-25-35</t>
  </si>
  <si>
    <t>RS-25-50</t>
  </si>
  <si>
    <t>RD-254-Mk4</t>
  </si>
  <si>
    <t>AJ23-151-OMS</t>
  </si>
  <si>
    <t>AJ23-153</t>
  </si>
  <si>
    <t>RS-25A-150</t>
  </si>
  <si>
    <t>RS-25A-35</t>
  </si>
  <si>
    <t>RS-25A-50</t>
  </si>
  <si>
    <t>AJ23-156</t>
  </si>
  <si>
    <t>AJ23-154</t>
  </si>
  <si>
    <t>RS-25C-150</t>
  </si>
  <si>
    <t>RS-25C-35</t>
  </si>
  <si>
    <t>RS-25C-50</t>
  </si>
  <si>
    <t>RD-0411</t>
  </si>
  <si>
    <t>RD0411</t>
  </si>
  <si>
    <t>RD-277</t>
  </si>
  <si>
    <t>RS-25D</t>
  </si>
  <si>
    <t>RS-25D-150</t>
  </si>
  <si>
    <t>RS-25D-35</t>
  </si>
  <si>
    <t>RS-25D-50</t>
  </si>
  <si>
    <t>RD-277M</t>
  </si>
  <si>
    <t>LPNTR-3200</t>
  </si>
  <si>
    <t>LPNTR-3600</t>
  </si>
  <si>
    <t>R-4D-11-300</t>
  </si>
  <si>
    <t>R-4D-11-44</t>
  </si>
  <si>
    <t>R-4D-15-375</t>
  </si>
  <si>
    <t>R-4D-15DM-375</t>
  </si>
  <si>
    <t>ValoisB</t>
  </si>
  <si>
    <t>VexinA</t>
  </si>
  <si>
    <t>Power</t>
  </si>
  <si>
    <t>CalcR</t>
  </si>
  <si>
    <t>CalcP</t>
  </si>
  <si>
    <t>Total Cost</t>
  </si>
  <si>
    <t>TWR</t>
  </si>
  <si>
    <t>Funds/kN</t>
  </si>
  <si>
    <t>Pc*mass</t>
  </si>
  <si>
    <t>ISP*mass</t>
  </si>
  <si>
    <t>ISP*Pc*mass</t>
  </si>
  <si>
    <t>New Cost Formula</t>
  </si>
  <si>
    <t>Deviation</t>
  </si>
  <si>
    <t>Avg delta</t>
  </si>
  <si>
    <t>Pump fed</t>
  </si>
  <si>
    <t>Rated Burn Time</t>
  </si>
  <si>
    <t>Ignitions</t>
  </si>
  <si>
    <t>ASL ISP</t>
  </si>
  <si>
    <t>Cost Delta F</t>
  </si>
  <si>
    <t>Auto 2</t>
  </si>
  <si>
    <t>Baseline Cost</t>
  </si>
  <si>
    <t>Eff Year Mult</t>
  </si>
  <si>
    <t>Deep Throttle Add</t>
  </si>
  <si>
    <t>Ignitions Add</t>
  </si>
  <si>
    <t>ASL Mult</t>
  </si>
  <si>
    <t>TWR Add</t>
  </si>
  <si>
    <t>ISP Mult</t>
  </si>
  <si>
    <t>Burn Time Mult</t>
  </si>
  <si>
    <t>Reliability Mult</t>
  </si>
  <si>
    <t>Other method</t>
  </si>
  <si>
    <t>OtherCalc</t>
  </si>
  <si>
    <t>NK</t>
  </si>
  <si>
    <t>Discrepancy</t>
  </si>
  <si>
    <t>Tuning</t>
  </si>
  <si>
    <t>Pressure Const Multiplier</t>
  </si>
  <si>
    <t>Pump Const Mult</t>
  </si>
  <si>
    <t>-</t>
  </si>
  <si>
    <t>Raptor Non-Throttleable</t>
  </si>
  <si>
    <t xml:space="preserve">Raptor Vacuum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</si>
</sst>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i/>
      <sz val="10.0"/>
      <color theme="1"/>
      <name val="Arial"/>
    </font>
    <font>
      <color theme="1"/>
      <name val="Arial"/>
      <scheme val="minor"/>
    </font>
    <font>
      <sz val="9.0"/>
      <color rgb="FF000000"/>
      <name val="Arial"/>
    </font>
    <font>
      <sz val="9.0"/>
      <color rgb="FF000000"/>
      <name val="&quot;Google Sans Mono&quot;"/>
    </font>
  </fonts>
  <fills count="7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164" xfId="0" applyBorder="1" applyFont="1" applyNumberFormat="1"/>
    <xf borderId="1" fillId="2" fontId="1" numFmtId="1" xfId="0" applyAlignment="1" applyBorder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4" xfId="0" applyAlignment="1" applyFont="1" applyNumberFormat="1">
      <alignment readingOrder="0"/>
    </xf>
    <xf borderId="1" fillId="3" fontId="1" numFmtId="0" xfId="0" applyBorder="1" applyFill="1" applyFont="1"/>
    <xf borderId="1" fillId="3" fontId="1" numFmtId="1" xfId="0" applyBorder="1" applyFont="1" applyNumberFormat="1"/>
    <xf borderId="1" fillId="3" fontId="1" numFmtId="0" xfId="0" applyAlignment="1" applyBorder="1" applyFont="1">
      <alignment readingOrder="0"/>
    </xf>
    <xf borderId="1" fillId="3" fontId="1" numFmtId="165" xfId="0" applyBorder="1" applyFont="1" applyNumberFormat="1"/>
    <xf borderId="1" fillId="3" fontId="1" numFmtId="164" xfId="0" applyBorder="1" applyFont="1" applyNumberFormat="1"/>
    <xf borderId="1" fillId="3" fontId="1" numFmtId="4" xfId="0" applyBorder="1" applyFont="1" applyNumberFormat="1"/>
    <xf borderId="1" fillId="3" fontId="1" numFmtId="9" xfId="0" applyBorder="1" applyFont="1" applyNumberFormat="1"/>
    <xf borderId="1" fillId="3" fontId="1" numFmtId="0" xfId="0" applyBorder="1" applyFont="1"/>
    <xf borderId="0" fillId="3" fontId="1" numFmtId="0" xfId="0" applyFont="1"/>
    <xf borderId="1" fillId="4" fontId="1" numFmtId="0" xfId="0" applyBorder="1" applyFill="1" applyFont="1"/>
    <xf borderId="1" fillId="4" fontId="1" numFmtId="1" xfId="0" applyBorder="1" applyFont="1" applyNumberFormat="1"/>
    <xf borderId="1" fillId="4" fontId="1" numFmtId="0" xfId="0" applyAlignment="1" applyBorder="1" applyFont="1">
      <alignment readingOrder="0"/>
    </xf>
    <xf borderId="1" fillId="4" fontId="1" numFmtId="165" xfId="0" applyBorder="1" applyFont="1" applyNumberFormat="1"/>
    <xf borderId="1" fillId="4" fontId="1" numFmtId="164" xfId="0" applyBorder="1" applyFont="1" applyNumberFormat="1"/>
    <xf borderId="1" fillId="4" fontId="1" numFmtId="4" xfId="0" applyBorder="1" applyFont="1" applyNumberFormat="1"/>
    <xf borderId="1" fillId="4" fontId="1" numFmtId="9" xfId="0" applyBorder="1" applyFont="1" applyNumberFormat="1"/>
    <xf borderId="1" fillId="4" fontId="1" numFmtId="0" xfId="0" applyBorder="1" applyFont="1"/>
    <xf borderId="0" fillId="4" fontId="1" numFmtId="1" xfId="0" applyFont="1" applyNumberFormat="1"/>
    <xf borderId="0" fillId="4" fontId="1" numFmtId="0" xfId="0" applyAlignment="1" applyFont="1">
      <alignment readingOrder="0"/>
    </xf>
    <xf borderId="0" fillId="4" fontId="1" numFmtId="0" xfId="0" applyFont="1"/>
    <xf borderId="0" fillId="3" fontId="1" numFmtId="1" xfId="0" applyFont="1" applyNumberFormat="1"/>
    <xf borderId="1" fillId="3" fontId="1" numFmtId="1" xfId="0" applyAlignment="1" applyBorder="1" applyFont="1" applyNumberFormat="1">
      <alignment readingOrder="0"/>
    </xf>
    <xf borderId="0" fillId="3" fontId="1" numFmtId="0" xfId="0" applyAlignment="1" applyFont="1">
      <alignment readingOrder="0"/>
    </xf>
    <xf borderId="1" fillId="3" fontId="2" numFmtId="0" xfId="0" applyAlignment="1" applyBorder="1" applyFont="1">
      <alignment horizontal="right" vertical="bottom"/>
    </xf>
    <xf borderId="1" fillId="4" fontId="2" numFmtId="0" xfId="0" applyAlignment="1" applyBorder="1" applyFont="1">
      <alignment horizontal="right" vertical="bottom"/>
    </xf>
    <xf borderId="1" fillId="4" fontId="1" numFmtId="1" xfId="0" applyAlignment="1" applyBorder="1" applyFont="1" applyNumberFormat="1">
      <alignment readingOrder="0"/>
    </xf>
    <xf borderId="1" fillId="3" fontId="1" numFmtId="2" xfId="0" applyBorder="1" applyFont="1" applyNumberFormat="1"/>
    <xf borderId="1" fillId="4" fontId="3" numFmtId="0" xfId="0" applyBorder="1" applyFont="1"/>
    <xf borderId="1" fillId="3" fontId="3" numFmtId="0" xfId="0" applyBorder="1" applyFont="1"/>
    <xf borderId="0" fillId="4" fontId="1" numFmtId="0" xfId="0" applyFont="1"/>
    <xf borderId="0" fillId="3" fontId="1" numFmtId="0" xfId="0" applyFont="1"/>
    <xf borderId="1" fillId="3" fontId="2" numFmtId="4" xfId="0" applyAlignment="1" applyBorder="1" applyFont="1" applyNumberFormat="1">
      <alignment horizontal="right" readingOrder="0" vertical="bottom"/>
    </xf>
    <xf borderId="0" fillId="3" fontId="1" numFmtId="9" xfId="0" applyFont="1" applyNumberFormat="1"/>
    <xf borderId="0" fillId="3" fontId="2" numFmtId="4" xfId="0" applyAlignment="1" applyFont="1" applyNumberFormat="1">
      <alignment horizontal="right" readingOrder="0" vertical="bottom"/>
    </xf>
    <xf borderId="0" fillId="0" fontId="1" numFmtId="164" xfId="0" applyFont="1" applyNumberFormat="1"/>
    <xf borderId="0" fillId="0" fontId="1" numFmtId="1" xfId="0" applyFont="1" applyNumberFormat="1"/>
    <xf borderId="0" fillId="3" fontId="2" numFmtId="4" xfId="0" applyAlignment="1" applyFont="1" applyNumberFormat="1">
      <alignment horizontal="right" vertical="bottom"/>
    </xf>
    <xf borderId="1" fillId="2" fontId="1" numFmtId="1" xfId="0" applyBorder="1" applyFont="1" applyNumberFormat="1"/>
    <xf borderId="1" fillId="5" fontId="1" numFmtId="1" xfId="0" applyAlignment="1" applyBorder="1" applyFill="1" applyFont="1" applyNumberFormat="1">
      <alignment readingOrder="0"/>
    </xf>
    <xf borderId="0" fillId="4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0" xfId="0" applyFont="1" applyNumberFormat="1"/>
    <xf borderId="0" fillId="0" fontId="1" numFmtId="0" xfId="0" applyFont="1"/>
    <xf borderId="0" fillId="0" fontId="1" numFmtId="0" xfId="0" applyFont="1"/>
    <xf borderId="0" fillId="0" fontId="1" numFmtId="165" xfId="0" applyFont="1" applyNumberFormat="1"/>
    <xf borderId="0" fillId="0" fontId="1" numFmtId="164" xfId="0" applyFont="1" applyNumberFormat="1"/>
    <xf borderId="0" fillId="0" fontId="1" numFmtId="1" xfId="0" applyFont="1" applyNumberFormat="1"/>
    <xf borderId="0" fillId="0" fontId="1" numFmtId="9" xfId="0" applyFont="1" applyNumberFormat="1"/>
    <xf borderId="0" fillId="0" fontId="1" numFmtId="10" xfId="0" applyFont="1" applyNumberFormat="1"/>
    <xf borderId="1" fillId="3" fontId="5" numFmtId="1" xfId="0" applyBorder="1" applyFont="1" applyNumberFormat="1"/>
    <xf borderId="1" fillId="6" fontId="1" numFmtId="0" xfId="0" applyBorder="1" applyFill="1" applyFont="1"/>
    <xf borderId="1" fillId="6" fontId="1" numFmtId="0" xfId="0" applyBorder="1" applyFont="1"/>
    <xf borderId="0" fillId="0" fontId="1" numFmtId="165" xfId="0" applyFont="1" applyNumberFormat="1"/>
    <xf borderId="1" fillId="3" fontId="5" numFmtId="1" xfId="0" applyBorder="1" applyFont="1" applyNumberFormat="1"/>
    <xf borderId="0" fillId="0" fontId="1" numFmtId="9" xfId="0" applyFont="1" applyNumberFormat="1"/>
    <xf borderId="0" fillId="0" fontId="1" numFmtId="10" xfId="0" applyFont="1" applyNumberForma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2" fontId="1" numFmtId="164" xfId="0" applyAlignment="1" applyBorder="1" applyFont="1" applyNumberFormat="1">
      <alignment shrinkToFit="0" wrapText="1"/>
    </xf>
    <xf borderId="1" fillId="2" fontId="1" numFmtId="1" xfId="0" applyAlignment="1" applyBorder="1" applyFont="1" applyNumberFormat="1">
      <alignment shrinkToFit="0" wrapText="1"/>
    </xf>
    <xf borderId="0" fillId="2" fontId="1" numFmtId="4" xfId="0" applyAlignment="1" applyFont="1" applyNumberFormat="1">
      <alignment readingOrder="0" shrinkToFit="0" wrapText="1"/>
    </xf>
    <xf borderId="0" fillId="2" fontId="1" numFmtId="4" xfId="0" applyAlignment="1" applyFont="1" applyNumberFormat="1">
      <alignment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3" fontId="1" numFmtId="4" xfId="0" applyFont="1" applyNumberFormat="1"/>
    <xf borderId="0" fillId="3" fontId="6" numFmtId="0" xfId="0" applyAlignment="1" applyFont="1">
      <alignment readingOrder="0"/>
    </xf>
    <xf borderId="0" fillId="3" fontId="1" numFmtId="4" xfId="0" applyAlignment="1" applyFont="1" applyNumberFormat="1">
      <alignment readingOrder="0"/>
    </xf>
    <xf borderId="1" fillId="3" fontId="1" numFmtId="4" xfId="0" applyAlignment="1" applyBorder="1" applyFont="1" applyNumberFormat="1">
      <alignment readingOrder="0"/>
    </xf>
    <xf borderId="0" fillId="3" fontId="1" numFmtId="10" xfId="0" applyAlignment="1" applyFont="1" applyNumberFormat="1">
      <alignment readingOrder="0"/>
    </xf>
    <xf borderId="0" fillId="3" fontId="6" numFmtId="4" xfId="0" applyFont="1" applyNumberFormat="1"/>
    <xf borderId="0" fillId="0" fontId="4" numFmtId="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3">
    <tableStyle count="2" pivot="0" name="Standard Balance curves-style">
      <tableStyleElement dxfId="1" type="firstRowStripe"/>
      <tableStyleElement dxfId="2" type="secondRowStripe"/>
    </tableStyle>
    <tableStyle count="2" pivot="0" name="Standard Balance curves-style 2">
      <tableStyleElement dxfId="2" type="firstRowStripe"/>
      <tableStyleElement dxfId="1" type="secondRowStripe"/>
    </tableStyle>
    <tableStyle count="2" pivot="0" name="Hydrogen Balance Curve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'Standard Balance curves'!$E$5:$E$8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2294"/>
        <c:axId val="1006245317"/>
      </c:scatterChart>
      <c:valAx>
        <c:axId val="5409522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Dry 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6245317"/>
      </c:valAx>
      <c:valAx>
        <c:axId val="1006245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09522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ISP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'Hydrogen Balance Curves'!$G$2:$G$4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48598"/>
        <c:axId val="1964720341"/>
      </c:scatterChart>
      <c:valAx>
        <c:axId val="6258485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ISP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4720341"/>
      </c:valAx>
      <c:valAx>
        <c:axId val="1964720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58485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Pc*mass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'Hydrogen Balance Curves'!$L$2:$L$4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1898"/>
        <c:axId val="628428393"/>
      </c:scatterChart>
      <c:valAx>
        <c:axId val="2989018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8428393"/>
      </c:valAx>
      <c:valAx>
        <c:axId val="62842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89018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ISP*mass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'Hydrogen Balance Curves'!$M$2:$M$4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99784"/>
        <c:axId val="2037591120"/>
      </c:scatterChart>
      <c:valAx>
        <c:axId val="5295997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7591120"/>
      </c:valAx>
      <c:valAx>
        <c:axId val="2037591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95997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ISP*mass*Pc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'Hydrogen Balance Curves'!$N$2:$N$4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6656"/>
        <c:axId val="1005657296"/>
      </c:scatterChart>
      <c:valAx>
        <c:axId val="232036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5657296"/>
      </c:valAx>
      <c:valAx>
        <c:axId val="1005657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20366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Chamber pressure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'Standard Balance curves'!$H$5:$H$8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138507"/>
        <c:axId val="1394279994"/>
      </c:scatterChart>
      <c:valAx>
        <c:axId val="1675138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Chamber pressure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4279994"/>
      </c:valAx>
      <c:valAx>
        <c:axId val="1394279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51385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ISP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'Standard Balance curves'!$G$5:$G$8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51701"/>
        <c:axId val="1016711095"/>
      </c:scatterChart>
      <c:valAx>
        <c:axId val="10614517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ISP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16711095"/>
      </c:valAx>
      <c:valAx>
        <c:axId val="1016711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14517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Pc*mass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'Standard Balance curves'!$L$5:$L$7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320708"/>
        <c:axId val="1168452791"/>
      </c:scatterChart>
      <c:valAx>
        <c:axId val="1197320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8452791"/>
      </c:valAx>
      <c:valAx>
        <c:axId val="1168452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73207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ISP*mass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'Standard Balance curves'!$M$5:$M$7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16321"/>
        <c:axId val="1507542634"/>
      </c:scatterChart>
      <c:valAx>
        <c:axId val="17649163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7542634"/>
      </c:valAx>
      <c:valAx>
        <c:axId val="1507542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49163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ISP*mass*Pc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'Standard Balance curves'!$N$5:$N$8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2201"/>
        <c:axId val="185236164"/>
      </c:scatterChart>
      <c:valAx>
        <c:axId val="284322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236164"/>
      </c:valAx>
      <c:valAx>
        <c:axId val="185236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4322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Thrust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'Standard Balance curves'!$F$5:$F$8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834367"/>
        <c:axId val="1992580708"/>
      </c:scatterChart>
      <c:valAx>
        <c:axId val="14178343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Thrust (kN)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2580708"/>
      </c:valAx>
      <c:valAx>
        <c:axId val="1992580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78343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'Hydrogen Balance Curves'!$E$2:$E$4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866287"/>
        <c:axId val="689578737"/>
      </c:scatterChart>
      <c:valAx>
        <c:axId val="9898662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Dry 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9578737"/>
      </c:valAx>
      <c:valAx>
        <c:axId val="689578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98662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Chamber pressure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'Hydrogen Balance Curves'!$H$2:$H$4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41513"/>
        <c:axId val="1098682329"/>
      </c:scatterChart>
      <c:valAx>
        <c:axId val="11034415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Chamber pressure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8682329"/>
      </c:valAx>
      <c:valAx>
        <c:axId val="1098682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34415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8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26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295275</xdr:colOff>
      <xdr:row>26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44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295275</xdr:colOff>
      <xdr:row>44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371475</xdr:colOff>
      <xdr:row>17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8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8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26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819150</xdr:colOff>
      <xdr:row>26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45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819150</xdr:colOff>
      <xdr:row>45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7" displayName="Table_1" 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Standard Balance curves-style" showColumnStripes="0" showFirstColumn="1" showLastColumn="1" showRowStripes="1"/>
</table>
</file>

<file path=xl/tables/table2.xml><?xml version="1.0" encoding="utf-8"?>
<table xmlns="http://schemas.openxmlformats.org/spreadsheetml/2006/main" headerRowCount="0" ref="F8:H8" displayName="Table_2" name="Table_2" id="2">
  <tableColumns count="3">
    <tableColumn name="Column1" id="1"/>
    <tableColumn name="Column2" id="2"/>
    <tableColumn name="Column3" id="3"/>
  </tableColumns>
  <tableStyleInfo name="Standard Balance curve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2:P7" displayName="Table_3" 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Hydrogen Balance Curv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13"/>
    <col customWidth="1" min="2" max="4" width="12.63"/>
    <col customWidth="1" min="5" max="5" width="9.88"/>
    <col customWidth="1" min="6" max="6" width="10.0"/>
    <col customWidth="1" min="7" max="7" width="7.13"/>
    <col customWidth="1" min="8" max="8" width="8.38"/>
    <col customWidth="1" min="9" max="9" width="12.88"/>
    <col customWidth="1" min="10" max="10" width="9.0"/>
    <col customWidth="1" min="11" max="12" width="10.0"/>
    <col customWidth="1" min="13" max="14" width="9.75"/>
    <col customWidth="1" min="15" max="15" width="11.13"/>
    <col customWidth="1" min="16" max="16" width="9.75"/>
    <col customWidth="1" min="17" max="17" width="7.0"/>
    <col customWidth="1" min="18" max="18" width="11.75"/>
    <col customWidth="1" min="19" max="19" width="9.75"/>
    <col customWidth="1" min="20" max="20" width="10.25"/>
    <col customWidth="1" min="21" max="22" width="9.13"/>
    <col customWidth="1" min="23" max="23" width="11.5"/>
    <col customWidth="1" min="24" max="27" width="10.25"/>
    <col customWidth="1" min="28" max="28" width="12.75"/>
    <col customWidth="1" min="29" max="33" width="10.2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2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ht="15.75" customHeight="1">
      <c r="A2" s="7" t="s">
        <v>33</v>
      </c>
      <c r="B2" s="7" t="s">
        <v>33</v>
      </c>
      <c r="C2" s="8">
        <f t="shared" ref="C2:C505" si="1">if(countif(B$2:B2,B2)&gt;1,T2-vlookup(B2,$B$2:$T2,column(C2)-1,false),T2)</f>
        <v>144</v>
      </c>
      <c r="D2" s="7">
        <v>1968.0</v>
      </c>
      <c r="E2" s="7"/>
      <c r="F2" s="7" t="b">
        <v>1</v>
      </c>
      <c r="G2" s="7" t="b">
        <v>0</v>
      </c>
      <c r="H2" s="7" t="b">
        <v>1</v>
      </c>
      <c r="I2" s="7" t="b">
        <v>0</v>
      </c>
      <c r="J2" s="9" t="b">
        <v>0</v>
      </c>
      <c r="K2" s="7">
        <v>107.0</v>
      </c>
      <c r="L2" s="7">
        <v>131.41</v>
      </c>
      <c r="M2" s="7">
        <v>326.0</v>
      </c>
      <c r="N2" s="7">
        <v>8.92</v>
      </c>
      <c r="O2" s="7">
        <v>0.998916</v>
      </c>
      <c r="P2" s="7">
        <v>0.99705</v>
      </c>
      <c r="Q2" s="10">
        <f t="shared" ref="Q2:Q743" si="2">(L2*101.971621)/K2</f>
        <v>125.2344927</v>
      </c>
      <c r="R2" s="11">
        <f t="shared" ref="R2:R657" si="3">T2/L2</f>
        <v>1.095807016</v>
      </c>
      <c r="S2" s="12">
        <f t="shared" ref="S2:S743" si="4">IF(F2,4,1)*IF(G2,1.05,1)*IF(AND(NOT(F2),NOT(G2)),1.75,1)</f>
        <v>4</v>
      </c>
      <c r="T2" s="8">
        <f t="shared" ref="T2:T5" si="5">round(V2*W2*X2*Y2*Z2,0)</f>
        <v>144</v>
      </c>
      <c r="U2" s="13">
        <f>T2/vlookup(A2,Max!$A$2:$AP$700,column(Max!$AP$2),false)</f>
        <v>1.309090909</v>
      </c>
      <c r="V2" s="8">
        <f t="shared" ref="V2:V657" si="6">0.65*(3.43*K2^0.46+4.47*K2^0.649+if(E2,10*ln(K2),0))</f>
        <v>79.42673844</v>
      </c>
      <c r="W2" s="14">
        <f t="shared" ref="W2:W657" si="7">if(J2,Q2^0.5*0.75*(max(700,M2)/700)^2,(1-min(15,max(0,M2-300))/15)*((M2/300)^((0.2/300^6)*max(189,M2)^6+(0.7/300^2)*max(189,M2)^2))+(min(15,max(0,M2-300))/15)*(M2/300)^(min(1000,M2)/150))</f>
        <v>1.197979511</v>
      </c>
      <c r="X2" s="14">
        <f t="shared" ref="X2:X657" si="8">(0.88*N2^0.3)^if(H2,0.75,1)</f>
        <v>1.48659989</v>
      </c>
      <c r="Y2" s="14">
        <f t="shared" ref="Y2:Y657" si="9">if(J2,2,1)*IF(I2,1.5,1)</f>
        <v>1</v>
      </c>
      <c r="Z2" s="14">
        <f t="shared" ref="Z2:Z657" si="10">IF(O2*P2*D2&gt;0,(if(H2,O2,1)*P2/min(0.99,16649*(D2/10000)^2-6443.4*(D2/10000)+624.3))^2.5,1)</f>
        <v>1.015141965</v>
      </c>
      <c r="AA2" s="15">
        <f t="shared" ref="AA2:AA657" si="11">if(countif(B$2:B2,B2)&gt;1,T2-vlookup(B2,$B$2:$T2,column(T2)-1,false),0)</f>
        <v>0</v>
      </c>
      <c r="AB2" s="15">
        <f>if(iserror(find("$",A2)),1,2)</f>
        <v>1</v>
      </c>
      <c r="AC2" s="15" t="str">
        <f t="shared" ref="AC2:AC6" si="12">if(AB2=0,"{"&amp;char(10)&amp;"$name$"&amp;": "&amp;"$"&amp;A2&amp;"$"&amp;","&amp;char(10)&amp;"$config$"&amp;": "&amp;"$"&amp;B2&amp;"$"&amp;","&amp;char(10)&amp;"$cost$"&amp;": "&amp;C2&amp;char(10)&amp;"},","")</f>
        <v/>
      </c>
      <c r="AD2" s="15" t="str">
        <f t="shared" ref="AD2:AD6" si="13">if(AB2=1,"$"&amp;A2&amp;"$"&amp;": "&amp;C2&amp;",","")</f>
        <v>$15D13$: 144,</v>
      </c>
      <c r="AE2" s="15" t="str">
        <f t="shared" ref="AE2:AE3" si="14">if(AB2=2,if(AF1&lt;&gt;AF2,char(9)&amp;char(9)&amp;"@CONFIG["&amp;AF2&amp;"]"&amp;char(10)&amp;char(9)&amp;char(9)&amp;"{"&amp;char(10),"")&amp;char(9)&amp;char(9)&amp;char(9)&amp;"@SUBCONFIG["&amp;AG2&amp;"] { %cost = "&amp;AA2&amp;" }"&amp;if(AF3&lt;&gt;AF2,char(10)&amp;char(9)&amp;char(9)&amp;"}",""),"")</f>
        <v/>
      </c>
      <c r="AF2" s="15" t="str">
        <f t="shared" ref="AF2:AF6" si="15">if(AB2=2,left(A2,find("$",A2)-1),"")</f>
        <v/>
      </c>
      <c r="AG2" s="15" t="str">
        <f t="shared" ref="AG2:AG6" si="16">if(AB2=2,mid(A2,find("$",A2)+1,len(A2)),"")</f>
        <v/>
      </c>
    </row>
    <row r="3" ht="15.75" customHeight="1">
      <c r="A3" s="16" t="s">
        <v>34</v>
      </c>
      <c r="B3" s="16" t="s">
        <v>33</v>
      </c>
      <c r="C3" s="17">
        <f t="shared" si="1"/>
        <v>8</v>
      </c>
      <c r="D3" s="16">
        <v>1968.0</v>
      </c>
      <c r="E3" s="16"/>
      <c r="F3" s="16" t="b">
        <v>1</v>
      </c>
      <c r="G3" s="16" t="b">
        <v>0</v>
      </c>
      <c r="H3" s="16" t="b">
        <v>1</v>
      </c>
      <c r="I3" s="16" t="b">
        <v>0</v>
      </c>
      <c r="J3" s="18" t="b">
        <v>0</v>
      </c>
      <c r="K3" s="16">
        <v>117.7</v>
      </c>
      <c r="L3" s="16">
        <v>131.41</v>
      </c>
      <c r="M3" s="16">
        <v>326.0</v>
      </c>
      <c r="N3" s="16">
        <v>8.92</v>
      </c>
      <c r="O3" s="16">
        <v>0.999</v>
      </c>
      <c r="P3" s="16">
        <v>0.998</v>
      </c>
      <c r="Q3" s="19">
        <f t="shared" si="2"/>
        <v>113.8495388</v>
      </c>
      <c r="R3" s="20">
        <f t="shared" si="3"/>
        <v>1.156685184</v>
      </c>
      <c r="S3" s="21">
        <f t="shared" si="4"/>
        <v>4</v>
      </c>
      <c r="T3" s="17">
        <f t="shared" si="5"/>
        <v>152</v>
      </c>
      <c r="U3" s="22">
        <f>T3/vlookup(A3,Max!$A$2:$AP$700,column(Max!$AP$2),false)</f>
        <v>1.216</v>
      </c>
      <c r="V3" s="17">
        <f t="shared" si="6"/>
        <v>84.13160173</v>
      </c>
      <c r="W3" s="23">
        <f t="shared" si="7"/>
        <v>1.197979511</v>
      </c>
      <c r="X3" s="23">
        <f t="shared" si="8"/>
        <v>1.48659989</v>
      </c>
      <c r="Y3" s="23">
        <f t="shared" si="9"/>
        <v>1</v>
      </c>
      <c r="Z3" s="23">
        <f t="shared" si="10"/>
        <v>1.017775723</v>
      </c>
      <c r="AA3" s="24">
        <f t="shared" si="11"/>
        <v>8</v>
      </c>
      <c r="AB3" s="25">
        <v>0.0</v>
      </c>
      <c r="AC3" s="26" t="str">
        <f t="shared" si="12"/>
        <v>{
$name$: $11D423$,
$config$: $15D13$,
$cost$: 8
},</v>
      </c>
      <c r="AD3" s="26" t="str">
        <f t="shared" si="13"/>
        <v/>
      </c>
      <c r="AE3" s="26" t="str">
        <f t="shared" si="14"/>
        <v/>
      </c>
      <c r="AF3" s="26" t="str">
        <f t="shared" si="15"/>
        <v/>
      </c>
      <c r="AG3" s="26" t="str">
        <f t="shared" si="16"/>
        <v/>
      </c>
    </row>
    <row r="4" ht="15.75" customHeight="1">
      <c r="A4" s="7" t="s">
        <v>35</v>
      </c>
      <c r="B4" s="7" t="s">
        <v>33</v>
      </c>
      <c r="C4" s="8">
        <f t="shared" si="1"/>
        <v>48</v>
      </c>
      <c r="D4" s="7">
        <v>1972.0</v>
      </c>
      <c r="E4" s="7"/>
      <c r="F4" s="7" t="b">
        <v>1</v>
      </c>
      <c r="G4" s="7" t="b">
        <v>0</v>
      </c>
      <c r="H4" s="7" t="b">
        <v>0</v>
      </c>
      <c r="I4" s="7" t="b">
        <v>0</v>
      </c>
      <c r="J4" s="9" t="b">
        <v>0</v>
      </c>
      <c r="K4" s="7">
        <v>117.7</v>
      </c>
      <c r="L4" s="7">
        <v>131.41</v>
      </c>
      <c r="M4" s="7">
        <v>335.0</v>
      </c>
      <c r="N4" s="7">
        <v>10.0</v>
      </c>
      <c r="O4" s="7">
        <v>0.998916</v>
      </c>
      <c r="P4" s="7">
        <v>0.99705</v>
      </c>
      <c r="Q4" s="10">
        <f t="shared" si="2"/>
        <v>113.8495388</v>
      </c>
      <c r="R4" s="11">
        <f t="shared" si="3"/>
        <v>1.461076022</v>
      </c>
      <c r="S4" s="12">
        <f t="shared" si="4"/>
        <v>4</v>
      </c>
      <c r="T4" s="8">
        <f t="shared" si="5"/>
        <v>192</v>
      </c>
      <c r="U4" s="13">
        <f>T4/vlookup(A4,Max!$A$2:$AP$700,column(Max!$AP$2),false)</f>
        <v>4.8</v>
      </c>
      <c r="V4" s="8">
        <f t="shared" si="6"/>
        <v>84.13160173</v>
      </c>
      <c r="W4" s="14">
        <f t="shared" si="7"/>
        <v>1.279467524</v>
      </c>
      <c r="X4" s="14">
        <f t="shared" si="8"/>
        <v>1.755830837</v>
      </c>
      <c r="Y4" s="14">
        <f t="shared" si="9"/>
        <v>1</v>
      </c>
      <c r="Z4" s="14">
        <f t="shared" si="10"/>
        <v>1.017898227</v>
      </c>
      <c r="AA4" s="27">
        <f t="shared" si="11"/>
        <v>48</v>
      </c>
      <c r="AB4" s="15">
        <f>if(iserror(find("$",A4)),1,2)</f>
        <v>1</v>
      </c>
      <c r="AC4" s="15" t="str">
        <f t="shared" si="12"/>
        <v/>
      </c>
      <c r="AD4" s="15" t="str">
        <f t="shared" si="13"/>
        <v>$5D22$: 48,</v>
      </c>
      <c r="AE4" s="15" t="str">
        <f>if(AB4=2,if(AF3&lt;&gt;AF4,char(9)&amp;char(9)&amp;"@CONFIG["&amp;AF4&amp;"]"&amp;char(10)&amp;char(9)&amp;char(9)&amp;"{"&amp;char(10),"")&amp;char(9)&amp;char(9)&amp;char(9)&amp;"@SUBCONFIG["&amp;AG4&amp;"] { %cost = "&amp;AA4&amp;" }"&amp;if(AF8&lt;&gt;AF4,char(10)&amp;char(9)&amp;char(9)&amp;"}",""),"")</f>
        <v/>
      </c>
      <c r="AF4" s="15" t="str">
        <f t="shared" si="15"/>
        <v/>
      </c>
      <c r="AG4" s="15" t="str">
        <f t="shared" si="16"/>
        <v/>
      </c>
    </row>
    <row r="5" ht="15.75" customHeight="1">
      <c r="A5" s="16" t="s">
        <v>36</v>
      </c>
      <c r="B5" s="16" t="s">
        <v>36</v>
      </c>
      <c r="C5" s="17">
        <f t="shared" si="1"/>
        <v>320</v>
      </c>
      <c r="D5" s="16">
        <v>1939.0</v>
      </c>
      <c r="E5" s="16"/>
      <c r="F5" s="16" t="b">
        <v>1</v>
      </c>
      <c r="G5" s="16" t="b">
        <v>0</v>
      </c>
      <c r="H5" s="16" t="b">
        <v>0</v>
      </c>
      <c r="I5" s="16" t="b">
        <v>0</v>
      </c>
      <c r="J5" s="18" t="b">
        <v>0</v>
      </c>
      <c r="K5" s="16">
        <v>929.86</v>
      </c>
      <c r="L5" s="16">
        <v>284.68</v>
      </c>
      <c r="M5" s="16">
        <v>242.0</v>
      </c>
      <c r="N5" s="16">
        <v>1.5</v>
      </c>
      <c r="O5" s="16">
        <v>0.97</v>
      </c>
      <c r="P5" s="16">
        <v>0.95</v>
      </c>
      <c r="Q5" s="19">
        <f t="shared" si="2"/>
        <v>31.21898035</v>
      </c>
      <c r="R5" s="20">
        <f t="shared" si="3"/>
        <v>1.12406913</v>
      </c>
      <c r="S5" s="21">
        <f t="shared" si="4"/>
        <v>4</v>
      </c>
      <c r="T5" s="17">
        <f t="shared" si="5"/>
        <v>320</v>
      </c>
      <c r="U5" s="22">
        <f>T5/vlookup(A5,Max!$A$2:$AP$700,column(Max!$AP$2),false)</f>
        <v>1.28</v>
      </c>
      <c r="V5" s="17">
        <f t="shared" si="6"/>
        <v>297.0373791</v>
      </c>
      <c r="W5" s="23">
        <f t="shared" si="7"/>
        <v>0.896102545</v>
      </c>
      <c r="X5" s="23">
        <f t="shared" si="8"/>
        <v>0.9938253032</v>
      </c>
      <c r="Y5" s="23">
        <f t="shared" si="9"/>
        <v>1</v>
      </c>
      <c r="Z5" s="23">
        <f t="shared" si="10"/>
        <v>1.208515503</v>
      </c>
      <c r="AA5" s="26">
        <f t="shared" si="11"/>
        <v>0</v>
      </c>
      <c r="AB5" s="25">
        <v>0.0</v>
      </c>
      <c r="AC5" s="26" t="str">
        <f t="shared" si="12"/>
        <v>{
$name$: $A-4$,
$config$: $A-4$,
$cost$: 320
},</v>
      </c>
      <c r="AD5" s="26" t="str">
        <f t="shared" si="13"/>
        <v/>
      </c>
      <c r="AE5" s="26" t="str">
        <f>if(AB5=2,if(#REF!&lt;&gt;AF5,char(9)&amp;char(9)&amp;"@CONFIG["&amp;AF5&amp;"]"&amp;char(10)&amp;char(9)&amp;char(9)&amp;"{"&amp;char(10),"")&amp;char(9)&amp;char(9)&amp;char(9)&amp;"@SUBCONFIG["&amp;AG5&amp;"] { %cost = "&amp;AA5&amp;" }"&amp;if(AF6&lt;&gt;AF5,char(10)&amp;char(9)&amp;char(9)&amp;"}",""),"")</f>
        <v/>
      </c>
      <c r="AF5" s="26" t="str">
        <f t="shared" si="15"/>
        <v/>
      </c>
      <c r="AG5" s="26" t="str">
        <f t="shared" si="16"/>
        <v/>
      </c>
    </row>
    <row r="6" ht="15.75" customHeight="1">
      <c r="A6" s="7" t="s">
        <v>37</v>
      </c>
      <c r="B6" s="7" t="s">
        <v>36</v>
      </c>
      <c r="C6" s="8">
        <f t="shared" si="1"/>
        <v>30</v>
      </c>
      <c r="D6" s="7">
        <v>1945.0</v>
      </c>
      <c r="E6" s="7"/>
      <c r="F6" s="7" t="b">
        <v>1</v>
      </c>
      <c r="G6" s="7" t="b">
        <v>0</v>
      </c>
      <c r="H6" s="7" t="b">
        <v>1</v>
      </c>
      <c r="I6" s="7" t="b">
        <v>0</v>
      </c>
      <c r="J6" s="9" t="b">
        <v>0</v>
      </c>
      <c r="K6" s="7">
        <f>929.86*1.045</f>
        <v>971.7037</v>
      </c>
      <c r="L6" s="7">
        <v>288.68</v>
      </c>
      <c r="M6" s="7">
        <v>255.0</v>
      </c>
      <c r="N6" s="7">
        <v>1.7</v>
      </c>
      <c r="O6" s="9">
        <v>0.98</v>
      </c>
      <c r="P6" s="9">
        <v>0.94</v>
      </c>
      <c r="Q6" s="10">
        <f t="shared" si="2"/>
        <v>30.2943866</v>
      </c>
      <c r="R6" s="11">
        <f t="shared" si="3"/>
        <v>1.212415131</v>
      </c>
      <c r="S6" s="12">
        <f t="shared" si="4"/>
        <v>4</v>
      </c>
      <c r="T6" s="28">
        <v>350.0</v>
      </c>
      <c r="U6" s="13">
        <f>T6/vlookup(A6,Max!$A$2:$AP$700,column(Max!$AP$2),false)</f>
        <v>1.166666667</v>
      </c>
      <c r="V6" s="8">
        <f t="shared" si="6"/>
        <v>305.2042757</v>
      </c>
      <c r="W6" s="14">
        <f t="shared" si="7"/>
        <v>0.909870738</v>
      </c>
      <c r="X6" s="14">
        <f t="shared" si="8"/>
        <v>1.023795017</v>
      </c>
      <c r="Y6" s="14">
        <f t="shared" si="9"/>
        <v>1</v>
      </c>
      <c r="Z6" s="14">
        <f t="shared" si="10"/>
        <v>1.076204533</v>
      </c>
      <c r="AA6" s="27">
        <f t="shared" si="11"/>
        <v>30</v>
      </c>
      <c r="AB6" s="15">
        <f>if(iserror(find("$",A6)),1,2)</f>
        <v>1</v>
      </c>
      <c r="AC6" s="15" t="str">
        <f t="shared" si="12"/>
        <v/>
      </c>
      <c r="AD6" s="15" t="str">
        <f t="shared" si="13"/>
        <v>$A-9$: 30,</v>
      </c>
      <c r="AE6" s="15" t="str">
        <f>if(AB6=2,if(AF5&lt;&gt;AF6,char(9)&amp;char(9)&amp;"@CONFIG["&amp;AF6&amp;"]"&amp;char(10)&amp;char(9)&amp;char(9)&amp;"{"&amp;char(10),"")&amp;char(9)&amp;char(9)&amp;char(9)&amp;"@SUBCONFIG["&amp;AG6&amp;"] { %cost = "&amp;AA6&amp;" }"&amp;if(AF7&lt;&gt;AF6,char(10)&amp;char(9)&amp;char(9)&amp;"}",""),"")</f>
        <v/>
      </c>
      <c r="AF6" s="15" t="str">
        <f t="shared" si="15"/>
        <v/>
      </c>
      <c r="AG6" s="15" t="str">
        <f t="shared" si="16"/>
        <v/>
      </c>
    </row>
    <row r="7" ht="15.75" customHeight="1">
      <c r="A7" s="18" t="s">
        <v>38</v>
      </c>
      <c r="B7" s="18" t="s">
        <v>39</v>
      </c>
      <c r="C7" s="17">
        <f t="shared" si="1"/>
        <v>101</v>
      </c>
      <c r="D7" s="18">
        <v>1950.0</v>
      </c>
      <c r="E7" s="16"/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>
        <v>140.0</v>
      </c>
      <c r="L7" s="18">
        <v>71.2</v>
      </c>
      <c r="M7" s="18">
        <v>237.0</v>
      </c>
      <c r="N7" s="18">
        <v>2.28</v>
      </c>
      <c r="O7" s="18">
        <v>0.975</v>
      </c>
      <c r="P7" s="18">
        <v>0.941667</v>
      </c>
      <c r="Q7" s="19">
        <f t="shared" si="2"/>
        <v>51.85985297</v>
      </c>
      <c r="R7" s="20">
        <f t="shared" si="3"/>
        <v>1.418539326</v>
      </c>
      <c r="S7" s="21">
        <f t="shared" si="4"/>
        <v>1.75</v>
      </c>
      <c r="T7" s="17">
        <f t="shared" ref="T7:T90" si="17">round(V7*W7*X7*Y7*Z7,0)</f>
        <v>101</v>
      </c>
      <c r="U7" s="22" t="str">
        <f>T7/vlookup(A7,Max!$A$2:$AP$700,column(Max!$AP$2),false)</f>
        <v>#N/A</v>
      </c>
      <c r="V7" s="17">
        <f t="shared" si="6"/>
        <v>93.43744014</v>
      </c>
      <c r="W7" s="23">
        <f t="shared" si="7"/>
        <v>0.8918652309</v>
      </c>
      <c r="X7" s="23">
        <f t="shared" si="8"/>
        <v>1.126842261</v>
      </c>
      <c r="Y7" s="23">
        <f t="shared" si="9"/>
        <v>1</v>
      </c>
      <c r="Z7" s="23">
        <f t="shared" si="10"/>
        <v>1.073800721</v>
      </c>
      <c r="AA7" s="26">
        <f t="shared" si="11"/>
        <v>0</v>
      </c>
      <c r="AB7" s="25">
        <v>0.0</v>
      </c>
      <c r="AC7" s="26"/>
      <c r="AD7" s="26"/>
      <c r="AE7" s="26"/>
      <c r="AF7" s="26"/>
      <c r="AG7" s="26"/>
    </row>
    <row r="8" ht="15.75" customHeight="1">
      <c r="A8" s="9" t="s">
        <v>40</v>
      </c>
      <c r="B8" s="9" t="s">
        <v>41</v>
      </c>
      <c r="C8" s="8">
        <f t="shared" si="1"/>
        <v>115</v>
      </c>
      <c r="D8" s="9">
        <v>1953.0</v>
      </c>
      <c r="E8" s="7"/>
      <c r="F8" s="9" t="b">
        <v>1</v>
      </c>
      <c r="G8" s="9" t="b">
        <v>0</v>
      </c>
      <c r="H8" s="9" t="b">
        <v>0</v>
      </c>
      <c r="I8" s="9" t="b">
        <v>0</v>
      </c>
      <c r="J8" s="9" t="b">
        <v>0</v>
      </c>
      <c r="K8" s="9">
        <v>175.0</v>
      </c>
      <c r="L8" s="9">
        <v>94.9</v>
      </c>
      <c r="M8" s="9">
        <v>237.0</v>
      </c>
      <c r="N8" s="9">
        <v>2.28</v>
      </c>
      <c r="O8" s="9">
        <v>0.98125</v>
      </c>
      <c r="P8" s="9">
        <v>0.95625</v>
      </c>
      <c r="Q8" s="10">
        <f t="shared" si="2"/>
        <v>55.29775333</v>
      </c>
      <c r="R8" s="11">
        <f t="shared" si="3"/>
        <v>1.211801897</v>
      </c>
      <c r="S8" s="12">
        <f t="shared" si="4"/>
        <v>4</v>
      </c>
      <c r="T8" s="8">
        <f t="shared" si="17"/>
        <v>115</v>
      </c>
      <c r="U8" s="13" t="str">
        <f>T8/vlookup(A8,Max!$A$2:$AP$700,column(Max!$AP$2),false)</f>
        <v>#N/A</v>
      </c>
      <c r="V8" s="8">
        <f t="shared" si="6"/>
        <v>106.9646192</v>
      </c>
      <c r="W8" s="14">
        <f t="shared" si="7"/>
        <v>0.8918652309</v>
      </c>
      <c r="X8" s="14">
        <f t="shared" si="8"/>
        <v>1.126842261</v>
      </c>
      <c r="Y8" s="14">
        <f t="shared" si="9"/>
        <v>1</v>
      </c>
      <c r="Z8" s="14">
        <f t="shared" si="10"/>
        <v>1.067363844</v>
      </c>
      <c r="AA8" s="15">
        <f t="shared" si="11"/>
        <v>0</v>
      </c>
      <c r="AB8" s="29">
        <v>0.0</v>
      </c>
      <c r="AC8" s="15"/>
      <c r="AD8" s="15"/>
      <c r="AE8" s="15"/>
      <c r="AF8" s="15"/>
      <c r="AG8" s="15"/>
    </row>
    <row r="9" ht="15.75" customHeight="1">
      <c r="A9" s="18" t="s">
        <v>42</v>
      </c>
      <c r="B9" s="18" t="s">
        <v>41</v>
      </c>
      <c r="C9" s="17">
        <f t="shared" si="1"/>
        <v>4</v>
      </c>
      <c r="D9" s="18">
        <v>1954.0</v>
      </c>
      <c r="E9" s="16"/>
      <c r="F9" s="18" t="b">
        <v>1</v>
      </c>
      <c r="G9" s="18" t="b">
        <v>0</v>
      </c>
      <c r="H9" s="18" t="b">
        <v>0</v>
      </c>
      <c r="I9" s="18" t="b">
        <v>0</v>
      </c>
      <c r="J9" s="18" t="b">
        <v>0</v>
      </c>
      <c r="K9" s="18">
        <v>165.0</v>
      </c>
      <c r="L9" s="18">
        <v>110.9</v>
      </c>
      <c r="M9" s="18">
        <v>241.0</v>
      </c>
      <c r="N9" s="18">
        <v>2.5</v>
      </c>
      <c r="O9" s="18">
        <v>0.978571</v>
      </c>
      <c r="P9" s="18">
        <v>0.978571</v>
      </c>
      <c r="Q9" s="19">
        <f t="shared" si="2"/>
        <v>68.53728951</v>
      </c>
      <c r="R9" s="20">
        <f t="shared" si="3"/>
        <v>1.073038774</v>
      </c>
      <c r="S9" s="21">
        <f t="shared" si="4"/>
        <v>4</v>
      </c>
      <c r="T9" s="17">
        <f t="shared" si="17"/>
        <v>119</v>
      </c>
      <c r="U9" s="22" t="str">
        <f>T9/vlookup(A9,Max!$A$2:$AP$700,column(Max!$AP$2),false)</f>
        <v>#N/A</v>
      </c>
      <c r="V9" s="17">
        <f t="shared" si="6"/>
        <v>103.21513</v>
      </c>
      <c r="W9" s="23">
        <f t="shared" si="7"/>
        <v>0.895210891</v>
      </c>
      <c r="X9" s="23">
        <f t="shared" si="8"/>
        <v>1.15841634</v>
      </c>
      <c r="Y9" s="23">
        <f t="shared" si="9"/>
        <v>1</v>
      </c>
      <c r="Z9" s="23">
        <f t="shared" si="10"/>
        <v>1.11233788</v>
      </c>
      <c r="AA9" s="24">
        <f t="shared" si="11"/>
        <v>4</v>
      </c>
      <c r="AB9" s="25">
        <v>1.0</v>
      </c>
      <c r="AC9" s="26"/>
      <c r="AD9" s="26"/>
      <c r="AE9" s="26"/>
      <c r="AF9" s="26"/>
      <c r="AG9" s="26"/>
    </row>
    <row r="10" ht="15.75" customHeight="1">
      <c r="A10" s="7" t="s">
        <v>43</v>
      </c>
      <c r="B10" s="7" t="s">
        <v>44</v>
      </c>
      <c r="C10" s="8">
        <f t="shared" si="1"/>
        <v>235</v>
      </c>
      <c r="D10" s="30">
        <v>2023.0</v>
      </c>
      <c r="E10" s="7"/>
      <c r="F10" s="7" t="b">
        <v>1</v>
      </c>
      <c r="G10" s="7" t="b">
        <v>0</v>
      </c>
      <c r="H10" s="7" t="b">
        <v>0</v>
      </c>
      <c r="I10" s="7" t="b">
        <v>0</v>
      </c>
      <c r="J10" s="9" t="b">
        <v>0</v>
      </c>
      <c r="K10" s="7">
        <v>117.8</v>
      </c>
      <c r="L10" s="7">
        <v>132.5</v>
      </c>
      <c r="M10" s="7">
        <v>363.5</v>
      </c>
      <c r="N10" s="7">
        <v>10.0</v>
      </c>
      <c r="O10" s="7"/>
      <c r="P10" s="7"/>
      <c r="Q10" s="10">
        <f t="shared" si="2"/>
        <v>114.6964328</v>
      </c>
      <c r="R10" s="11">
        <f t="shared" si="3"/>
        <v>1.773584906</v>
      </c>
      <c r="S10" s="12">
        <f t="shared" si="4"/>
        <v>4</v>
      </c>
      <c r="T10" s="8">
        <f t="shared" si="17"/>
        <v>235</v>
      </c>
      <c r="U10" s="13">
        <f>T10/vlookup(A10,Max!$A$2:$AP$700,column(Max!$AP$2),false)</f>
        <v>2.797619048</v>
      </c>
      <c r="V10" s="8">
        <f t="shared" si="6"/>
        <v>84.17477539</v>
      </c>
      <c r="W10" s="14">
        <f t="shared" si="7"/>
        <v>1.592447752</v>
      </c>
      <c r="X10" s="14">
        <f t="shared" si="8"/>
        <v>1.755830837</v>
      </c>
      <c r="Y10" s="14">
        <f t="shared" si="9"/>
        <v>1</v>
      </c>
      <c r="Z10" s="14">
        <f t="shared" si="10"/>
        <v>1</v>
      </c>
      <c r="AA10" s="15">
        <f t="shared" si="11"/>
        <v>0</v>
      </c>
      <c r="AB10" s="15">
        <f>if(iserror(find("$",A10)),1,2)</f>
        <v>1</v>
      </c>
      <c r="AC10" s="15" t="str">
        <f t="shared" ref="AC10:AC13" si="18">if(AB10=0,"{"&amp;char(10)&amp;"$name$"&amp;": "&amp;"$"&amp;A10&amp;"$"&amp;","&amp;char(10)&amp;"$config$"&amp;": "&amp;"$"&amp;B10&amp;"$"&amp;","&amp;char(10)&amp;"$cost$"&amp;": "&amp;C10&amp;char(10)&amp;"},","")</f>
        <v/>
      </c>
      <c r="AD10" s="15" t="str">
        <f t="shared" ref="AD10:AD13" si="19">if(AB10=1,"$"&amp;A10&amp;"$"&amp;": "&amp;C10&amp;",","")</f>
        <v>$Aeon1-Vac$: 235,</v>
      </c>
      <c r="AE10" s="15" t="str">
        <f t="shared" ref="AE10:AE13" si="20">if(AB10=2,if(AF9&lt;&gt;AF10,char(9)&amp;char(9)&amp;"@CONFIG["&amp;AF10&amp;"]"&amp;char(10)&amp;char(9)&amp;char(9)&amp;"{"&amp;char(10),"")&amp;char(9)&amp;char(9)&amp;char(9)&amp;"@SUBCONFIG["&amp;AG10&amp;"] { %cost = "&amp;AA10&amp;" }"&amp;if(AF11&lt;&gt;AF10,char(10)&amp;char(9)&amp;char(9)&amp;"}",""),"")</f>
        <v/>
      </c>
      <c r="AF10" s="15" t="str">
        <f t="shared" ref="AF10:AF13" si="21">if(AB10=2,left(A10,find("$",A10)-1),"")</f>
        <v/>
      </c>
      <c r="AG10" s="15" t="str">
        <f t="shared" ref="AG10:AG13" si="22">if(AB10=2,mid(A10,find("$",A10)+1,len(A10)),"")</f>
        <v/>
      </c>
    </row>
    <row r="11" ht="15.75" customHeight="1">
      <c r="A11" s="16" t="s">
        <v>45</v>
      </c>
      <c r="B11" s="16" t="s">
        <v>44</v>
      </c>
      <c r="C11" s="17">
        <f t="shared" si="1"/>
        <v>-79</v>
      </c>
      <c r="D11" s="31">
        <v>2023.0</v>
      </c>
      <c r="E11" s="16"/>
      <c r="F11" s="16" t="b">
        <v>1</v>
      </c>
      <c r="G11" s="16" t="b">
        <v>0</v>
      </c>
      <c r="H11" s="16" t="b">
        <v>0</v>
      </c>
      <c r="I11" s="16" t="b">
        <v>0</v>
      </c>
      <c r="J11" s="18" t="b">
        <v>0</v>
      </c>
      <c r="K11" s="16">
        <v>117.8</v>
      </c>
      <c r="L11" s="16">
        <v>113.0</v>
      </c>
      <c r="M11" s="16">
        <v>310.0</v>
      </c>
      <c r="N11" s="16">
        <v>10.0</v>
      </c>
      <c r="O11" s="16"/>
      <c r="P11" s="16"/>
      <c r="Q11" s="19">
        <f t="shared" si="2"/>
        <v>97.81658042</v>
      </c>
      <c r="R11" s="20">
        <f t="shared" si="3"/>
        <v>1.380530973</v>
      </c>
      <c r="S11" s="21">
        <f t="shared" si="4"/>
        <v>4</v>
      </c>
      <c r="T11" s="17">
        <f t="shared" si="17"/>
        <v>156</v>
      </c>
      <c r="U11" s="22">
        <f>T11/vlookup(A11,Max!$A$2:$AP$700,column(Max!$AP$2),false)</f>
        <v>4.105263158</v>
      </c>
      <c r="V11" s="17">
        <f t="shared" si="6"/>
        <v>84.17477539</v>
      </c>
      <c r="W11" s="23">
        <f t="shared" si="7"/>
        <v>1.057751671</v>
      </c>
      <c r="X11" s="23">
        <f t="shared" si="8"/>
        <v>1.755830837</v>
      </c>
      <c r="Y11" s="23">
        <f t="shared" si="9"/>
        <v>1</v>
      </c>
      <c r="Z11" s="23">
        <f t="shared" si="10"/>
        <v>1</v>
      </c>
      <c r="AA11" s="24">
        <f t="shared" si="11"/>
        <v>-79</v>
      </c>
      <c r="AB11" s="25">
        <v>0.0</v>
      </c>
      <c r="AC11" s="26" t="str">
        <f t="shared" si="18"/>
        <v>{
$name$: $Aeon1-SL$,
$config$: $Aeon1$,
$cost$: -79
},</v>
      </c>
      <c r="AD11" s="26" t="str">
        <f t="shared" si="19"/>
        <v/>
      </c>
      <c r="AE11" s="26" t="str">
        <f t="shared" si="20"/>
        <v/>
      </c>
      <c r="AF11" s="26" t="str">
        <f t="shared" si="21"/>
        <v/>
      </c>
      <c r="AG11" s="26" t="str">
        <f t="shared" si="22"/>
        <v/>
      </c>
    </row>
    <row r="12" ht="15.75" customHeight="1">
      <c r="A12" s="7" t="s">
        <v>46</v>
      </c>
      <c r="B12" s="7" t="s">
        <v>47</v>
      </c>
      <c r="C12" s="8">
        <f t="shared" si="1"/>
        <v>18</v>
      </c>
      <c r="D12" s="7">
        <v>1944.0</v>
      </c>
      <c r="E12" s="7"/>
      <c r="F12" s="7" t="b">
        <v>0</v>
      </c>
      <c r="G12" s="7" t="b">
        <v>0</v>
      </c>
      <c r="H12" s="7" t="b">
        <v>0</v>
      </c>
      <c r="I12" s="7" t="b">
        <v>0</v>
      </c>
      <c r="J12" s="9" t="b">
        <v>0</v>
      </c>
      <c r="K12" s="7">
        <v>8.0</v>
      </c>
      <c r="L12" s="7">
        <v>7.733</v>
      </c>
      <c r="M12" s="7">
        <v>226.0</v>
      </c>
      <c r="N12" s="7">
        <v>2.06</v>
      </c>
      <c r="O12" s="7">
        <v>0.96</v>
      </c>
      <c r="P12" s="7">
        <v>0.93</v>
      </c>
      <c r="Q12" s="10">
        <f t="shared" si="2"/>
        <v>98.56831815</v>
      </c>
      <c r="R12" s="11">
        <f t="shared" si="3"/>
        <v>2.327686538</v>
      </c>
      <c r="S12" s="12">
        <f t="shared" si="4"/>
        <v>1.75</v>
      </c>
      <c r="T12" s="8">
        <f t="shared" si="17"/>
        <v>18</v>
      </c>
      <c r="U12" s="13">
        <f>T12/vlookup(A12,Max!$A$2:$AP$700,column(Max!$AP$2),false)</f>
        <v>1</v>
      </c>
      <c r="V12" s="8">
        <f t="shared" si="6"/>
        <v>17.00547556</v>
      </c>
      <c r="W12" s="14">
        <f t="shared" si="7"/>
        <v>0.8843728541</v>
      </c>
      <c r="X12" s="14">
        <f t="shared" si="8"/>
        <v>1.093057072</v>
      </c>
      <c r="Y12" s="14">
        <f t="shared" si="9"/>
        <v>1</v>
      </c>
      <c r="Z12" s="14">
        <f t="shared" si="10"/>
        <v>1.111820716</v>
      </c>
      <c r="AA12" s="15">
        <f t="shared" si="11"/>
        <v>0</v>
      </c>
      <c r="AB12" s="29">
        <v>0.0</v>
      </c>
      <c r="AC12" s="15" t="str">
        <f t="shared" si="18"/>
        <v>{
$name$: $WAC-Corporal$,
$config$: $Aerobee$,
$cost$: 18
},</v>
      </c>
      <c r="AD12" s="15" t="str">
        <f t="shared" si="19"/>
        <v/>
      </c>
      <c r="AE12" s="15" t="str">
        <f t="shared" si="20"/>
        <v/>
      </c>
      <c r="AF12" s="15" t="str">
        <f t="shared" si="21"/>
        <v/>
      </c>
      <c r="AG12" s="15" t="str">
        <f t="shared" si="22"/>
        <v/>
      </c>
    </row>
    <row r="13" ht="15.75" customHeight="1">
      <c r="A13" s="16" t="s">
        <v>48</v>
      </c>
      <c r="B13" s="16" t="s">
        <v>47</v>
      </c>
      <c r="C13" s="17">
        <f t="shared" si="1"/>
        <v>5</v>
      </c>
      <c r="D13" s="16">
        <v>1948.0</v>
      </c>
      <c r="E13" s="16"/>
      <c r="F13" s="16" t="b">
        <v>0</v>
      </c>
      <c r="G13" s="16" t="b">
        <v>0</v>
      </c>
      <c r="H13" s="16" t="b">
        <v>0</v>
      </c>
      <c r="I13" s="16" t="b">
        <v>0</v>
      </c>
      <c r="J13" s="18" t="b">
        <v>0</v>
      </c>
      <c r="K13" s="16">
        <v>10.4</v>
      </c>
      <c r="L13" s="16">
        <v>13.7628</v>
      </c>
      <c r="M13" s="16">
        <v>235.44</v>
      </c>
      <c r="N13" s="16">
        <v>2.28</v>
      </c>
      <c r="O13" s="16">
        <v>0.97</v>
      </c>
      <c r="P13" s="16">
        <v>0.955</v>
      </c>
      <c r="Q13" s="19">
        <f t="shared" si="2"/>
        <v>134.9437525</v>
      </c>
      <c r="R13" s="20">
        <f t="shared" si="3"/>
        <v>1.671171564</v>
      </c>
      <c r="S13" s="21">
        <f t="shared" si="4"/>
        <v>1.75</v>
      </c>
      <c r="T13" s="17">
        <f t="shared" si="17"/>
        <v>23</v>
      </c>
      <c r="U13" s="22">
        <f>T13/vlookup(A13,Max!$A$2:$AP$700,column(Max!$AP$2),false)</f>
        <v>1.277777778</v>
      </c>
      <c r="V13" s="17">
        <f t="shared" si="6"/>
        <v>19.82937537</v>
      </c>
      <c r="W13" s="23">
        <f t="shared" si="7"/>
        <v>0.8906536532</v>
      </c>
      <c r="X13" s="23">
        <f t="shared" si="8"/>
        <v>1.126842261</v>
      </c>
      <c r="Y13" s="23">
        <f t="shared" si="9"/>
        <v>1</v>
      </c>
      <c r="Z13" s="23">
        <f t="shared" si="10"/>
        <v>1.140903998</v>
      </c>
      <c r="AA13" s="24">
        <f t="shared" si="11"/>
        <v>5</v>
      </c>
      <c r="AB13" s="26">
        <f t="shared" ref="AB13:AB15" si="23">if(iserror(find("$",A13)),1,2)</f>
        <v>1</v>
      </c>
      <c r="AC13" s="26" t="str">
        <f t="shared" si="18"/>
        <v/>
      </c>
      <c r="AD13" s="26" t="str">
        <f t="shared" si="19"/>
        <v>$XASR-1$: 5,</v>
      </c>
      <c r="AE13" s="26" t="str">
        <f t="shared" si="20"/>
        <v/>
      </c>
      <c r="AF13" s="26" t="str">
        <f t="shared" si="21"/>
        <v/>
      </c>
      <c r="AG13" s="26" t="str">
        <f t="shared" si="22"/>
        <v/>
      </c>
    </row>
    <row r="14" ht="15.75" customHeight="1">
      <c r="A14" s="9" t="s">
        <v>49</v>
      </c>
      <c r="B14" s="9" t="s">
        <v>47</v>
      </c>
      <c r="C14" s="8">
        <f t="shared" si="1"/>
        <v>4</v>
      </c>
      <c r="D14" s="9">
        <v>1950.0</v>
      </c>
      <c r="E14" s="7"/>
      <c r="F14" s="9" t="b">
        <v>0</v>
      </c>
      <c r="G14" s="9" t="b">
        <v>0</v>
      </c>
      <c r="H14" s="9" t="b">
        <v>0</v>
      </c>
      <c r="I14" s="9" t="b">
        <v>0</v>
      </c>
      <c r="J14" s="9" t="b">
        <v>0</v>
      </c>
      <c r="K14" s="7">
        <v>10.4</v>
      </c>
      <c r="L14" s="7">
        <v>21.28</v>
      </c>
      <c r="M14" s="7">
        <v>231.0</v>
      </c>
      <c r="N14" s="7">
        <v>2.23</v>
      </c>
      <c r="O14" s="9">
        <v>0.98</v>
      </c>
      <c r="P14" s="9">
        <v>0.96</v>
      </c>
      <c r="Q14" s="10">
        <f t="shared" si="2"/>
        <v>208.6496245</v>
      </c>
      <c r="R14" s="11">
        <f t="shared" si="3"/>
        <v>1.033834586</v>
      </c>
      <c r="S14" s="12">
        <f t="shared" si="4"/>
        <v>1.75</v>
      </c>
      <c r="T14" s="8">
        <f t="shared" si="17"/>
        <v>22</v>
      </c>
      <c r="U14" s="13" t="str">
        <f>T14/vlookup(A14,Max!$A$2:$AP$700,column(Max!$AP$2),false)</f>
        <v>#N/A</v>
      </c>
      <c r="V14" s="8">
        <f t="shared" si="6"/>
        <v>19.82937537</v>
      </c>
      <c r="W14" s="14">
        <f t="shared" si="7"/>
        <v>0.8874801968</v>
      </c>
      <c r="X14" s="14">
        <f t="shared" si="8"/>
        <v>1.119371206</v>
      </c>
      <c r="Y14" s="14">
        <f t="shared" si="9"/>
        <v>1</v>
      </c>
      <c r="Z14" s="14">
        <f t="shared" si="10"/>
        <v>1.126829987</v>
      </c>
      <c r="AA14" s="27">
        <f t="shared" si="11"/>
        <v>4</v>
      </c>
      <c r="AB14" s="15">
        <f t="shared" si="23"/>
        <v>1</v>
      </c>
      <c r="AC14" s="15"/>
      <c r="AD14" s="15"/>
      <c r="AE14" s="15"/>
      <c r="AF14" s="15"/>
      <c r="AG14" s="15"/>
    </row>
    <row r="15" ht="15.75" customHeight="1">
      <c r="A15" s="16" t="s">
        <v>50</v>
      </c>
      <c r="B15" s="16" t="s">
        <v>47</v>
      </c>
      <c r="C15" s="17">
        <f t="shared" si="1"/>
        <v>4</v>
      </c>
      <c r="D15" s="16">
        <v>1951.0</v>
      </c>
      <c r="E15" s="16"/>
      <c r="F15" s="16" t="b">
        <v>0</v>
      </c>
      <c r="G15" s="16" t="b">
        <v>0</v>
      </c>
      <c r="H15" s="16" t="b">
        <v>0</v>
      </c>
      <c r="I15" s="16" t="b">
        <v>0</v>
      </c>
      <c r="J15" s="18" t="b">
        <v>0</v>
      </c>
      <c r="K15" s="16">
        <v>10.4</v>
      </c>
      <c r="L15" s="16">
        <v>21.28</v>
      </c>
      <c r="M15" s="16">
        <v>231.0</v>
      </c>
      <c r="N15" s="16">
        <v>2.23</v>
      </c>
      <c r="O15" s="16">
        <v>0.98</v>
      </c>
      <c r="P15" s="16">
        <v>0.96</v>
      </c>
      <c r="Q15" s="19">
        <f t="shared" si="2"/>
        <v>208.6496245</v>
      </c>
      <c r="R15" s="20">
        <f t="shared" si="3"/>
        <v>1.033834586</v>
      </c>
      <c r="S15" s="21">
        <f t="shared" si="4"/>
        <v>1.75</v>
      </c>
      <c r="T15" s="17">
        <f t="shared" si="17"/>
        <v>22</v>
      </c>
      <c r="U15" s="22">
        <f>T15/vlookup(A15,Max!$A$2:$AP$700,column(Max!$AP$2),false)</f>
        <v>0.9166666667</v>
      </c>
      <c r="V15" s="17">
        <f t="shared" si="6"/>
        <v>19.82937537</v>
      </c>
      <c r="W15" s="23">
        <f t="shared" si="7"/>
        <v>0.8874801968</v>
      </c>
      <c r="X15" s="23">
        <f t="shared" si="8"/>
        <v>1.119371206</v>
      </c>
      <c r="Y15" s="23">
        <f t="shared" si="9"/>
        <v>1</v>
      </c>
      <c r="Z15" s="23">
        <f t="shared" si="10"/>
        <v>1.111170765</v>
      </c>
      <c r="AA15" s="24">
        <f t="shared" si="11"/>
        <v>4</v>
      </c>
      <c r="AB15" s="26">
        <f t="shared" si="23"/>
        <v>1</v>
      </c>
      <c r="AC15" s="26" t="str">
        <f t="shared" ref="AC15:AC58" si="24">if(AB15=0,"{"&amp;char(10)&amp;"$name$"&amp;": "&amp;"$"&amp;A15&amp;"$"&amp;","&amp;char(10)&amp;"$config$"&amp;": "&amp;"$"&amp;B15&amp;"$"&amp;","&amp;char(10)&amp;"$cost$"&amp;": "&amp;C15&amp;char(10)&amp;"},","")</f>
        <v/>
      </c>
      <c r="AD15" s="26" t="str">
        <f t="shared" ref="AD15:AD58" si="25">if(AB15=1,"$"&amp;A15&amp;"$"&amp;": "&amp;C15&amp;",","")</f>
        <v>$AJ10-27$: 4,</v>
      </c>
      <c r="AE15" s="26" t="str">
        <f>if(AB15=2,if(AF14&lt;&gt;AF15,char(9)&amp;char(9)&amp;"@CONFIG["&amp;AF15&amp;"]"&amp;char(10)&amp;char(9)&amp;char(9)&amp;"{"&amp;char(10),"")&amp;char(9)&amp;char(9)&amp;char(9)&amp;"@SUBCONFIG["&amp;AG15&amp;"] { %cost = "&amp;AA15&amp;" }"&amp;if(AF17&lt;&gt;AF15,char(10)&amp;char(9)&amp;char(9)&amp;"}",""),"")</f>
        <v/>
      </c>
      <c r="AF15" s="26" t="str">
        <f t="shared" ref="AF15:AF18" si="26">if(AB15=2,left(A15,find("$",A15)-1),"")</f>
        <v/>
      </c>
      <c r="AG15" s="26" t="str">
        <f t="shared" ref="AG15:AG18" si="27">if(AB15=2,mid(A15,find("$",A15)+1,len(A15)),"")</f>
        <v/>
      </c>
    </row>
    <row r="16" ht="15.75" customHeight="1">
      <c r="A16" s="7" t="s">
        <v>51</v>
      </c>
      <c r="B16" s="7" t="s">
        <v>51</v>
      </c>
      <c r="C16" s="8">
        <f t="shared" si="1"/>
        <v>77</v>
      </c>
      <c r="D16" s="7">
        <v>1996.0</v>
      </c>
      <c r="E16" s="7"/>
      <c r="F16" s="7" t="b">
        <v>0</v>
      </c>
      <c r="G16" s="7" t="b">
        <v>0</v>
      </c>
      <c r="H16" s="7" t="b">
        <v>1</v>
      </c>
      <c r="I16" s="7" t="b">
        <v>0</v>
      </c>
      <c r="J16" s="9" t="b">
        <v>0</v>
      </c>
      <c r="K16" s="7">
        <v>111.0</v>
      </c>
      <c r="L16" s="7">
        <v>27.8</v>
      </c>
      <c r="M16" s="7">
        <v>306.0</v>
      </c>
      <c r="N16" s="7">
        <v>1.1</v>
      </c>
      <c r="O16" s="7">
        <v>0.997581</v>
      </c>
      <c r="P16" s="7">
        <v>0.989063</v>
      </c>
      <c r="Q16" s="10">
        <f t="shared" si="2"/>
        <v>25.53883841</v>
      </c>
      <c r="R16" s="11">
        <f t="shared" si="3"/>
        <v>2.769784173</v>
      </c>
      <c r="S16" s="12">
        <f t="shared" si="4"/>
        <v>1.75</v>
      </c>
      <c r="T16" s="8">
        <f t="shared" si="17"/>
        <v>77</v>
      </c>
      <c r="U16" s="13">
        <f>T16/vlookup(A16,Max!$A$2:$AP$700,column(Max!$AP$2),false)</f>
        <v>4.052631579</v>
      </c>
      <c r="V16" s="8">
        <f t="shared" si="6"/>
        <v>81.20590266</v>
      </c>
      <c r="W16" s="14">
        <f t="shared" si="7"/>
        <v>1.02792664</v>
      </c>
      <c r="X16" s="14">
        <f t="shared" si="8"/>
        <v>0.9282722298</v>
      </c>
      <c r="Y16" s="14">
        <f t="shared" si="9"/>
        <v>1</v>
      </c>
      <c r="Z16" s="14">
        <f t="shared" si="10"/>
        <v>0.9916132583</v>
      </c>
      <c r="AA16" s="15">
        <f t="shared" si="11"/>
        <v>0</v>
      </c>
      <c r="AB16" s="29">
        <v>0.0</v>
      </c>
      <c r="AC16" s="15" t="str">
        <f t="shared" si="24"/>
        <v>{
$name$: $Aestus$,
$config$: $Aestus$,
$cost$: 77
},</v>
      </c>
      <c r="AD16" s="15" t="str">
        <f t="shared" si="25"/>
        <v/>
      </c>
      <c r="AE16" s="15" t="str">
        <f>if(AB16=2,if(AF14&lt;&gt;AF16,char(9)&amp;char(9)&amp;"@CONFIG["&amp;AF16&amp;"]"&amp;char(10)&amp;char(9)&amp;char(9)&amp;"{"&amp;char(10),"")&amp;char(9)&amp;char(9)&amp;char(9)&amp;"@SUBCONFIG["&amp;AG16&amp;"] { %cost = "&amp;AA16&amp;" }"&amp;if(AF17&lt;&gt;AF16,char(10)&amp;char(9)&amp;char(9)&amp;"}",""),"")</f>
        <v/>
      </c>
      <c r="AF16" s="15" t="str">
        <f t="shared" si="26"/>
        <v/>
      </c>
      <c r="AG16" s="15" t="str">
        <f t="shared" si="27"/>
        <v/>
      </c>
    </row>
    <row r="17" ht="15.75" customHeight="1">
      <c r="A17" s="16" t="s">
        <v>52</v>
      </c>
      <c r="B17" s="16" t="s">
        <v>51</v>
      </c>
      <c r="C17" s="17">
        <f t="shared" si="1"/>
        <v>106</v>
      </c>
      <c r="D17" s="16">
        <v>2018.0</v>
      </c>
      <c r="E17" s="16"/>
      <c r="F17" s="16" t="b">
        <v>1</v>
      </c>
      <c r="G17" s="16" t="b">
        <v>0</v>
      </c>
      <c r="H17" s="16" t="b">
        <v>0</v>
      </c>
      <c r="I17" s="16" t="b">
        <v>0</v>
      </c>
      <c r="J17" s="18" t="b">
        <v>0</v>
      </c>
      <c r="K17" s="16">
        <v>138.0</v>
      </c>
      <c r="L17" s="16">
        <v>55.4</v>
      </c>
      <c r="M17" s="16">
        <v>340.0</v>
      </c>
      <c r="N17" s="16">
        <v>6.0</v>
      </c>
      <c r="O17" s="16">
        <v>0.98</v>
      </c>
      <c r="P17" s="16">
        <v>0.985</v>
      </c>
      <c r="Q17" s="19">
        <f t="shared" si="2"/>
        <v>40.93643336</v>
      </c>
      <c r="R17" s="20">
        <f t="shared" si="3"/>
        <v>3.303249097</v>
      </c>
      <c r="S17" s="21">
        <f t="shared" si="4"/>
        <v>4</v>
      </c>
      <c r="T17" s="17">
        <f t="shared" si="17"/>
        <v>183</v>
      </c>
      <c r="U17" s="22">
        <f>T17/vlookup(A17,Max!$A$2:$AP$700,column(Max!$AP$2),false)</f>
        <v>4.357142857</v>
      </c>
      <c r="V17" s="17">
        <f t="shared" si="6"/>
        <v>92.62736001</v>
      </c>
      <c r="W17" s="23">
        <f t="shared" si="7"/>
        <v>1.328038609</v>
      </c>
      <c r="X17" s="23">
        <f t="shared" si="8"/>
        <v>1.506357476</v>
      </c>
      <c r="Y17" s="23">
        <f t="shared" si="9"/>
        <v>1</v>
      </c>
      <c r="Z17" s="23">
        <f t="shared" si="10"/>
        <v>0.9874215238</v>
      </c>
      <c r="AA17" s="24">
        <f t="shared" si="11"/>
        <v>106</v>
      </c>
      <c r="AB17" s="26">
        <f>if(iserror(find("$",A17)),1,2)</f>
        <v>1</v>
      </c>
      <c r="AC17" s="26" t="str">
        <f t="shared" si="24"/>
        <v/>
      </c>
      <c r="AD17" s="26" t="str">
        <f t="shared" si="25"/>
        <v>$Aestus-II$: 106,</v>
      </c>
      <c r="AE17" s="26" t="str">
        <f>if(AB17=2,if(AF16&lt;&gt;AF17,char(9)&amp;char(9)&amp;"@CONFIG["&amp;AF17&amp;"]"&amp;char(10)&amp;char(9)&amp;char(9)&amp;"{"&amp;char(10),"")&amp;char(9)&amp;char(9)&amp;char(9)&amp;"@SUBCONFIG["&amp;AG17&amp;"] { %cost = "&amp;AA17&amp;" }"&amp;if(AF18&lt;&gt;AF17,char(10)&amp;char(9)&amp;char(9)&amp;"}",""),"")</f>
        <v/>
      </c>
      <c r="AF17" s="26" t="str">
        <f t="shared" si="26"/>
        <v/>
      </c>
      <c r="AG17" s="26" t="str">
        <f t="shared" si="27"/>
        <v/>
      </c>
    </row>
    <row r="18" ht="15.75" customHeight="1">
      <c r="A18" s="7" t="s">
        <v>53</v>
      </c>
      <c r="B18" s="7" t="s">
        <v>54</v>
      </c>
      <c r="C18" s="8">
        <f t="shared" si="1"/>
        <v>47</v>
      </c>
      <c r="D18" s="7">
        <v>1958.0</v>
      </c>
      <c r="E18" s="7"/>
      <c r="F18" s="7" t="b">
        <v>1</v>
      </c>
      <c r="G18" s="7" t="b">
        <v>0</v>
      </c>
      <c r="H18" s="7" t="b">
        <v>1</v>
      </c>
      <c r="I18" s="7" t="b">
        <v>0</v>
      </c>
      <c r="J18" s="9" t="b">
        <v>0</v>
      </c>
      <c r="K18" s="9">
        <v>100.0</v>
      </c>
      <c r="L18" s="7">
        <v>67.0</v>
      </c>
      <c r="M18" s="7">
        <v>265.5</v>
      </c>
      <c r="N18" s="7">
        <v>3.4</v>
      </c>
      <c r="O18" s="7">
        <v>0.85</v>
      </c>
      <c r="P18" s="7">
        <v>0.9</v>
      </c>
      <c r="Q18" s="10">
        <f t="shared" si="2"/>
        <v>68.32098607</v>
      </c>
      <c r="R18" s="11">
        <f t="shared" si="3"/>
        <v>0.7014925373</v>
      </c>
      <c r="S18" s="12">
        <f t="shared" si="4"/>
        <v>4</v>
      </c>
      <c r="T18" s="8">
        <f t="shared" si="17"/>
        <v>47</v>
      </c>
      <c r="U18" s="13">
        <f>T18/vlookup(A18,Max!$A$2:$AP$700,column(Max!$AP$2),false)</f>
        <v>3.24137931</v>
      </c>
      <c r="V18" s="8">
        <f t="shared" si="6"/>
        <v>76.2501611</v>
      </c>
      <c r="W18" s="14">
        <f t="shared" si="7"/>
        <v>0.9242998764</v>
      </c>
      <c r="X18" s="14">
        <f t="shared" si="8"/>
        <v>1.196588323</v>
      </c>
      <c r="Y18" s="14">
        <f t="shared" si="9"/>
        <v>1</v>
      </c>
      <c r="Z18" s="14">
        <f t="shared" si="10"/>
        <v>0.5586066092</v>
      </c>
      <c r="AA18" s="15">
        <f t="shared" si="11"/>
        <v>0</v>
      </c>
      <c r="AB18" s="29">
        <v>0.0</v>
      </c>
      <c r="AC18" s="15" t="str">
        <f t="shared" si="24"/>
        <v>{
$name$: $Model117$,
$config$: $Agena$,
$cost$: 47
},</v>
      </c>
      <c r="AD18" s="15" t="str">
        <f t="shared" si="25"/>
        <v/>
      </c>
      <c r="AE18" s="15" t="str">
        <f>if(AB18=2,if(AF17&lt;&gt;AF18,char(9)&amp;char(9)&amp;"@CONFIG["&amp;AF18&amp;"]"&amp;char(10)&amp;char(9)&amp;char(9)&amp;"{"&amp;char(10),"")&amp;char(9)&amp;char(9)&amp;char(9)&amp;"@SUBCONFIG["&amp;AG18&amp;"] { %cost = "&amp;AA18&amp;" }"&amp;if(AF20&lt;&gt;AF18,char(10)&amp;char(9)&amp;char(9)&amp;"}",""),"")</f>
        <v/>
      </c>
      <c r="AF18" s="15" t="str">
        <f t="shared" si="26"/>
        <v/>
      </c>
      <c r="AG18" s="15" t="str">
        <f t="shared" si="27"/>
        <v/>
      </c>
    </row>
    <row r="19" ht="15.75" customHeight="1">
      <c r="A19" s="18" t="s">
        <v>55</v>
      </c>
      <c r="B19" s="18" t="s">
        <v>54</v>
      </c>
      <c r="C19" s="17">
        <f t="shared" si="1"/>
        <v>96</v>
      </c>
      <c r="D19" s="18">
        <v>1958.0</v>
      </c>
      <c r="E19" s="16"/>
      <c r="F19" s="16" t="b">
        <v>1</v>
      </c>
      <c r="G19" s="16" t="b">
        <v>0</v>
      </c>
      <c r="H19" s="16" t="b">
        <v>1</v>
      </c>
      <c r="I19" s="18" t="b">
        <v>1</v>
      </c>
      <c r="J19" s="18" t="b">
        <v>0</v>
      </c>
      <c r="K19" s="18">
        <v>107.5</v>
      </c>
      <c r="L19" s="18">
        <v>64.5</v>
      </c>
      <c r="M19" s="18">
        <v>265.5</v>
      </c>
      <c r="N19" s="18">
        <v>3.4</v>
      </c>
      <c r="O19" s="18">
        <v>0.9977</v>
      </c>
      <c r="P19" s="18">
        <v>0.9978</v>
      </c>
      <c r="Q19" s="19">
        <f t="shared" si="2"/>
        <v>61.1829726</v>
      </c>
      <c r="R19" s="20">
        <f t="shared" si="3"/>
        <v>2.217054264</v>
      </c>
      <c r="S19" s="21">
        <f t="shared" si="4"/>
        <v>4</v>
      </c>
      <c r="T19" s="17">
        <f t="shared" si="17"/>
        <v>143</v>
      </c>
      <c r="U19" s="22" t="str">
        <f>T19/vlookup(A19,Max!$A$2:$AP$700,column(Max!$AP$2),false)</f>
        <v>#N/A</v>
      </c>
      <c r="V19" s="17">
        <f t="shared" si="6"/>
        <v>79.65051978</v>
      </c>
      <c r="W19" s="23">
        <f t="shared" si="7"/>
        <v>0.9242998764</v>
      </c>
      <c r="X19" s="23">
        <f t="shared" si="8"/>
        <v>1.196588323</v>
      </c>
      <c r="Y19" s="23">
        <f t="shared" si="9"/>
        <v>1.5</v>
      </c>
      <c r="Z19" s="23">
        <f t="shared" si="10"/>
        <v>1.07909868</v>
      </c>
      <c r="AA19" s="24">
        <f t="shared" si="11"/>
        <v>96</v>
      </c>
      <c r="AB19" s="25">
        <v>1.0</v>
      </c>
      <c r="AC19" s="26" t="str">
        <f t="shared" si="24"/>
        <v/>
      </c>
      <c r="AD19" s="26" t="str">
        <f t="shared" si="25"/>
        <v>$XLR81-BA-1$: 96,</v>
      </c>
      <c r="AE19" s="26"/>
      <c r="AF19" s="26"/>
      <c r="AG19" s="26"/>
    </row>
    <row r="20" ht="15.75" customHeight="1">
      <c r="A20" s="7" t="s">
        <v>56</v>
      </c>
      <c r="B20" s="7" t="s">
        <v>54</v>
      </c>
      <c r="C20" s="8">
        <f t="shared" si="1"/>
        <v>50</v>
      </c>
      <c r="D20" s="7">
        <v>1959.0</v>
      </c>
      <c r="E20" s="7"/>
      <c r="F20" s="7" t="b">
        <v>1</v>
      </c>
      <c r="G20" s="7" t="b">
        <v>0</v>
      </c>
      <c r="H20" s="7" t="b">
        <v>1</v>
      </c>
      <c r="I20" s="7" t="b">
        <v>0</v>
      </c>
      <c r="J20" s="9" t="b">
        <v>0</v>
      </c>
      <c r="K20" s="7">
        <v>127.0</v>
      </c>
      <c r="L20" s="7">
        <v>68.9</v>
      </c>
      <c r="M20" s="7">
        <v>276.0</v>
      </c>
      <c r="N20" s="7">
        <v>3.4</v>
      </c>
      <c r="O20" s="7">
        <v>0.9825</v>
      </c>
      <c r="P20" s="7">
        <v>0.981579</v>
      </c>
      <c r="Q20" s="10">
        <f t="shared" si="2"/>
        <v>55.32161171</v>
      </c>
      <c r="R20" s="11">
        <f t="shared" si="3"/>
        <v>1.407837446</v>
      </c>
      <c r="S20" s="12">
        <f t="shared" si="4"/>
        <v>4</v>
      </c>
      <c r="T20" s="8">
        <f t="shared" si="17"/>
        <v>97</v>
      </c>
      <c r="U20" s="13">
        <f>T20/vlookup(A20,Max!$A$2:$AP$700,column(Max!$AP$2),false)</f>
        <v>2.425</v>
      </c>
      <c r="V20" s="8">
        <f t="shared" si="6"/>
        <v>88.08844782</v>
      </c>
      <c r="W20" s="14">
        <f t="shared" si="7"/>
        <v>0.9422226187</v>
      </c>
      <c r="X20" s="14">
        <f t="shared" si="8"/>
        <v>1.196588323</v>
      </c>
      <c r="Y20" s="14">
        <f t="shared" si="9"/>
        <v>1</v>
      </c>
      <c r="Z20" s="14">
        <f t="shared" si="10"/>
        <v>0.9769239706</v>
      </c>
      <c r="AA20" s="27">
        <f t="shared" si="11"/>
        <v>50</v>
      </c>
      <c r="AB20" s="15">
        <f t="shared" ref="AB20:AB30" si="28">if(iserror(find("$",A20)),1,2)</f>
        <v>1</v>
      </c>
      <c r="AC20" s="15" t="str">
        <f t="shared" si="24"/>
        <v/>
      </c>
      <c r="AD20" s="15" t="str">
        <f t="shared" si="25"/>
        <v>$XLR81-BA-5$: 50,</v>
      </c>
      <c r="AE20" s="15" t="str">
        <f>if(AB20=2,if(AF18&lt;&gt;AF20,char(9)&amp;char(9)&amp;"@CONFIG["&amp;AF20&amp;"]"&amp;char(10)&amp;char(9)&amp;char(9)&amp;"{"&amp;char(10),"")&amp;char(9)&amp;char(9)&amp;char(9)&amp;"@SUBCONFIG["&amp;AG20&amp;"] { %cost = "&amp;AA20&amp;" }"&amp;if(AF21&lt;&gt;AF20,char(10)&amp;char(9)&amp;char(9)&amp;"}",""),"")</f>
        <v/>
      </c>
      <c r="AF20" s="15" t="str">
        <f t="shared" ref="AF20:AF36" si="29">if(AB20=2,left(A20,find("$",A20)-1),"")</f>
        <v/>
      </c>
      <c r="AG20" s="15" t="str">
        <f t="shared" ref="AG20:AG36" si="30">if(AB20=2,mid(A20,find("$",A20)+1,len(A20)),"")</f>
        <v/>
      </c>
    </row>
    <row r="21" ht="15.75" customHeight="1">
      <c r="A21" s="16" t="s">
        <v>57</v>
      </c>
      <c r="B21" s="16" t="s">
        <v>54</v>
      </c>
      <c r="C21" s="17">
        <f t="shared" si="1"/>
        <v>48</v>
      </c>
      <c r="D21" s="16">
        <v>1959.0</v>
      </c>
      <c r="E21" s="16"/>
      <c r="F21" s="16" t="b">
        <v>1</v>
      </c>
      <c r="G21" s="16" t="b">
        <v>0</v>
      </c>
      <c r="H21" s="16" t="b">
        <v>1</v>
      </c>
      <c r="I21" s="16" t="b">
        <v>0</v>
      </c>
      <c r="J21" s="18" t="b">
        <v>0</v>
      </c>
      <c r="K21" s="16">
        <v>127.0</v>
      </c>
      <c r="L21" s="16">
        <v>67.0</v>
      </c>
      <c r="M21" s="16">
        <v>265.5</v>
      </c>
      <c r="N21" s="16">
        <v>3.4</v>
      </c>
      <c r="O21" s="16">
        <v>0.9825</v>
      </c>
      <c r="P21" s="16">
        <v>0.981579</v>
      </c>
      <c r="Q21" s="19">
        <f t="shared" si="2"/>
        <v>53.79605202</v>
      </c>
      <c r="R21" s="20">
        <f t="shared" si="3"/>
        <v>1.417910448</v>
      </c>
      <c r="S21" s="21">
        <f t="shared" si="4"/>
        <v>4</v>
      </c>
      <c r="T21" s="17">
        <f t="shared" si="17"/>
        <v>95</v>
      </c>
      <c r="U21" s="22">
        <f>T21/vlookup(A21,Max!$A$2:$AP$700,column(Max!$AP$2),false)</f>
        <v>2.638888889</v>
      </c>
      <c r="V21" s="17">
        <f t="shared" si="6"/>
        <v>88.08844782</v>
      </c>
      <c r="W21" s="23">
        <f t="shared" si="7"/>
        <v>0.9242998764</v>
      </c>
      <c r="X21" s="23">
        <f t="shared" si="8"/>
        <v>1.196588323</v>
      </c>
      <c r="Y21" s="23">
        <f t="shared" si="9"/>
        <v>1</v>
      </c>
      <c r="Z21" s="23">
        <f t="shared" si="10"/>
        <v>0.9769239706</v>
      </c>
      <c r="AA21" s="24">
        <f t="shared" si="11"/>
        <v>48</v>
      </c>
      <c r="AB21" s="26">
        <f t="shared" si="28"/>
        <v>1</v>
      </c>
      <c r="AC21" s="26" t="str">
        <f t="shared" si="24"/>
        <v/>
      </c>
      <c r="AD21" s="26" t="str">
        <f t="shared" si="25"/>
        <v>$XLR81-BA-3$: 48,</v>
      </c>
      <c r="AE21" s="26" t="str">
        <f t="shared" ref="AE21:AE35" si="31">if(AB21=2,if(AF20&lt;&gt;AF21,char(9)&amp;char(9)&amp;"@CONFIG["&amp;AF21&amp;"]"&amp;char(10)&amp;char(9)&amp;char(9)&amp;"{"&amp;char(10),"")&amp;char(9)&amp;char(9)&amp;char(9)&amp;"@SUBCONFIG["&amp;AG21&amp;"] { %cost = "&amp;AA21&amp;" }"&amp;if(AF22&lt;&gt;AF21,char(10)&amp;char(9)&amp;char(9)&amp;"}",""),"")</f>
        <v/>
      </c>
      <c r="AF21" s="26" t="str">
        <f t="shared" si="29"/>
        <v/>
      </c>
      <c r="AG21" s="26" t="str">
        <f t="shared" si="30"/>
        <v/>
      </c>
    </row>
    <row r="22" ht="15.75" customHeight="1">
      <c r="A22" s="7" t="s">
        <v>58</v>
      </c>
      <c r="B22" s="7" t="s">
        <v>54</v>
      </c>
      <c r="C22" s="8">
        <f t="shared" si="1"/>
        <v>54</v>
      </c>
      <c r="D22" s="7">
        <v>1961.0</v>
      </c>
      <c r="E22" s="7"/>
      <c r="F22" s="7" t="b">
        <v>1</v>
      </c>
      <c r="G22" s="7" t="b">
        <v>0</v>
      </c>
      <c r="H22" s="7" t="b">
        <v>1</v>
      </c>
      <c r="I22" s="7" t="b">
        <v>0</v>
      </c>
      <c r="J22" s="9" t="b">
        <v>0</v>
      </c>
      <c r="K22" s="7">
        <v>130.0</v>
      </c>
      <c r="L22" s="7">
        <v>70.7</v>
      </c>
      <c r="M22" s="7">
        <v>285.0</v>
      </c>
      <c r="N22" s="7">
        <v>3.4</v>
      </c>
      <c r="O22" s="7">
        <v>0.991288</v>
      </c>
      <c r="P22" s="7">
        <v>0.991791</v>
      </c>
      <c r="Q22" s="10">
        <f t="shared" si="2"/>
        <v>55.45687388</v>
      </c>
      <c r="R22" s="11">
        <f t="shared" si="3"/>
        <v>1.428571429</v>
      </c>
      <c r="S22" s="12">
        <f t="shared" si="4"/>
        <v>4</v>
      </c>
      <c r="T22" s="8">
        <f t="shared" si="17"/>
        <v>101</v>
      </c>
      <c r="U22" s="13">
        <f>T22/vlookup(A22,Max!$A$2:$AP$700,column(Max!$AP$2),false)</f>
        <v>1.74137931</v>
      </c>
      <c r="V22" s="8">
        <f t="shared" si="6"/>
        <v>89.34083696</v>
      </c>
      <c r="W22" s="14">
        <f t="shared" si="7"/>
        <v>0.9608417117</v>
      </c>
      <c r="X22" s="14">
        <f t="shared" si="8"/>
        <v>1.196588323</v>
      </c>
      <c r="Y22" s="14">
        <f t="shared" si="9"/>
        <v>1</v>
      </c>
      <c r="Z22" s="14">
        <f t="shared" si="10"/>
        <v>0.9827929742</v>
      </c>
      <c r="AA22" s="27">
        <f t="shared" si="11"/>
        <v>54</v>
      </c>
      <c r="AB22" s="15">
        <f t="shared" si="28"/>
        <v>1</v>
      </c>
      <c r="AC22" s="15" t="str">
        <f t="shared" si="24"/>
        <v/>
      </c>
      <c r="AD22" s="15" t="str">
        <f t="shared" si="25"/>
        <v>$XLR81-BA-7$: 54,</v>
      </c>
      <c r="AE22" s="15" t="str">
        <f t="shared" si="31"/>
        <v/>
      </c>
      <c r="AF22" s="15" t="str">
        <f t="shared" si="29"/>
        <v/>
      </c>
      <c r="AG22" s="15" t="str">
        <f t="shared" si="30"/>
        <v/>
      </c>
    </row>
    <row r="23" ht="15.75" customHeight="1">
      <c r="A23" s="16" t="s">
        <v>59</v>
      </c>
      <c r="B23" s="16" t="s">
        <v>54</v>
      </c>
      <c r="C23" s="17">
        <f t="shared" si="1"/>
        <v>61</v>
      </c>
      <c r="D23" s="16">
        <v>1962.0</v>
      </c>
      <c r="E23" s="16"/>
      <c r="F23" s="16" t="b">
        <v>1</v>
      </c>
      <c r="G23" s="16" t="b">
        <v>0</v>
      </c>
      <c r="H23" s="16" t="b">
        <v>1</v>
      </c>
      <c r="I23" s="16" t="b">
        <v>0</v>
      </c>
      <c r="J23" s="18" t="b">
        <v>0</v>
      </c>
      <c r="K23" s="16">
        <v>134.26</v>
      </c>
      <c r="L23" s="16">
        <v>71.17</v>
      </c>
      <c r="M23" s="16">
        <v>290.5</v>
      </c>
      <c r="N23" s="16">
        <v>3.48</v>
      </c>
      <c r="O23" s="16">
        <v>0.9977</v>
      </c>
      <c r="P23" s="16">
        <v>0.9978</v>
      </c>
      <c r="Q23" s="19">
        <f t="shared" si="2"/>
        <v>54.05422513</v>
      </c>
      <c r="R23" s="20">
        <f t="shared" si="3"/>
        <v>1.517493326</v>
      </c>
      <c r="S23" s="21">
        <f t="shared" si="4"/>
        <v>4</v>
      </c>
      <c r="T23" s="17">
        <f t="shared" si="17"/>
        <v>108</v>
      </c>
      <c r="U23" s="22">
        <f>T23/vlookup(A23,Max!$A$2:$AP$700,column(Max!$AP$2),false)</f>
        <v>1.367088608</v>
      </c>
      <c r="V23" s="17">
        <f t="shared" si="6"/>
        <v>91.10029436</v>
      </c>
      <c r="W23" s="23">
        <f t="shared" si="7"/>
        <v>0.9739191239</v>
      </c>
      <c r="X23" s="23">
        <f t="shared" si="8"/>
        <v>1.202866234</v>
      </c>
      <c r="Y23" s="23">
        <f t="shared" si="9"/>
        <v>1</v>
      </c>
      <c r="Z23" s="23">
        <f t="shared" si="10"/>
        <v>1.013959697</v>
      </c>
      <c r="AA23" s="24">
        <f t="shared" si="11"/>
        <v>61</v>
      </c>
      <c r="AB23" s="26">
        <f t="shared" si="28"/>
        <v>1</v>
      </c>
      <c r="AC23" s="26" t="str">
        <f t="shared" si="24"/>
        <v/>
      </c>
      <c r="AD23" s="26" t="str">
        <f t="shared" si="25"/>
        <v>$XLR81-BA-11$: 61,</v>
      </c>
      <c r="AE23" s="26" t="str">
        <f t="shared" si="31"/>
        <v/>
      </c>
      <c r="AF23" s="26" t="str">
        <f t="shared" si="29"/>
        <v/>
      </c>
      <c r="AG23" s="26" t="str">
        <f t="shared" si="30"/>
        <v/>
      </c>
    </row>
    <row r="24" ht="15.75" customHeight="1">
      <c r="A24" s="7" t="s">
        <v>60</v>
      </c>
      <c r="B24" s="7" t="s">
        <v>54</v>
      </c>
      <c r="C24" s="8">
        <f t="shared" si="1"/>
        <v>66</v>
      </c>
      <c r="D24" s="7">
        <v>1965.0</v>
      </c>
      <c r="E24" s="7"/>
      <c r="F24" s="7" t="b">
        <v>1</v>
      </c>
      <c r="G24" s="7" t="b">
        <v>0</v>
      </c>
      <c r="H24" s="7" t="b">
        <v>1</v>
      </c>
      <c r="I24" s="7" t="b">
        <v>0</v>
      </c>
      <c r="J24" s="9" t="b">
        <v>0</v>
      </c>
      <c r="K24" s="7">
        <v>134.26</v>
      </c>
      <c r="L24" s="7">
        <v>75.62</v>
      </c>
      <c r="M24" s="7">
        <v>300.0</v>
      </c>
      <c r="N24" s="7">
        <v>3.75</v>
      </c>
      <c r="O24" s="7">
        <v>0.9977</v>
      </c>
      <c r="P24" s="7">
        <v>0.9978</v>
      </c>
      <c r="Q24" s="10">
        <f t="shared" si="2"/>
        <v>57.43403828</v>
      </c>
      <c r="R24" s="11">
        <f t="shared" si="3"/>
        <v>1.494313674</v>
      </c>
      <c r="S24" s="12">
        <f t="shared" si="4"/>
        <v>4</v>
      </c>
      <c r="T24" s="8">
        <f t="shared" si="17"/>
        <v>113</v>
      </c>
      <c r="U24" s="13">
        <f>T24/vlookup(A24,Max!$A$2:$AP$700,column(Max!$AP$2),false)</f>
        <v>1.686567164</v>
      </c>
      <c r="V24" s="8">
        <f t="shared" si="6"/>
        <v>91.10029436</v>
      </c>
      <c r="W24" s="14">
        <f t="shared" si="7"/>
        <v>1</v>
      </c>
      <c r="X24" s="14">
        <f t="shared" si="8"/>
        <v>1.223260745</v>
      </c>
      <c r="Y24" s="14">
        <f t="shared" si="9"/>
        <v>1</v>
      </c>
      <c r="Z24" s="14">
        <f t="shared" si="10"/>
        <v>1.013959697</v>
      </c>
      <c r="AA24" s="27">
        <f t="shared" si="11"/>
        <v>66</v>
      </c>
      <c r="AB24" s="15">
        <f t="shared" si="28"/>
        <v>1</v>
      </c>
      <c r="AC24" s="15" t="str">
        <f t="shared" si="24"/>
        <v/>
      </c>
      <c r="AD24" s="15" t="str">
        <f t="shared" si="25"/>
        <v>$Model8096-39$: 66,</v>
      </c>
      <c r="AE24" s="15" t="str">
        <f t="shared" si="31"/>
        <v/>
      </c>
      <c r="AF24" s="15" t="str">
        <f t="shared" si="29"/>
        <v/>
      </c>
      <c r="AG24" s="15" t="str">
        <f t="shared" si="30"/>
        <v/>
      </c>
    </row>
    <row r="25" ht="15.75" customHeight="1">
      <c r="A25" s="16" t="s">
        <v>61</v>
      </c>
      <c r="B25" s="16" t="s">
        <v>54</v>
      </c>
      <c r="C25" s="17">
        <f t="shared" si="1"/>
        <v>63</v>
      </c>
      <c r="D25" s="16">
        <v>1965.0</v>
      </c>
      <c r="E25" s="16"/>
      <c r="F25" s="16" t="b">
        <v>1</v>
      </c>
      <c r="G25" s="16" t="b">
        <v>0</v>
      </c>
      <c r="H25" s="16" t="b">
        <v>1</v>
      </c>
      <c r="I25" s="16" t="b">
        <v>0</v>
      </c>
      <c r="J25" s="18" t="b">
        <v>0</v>
      </c>
      <c r="K25" s="16">
        <v>137.26</v>
      </c>
      <c r="L25" s="16">
        <v>71.17</v>
      </c>
      <c r="M25" s="16">
        <v>290.5</v>
      </c>
      <c r="N25" s="16">
        <v>3.48</v>
      </c>
      <c r="O25" s="16">
        <v>0.9977</v>
      </c>
      <c r="P25" s="16">
        <v>0.9978</v>
      </c>
      <c r="Q25" s="19">
        <f t="shared" si="2"/>
        <v>52.8727981</v>
      </c>
      <c r="R25" s="20">
        <f t="shared" si="3"/>
        <v>1.545595054</v>
      </c>
      <c r="S25" s="21">
        <f t="shared" si="4"/>
        <v>4</v>
      </c>
      <c r="T25" s="17">
        <f t="shared" si="17"/>
        <v>110</v>
      </c>
      <c r="U25" s="22">
        <f>T25/vlookup(A25,Max!$A$2:$AP$700,column(Max!$AP$2),false)</f>
        <v>1.617647059</v>
      </c>
      <c r="V25" s="17">
        <f t="shared" si="6"/>
        <v>92.32648834</v>
      </c>
      <c r="W25" s="23">
        <f t="shared" si="7"/>
        <v>0.9739191239</v>
      </c>
      <c r="X25" s="23">
        <f t="shared" si="8"/>
        <v>1.202866234</v>
      </c>
      <c r="Y25" s="23">
        <f t="shared" si="9"/>
        <v>1</v>
      </c>
      <c r="Z25" s="23">
        <f t="shared" si="10"/>
        <v>1.013959697</v>
      </c>
      <c r="AA25" s="24">
        <f t="shared" si="11"/>
        <v>63</v>
      </c>
      <c r="AB25" s="26">
        <f t="shared" si="28"/>
        <v>1</v>
      </c>
      <c r="AC25" s="26" t="str">
        <f t="shared" si="24"/>
        <v/>
      </c>
      <c r="AD25" s="26" t="str">
        <f t="shared" si="25"/>
        <v>$XLR81-BA-13$: 63,</v>
      </c>
      <c r="AE25" s="26" t="str">
        <f t="shared" si="31"/>
        <v/>
      </c>
      <c r="AF25" s="26" t="str">
        <f t="shared" si="29"/>
        <v/>
      </c>
      <c r="AG25" s="26" t="str">
        <f t="shared" si="30"/>
        <v/>
      </c>
    </row>
    <row r="26" ht="15.75" customHeight="1">
      <c r="A26" s="7" t="s">
        <v>62</v>
      </c>
      <c r="B26" s="7" t="s">
        <v>54</v>
      </c>
      <c r="C26" s="8">
        <f t="shared" si="1"/>
        <v>405</v>
      </c>
      <c r="D26" s="7">
        <v>1966.0</v>
      </c>
      <c r="E26" s="7" t="b">
        <v>1</v>
      </c>
      <c r="F26" s="7" t="b">
        <v>1</v>
      </c>
      <c r="G26" s="7" t="b">
        <v>0</v>
      </c>
      <c r="H26" s="7" t="b">
        <v>1</v>
      </c>
      <c r="I26" s="7" t="b">
        <v>0</v>
      </c>
      <c r="J26" s="9" t="b">
        <v>0</v>
      </c>
      <c r="K26" s="7">
        <v>150.0</v>
      </c>
      <c r="L26" s="7">
        <v>53.7</v>
      </c>
      <c r="M26" s="7">
        <v>446.2</v>
      </c>
      <c r="N26" s="7">
        <v>2.06</v>
      </c>
      <c r="O26" s="7">
        <v>0.994</v>
      </c>
      <c r="P26" s="7">
        <v>0.995</v>
      </c>
      <c r="Q26" s="10">
        <f t="shared" si="2"/>
        <v>36.50584032</v>
      </c>
      <c r="R26" s="11">
        <f t="shared" si="3"/>
        <v>8.417132216</v>
      </c>
      <c r="S26" s="12">
        <f t="shared" si="4"/>
        <v>4</v>
      </c>
      <c r="T26" s="8">
        <f t="shared" si="17"/>
        <v>452</v>
      </c>
      <c r="U26" s="13">
        <f>T26/vlookup(A26,Max!$A$2:$AP$700,column(Max!$AP$2),false)</f>
        <v>1.329411765</v>
      </c>
      <c r="V26" s="8">
        <f t="shared" si="6"/>
        <v>129.9921419</v>
      </c>
      <c r="W26" s="14">
        <f t="shared" si="7"/>
        <v>3.257296229</v>
      </c>
      <c r="X26" s="14">
        <f t="shared" si="8"/>
        <v>1.069010888</v>
      </c>
      <c r="Y26" s="14">
        <f t="shared" si="9"/>
        <v>1</v>
      </c>
      <c r="Z26" s="14">
        <f t="shared" si="10"/>
        <v>0.9975523048</v>
      </c>
      <c r="AA26" s="27">
        <f t="shared" si="11"/>
        <v>405</v>
      </c>
      <c r="AB26" s="15">
        <f t="shared" si="28"/>
        <v>1</v>
      </c>
      <c r="AC26" s="15" t="str">
        <f t="shared" si="24"/>
        <v/>
      </c>
      <c r="AD26" s="15" t="str">
        <f t="shared" si="25"/>
        <v>$XLR81-LF2-SPS$: 405,</v>
      </c>
      <c r="AE26" s="15" t="str">
        <f t="shared" si="31"/>
        <v/>
      </c>
      <c r="AF26" s="15" t="str">
        <f t="shared" si="29"/>
        <v/>
      </c>
      <c r="AG26" s="15" t="str">
        <f t="shared" si="30"/>
        <v/>
      </c>
    </row>
    <row r="27" ht="15.75" customHeight="1">
      <c r="A27" s="16" t="s">
        <v>63</v>
      </c>
      <c r="B27" s="16" t="s">
        <v>54</v>
      </c>
      <c r="C27" s="17">
        <f t="shared" si="1"/>
        <v>77</v>
      </c>
      <c r="D27" s="16">
        <v>1967.0</v>
      </c>
      <c r="E27" s="16"/>
      <c r="F27" s="16" t="b">
        <v>1</v>
      </c>
      <c r="G27" s="16" t="b">
        <v>0</v>
      </c>
      <c r="H27" s="16" t="b">
        <v>1</v>
      </c>
      <c r="I27" s="16" t="b">
        <v>0</v>
      </c>
      <c r="J27" s="18" t="b">
        <v>0</v>
      </c>
      <c r="K27" s="16">
        <v>143.26</v>
      </c>
      <c r="L27" s="16">
        <v>78.3</v>
      </c>
      <c r="M27" s="16">
        <v>312.0</v>
      </c>
      <c r="N27" s="16">
        <v>3.4</v>
      </c>
      <c r="O27" s="16">
        <v>0.9977</v>
      </c>
      <c r="P27" s="16">
        <v>0.9978</v>
      </c>
      <c r="Q27" s="19">
        <f t="shared" si="2"/>
        <v>55.73347706</v>
      </c>
      <c r="R27" s="20">
        <f t="shared" si="3"/>
        <v>1.583652618</v>
      </c>
      <c r="S27" s="21">
        <f t="shared" si="4"/>
        <v>4</v>
      </c>
      <c r="T27" s="17">
        <f t="shared" si="17"/>
        <v>124</v>
      </c>
      <c r="U27" s="22">
        <f>T27/vlookup(A27,Max!$A$2:$AP$700,column(Max!$AP$2),false)</f>
        <v>1.797101449</v>
      </c>
      <c r="V27" s="17">
        <f t="shared" si="6"/>
        <v>94.74840356</v>
      </c>
      <c r="W27" s="23">
        <f t="shared" si="7"/>
        <v>1.076082311</v>
      </c>
      <c r="X27" s="23">
        <f t="shared" si="8"/>
        <v>1.196588323</v>
      </c>
      <c r="Y27" s="23">
        <f t="shared" si="9"/>
        <v>1</v>
      </c>
      <c r="Z27" s="23">
        <f t="shared" si="10"/>
        <v>1.013959697</v>
      </c>
      <c r="AA27" s="24">
        <f t="shared" si="11"/>
        <v>77</v>
      </c>
      <c r="AB27" s="26">
        <f t="shared" si="28"/>
        <v>1</v>
      </c>
      <c r="AC27" s="26" t="str">
        <f t="shared" si="24"/>
        <v/>
      </c>
      <c r="AD27" s="26" t="str">
        <f t="shared" si="25"/>
        <v>$Model8096A$: 77,</v>
      </c>
      <c r="AE27" s="26" t="str">
        <f t="shared" si="31"/>
        <v/>
      </c>
      <c r="AF27" s="26" t="str">
        <f t="shared" si="29"/>
        <v/>
      </c>
      <c r="AG27" s="26" t="str">
        <f t="shared" si="30"/>
        <v/>
      </c>
    </row>
    <row r="28" ht="15.75" customHeight="1">
      <c r="A28" s="7" t="s">
        <v>64</v>
      </c>
      <c r="B28" s="7" t="s">
        <v>54</v>
      </c>
      <c r="C28" s="8">
        <f t="shared" si="1"/>
        <v>71</v>
      </c>
      <c r="D28" s="7">
        <v>1976.0</v>
      </c>
      <c r="E28" s="7"/>
      <c r="F28" s="7" t="b">
        <v>1</v>
      </c>
      <c r="G28" s="7" t="b">
        <v>0</v>
      </c>
      <c r="H28" s="7" t="b">
        <v>1</v>
      </c>
      <c r="I28" s="7" t="b">
        <v>0</v>
      </c>
      <c r="J28" s="9" t="b">
        <v>0</v>
      </c>
      <c r="K28" s="7">
        <v>84.3</v>
      </c>
      <c r="L28" s="7">
        <v>53.4</v>
      </c>
      <c r="M28" s="7">
        <v>336.0</v>
      </c>
      <c r="N28" s="7">
        <v>5.17</v>
      </c>
      <c r="O28" s="7">
        <v>0.9977</v>
      </c>
      <c r="P28" s="7">
        <v>0.9978</v>
      </c>
      <c r="Q28" s="10">
        <f t="shared" si="2"/>
        <v>64.59412291</v>
      </c>
      <c r="R28" s="11">
        <f t="shared" si="3"/>
        <v>2.209737828</v>
      </c>
      <c r="S28" s="12">
        <f t="shared" si="4"/>
        <v>4</v>
      </c>
      <c r="T28" s="8">
        <f t="shared" si="17"/>
        <v>118</v>
      </c>
      <c r="U28" s="13">
        <f>T28/vlookup(A28,Max!$A$2:$AP$700,column(Max!$AP$2),false)</f>
        <v>1.475</v>
      </c>
      <c r="V28" s="8">
        <f t="shared" si="6"/>
        <v>68.79455718</v>
      </c>
      <c r="W28" s="14">
        <f t="shared" si="7"/>
        <v>1.288986506</v>
      </c>
      <c r="X28" s="14">
        <f t="shared" si="8"/>
        <v>1.314914082</v>
      </c>
      <c r="Y28" s="14">
        <f t="shared" si="9"/>
        <v>1</v>
      </c>
      <c r="Z28" s="14">
        <f t="shared" si="10"/>
        <v>1.013959697</v>
      </c>
      <c r="AA28" s="27">
        <f t="shared" si="11"/>
        <v>71</v>
      </c>
      <c r="AB28" s="15">
        <f t="shared" si="28"/>
        <v>1</v>
      </c>
      <c r="AC28" s="15" t="str">
        <f t="shared" si="24"/>
        <v/>
      </c>
      <c r="AD28" s="15" t="str">
        <f t="shared" si="25"/>
        <v>$Model8096C$: 71,</v>
      </c>
      <c r="AE28" s="15" t="str">
        <f t="shared" si="31"/>
        <v/>
      </c>
      <c r="AF28" s="15" t="str">
        <f t="shared" si="29"/>
        <v/>
      </c>
      <c r="AG28" s="15" t="str">
        <f t="shared" si="30"/>
        <v/>
      </c>
    </row>
    <row r="29" ht="15.75" customHeight="1">
      <c r="A29" s="16" t="s">
        <v>65</v>
      </c>
      <c r="B29" s="16" t="s">
        <v>54</v>
      </c>
      <c r="C29" s="17">
        <f t="shared" si="1"/>
        <v>95</v>
      </c>
      <c r="D29" s="16">
        <v>1987.0</v>
      </c>
      <c r="E29" s="16"/>
      <c r="F29" s="16" t="b">
        <v>1</v>
      </c>
      <c r="G29" s="16" t="b">
        <v>0</v>
      </c>
      <c r="H29" s="16" t="b">
        <v>1</v>
      </c>
      <c r="I29" s="16" t="b">
        <v>0</v>
      </c>
      <c r="J29" s="18" t="b">
        <v>0</v>
      </c>
      <c r="K29" s="16">
        <v>155.26</v>
      </c>
      <c r="L29" s="16">
        <v>71.1</v>
      </c>
      <c r="M29" s="16">
        <v>324.0</v>
      </c>
      <c r="N29" s="16">
        <v>3.34</v>
      </c>
      <c r="O29" s="16">
        <v>0.9977</v>
      </c>
      <c r="P29" s="16">
        <v>0.9978</v>
      </c>
      <c r="Q29" s="19">
        <f t="shared" si="2"/>
        <v>46.69703886</v>
      </c>
      <c r="R29" s="20">
        <f t="shared" si="3"/>
        <v>1.99718706</v>
      </c>
      <c r="S29" s="21">
        <f t="shared" si="4"/>
        <v>4</v>
      </c>
      <c r="T29" s="17">
        <f t="shared" si="17"/>
        <v>142</v>
      </c>
      <c r="U29" s="22">
        <f>T29/vlookup(A29,Max!$A$2:$AP$700,column(Max!$AP$2),false)</f>
        <v>2.290322581</v>
      </c>
      <c r="V29" s="17">
        <f t="shared" si="6"/>
        <v>99.47838254</v>
      </c>
      <c r="W29" s="23">
        <f t="shared" si="7"/>
        <v>1.180851571</v>
      </c>
      <c r="X29" s="23">
        <f t="shared" si="8"/>
        <v>1.191804331</v>
      </c>
      <c r="Y29" s="23">
        <f t="shared" si="9"/>
        <v>1</v>
      </c>
      <c r="Z29" s="23">
        <f t="shared" si="10"/>
        <v>1.013959697</v>
      </c>
      <c r="AA29" s="24">
        <f t="shared" si="11"/>
        <v>95</v>
      </c>
      <c r="AB29" s="26">
        <f t="shared" si="28"/>
        <v>1</v>
      </c>
      <c r="AC29" s="26" t="str">
        <f t="shared" si="24"/>
        <v/>
      </c>
      <c r="AD29" s="26" t="str">
        <f t="shared" si="25"/>
        <v>$Model8096L$: 95,</v>
      </c>
      <c r="AE29" s="26" t="str">
        <f t="shared" si="31"/>
        <v/>
      </c>
      <c r="AF29" s="26" t="str">
        <f t="shared" si="29"/>
        <v/>
      </c>
      <c r="AG29" s="26" t="str">
        <f t="shared" si="30"/>
        <v/>
      </c>
    </row>
    <row r="30" ht="15.75" customHeight="1">
      <c r="A30" s="7" t="s">
        <v>66</v>
      </c>
      <c r="B30" s="7" t="s">
        <v>54</v>
      </c>
      <c r="C30" s="8">
        <f t="shared" si="1"/>
        <v>105</v>
      </c>
      <c r="D30" s="7">
        <v>2002.0</v>
      </c>
      <c r="E30" s="7"/>
      <c r="F30" s="7" t="b">
        <v>1</v>
      </c>
      <c r="G30" s="7" t="b">
        <v>0</v>
      </c>
      <c r="H30" s="7" t="b">
        <v>1</v>
      </c>
      <c r="I30" s="7" t="b">
        <v>0</v>
      </c>
      <c r="J30" s="9" t="b">
        <v>0</v>
      </c>
      <c r="K30" s="7">
        <v>130.0</v>
      </c>
      <c r="L30" s="7">
        <v>67.5</v>
      </c>
      <c r="M30" s="7">
        <v>336.0</v>
      </c>
      <c r="N30" s="7">
        <v>4.95</v>
      </c>
      <c r="O30" s="7">
        <v>0.9977</v>
      </c>
      <c r="P30" s="7">
        <v>0.9978</v>
      </c>
      <c r="Q30" s="10">
        <f t="shared" si="2"/>
        <v>52.94680321</v>
      </c>
      <c r="R30" s="11">
        <f t="shared" si="3"/>
        <v>2.251851852</v>
      </c>
      <c r="S30" s="12">
        <f t="shared" si="4"/>
        <v>4</v>
      </c>
      <c r="T30" s="8">
        <f t="shared" si="17"/>
        <v>152</v>
      </c>
      <c r="U30" s="13">
        <f>T30/vlookup(A30,Max!$A$2:$AP$700,column(Max!$AP$2),false)</f>
        <v>2.576271186</v>
      </c>
      <c r="V30" s="8">
        <f t="shared" si="6"/>
        <v>89.34083696</v>
      </c>
      <c r="W30" s="14">
        <f t="shared" si="7"/>
        <v>1.288986506</v>
      </c>
      <c r="X30" s="14">
        <f t="shared" si="8"/>
        <v>1.302111498</v>
      </c>
      <c r="Y30" s="14">
        <f t="shared" si="9"/>
        <v>1</v>
      </c>
      <c r="Z30" s="14">
        <f t="shared" si="10"/>
        <v>1.013959697</v>
      </c>
      <c r="AA30" s="27">
        <f t="shared" si="11"/>
        <v>105</v>
      </c>
      <c r="AB30" s="15">
        <f t="shared" si="28"/>
        <v>1</v>
      </c>
      <c r="AC30" s="15" t="str">
        <f t="shared" si="24"/>
        <v/>
      </c>
      <c r="AD30" s="15" t="str">
        <f t="shared" si="25"/>
        <v>$Agena-2000$: 105,</v>
      </c>
      <c r="AE30" s="15" t="str">
        <f t="shared" si="31"/>
        <v/>
      </c>
      <c r="AF30" s="15" t="str">
        <f t="shared" si="29"/>
        <v/>
      </c>
      <c r="AG30" s="15" t="str">
        <f t="shared" si="30"/>
        <v/>
      </c>
    </row>
    <row r="31" ht="15.75" customHeight="1">
      <c r="A31" s="16" t="s">
        <v>67</v>
      </c>
      <c r="B31" s="16" t="s">
        <v>68</v>
      </c>
      <c r="C31" s="17">
        <f t="shared" si="1"/>
        <v>41</v>
      </c>
      <c r="D31" s="16">
        <v>1962.0</v>
      </c>
      <c r="E31" s="16"/>
      <c r="F31" s="16" t="b">
        <v>0</v>
      </c>
      <c r="G31" s="16" t="b">
        <v>0</v>
      </c>
      <c r="H31" s="16" t="b">
        <v>1</v>
      </c>
      <c r="I31" s="16" t="b">
        <v>0</v>
      </c>
      <c r="J31" s="18" t="b">
        <v>0</v>
      </c>
      <c r="K31" s="16">
        <v>57.5</v>
      </c>
      <c r="L31" s="16">
        <v>0.9608</v>
      </c>
      <c r="M31" s="16">
        <v>255.8</v>
      </c>
      <c r="N31" s="16">
        <v>0.65</v>
      </c>
      <c r="O31" s="16">
        <v>0.997718</v>
      </c>
      <c r="P31" s="16">
        <v>0.995679</v>
      </c>
      <c r="Q31" s="19">
        <f t="shared" si="2"/>
        <v>1.703901451</v>
      </c>
      <c r="R31" s="20">
        <f t="shared" si="3"/>
        <v>42.67277269</v>
      </c>
      <c r="S31" s="21">
        <f t="shared" si="4"/>
        <v>1.75</v>
      </c>
      <c r="T31" s="17">
        <f t="shared" si="17"/>
        <v>41</v>
      </c>
      <c r="U31" s="22">
        <f>T31/vlookup(A31,Max!$A$2:$AP$700,column(Max!$AP$2),false)</f>
        <v>15.18518519</v>
      </c>
      <c r="V31" s="17">
        <f t="shared" si="6"/>
        <v>54.67100751</v>
      </c>
      <c r="W31" s="23">
        <f t="shared" si="7"/>
        <v>0.9108592001</v>
      </c>
      <c r="X31" s="23">
        <f t="shared" si="8"/>
        <v>0.82464591</v>
      </c>
      <c r="Y31" s="23">
        <f t="shared" si="9"/>
        <v>1</v>
      </c>
      <c r="Z31" s="23">
        <f t="shared" si="10"/>
        <v>1.0086254</v>
      </c>
      <c r="AA31" s="26">
        <f t="shared" si="11"/>
        <v>0</v>
      </c>
      <c r="AB31" s="25">
        <v>0.0</v>
      </c>
      <c r="AC31" s="26" t="str">
        <f t="shared" si="24"/>
        <v>{
$name$: $Model8250$,
$config$: $Agena SPS$,
$cost$: 41
},</v>
      </c>
      <c r="AD31" s="26" t="str">
        <f t="shared" si="25"/>
        <v/>
      </c>
      <c r="AE31" s="26" t="str">
        <f t="shared" si="31"/>
        <v/>
      </c>
      <c r="AF31" s="26" t="str">
        <f t="shared" si="29"/>
        <v/>
      </c>
      <c r="AG31" s="26" t="str">
        <f t="shared" si="30"/>
        <v/>
      </c>
    </row>
    <row r="32" ht="15.75" customHeight="1">
      <c r="A32" s="7" t="s">
        <v>69</v>
      </c>
      <c r="B32" s="7" t="s">
        <v>68</v>
      </c>
      <c r="C32" s="8">
        <f t="shared" si="1"/>
        <v>10</v>
      </c>
      <c r="D32" s="7">
        <v>1968.0</v>
      </c>
      <c r="E32" s="7"/>
      <c r="F32" s="7" t="b">
        <v>1</v>
      </c>
      <c r="G32" s="7" t="b">
        <v>0</v>
      </c>
      <c r="H32" s="7" t="b">
        <v>1</v>
      </c>
      <c r="I32" s="7" t="b">
        <v>0</v>
      </c>
      <c r="J32" s="9" t="b">
        <v>0</v>
      </c>
      <c r="K32" s="7">
        <v>78.0</v>
      </c>
      <c r="L32" s="7">
        <v>0.4</v>
      </c>
      <c r="M32" s="7">
        <v>273.0</v>
      </c>
      <c r="N32" s="7">
        <v>0.62</v>
      </c>
      <c r="O32" s="7">
        <v>0.999414</v>
      </c>
      <c r="P32" s="7">
        <v>0.999123</v>
      </c>
      <c r="Q32" s="10">
        <f t="shared" si="2"/>
        <v>0.5229313897</v>
      </c>
      <c r="R32" s="11">
        <f t="shared" si="3"/>
        <v>127.5</v>
      </c>
      <c r="S32" s="12">
        <f t="shared" si="4"/>
        <v>4</v>
      </c>
      <c r="T32" s="8">
        <f t="shared" si="17"/>
        <v>51</v>
      </c>
      <c r="U32" s="13">
        <f>T32/vlookup(A32,Max!$A$2:$AP$700,column(Max!$AP$2),false)</f>
        <v>13.78378378</v>
      </c>
      <c r="V32" s="8">
        <f t="shared" si="6"/>
        <v>65.65365205</v>
      </c>
      <c r="W32" s="14">
        <f t="shared" si="7"/>
        <v>0.9367111657</v>
      </c>
      <c r="X32" s="14">
        <f t="shared" si="8"/>
        <v>0.815924801</v>
      </c>
      <c r="Y32" s="14">
        <f t="shared" si="9"/>
        <v>1</v>
      </c>
      <c r="Z32" s="14">
        <f t="shared" si="10"/>
        <v>1.021699021</v>
      </c>
      <c r="AA32" s="27">
        <f t="shared" si="11"/>
        <v>10</v>
      </c>
      <c r="AB32" s="15">
        <f t="shared" ref="AB32:AB33" si="32">if(iserror(find("$",A32)),1,2)</f>
        <v>1</v>
      </c>
      <c r="AC32" s="15" t="str">
        <f t="shared" si="24"/>
        <v/>
      </c>
      <c r="AD32" s="15" t="str">
        <f t="shared" si="25"/>
        <v>$ISPS$: 10,</v>
      </c>
      <c r="AE32" s="15" t="str">
        <f t="shared" si="31"/>
        <v/>
      </c>
      <c r="AF32" s="15" t="str">
        <f t="shared" si="29"/>
        <v/>
      </c>
      <c r="AG32" s="15" t="str">
        <f t="shared" si="30"/>
        <v/>
      </c>
    </row>
    <row r="33" ht="15.75" customHeight="1">
      <c r="A33" s="16" t="s">
        <v>70</v>
      </c>
      <c r="B33" s="16" t="s">
        <v>68</v>
      </c>
      <c r="C33" s="17">
        <f t="shared" si="1"/>
        <v>11</v>
      </c>
      <c r="D33" s="16">
        <v>1968.0</v>
      </c>
      <c r="E33" s="16"/>
      <c r="F33" s="16" t="b">
        <v>1</v>
      </c>
      <c r="G33" s="16" t="b">
        <v>0</v>
      </c>
      <c r="H33" s="16" t="b">
        <v>1</v>
      </c>
      <c r="I33" s="16" t="b">
        <v>0</v>
      </c>
      <c r="J33" s="18" t="b">
        <v>0</v>
      </c>
      <c r="K33" s="16">
        <v>78.0</v>
      </c>
      <c r="L33" s="16">
        <v>0.4</v>
      </c>
      <c r="M33" s="16">
        <v>278.0</v>
      </c>
      <c r="N33" s="16">
        <v>0.62</v>
      </c>
      <c r="O33" s="16">
        <v>0.999414</v>
      </c>
      <c r="P33" s="16">
        <v>0.999123</v>
      </c>
      <c r="Q33" s="19">
        <f t="shared" si="2"/>
        <v>0.5229313897</v>
      </c>
      <c r="R33" s="20">
        <f t="shared" si="3"/>
        <v>130</v>
      </c>
      <c r="S33" s="21">
        <f t="shared" si="4"/>
        <v>4</v>
      </c>
      <c r="T33" s="17">
        <f t="shared" si="17"/>
        <v>52</v>
      </c>
      <c r="U33" s="22">
        <f>T33/vlookup(A33,Max!$A$2:$AP$700,column(Max!$AP$2),false)</f>
        <v>13.68421053</v>
      </c>
      <c r="V33" s="17">
        <f t="shared" si="6"/>
        <v>65.65365205</v>
      </c>
      <c r="W33" s="23">
        <f t="shared" si="7"/>
        <v>0.9460824974</v>
      </c>
      <c r="X33" s="23">
        <f t="shared" si="8"/>
        <v>0.815924801</v>
      </c>
      <c r="Y33" s="23">
        <f t="shared" si="9"/>
        <v>1</v>
      </c>
      <c r="Z33" s="23">
        <f t="shared" si="10"/>
        <v>1.021699021</v>
      </c>
      <c r="AA33" s="24">
        <f t="shared" si="11"/>
        <v>11</v>
      </c>
      <c r="AB33" s="26">
        <f t="shared" si="32"/>
        <v>1</v>
      </c>
      <c r="AC33" s="26" t="str">
        <f t="shared" si="24"/>
        <v/>
      </c>
      <c r="AD33" s="26" t="str">
        <f t="shared" si="25"/>
        <v>$ISPS-HDA$: 11,</v>
      </c>
      <c r="AE33" s="26" t="str">
        <f t="shared" si="31"/>
        <v/>
      </c>
      <c r="AF33" s="26" t="str">
        <f t="shared" si="29"/>
        <v/>
      </c>
      <c r="AG33" s="26" t="str">
        <f t="shared" si="30"/>
        <v/>
      </c>
    </row>
    <row r="34" ht="15.75" customHeight="1">
      <c r="A34" s="7" t="s">
        <v>71</v>
      </c>
      <c r="B34" s="7" t="s">
        <v>72</v>
      </c>
      <c r="C34" s="8">
        <f t="shared" si="1"/>
        <v>159</v>
      </c>
      <c r="D34" s="7">
        <v>1968.0</v>
      </c>
      <c r="E34" s="7"/>
      <c r="F34" s="7" t="b">
        <v>0</v>
      </c>
      <c r="G34" s="7" t="b">
        <v>0</v>
      </c>
      <c r="H34" s="7" t="b">
        <v>1</v>
      </c>
      <c r="I34" s="7" t="b">
        <v>0</v>
      </c>
      <c r="J34" s="9" t="b">
        <v>0</v>
      </c>
      <c r="K34" s="7">
        <v>372.44</v>
      </c>
      <c r="L34" s="7">
        <v>97.416</v>
      </c>
      <c r="M34" s="7">
        <v>314.5</v>
      </c>
      <c r="N34" s="7">
        <v>0.68</v>
      </c>
      <c r="O34" s="7">
        <v>0.9995</v>
      </c>
      <c r="P34" s="7">
        <v>0.999</v>
      </c>
      <c r="Q34" s="10">
        <f t="shared" si="2"/>
        <v>26.67185971</v>
      </c>
      <c r="R34" s="11">
        <f t="shared" si="3"/>
        <v>1.632175413</v>
      </c>
      <c r="S34" s="12">
        <f t="shared" si="4"/>
        <v>1.75</v>
      </c>
      <c r="T34" s="8">
        <f t="shared" si="17"/>
        <v>159</v>
      </c>
      <c r="U34" s="13">
        <f>T34/vlookup(A34,Max!$A$2:$AP$700,column(Max!$AP$2),false)</f>
        <v>1.177777778</v>
      </c>
      <c r="V34" s="8">
        <f t="shared" si="6"/>
        <v>169.4221005</v>
      </c>
      <c r="W34" s="14">
        <f t="shared" si="7"/>
        <v>1.102229686</v>
      </c>
      <c r="X34" s="14">
        <f t="shared" si="8"/>
        <v>0.8330604363</v>
      </c>
      <c r="Y34" s="14">
        <f t="shared" si="9"/>
        <v>1</v>
      </c>
      <c r="Z34" s="14">
        <f t="shared" si="10"/>
        <v>1.021604342</v>
      </c>
      <c r="AA34" s="15">
        <f t="shared" si="11"/>
        <v>0</v>
      </c>
      <c r="AB34" s="29">
        <v>0.0</v>
      </c>
      <c r="AC34" s="15" t="str">
        <f t="shared" si="24"/>
        <v>{
$name$: $AJ10-137$,
$config$: $AJ10_137$,
$cost$: 159
},</v>
      </c>
      <c r="AD34" s="15" t="str">
        <f t="shared" si="25"/>
        <v/>
      </c>
      <c r="AE34" s="15" t="str">
        <f t="shared" si="31"/>
        <v/>
      </c>
      <c r="AF34" s="15" t="str">
        <f t="shared" si="29"/>
        <v/>
      </c>
      <c r="AG34" s="15" t="str">
        <f t="shared" si="30"/>
        <v/>
      </c>
    </row>
    <row r="35" ht="15.75" customHeight="1">
      <c r="A35" s="16" t="s">
        <v>73</v>
      </c>
      <c r="B35" s="16" t="s">
        <v>74</v>
      </c>
      <c r="C35" s="17">
        <f t="shared" si="1"/>
        <v>88</v>
      </c>
      <c r="D35" s="16">
        <v>1981.0</v>
      </c>
      <c r="E35" s="16"/>
      <c r="F35" s="16" t="b">
        <v>0</v>
      </c>
      <c r="G35" s="16" t="b">
        <v>0</v>
      </c>
      <c r="H35" s="16" t="b">
        <v>1</v>
      </c>
      <c r="I35" s="16" t="b">
        <v>0</v>
      </c>
      <c r="J35" s="18" t="b">
        <v>0</v>
      </c>
      <c r="K35" s="16">
        <v>125.0</v>
      </c>
      <c r="L35" s="16">
        <v>26.7</v>
      </c>
      <c r="M35" s="16">
        <v>316.0</v>
      </c>
      <c r="N35" s="16">
        <v>0.86</v>
      </c>
      <c r="O35" s="16">
        <v>0.999814</v>
      </c>
      <c r="P35" s="16">
        <v>0.999442</v>
      </c>
      <c r="Q35" s="19">
        <f t="shared" si="2"/>
        <v>21.78113825</v>
      </c>
      <c r="R35" s="20">
        <f t="shared" si="3"/>
        <v>3.29588015</v>
      </c>
      <c r="S35" s="21">
        <f t="shared" si="4"/>
        <v>1.75</v>
      </c>
      <c r="T35" s="17">
        <f t="shared" si="17"/>
        <v>88</v>
      </c>
      <c r="U35" s="22">
        <f>T35/vlookup(A35,Max!$A$2:$AP$700,column(Max!$AP$2),false)</f>
        <v>2.2</v>
      </c>
      <c r="V35" s="17">
        <f t="shared" si="6"/>
        <v>87.24719147</v>
      </c>
      <c r="W35" s="23">
        <f t="shared" si="7"/>
        <v>1.115677507</v>
      </c>
      <c r="X35" s="23">
        <f t="shared" si="8"/>
        <v>0.8782621278</v>
      </c>
      <c r="Y35" s="23">
        <f t="shared" si="9"/>
        <v>1</v>
      </c>
      <c r="Z35" s="23">
        <f t="shared" si="10"/>
        <v>1.023538158</v>
      </c>
      <c r="AA35" s="26">
        <f t="shared" si="11"/>
        <v>0</v>
      </c>
      <c r="AB35" s="25">
        <v>0.0</v>
      </c>
      <c r="AC35" s="26" t="str">
        <f t="shared" si="24"/>
        <v>{
$name$: $AJ10-190$,
$config$: $AJ10_190$,
$cost$: 88
},</v>
      </c>
      <c r="AD35" s="26" t="str">
        <f t="shared" si="25"/>
        <v/>
      </c>
      <c r="AE35" s="26" t="str">
        <f t="shared" si="31"/>
        <v/>
      </c>
      <c r="AF35" s="26" t="str">
        <f t="shared" si="29"/>
        <v/>
      </c>
      <c r="AG35" s="26" t="str">
        <f t="shared" si="30"/>
        <v/>
      </c>
    </row>
    <row r="36" ht="15.75" customHeight="1">
      <c r="A36" s="7" t="s">
        <v>75</v>
      </c>
      <c r="B36" s="7" t="s">
        <v>76</v>
      </c>
      <c r="C36" s="8">
        <f t="shared" si="1"/>
        <v>69</v>
      </c>
      <c r="D36" s="7">
        <v>1964.0</v>
      </c>
      <c r="E36" s="7"/>
      <c r="F36" s="7" t="b">
        <v>0</v>
      </c>
      <c r="G36" s="7" t="b">
        <v>0</v>
      </c>
      <c r="H36" s="7" t="b">
        <v>1</v>
      </c>
      <c r="I36" s="7" t="b">
        <v>0</v>
      </c>
      <c r="J36" s="9" t="b">
        <v>0</v>
      </c>
      <c r="K36" s="7">
        <v>110.0</v>
      </c>
      <c r="L36" s="7">
        <v>35.585</v>
      </c>
      <c r="M36" s="9">
        <v>302.2</v>
      </c>
      <c r="N36" s="7">
        <v>0.72</v>
      </c>
      <c r="O36" s="7">
        <v>0.997718</v>
      </c>
      <c r="P36" s="7">
        <v>0.995679</v>
      </c>
      <c r="Q36" s="10">
        <f t="shared" si="2"/>
        <v>32.98781939</v>
      </c>
      <c r="R36" s="11">
        <f t="shared" si="3"/>
        <v>1.93901925</v>
      </c>
      <c r="S36" s="12">
        <f t="shared" si="4"/>
        <v>1.75</v>
      </c>
      <c r="T36" s="8">
        <f t="shared" si="17"/>
        <v>69</v>
      </c>
      <c r="U36" s="13">
        <f>T36/vlookup(A36,Max!$A$2:$AP$700,column(Max!$AP$2),false)</f>
        <v>1.029850746</v>
      </c>
      <c r="V36" s="8">
        <f t="shared" si="6"/>
        <v>80.76346196</v>
      </c>
      <c r="W36" s="14">
        <f t="shared" si="7"/>
        <v>1.00792582</v>
      </c>
      <c r="X36" s="14">
        <f t="shared" si="8"/>
        <v>0.8438433181</v>
      </c>
      <c r="Y36" s="14">
        <f t="shared" si="9"/>
        <v>1</v>
      </c>
      <c r="Z36" s="14">
        <f t="shared" si="10"/>
        <v>1.0086254</v>
      </c>
      <c r="AA36" s="15">
        <f t="shared" si="11"/>
        <v>0</v>
      </c>
      <c r="AB36" s="29">
        <v>0.0</v>
      </c>
      <c r="AC36" s="15" t="str">
        <f t="shared" si="24"/>
        <v>{
$name$: $AJ10-138$,
$config$: $AJ10_Adv$,
$cost$: 69
},</v>
      </c>
      <c r="AD36" s="15" t="str">
        <f t="shared" si="25"/>
        <v/>
      </c>
      <c r="AE36" s="15" t="str">
        <f>if(AB36=2,if(AF35&lt;&gt;AF36,char(9)&amp;char(9)&amp;"@CONFIG["&amp;AF36&amp;"]"&amp;char(10)&amp;char(9)&amp;char(9)&amp;"{"&amp;char(10),"")&amp;char(9)&amp;char(9)&amp;char(9)&amp;"@SUBCONFIG["&amp;AG36&amp;"] { %cost = "&amp;AA36&amp;" }"&amp;if(AF39&lt;&gt;AF36,char(10)&amp;char(9)&amp;char(9)&amp;"}",""),"")</f>
        <v/>
      </c>
      <c r="AF36" s="15" t="str">
        <f t="shared" si="29"/>
        <v/>
      </c>
      <c r="AG36" s="15" t="str">
        <f t="shared" si="30"/>
        <v/>
      </c>
    </row>
    <row r="37" ht="15.75" customHeight="1">
      <c r="A37" s="18" t="s">
        <v>77</v>
      </c>
      <c r="B37" s="18" t="s">
        <v>76</v>
      </c>
      <c r="C37" s="17">
        <f t="shared" si="1"/>
        <v>122</v>
      </c>
      <c r="D37" s="18">
        <v>1964.5</v>
      </c>
      <c r="E37" s="18" t="b">
        <v>1</v>
      </c>
      <c r="F37" s="18" t="b">
        <v>0</v>
      </c>
      <c r="G37" s="18" t="b">
        <v>0</v>
      </c>
      <c r="H37" s="18" t="b">
        <v>1</v>
      </c>
      <c r="I37" s="18" t="b">
        <v>0</v>
      </c>
      <c r="J37" s="18" t="b">
        <v>0</v>
      </c>
      <c r="K37" s="18">
        <v>81.0</v>
      </c>
      <c r="L37" s="18">
        <v>26.7</v>
      </c>
      <c r="M37" s="18">
        <v>433.0</v>
      </c>
      <c r="N37" s="18">
        <v>0.28</v>
      </c>
      <c r="O37" s="16">
        <v>0.9965</v>
      </c>
      <c r="P37" s="16">
        <v>0.998</v>
      </c>
      <c r="Q37" s="19">
        <f t="shared" si="2"/>
        <v>33.61286766</v>
      </c>
      <c r="R37" s="20">
        <f t="shared" si="3"/>
        <v>7.153558052</v>
      </c>
      <c r="S37" s="21">
        <f t="shared" si="4"/>
        <v>1.75</v>
      </c>
      <c r="T37" s="17">
        <f t="shared" si="17"/>
        <v>191</v>
      </c>
      <c r="U37" s="22" t="str">
        <f>T37/vlookup(A37,Max!$A$2:$AP$700,column(Max!$AP$2),false)</f>
        <v>#N/A</v>
      </c>
      <c r="V37" s="17">
        <f t="shared" si="6"/>
        <v>95.7250295</v>
      </c>
      <c r="W37" s="23">
        <f t="shared" si="7"/>
        <v>2.884286334</v>
      </c>
      <c r="X37" s="23">
        <f t="shared" si="8"/>
        <v>0.6822955852</v>
      </c>
      <c r="Y37" s="23">
        <f t="shared" si="9"/>
        <v>1</v>
      </c>
      <c r="Z37" s="23">
        <f t="shared" si="10"/>
        <v>1.011420203</v>
      </c>
      <c r="AA37" s="24">
        <f t="shared" si="11"/>
        <v>122</v>
      </c>
      <c r="AB37" s="26">
        <f t="shared" ref="AB37:AB39" si="33">if(iserror(find("$",A37)),1,2)</f>
        <v>1</v>
      </c>
      <c r="AC37" s="26" t="str">
        <f t="shared" si="24"/>
        <v/>
      </c>
      <c r="AD37" s="26" t="str">
        <f t="shared" si="25"/>
        <v>$AJ10-133-Hylas$: 122,</v>
      </c>
      <c r="AE37" s="26"/>
      <c r="AF37" s="26"/>
      <c r="AG37" s="26"/>
    </row>
    <row r="38" ht="15.75" customHeight="1">
      <c r="A38" s="7" t="s">
        <v>78</v>
      </c>
      <c r="B38" s="7" t="s">
        <v>76</v>
      </c>
      <c r="C38" s="8">
        <f t="shared" si="1"/>
        <v>137</v>
      </c>
      <c r="D38" s="7">
        <v>1966.0</v>
      </c>
      <c r="E38" s="7" t="b">
        <v>1</v>
      </c>
      <c r="F38" s="7" t="b">
        <v>0</v>
      </c>
      <c r="G38" s="7" t="b">
        <v>0</v>
      </c>
      <c r="H38" s="7" t="b">
        <v>1</v>
      </c>
      <c r="I38" s="7" t="b">
        <v>0</v>
      </c>
      <c r="J38" s="9" t="b">
        <v>0</v>
      </c>
      <c r="K38" s="7">
        <v>81.0</v>
      </c>
      <c r="L38" s="7">
        <v>26.7</v>
      </c>
      <c r="M38" s="7">
        <v>430.0</v>
      </c>
      <c r="N38" s="7">
        <v>0.45</v>
      </c>
      <c r="O38" s="7">
        <v>0.9965</v>
      </c>
      <c r="P38" s="7">
        <v>0.998</v>
      </c>
      <c r="Q38" s="10">
        <f t="shared" si="2"/>
        <v>33.61286766</v>
      </c>
      <c r="R38" s="11">
        <f t="shared" si="3"/>
        <v>7.715355805</v>
      </c>
      <c r="S38" s="12">
        <f t="shared" si="4"/>
        <v>1.75</v>
      </c>
      <c r="T38" s="8">
        <f t="shared" si="17"/>
        <v>206</v>
      </c>
      <c r="U38" s="13">
        <f>T38/vlookup(A38,Max!$A$2:$AP$700,column(Max!$AP$2),false)</f>
        <v>1.084210526</v>
      </c>
      <c r="V38" s="8">
        <f t="shared" si="6"/>
        <v>95.7250295</v>
      </c>
      <c r="W38" s="14">
        <f t="shared" si="7"/>
        <v>2.80669557</v>
      </c>
      <c r="X38" s="14">
        <f t="shared" si="8"/>
        <v>0.7591626266</v>
      </c>
      <c r="Y38" s="14">
        <f t="shared" si="9"/>
        <v>1</v>
      </c>
      <c r="Z38" s="14">
        <f t="shared" si="10"/>
        <v>1.011420203</v>
      </c>
      <c r="AA38" s="27">
        <f t="shared" si="11"/>
        <v>137</v>
      </c>
      <c r="AB38" s="15">
        <f t="shared" si="33"/>
        <v>1</v>
      </c>
      <c r="AC38" s="15" t="str">
        <f t="shared" si="24"/>
        <v/>
      </c>
      <c r="AD38" s="15" t="str">
        <f t="shared" si="25"/>
        <v>$AJ10-133-LH$: 137,</v>
      </c>
      <c r="AE38" s="15" t="str">
        <f>if(AB38=2,if(AF35&lt;&gt;AF38,char(9)&amp;char(9)&amp;"@CONFIG["&amp;AF38&amp;"]"&amp;char(10)&amp;char(9)&amp;char(9)&amp;"{"&amp;char(10),"")&amp;char(9)&amp;char(9)&amp;char(9)&amp;"@SUBCONFIG["&amp;AG38&amp;"] { %cost = "&amp;AA38&amp;" }"&amp;if(AF39&lt;&gt;AF38,char(10)&amp;char(9)&amp;char(9)&amp;"}",""),"")</f>
        <v/>
      </c>
      <c r="AF38" s="15" t="str">
        <f t="shared" ref="AF38:AF58" si="34">if(AB38=2,left(A38,find("$",A38)-1),"")</f>
        <v/>
      </c>
      <c r="AG38" s="15" t="str">
        <f t="shared" ref="AG38:AG58" si="35">if(AB38=2,mid(A38,find("$",A38)+1,len(A38)),"")</f>
        <v/>
      </c>
    </row>
    <row r="39" ht="15.75" customHeight="1">
      <c r="A39" s="16" t="s">
        <v>79</v>
      </c>
      <c r="B39" s="16" t="s">
        <v>76</v>
      </c>
      <c r="C39" s="17">
        <f t="shared" si="1"/>
        <v>0</v>
      </c>
      <c r="D39" s="16">
        <v>1972.0</v>
      </c>
      <c r="E39" s="16"/>
      <c r="F39" s="16" t="b">
        <v>0</v>
      </c>
      <c r="G39" s="16" t="b">
        <v>0</v>
      </c>
      <c r="H39" s="16" t="b">
        <v>1</v>
      </c>
      <c r="I39" s="16" t="b">
        <v>0</v>
      </c>
      <c r="J39" s="18" t="b">
        <v>0</v>
      </c>
      <c r="K39" s="16">
        <v>100.0</v>
      </c>
      <c r="L39" s="18">
        <v>42.1</v>
      </c>
      <c r="M39" s="18">
        <v>306.0</v>
      </c>
      <c r="N39" s="18">
        <v>0.86</v>
      </c>
      <c r="O39" s="16">
        <v>0.997718</v>
      </c>
      <c r="P39" s="16">
        <v>0.995679</v>
      </c>
      <c r="Q39" s="19">
        <f t="shared" si="2"/>
        <v>42.93005244</v>
      </c>
      <c r="R39" s="20">
        <f t="shared" si="3"/>
        <v>1.638954869</v>
      </c>
      <c r="S39" s="21">
        <f t="shared" si="4"/>
        <v>1.75</v>
      </c>
      <c r="T39" s="17">
        <f t="shared" si="17"/>
        <v>69</v>
      </c>
      <c r="U39" s="22">
        <f>T39/vlookup(A39,Max!$A$2:$AP$700,column(Max!$AP$2),false)</f>
        <v>1.112903226</v>
      </c>
      <c r="V39" s="17">
        <f t="shared" si="6"/>
        <v>76.2501611</v>
      </c>
      <c r="W39" s="23">
        <f t="shared" si="7"/>
        <v>1.02792664</v>
      </c>
      <c r="X39" s="23">
        <f t="shared" si="8"/>
        <v>0.8782621278</v>
      </c>
      <c r="Y39" s="23">
        <f t="shared" si="9"/>
        <v>1</v>
      </c>
      <c r="Z39" s="23">
        <f t="shared" si="10"/>
        <v>1.0086254</v>
      </c>
      <c r="AA39" s="24">
        <f t="shared" si="11"/>
        <v>0</v>
      </c>
      <c r="AB39" s="26">
        <f t="shared" si="33"/>
        <v>1</v>
      </c>
      <c r="AC39" s="26" t="str">
        <f t="shared" si="24"/>
        <v/>
      </c>
      <c r="AD39" s="26" t="str">
        <f t="shared" si="25"/>
        <v>$AJ10-118F$: 0,</v>
      </c>
      <c r="AE39" s="26" t="str">
        <f>if(AB39=2,if(AF38&lt;&gt;AF39,char(9)&amp;char(9)&amp;"@CONFIG["&amp;AF39&amp;"]"&amp;char(10)&amp;char(9)&amp;char(9)&amp;"{"&amp;char(10),"")&amp;char(9)&amp;char(9)&amp;char(9)&amp;"@SUBCONFIG["&amp;AG39&amp;"] { %cost = "&amp;AA39&amp;" }"&amp;if(AF40&lt;&gt;AF39,char(10)&amp;char(9)&amp;char(9)&amp;"}",""),"")</f>
        <v/>
      </c>
      <c r="AF39" s="26" t="str">
        <f t="shared" si="34"/>
        <v/>
      </c>
      <c r="AG39" s="26" t="str">
        <f t="shared" si="35"/>
        <v/>
      </c>
    </row>
    <row r="40" ht="15.75" customHeight="1">
      <c r="A40" s="9" t="s">
        <v>80</v>
      </c>
      <c r="B40" s="9" t="s">
        <v>76</v>
      </c>
      <c r="C40" s="8">
        <f t="shared" si="1"/>
        <v>4</v>
      </c>
      <c r="D40" s="9">
        <v>1979.0</v>
      </c>
      <c r="E40" s="7"/>
      <c r="F40" s="7" t="b">
        <v>0</v>
      </c>
      <c r="G40" s="7" t="b">
        <v>0</v>
      </c>
      <c r="H40" s="7" t="b">
        <v>1</v>
      </c>
      <c r="I40" s="7" t="b">
        <v>0</v>
      </c>
      <c r="J40" s="9" t="b">
        <v>0</v>
      </c>
      <c r="K40" s="7">
        <v>110.0</v>
      </c>
      <c r="L40" s="7">
        <v>35.585</v>
      </c>
      <c r="M40" s="9">
        <v>310.6</v>
      </c>
      <c r="N40" s="7">
        <v>0.72</v>
      </c>
      <c r="O40" s="7">
        <v>0.997718</v>
      </c>
      <c r="P40" s="7">
        <v>0.995679</v>
      </c>
      <c r="Q40" s="10">
        <f t="shared" si="2"/>
        <v>32.98781939</v>
      </c>
      <c r="R40" s="11">
        <f t="shared" si="3"/>
        <v>2.051426163</v>
      </c>
      <c r="S40" s="12">
        <f t="shared" si="4"/>
        <v>1.75</v>
      </c>
      <c r="T40" s="8">
        <f t="shared" si="17"/>
        <v>73</v>
      </c>
      <c r="U40" s="13" t="str">
        <f>T40/vlookup(A40,Max!$A$2:$AP$700,column(Max!$AP$2),false)</f>
        <v>#N/A</v>
      </c>
      <c r="V40" s="8">
        <f t="shared" si="6"/>
        <v>80.76346196</v>
      </c>
      <c r="W40" s="14">
        <f t="shared" si="7"/>
        <v>1.063010307</v>
      </c>
      <c r="X40" s="14">
        <f t="shared" si="8"/>
        <v>0.8438433181</v>
      </c>
      <c r="Y40" s="14">
        <f t="shared" si="9"/>
        <v>1</v>
      </c>
      <c r="Z40" s="14">
        <f t="shared" si="10"/>
        <v>1.0086254</v>
      </c>
      <c r="AA40" s="27">
        <f t="shared" si="11"/>
        <v>4</v>
      </c>
      <c r="AB40" s="29">
        <v>1.0</v>
      </c>
      <c r="AC40" s="15" t="str">
        <f t="shared" si="24"/>
        <v/>
      </c>
      <c r="AD40" s="15" t="str">
        <f t="shared" si="25"/>
        <v>$AJ10-138A$: 4,</v>
      </c>
      <c r="AE40" s="15" t="str">
        <f>if(AB40=2,if(AF39&lt;&gt;AF40,char(9)&amp;char(9)&amp;"@CONFIG["&amp;AF40&amp;"]"&amp;char(10)&amp;char(9)&amp;char(9)&amp;"{"&amp;char(10),"")&amp;char(9)&amp;char(9)&amp;char(9)&amp;"@SUBCONFIG["&amp;AG40&amp;"] { %cost = "&amp;AA40&amp;" }"&amp;if(AF43&lt;&gt;AF40,char(10)&amp;char(9)&amp;char(9)&amp;"}",""),"")</f>
        <v/>
      </c>
      <c r="AF40" s="15" t="str">
        <f t="shared" si="34"/>
        <v/>
      </c>
      <c r="AG40" s="15" t="str">
        <f t="shared" si="35"/>
        <v/>
      </c>
    </row>
    <row r="41" ht="15.75" customHeight="1">
      <c r="A41" s="16" t="s">
        <v>81</v>
      </c>
      <c r="B41" s="16" t="s">
        <v>76</v>
      </c>
      <c r="C41" s="17">
        <f t="shared" si="1"/>
        <v>9</v>
      </c>
      <c r="D41" s="16">
        <v>1989.0</v>
      </c>
      <c r="E41" s="16"/>
      <c r="F41" s="16" t="b">
        <v>0</v>
      </c>
      <c r="G41" s="16" t="b">
        <v>0</v>
      </c>
      <c r="H41" s="16" t="b">
        <v>1</v>
      </c>
      <c r="I41" s="16" t="b">
        <v>0</v>
      </c>
      <c r="J41" s="18" t="b">
        <v>0</v>
      </c>
      <c r="K41" s="16">
        <v>100.0</v>
      </c>
      <c r="L41" s="18">
        <v>43.6</v>
      </c>
      <c r="M41" s="16">
        <v>319.2</v>
      </c>
      <c r="N41" s="18">
        <v>0.86</v>
      </c>
      <c r="O41" s="16">
        <v>0.999414</v>
      </c>
      <c r="P41" s="16">
        <v>0.999123</v>
      </c>
      <c r="Q41" s="19">
        <f t="shared" si="2"/>
        <v>44.45962676</v>
      </c>
      <c r="R41" s="20">
        <f t="shared" si="3"/>
        <v>1.788990826</v>
      </c>
      <c r="S41" s="21">
        <f t="shared" si="4"/>
        <v>1.75</v>
      </c>
      <c r="T41" s="17">
        <f t="shared" si="17"/>
        <v>78</v>
      </c>
      <c r="U41" s="22">
        <f>T41/vlookup(A41,Max!$A$2:$AP$700,column(Max!$AP$2),false)</f>
        <v>1.695652174</v>
      </c>
      <c r="V41" s="17">
        <f t="shared" si="6"/>
        <v>76.2501611</v>
      </c>
      <c r="W41" s="23">
        <f t="shared" si="7"/>
        <v>1.141121227</v>
      </c>
      <c r="X41" s="23">
        <f t="shared" si="8"/>
        <v>0.8782621278</v>
      </c>
      <c r="Y41" s="23">
        <f t="shared" si="9"/>
        <v>1</v>
      </c>
      <c r="Z41" s="23">
        <f t="shared" si="10"/>
        <v>1.021699021</v>
      </c>
      <c r="AA41" s="24">
        <f t="shared" si="11"/>
        <v>9</v>
      </c>
      <c r="AB41" s="26">
        <f>if(iserror(find("$",A41)),1,2)</f>
        <v>1</v>
      </c>
      <c r="AC41" s="26" t="str">
        <f t="shared" si="24"/>
        <v/>
      </c>
      <c r="AD41" s="26" t="str">
        <f t="shared" si="25"/>
        <v>$AJ10-118K$: 9,</v>
      </c>
      <c r="AE41" s="26" t="str">
        <f t="shared" ref="AE41:AE57" si="36">if(AB41=2,if(AF40&lt;&gt;AF41,char(9)&amp;char(9)&amp;"@CONFIG["&amp;AF41&amp;"]"&amp;char(10)&amp;char(9)&amp;char(9)&amp;"{"&amp;char(10),"")&amp;char(9)&amp;char(9)&amp;char(9)&amp;"@SUBCONFIG["&amp;AG41&amp;"] { %cost = "&amp;AA41&amp;" }"&amp;if(AF42&lt;&gt;AF41,char(10)&amp;char(9)&amp;char(9)&amp;"}",""),"")</f>
        <v/>
      </c>
      <c r="AF41" s="26" t="str">
        <f t="shared" si="34"/>
        <v/>
      </c>
      <c r="AG41" s="26" t="str">
        <f t="shared" si="35"/>
        <v/>
      </c>
    </row>
    <row r="42" ht="15.75" customHeight="1">
      <c r="A42" s="7" t="s">
        <v>82</v>
      </c>
      <c r="B42" s="7" t="s">
        <v>83</v>
      </c>
      <c r="C42" s="8">
        <f t="shared" si="1"/>
        <v>52</v>
      </c>
      <c r="D42" s="7">
        <v>1956.0</v>
      </c>
      <c r="E42" s="7"/>
      <c r="F42" s="7" t="b">
        <v>0</v>
      </c>
      <c r="G42" s="7" t="b">
        <v>0</v>
      </c>
      <c r="H42" s="7" t="b">
        <v>1</v>
      </c>
      <c r="I42" s="7" t="b">
        <v>0</v>
      </c>
      <c r="J42" s="9" t="b">
        <v>0</v>
      </c>
      <c r="K42" s="7">
        <v>84.0</v>
      </c>
      <c r="L42" s="7">
        <v>33.8</v>
      </c>
      <c r="M42" s="7">
        <v>271.0</v>
      </c>
      <c r="N42" s="7">
        <v>1.4</v>
      </c>
      <c r="O42" s="7">
        <v>0.965</v>
      </c>
      <c r="P42" s="7">
        <v>0.916667</v>
      </c>
      <c r="Q42" s="10">
        <f t="shared" si="2"/>
        <v>41.03143797</v>
      </c>
      <c r="R42" s="11">
        <f t="shared" si="3"/>
        <v>1.538461538</v>
      </c>
      <c r="S42" s="12">
        <f t="shared" si="4"/>
        <v>1.75</v>
      </c>
      <c r="T42" s="8">
        <f t="shared" si="17"/>
        <v>52</v>
      </c>
      <c r="U42" s="13">
        <f>T42/vlookup(A42,Max!$A$2:$AP$700,column(Max!$AP$2),false)</f>
        <v>2.6</v>
      </c>
      <c r="V42" s="8">
        <f t="shared" si="6"/>
        <v>68.64709743</v>
      </c>
      <c r="W42" s="14">
        <f t="shared" si="7"/>
        <v>0.9332155495</v>
      </c>
      <c r="X42" s="14">
        <f t="shared" si="8"/>
        <v>0.9800332539</v>
      </c>
      <c r="Y42" s="14">
        <f t="shared" si="9"/>
        <v>1</v>
      </c>
      <c r="Z42" s="14">
        <f t="shared" si="10"/>
        <v>0.8343437562</v>
      </c>
      <c r="AA42" s="15">
        <f t="shared" si="11"/>
        <v>0</v>
      </c>
      <c r="AB42" s="29">
        <v>0.0</v>
      </c>
      <c r="AC42" s="15" t="str">
        <f t="shared" si="24"/>
        <v>{
$name$: $AJ10-37$,
$config$: $AJ10_Early$,
$cost$: 52
},</v>
      </c>
      <c r="AD42" s="15" t="str">
        <f t="shared" si="25"/>
        <v/>
      </c>
      <c r="AE42" s="15" t="str">
        <f t="shared" si="36"/>
        <v/>
      </c>
      <c r="AF42" s="15" t="str">
        <f t="shared" si="34"/>
        <v/>
      </c>
      <c r="AG42" s="15" t="str">
        <f t="shared" si="35"/>
        <v/>
      </c>
    </row>
    <row r="43" ht="15.75" customHeight="1">
      <c r="A43" s="16" t="s">
        <v>84</v>
      </c>
      <c r="B43" s="16" t="s">
        <v>83</v>
      </c>
      <c r="C43" s="17">
        <f t="shared" si="1"/>
        <v>10</v>
      </c>
      <c r="D43" s="16">
        <v>1958.0</v>
      </c>
      <c r="E43" s="16"/>
      <c r="F43" s="16" t="b">
        <v>0</v>
      </c>
      <c r="G43" s="16" t="b">
        <v>0</v>
      </c>
      <c r="H43" s="16" t="b">
        <v>1</v>
      </c>
      <c r="I43" s="16" t="b">
        <v>0</v>
      </c>
      <c r="J43" s="18" t="b">
        <v>0</v>
      </c>
      <c r="K43" s="16">
        <v>80.0</v>
      </c>
      <c r="L43" s="16">
        <v>33.0</v>
      </c>
      <c r="M43" s="16">
        <v>267.0</v>
      </c>
      <c r="N43" s="16">
        <v>1.4</v>
      </c>
      <c r="O43" s="16">
        <v>0.9875</v>
      </c>
      <c r="P43" s="16">
        <v>0.9875</v>
      </c>
      <c r="Q43" s="19">
        <f t="shared" si="2"/>
        <v>42.06329366</v>
      </c>
      <c r="R43" s="20">
        <f t="shared" si="3"/>
        <v>1.878787879</v>
      </c>
      <c r="S43" s="21">
        <f t="shared" si="4"/>
        <v>1.75</v>
      </c>
      <c r="T43" s="17">
        <f t="shared" si="17"/>
        <v>62</v>
      </c>
      <c r="U43" s="22">
        <f>T43/vlookup(A43,Max!$A$2:$AP$700,column(Max!$AP$2),false)</f>
        <v>2.48</v>
      </c>
      <c r="V43" s="17">
        <f t="shared" si="6"/>
        <v>66.66106508</v>
      </c>
      <c r="W43" s="23">
        <f t="shared" si="7"/>
        <v>0.9266331503</v>
      </c>
      <c r="X43" s="23">
        <f t="shared" si="8"/>
        <v>0.9800332539</v>
      </c>
      <c r="Y43" s="23">
        <f t="shared" si="9"/>
        <v>1</v>
      </c>
      <c r="Z43" s="23">
        <f t="shared" si="10"/>
        <v>1.024797373</v>
      </c>
      <c r="AA43" s="24">
        <f t="shared" si="11"/>
        <v>10</v>
      </c>
      <c r="AB43" s="26">
        <f t="shared" ref="AB43:AB47" si="37">if(iserror(find("$",A43)),1,2)</f>
        <v>1</v>
      </c>
      <c r="AC43" s="26" t="str">
        <f t="shared" si="24"/>
        <v/>
      </c>
      <c r="AD43" s="26" t="str">
        <f t="shared" si="25"/>
        <v>$AJ10-42$: 10,</v>
      </c>
      <c r="AE43" s="26" t="str">
        <f t="shared" si="36"/>
        <v/>
      </c>
      <c r="AF43" s="26" t="str">
        <f t="shared" si="34"/>
        <v/>
      </c>
      <c r="AG43" s="26" t="str">
        <f t="shared" si="35"/>
        <v/>
      </c>
    </row>
    <row r="44" ht="15.75" customHeight="1">
      <c r="A44" s="7" t="s">
        <v>85</v>
      </c>
      <c r="B44" s="7" t="s">
        <v>83</v>
      </c>
      <c r="C44" s="8">
        <f t="shared" si="1"/>
        <v>8</v>
      </c>
      <c r="D44" s="7">
        <v>1959.0</v>
      </c>
      <c r="E44" s="7"/>
      <c r="F44" s="7" t="b">
        <v>0</v>
      </c>
      <c r="G44" s="7" t="b">
        <v>0</v>
      </c>
      <c r="H44" s="7" t="b">
        <v>1</v>
      </c>
      <c r="I44" s="7" t="b">
        <v>0</v>
      </c>
      <c r="J44" s="9" t="b">
        <v>0</v>
      </c>
      <c r="K44" s="7">
        <v>80.0</v>
      </c>
      <c r="L44" s="7">
        <v>33.4</v>
      </c>
      <c r="M44" s="7">
        <v>270.0</v>
      </c>
      <c r="N44" s="7">
        <v>1.4</v>
      </c>
      <c r="O44" s="7">
        <v>0.978125</v>
      </c>
      <c r="P44" s="7">
        <v>0.99</v>
      </c>
      <c r="Q44" s="10">
        <f t="shared" si="2"/>
        <v>42.57315177</v>
      </c>
      <c r="R44" s="11">
        <f t="shared" si="3"/>
        <v>1.796407186</v>
      </c>
      <c r="S44" s="12">
        <f t="shared" si="4"/>
        <v>1.75</v>
      </c>
      <c r="T44" s="8">
        <f t="shared" si="17"/>
        <v>60</v>
      </c>
      <c r="U44" s="13">
        <f>T44/vlookup(A44,Max!$A$2:$AP$700,column(Max!$AP$2),false)</f>
        <v>2.5</v>
      </c>
      <c r="V44" s="8">
        <f t="shared" si="6"/>
        <v>66.66106508</v>
      </c>
      <c r="W44" s="14">
        <f t="shared" si="7"/>
        <v>0.9315196521</v>
      </c>
      <c r="X44" s="14">
        <f t="shared" si="8"/>
        <v>0.9800332539</v>
      </c>
      <c r="Y44" s="14">
        <f t="shared" si="9"/>
        <v>1</v>
      </c>
      <c r="Z44" s="14">
        <f t="shared" si="10"/>
        <v>0.9869385358</v>
      </c>
      <c r="AA44" s="27">
        <f t="shared" si="11"/>
        <v>8</v>
      </c>
      <c r="AB44" s="15">
        <f t="shared" si="37"/>
        <v>1</v>
      </c>
      <c r="AC44" s="15" t="str">
        <f t="shared" si="24"/>
        <v/>
      </c>
      <c r="AD44" s="15" t="str">
        <f t="shared" si="25"/>
        <v>$AJ10-101A$: 8,</v>
      </c>
      <c r="AE44" s="15" t="str">
        <f t="shared" si="36"/>
        <v/>
      </c>
      <c r="AF44" s="15" t="str">
        <f t="shared" si="34"/>
        <v/>
      </c>
      <c r="AG44" s="15" t="str">
        <f t="shared" si="35"/>
        <v/>
      </c>
    </row>
    <row r="45" ht="15.75" customHeight="1">
      <c r="A45" s="16" t="s">
        <v>86</v>
      </c>
      <c r="B45" s="16" t="s">
        <v>83</v>
      </c>
      <c r="C45" s="17">
        <f t="shared" si="1"/>
        <v>7</v>
      </c>
      <c r="D45" s="16">
        <v>1960.0</v>
      </c>
      <c r="E45" s="16"/>
      <c r="F45" s="16" t="b">
        <v>0</v>
      </c>
      <c r="G45" s="16" t="b">
        <v>0</v>
      </c>
      <c r="H45" s="16" t="b">
        <v>1</v>
      </c>
      <c r="I45" s="16" t="b">
        <v>0</v>
      </c>
      <c r="J45" s="18" t="b">
        <v>0</v>
      </c>
      <c r="K45" s="16">
        <v>80.0</v>
      </c>
      <c r="L45" s="16">
        <v>34.25</v>
      </c>
      <c r="M45" s="16">
        <v>270.0</v>
      </c>
      <c r="N45" s="16">
        <v>1.4</v>
      </c>
      <c r="O45" s="16">
        <v>0.978125</v>
      </c>
      <c r="P45" s="16">
        <v>0.99</v>
      </c>
      <c r="Q45" s="19">
        <f t="shared" si="2"/>
        <v>43.65660024</v>
      </c>
      <c r="R45" s="20">
        <f t="shared" si="3"/>
        <v>1.722627737</v>
      </c>
      <c r="S45" s="21">
        <f t="shared" si="4"/>
        <v>1.75</v>
      </c>
      <c r="T45" s="17">
        <f t="shared" si="17"/>
        <v>59</v>
      </c>
      <c r="U45" s="22">
        <f>T45/vlookup(A45,Max!$A$2:$AP$700,column(Max!$AP$2),false)</f>
        <v>2.681818182</v>
      </c>
      <c r="V45" s="17">
        <f t="shared" si="6"/>
        <v>66.66106508</v>
      </c>
      <c r="W45" s="23">
        <f t="shared" si="7"/>
        <v>0.9315196521</v>
      </c>
      <c r="X45" s="23">
        <f t="shared" si="8"/>
        <v>0.9800332539</v>
      </c>
      <c r="Y45" s="23">
        <f t="shared" si="9"/>
        <v>1</v>
      </c>
      <c r="Z45" s="23">
        <f t="shared" si="10"/>
        <v>0.9666187338</v>
      </c>
      <c r="AA45" s="24">
        <f t="shared" si="11"/>
        <v>7</v>
      </c>
      <c r="AB45" s="26">
        <f t="shared" si="37"/>
        <v>1</v>
      </c>
      <c r="AC45" s="26" t="str">
        <f t="shared" si="24"/>
        <v/>
      </c>
      <c r="AD45" s="26" t="str">
        <f t="shared" si="25"/>
        <v>$AJ10-142$: 7,</v>
      </c>
      <c r="AE45" s="26" t="str">
        <f t="shared" si="36"/>
        <v/>
      </c>
      <c r="AF45" s="26" t="str">
        <f t="shared" si="34"/>
        <v/>
      </c>
      <c r="AG45" s="26" t="str">
        <f t="shared" si="35"/>
        <v/>
      </c>
    </row>
    <row r="46" ht="15.75" customHeight="1">
      <c r="A46" s="7" t="s">
        <v>87</v>
      </c>
      <c r="B46" s="7" t="s">
        <v>83</v>
      </c>
      <c r="C46" s="8">
        <f t="shared" si="1"/>
        <v>8</v>
      </c>
      <c r="D46" s="7">
        <v>1962.0</v>
      </c>
      <c r="E46" s="7"/>
      <c r="F46" s="7" t="b">
        <v>0</v>
      </c>
      <c r="G46" s="7" t="b">
        <v>0</v>
      </c>
      <c r="H46" s="7" t="b">
        <v>1</v>
      </c>
      <c r="I46" s="7" t="b">
        <v>0</v>
      </c>
      <c r="J46" s="9" t="b">
        <v>0</v>
      </c>
      <c r="K46" s="7">
        <v>80.0</v>
      </c>
      <c r="L46" s="7">
        <v>33.7</v>
      </c>
      <c r="M46" s="7">
        <v>272.5</v>
      </c>
      <c r="N46" s="7">
        <v>1.4</v>
      </c>
      <c r="O46" s="7">
        <v>0.9875</v>
      </c>
      <c r="P46" s="7">
        <v>0.994444</v>
      </c>
      <c r="Q46" s="10">
        <f t="shared" si="2"/>
        <v>42.95554535</v>
      </c>
      <c r="R46" s="11">
        <f t="shared" si="3"/>
        <v>1.78041543</v>
      </c>
      <c r="S46" s="12">
        <f t="shared" si="4"/>
        <v>1.75</v>
      </c>
      <c r="T46" s="8">
        <f t="shared" si="17"/>
        <v>60</v>
      </c>
      <c r="U46" s="13">
        <f>T46/vlookup(A46,Max!$A$2:$AP$700,column(Max!$AP$2),false)</f>
        <v>2.608695652</v>
      </c>
      <c r="V46" s="8">
        <f t="shared" si="6"/>
        <v>66.66106508</v>
      </c>
      <c r="W46" s="14">
        <f t="shared" si="7"/>
        <v>0.9358241108</v>
      </c>
      <c r="X46" s="14">
        <f t="shared" si="8"/>
        <v>0.9800332539</v>
      </c>
      <c r="Y46" s="14">
        <f t="shared" si="9"/>
        <v>1</v>
      </c>
      <c r="Z46" s="14">
        <f t="shared" si="10"/>
        <v>0.9799538054</v>
      </c>
      <c r="AA46" s="27">
        <f t="shared" si="11"/>
        <v>8</v>
      </c>
      <c r="AB46" s="15">
        <f t="shared" si="37"/>
        <v>1</v>
      </c>
      <c r="AC46" s="15" t="str">
        <f t="shared" si="24"/>
        <v/>
      </c>
      <c r="AD46" s="15" t="str">
        <f t="shared" si="25"/>
        <v>$AJ10-118D$: 8,</v>
      </c>
      <c r="AE46" s="15" t="str">
        <f t="shared" si="36"/>
        <v/>
      </c>
      <c r="AF46" s="15" t="str">
        <f t="shared" si="34"/>
        <v/>
      </c>
      <c r="AG46" s="15" t="str">
        <f t="shared" si="35"/>
        <v/>
      </c>
    </row>
    <row r="47" ht="15.75" customHeight="1">
      <c r="A47" s="16" t="s">
        <v>88</v>
      </c>
      <c r="B47" s="16" t="s">
        <v>83</v>
      </c>
      <c r="C47" s="17">
        <f t="shared" si="1"/>
        <v>6</v>
      </c>
      <c r="D47" s="16">
        <v>1962.0</v>
      </c>
      <c r="E47" s="16"/>
      <c r="F47" s="16" t="b">
        <v>0</v>
      </c>
      <c r="G47" s="16" t="b">
        <v>0</v>
      </c>
      <c r="H47" s="16" t="b">
        <v>1</v>
      </c>
      <c r="I47" s="16" t="b">
        <v>0</v>
      </c>
      <c r="J47" s="18" t="b">
        <v>0</v>
      </c>
      <c r="K47" s="16">
        <v>80.0</v>
      </c>
      <c r="L47" s="16">
        <v>33.1</v>
      </c>
      <c r="M47" s="16">
        <v>265.0</v>
      </c>
      <c r="N47" s="16">
        <v>1.4</v>
      </c>
      <c r="O47" s="16">
        <v>0.982812</v>
      </c>
      <c r="P47" s="16">
        <v>0.992222</v>
      </c>
      <c r="Q47" s="19">
        <f t="shared" si="2"/>
        <v>42.19075819</v>
      </c>
      <c r="R47" s="20">
        <f t="shared" si="3"/>
        <v>1.752265861</v>
      </c>
      <c r="S47" s="21">
        <f t="shared" si="4"/>
        <v>1.75</v>
      </c>
      <c r="T47" s="17">
        <f t="shared" si="17"/>
        <v>58</v>
      </c>
      <c r="U47" s="22">
        <f>T47/vlookup(A47,Max!$A$2:$AP$700,column(Max!$AP$2),false)</f>
        <v>2.9</v>
      </c>
      <c r="V47" s="17">
        <f t="shared" si="6"/>
        <v>66.66106508</v>
      </c>
      <c r="W47" s="23">
        <f t="shared" si="7"/>
        <v>0.9235379953</v>
      </c>
      <c r="X47" s="23">
        <f t="shared" si="8"/>
        <v>0.9800332539</v>
      </c>
      <c r="Y47" s="23">
        <f t="shared" si="9"/>
        <v>1</v>
      </c>
      <c r="Z47" s="23">
        <f t="shared" si="10"/>
        <v>0.962964485</v>
      </c>
      <c r="AA47" s="24">
        <f t="shared" si="11"/>
        <v>6</v>
      </c>
      <c r="AB47" s="26">
        <f t="shared" si="37"/>
        <v>1</v>
      </c>
      <c r="AC47" s="26" t="str">
        <f t="shared" si="24"/>
        <v/>
      </c>
      <c r="AD47" s="26" t="str">
        <f t="shared" si="25"/>
        <v>$AJ10-118$: 6,</v>
      </c>
      <c r="AE47" s="26" t="str">
        <f t="shared" si="36"/>
        <v/>
      </c>
      <c r="AF47" s="26" t="str">
        <f t="shared" si="34"/>
        <v/>
      </c>
      <c r="AG47" s="26" t="str">
        <f t="shared" si="35"/>
        <v/>
      </c>
    </row>
    <row r="48" ht="15.75" customHeight="1">
      <c r="A48" s="7" t="s">
        <v>89</v>
      </c>
      <c r="B48" s="7" t="s">
        <v>90</v>
      </c>
      <c r="C48" s="8">
        <f t="shared" si="1"/>
        <v>63</v>
      </c>
      <c r="D48" s="7">
        <v>1960.0</v>
      </c>
      <c r="E48" s="7"/>
      <c r="F48" s="7" t="b">
        <v>0</v>
      </c>
      <c r="G48" s="7" t="b">
        <v>0</v>
      </c>
      <c r="H48" s="7" t="b">
        <v>1</v>
      </c>
      <c r="I48" s="7" t="b">
        <v>0</v>
      </c>
      <c r="J48" s="9" t="b">
        <v>0</v>
      </c>
      <c r="K48" s="7">
        <v>90.0</v>
      </c>
      <c r="L48" s="7">
        <v>35.1</v>
      </c>
      <c r="M48" s="7">
        <v>278.0</v>
      </c>
      <c r="N48" s="7">
        <v>1.4</v>
      </c>
      <c r="O48" s="7">
        <v>0.983333</v>
      </c>
      <c r="P48" s="7">
        <v>0.979412</v>
      </c>
      <c r="Q48" s="10">
        <f t="shared" si="2"/>
        <v>39.76893219</v>
      </c>
      <c r="R48" s="11">
        <f t="shared" si="3"/>
        <v>1.794871795</v>
      </c>
      <c r="S48" s="12">
        <f t="shared" si="4"/>
        <v>1.75</v>
      </c>
      <c r="T48" s="8">
        <f t="shared" si="17"/>
        <v>63</v>
      </c>
      <c r="U48" s="13">
        <f>T48/vlookup(A48,Max!$A$2:$AP$700,column(Max!$AP$2),false)</f>
        <v>1.340425532</v>
      </c>
      <c r="V48" s="8">
        <f t="shared" si="6"/>
        <v>71.55884225</v>
      </c>
      <c r="W48" s="14">
        <f t="shared" si="7"/>
        <v>0.9460824974</v>
      </c>
      <c r="X48" s="14">
        <f t="shared" si="8"/>
        <v>0.9800332539</v>
      </c>
      <c r="Y48" s="14">
        <f t="shared" si="9"/>
        <v>1</v>
      </c>
      <c r="Z48" s="14">
        <f t="shared" si="10"/>
        <v>0.9535564549</v>
      </c>
      <c r="AA48" s="15">
        <f t="shared" si="11"/>
        <v>0</v>
      </c>
      <c r="AB48" s="29">
        <v>0.0</v>
      </c>
      <c r="AC48" s="15" t="str">
        <f t="shared" si="24"/>
        <v>{
$name$: $AJ10-104$,
$config$: $AJ10_Mid$,
$cost$: 63
},</v>
      </c>
      <c r="AD48" s="15" t="str">
        <f t="shared" si="25"/>
        <v/>
      </c>
      <c r="AE48" s="15" t="str">
        <f t="shared" si="36"/>
        <v/>
      </c>
      <c r="AF48" s="15" t="str">
        <f t="shared" si="34"/>
        <v/>
      </c>
      <c r="AG48" s="15" t="str">
        <f t="shared" si="35"/>
        <v/>
      </c>
    </row>
    <row r="49" ht="15.75" customHeight="1">
      <c r="A49" s="16" t="s">
        <v>91</v>
      </c>
      <c r="B49" s="16" t="s">
        <v>90</v>
      </c>
      <c r="C49" s="17">
        <f t="shared" si="1"/>
        <v>4</v>
      </c>
      <c r="D49" s="16">
        <v>1965.0</v>
      </c>
      <c r="E49" s="16"/>
      <c r="F49" s="16" t="b">
        <v>0</v>
      </c>
      <c r="G49" s="16" t="b">
        <v>0</v>
      </c>
      <c r="H49" s="16" t="b">
        <v>1</v>
      </c>
      <c r="I49" s="16" t="b">
        <v>0</v>
      </c>
      <c r="J49" s="18" t="b">
        <v>0</v>
      </c>
      <c r="K49" s="16">
        <v>90.0</v>
      </c>
      <c r="L49" s="16">
        <v>35.2</v>
      </c>
      <c r="M49" s="16">
        <v>278.0</v>
      </c>
      <c r="N49" s="16">
        <v>1.4</v>
      </c>
      <c r="O49" s="16">
        <v>0.997945</v>
      </c>
      <c r="P49" s="16">
        <v>0.996875</v>
      </c>
      <c r="Q49" s="19">
        <f t="shared" si="2"/>
        <v>39.88223399</v>
      </c>
      <c r="R49" s="20">
        <f t="shared" si="3"/>
        <v>1.903409091</v>
      </c>
      <c r="S49" s="21">
        <f t="shared" si="4"/>
        <v>1.75</v>
      </c>
      <c r="T49" s="17">
        <f t="shared" si="17"/>
        <v>67</v>
      </c>
      <c r="U49" s="22">
        <f>T49/vlookup(A49,Max!$A$2:$AP$700,column(Max!$AP$2),false)</f>
        <v>1.367346939</v>
      </c>
      <c r="V49" s="17">
        <f t="shared" si="6"/>
        <v>71.55884225</v>
      </c>
      <c r="W49" s="23">
        <f t="shared" si="7"/>
        <v>0.9460824974</v>
      </c>
      <c r="X49" s="23">
        <f t="shared" si="8"/>
        <v>0.9800332539</v>
      </c>
      <c r="Y49" s="23">
        <f t="shared" si="9"/>
        <v>1</v>
      </c>
      <c r="Z49" s="23">
        <f t="shared" si="10"/>
        <v>1.012232534</v>
      </c>
      <c r="AA49" s="24">
        <f t="shared" si="11"/>
        <v>4</v>
      </c>
      <c r="AB49" s="26">
        <f t="shared" ref="AB49:AB50" si="38">if(iserror(find("$",A49)),1,2)</f>
        <v>1</v>
      </c>
      <c r="AC49" s="26" t="str">
        <f t="shared" si="24"/>
        <v/>
      </c>
      <c r="AD49" s="26" t="str">
        <f t="shared" si="25"/>
        <v>$AJ10-118E$: 4,</v>
      </c>
      <c r="AE49" s="26" t="str">
        <f t="shared" si="36"/>
        <v/>
      </c>
      <c r="AF49" s="26" t="str">
        <f t="shared" si="34"/>
        <v/>
      </c>
      <c r="AG49" s="26" t="str">
        <f t="shared" si="35"/>
        <v/>
      </c>
    </row>
    <row r="50" ht="15.75" customHeight="1">
      <c r="A50" s="9" t="s">
        <v>92</v>
      </c>
      <c r="B50" s="7" t="s">
        <v>93</v>
      </c>
      <c r="C50" s="8">
        <f t="shared" si="1"/>
        <v>76</v>
      </c>
      <c r="D50" s="7">
        <v>1988.0</v>
      </c>
      <c r="E50" s="7"/>
      <c r="F50" s="7" t="b">
        <v>1</v>
      </c>
      <c r="G50" s="7" t="b">
        <v>0</v>
      </c>
      <c r="H50" s="7" t="b">
        <v>1</v>
      </c>
      <c r="I50" s="7" t="b">
        <v>0</v>
      </c>
      <c r="J50" s="9" t="b">
        <v>0</v>
      </c>
      <c r="K50" s="7">
        <v>58.0</v>
      </c>
      <c r="L50" s="7">
        <v>16.7</v>
      </c>
      <c r="M50" s="7">
        <v>328.0</v>
      </c>
      <c r="N50" s="7">
        <v>2.41</v>
      </c>
      <c r="O50" s="7">
        <v>0.999414</v>
      </c>
      <c r="P50" s="7">
        <v>0.999123</v>
      </c>
      <c r="Q50" s="10">
        <f t="shared" si="2"/>
        <v>29.36079432</v>
      </c>
      <c r="R50" s="11">
        <f t="shared" si="3"/>
        <v>4.550898204</v>
      </c>
      <c r="S50" s="12">
        <f t="shared" si="4"/>
        <v>4</v>
      </c>
      <c r="T50" s="8">
        <f t="shared" si="17"/>
        <v>76</v>
      </c>
      <c r="U50" s="13" t="str">
        <f>T50/vlookup(A50,Max!$A$2:$AP$700,column(Max!$AP$2),false)</f>
        <v>#N/A</v>
      </c>
      <c r="V50" s="8">
        <f t="shared" si="6"/>
        <v>54.95543451</v>
      </c>
      <c r="W50" s="14">
        <f t="shared" si="7"/>
        <v>1.215455308</v>
      </c>
      <c r="X50" s="14">
        <f t="shared" si="8"/>
        <v>1.107428864</v>
      </c>
      <c r="Y50" s="14">
        <f t="shared" si="9"/>
        <v>1</v>
      </c>
      <c r="Z50" s="14">
        <f t="shared" si="10"/>
        <v>1.021699021</v>
      </c>
      <c r="AA50" s="15">
        <f t="shared" si="11"/>
        <v>0</v>
      </c>
      <c r="AB50" s="15">
        <f t="shared" si="38"/>
        <v>1</v>
      </c>
      <c r="AC50" s="15" t="str">
        <f t="shared" si="24"/>
        <v/>
      </c>
      <c r="AD50" s="15" t="str">
        <f t="shared" si="25"/>
        <v>$AJ10-153$: 76,</v>
      </c>
      <c r="AE50" s="15" t="str">
        <f t="shared" si="36"/>
        <v/>
      </c>
      <c r="AF50" s="15" t="str">
        <f t="shared" si="34"/>
        <v/>
      </c>
      <c r="AG50" s="15" t="str">
        <f t="shared" si="35"/>
        <v/>
      </c>
    </row>
    <row r="51" ht="15.75" customHeight="1">
      <c r="A51" s="18" t="s">
        <v>94</v>
      </c>
      <c r="B51" s="16" t="s">
        <v>93</v>
      </c>
      <c r="C51" s="17">
        <f t="shared" si="1"/>
        <v>62</v>
      </c>
      <c r="D51" s="16">
        <v>1988.0</v>
      </c>
      <c r="E51" s="16"/>
      <c r="F51" s="16" t="b">
        <v>1</v>
      </c>
      <c r="G51" s="16" t="b">
        <v>0</v>
      </c>
      <c r="H51" s="16" t="b">
        <v>1</v>
      </c>
      <c r="I51" s="16" t="b">
        <v>0</v>
      </c>
      <c r="J51" s="18" t="b">
        <v>0</v>
      </c>
      <c r="K51" s="16">
        <v>146.0</v>
      </c>
      <c r="L51" s="16">
        <v>26.7</v>
      </c>
      <c r="M51" s="16">
        <v>334.0</v>
      </c>
      <c r="N51" s="16">
        <v>2.41</v>
      </c>
      <c r="O51" s="16">
        <v>0.999814</v>
      </c>
      <c r="P51" s="16">
        <v>0.999442</v>
      </c>
      <c r="Q51" s="19">
        <f t="shared" si="2"/>
        <v>18.6482348</v>
      </c>
      <c r="R51" s="20">
        <f t="shared" si="3"/>
        <v>5.168539326</v>
      </c>
      <c r="S51" s="21">
        <f t="shared" si="4"/>
        <v>4</v>
      </c>
      <c r="T51" s="17">
        <f t="shared" si="17"/>
        <v>138</v>
      </c>
      <c r="U51" s="22" t="str">
        <f>T51/vlookup(A51,Max!$A$2:$AP$700,column(Max!$AP$2),false)</f>
        <v>#N/A</v>
      </c>
      <c r="V51" s="17">
        <f t="shared" si="6"/>
        <v>95.84141508</v>
      </c>
      <c r="W51" s="23">
        <f t="shared" si="7"/>
        <v>1.270044113</v>
      </c>
      <c r="X51" s="23">
        <f t="shared" si="8"/>
        <v>1.107428864</v>
      </c>
      <c r="Y51" s="23">
        <f t="shared" si="9"/>
        <v>1</v>
      </c>
      <c r="Z51" s="23">
        <f t="shared" si="10"/>
        <v>1.023538158</v>
      </c>
      <c r="AA51" s="24">
        <f t="shared" si="11"/>
        <v>62</v>
      </c>
      <c r="AB51" s="25">
        <v>0.0</v>
      </c>
      <c r="AC51" s="26" t="str">
        <f t="shared" si="24"/>
        <v>{
$name$: $AJ10-151-OMS$,
$config$: $AJ10_Transtar$,
$cost$: 62
},</v>
      </c>
      <c r="AD51" s="26" t="str">
        <f t="shared" si="25"/>
        <v/>
      </c>
      <c r="AE51" s="26" t="str">
        <f t="shared" si="36"/>
        <v/>
      </c>
      <c r="AF51" s="26" t="str">
        <f t="shared" si="34"/>
        <v/>
      </c>
      <c r="AG51" s="26" t="str">
        <f t="shared" si="35"/>
        <v/>
      </c>
    </row>
    <row r="52" ht="15.75" customHeight="1">
      <c r="A52" s="9" t="s">
        <v>95</v>
      </c>
      <c r="B52" s="7" t="s">
        <v>93</v>
      </c>
      <c r="C52" s="8">
        <f t="shared" si="1"/>
        <v>26</v>
      </c>
      <c r="D52" s="7">
        <v>1995.0</v>
      </c>
      <c r="E52" s="7"/>
      <c r="F52" s="7" t="b">
        <v>1</v>
      </c>
      <c r="G52" s="7" t="b">
        <v>0</v>
      </c>
      <c r="H52" s="7" t="b">
        <v>1</v>
      </c>
      <c r="I52" s="7" t="b">
        <v>0</v>
      </c>
      <c r="J52" s="9" t="b">
        <v>0</v>
      </c>
      <c r="K52" s="7">
        <v>47.0</v>
      </c>
      <c r="L52" s="7">
        <v>16.7</v>
      </c>
      <c r="M52" s="7">
        <v>343.0</v>
      </c>
      <c r="N52" s="7">
        <v>9.86</v>
      </c>
      <c r="O52" s="7">
        <v>0.999414</v>
      </c>
      <c r="P52" s="7">
        <v>0.999123</v>
      </c>
      <c r="Q52" s="10">
        <f t="shared" si="2"/>
        <v>36.23246959</v>
      </c>
      <c r="R52" s="11">
        <f t="shared" si="3"/>
        <v>6.107784431</v>
      </c>
      <c r="S52" s="12">
        <f t="shared" si="4"/>
        <v>4</v>
      </c>
      <c r="T52" s="8">
        <f t="shared" si="17"/>
        <v>102</v>
      </c>
      <c r="U52" s="13" t="str">
        <f>T52/vlookup(A52,Max!$A$2:$AP$700,column(Max!$AP$2),false)</f>
        <v>#N/A</v>
      </c>
      <c r="V52" s="8">
        <f t="shared" si="6"/>
        <v>48.45492265</v>
      </c>
      <c r="W52" s="14">
        <f t="shared" si="7"/>
        <v>1.358382106</v>
      </c>
      <c r="X52" s="14">
        <f t="shared" si="8"/>
        <v>1.520492597</v>
      </c>
      <c r="Y52" s="14">
        <f t="shared" si="9"/>
        <v>1</v>
      </c>
      <c r="Z52" s="14">
        <f t="shared" si="10"/>
        <v>1.021699021</v>
      </c>
      <c r="AA52" s="27">
        <f t="shared" si="11"/>
        <v>26</v>
      </c>
      <c r="AB52" s="15">
        <f t="shared" ref="AB52:AB53" si="39">if(iserror(find("$",A52)),1,2)</f>
        <v>1</v>
      </c>
      <c r="AC52" s="15" t="str">
        <f t="shared" si="24"/>
        <v/>
      </c>
      <c r="AD52" s="15" t="str">
        <f t="shared" si="25"/>
        <v>$AJ10-156$: 26,</v>
      </c>
      <c r="AE52" s="15" t="str">
        <f t="shared" si="36"/>
        <v/>
      </c>
      <c r="AF52" s="15" t="str">
        <f t="shared" si="34"/>
        <v/>
      </c>
      <c r="AG52" s="15" t="str">
        <f t="shared" si="35"/>
        <v/>
      </c>
    </row>
    <row r="53" ht="15.75" customHeight="1">
      <c r="A53" s="18" t="s">
        <v>96</v>
      </c>
      <c r="B53" s="16" t="s">
        <v>93</v>
      </c>
      <c r="C53" s="17">
        <f t="shared" si="1"/>
        <v>452</v>
      </c>
      <c r="D53" s="16">
        <v>1997.0</v>
      </c>
      <c r="E53" s="16" t="b">
        <v>1</v>
      </c>
      <c r="F53" s="16" t="b">
        <v>1</v>
      </c>
      <c r="G53" s="16" t="b">
        <v>0</v>
      </c>
      <c r="H53" s="16" t="b">
        <v>1</v>
      </c>
      <c r="I53" s="16" t="b">
        <v>0</v>
      </c>
      <c r="J53" s="18" t="b">
        <v>0</v>
      </c>
      <c r="K53" s="16">
        <v>40.0</v>
      </c>
      <c r="L53" s="16">
        <v>13.3</v>
      </c>
      <c r="M53" s="16">
        <v>483.0</v>
      </c>
      <c r="N53" s="16">
        <v>13.78</v>
      </c>
      <c r="O53" s="16">
        <v>0.999414</v>
      </c>
      <c r="P53" s="16">
        <v>0.999123</v>
      </c>
      <c r="Q53" s="19">
        <f t="shared" si="2"/>
        <v>33.90556398</v>
      </c>
      <c r="R53" s="20">
        <f t="shared" si="3"/>
        <v>39.69924812</v>
      </c>
      <c r="S53" s="21">
        <f t="shared" si="4"/>
        <v>4</v>
      </c>
      <c r="T53" s="17">
        <f t="shared" si="17"/>
        <v>528</v>
      </c>
      <c r="U53" s="22" t="str">
        <f>T53/vlookup(A53,Max!$A$2:$AP$700,column(Max!$AP$2),false)</f>
        <v>#N/A</v>
      </c>
      <c r="V53" s="17">
        <f t="shared" si="6"/>
        <v>67.98280219</v>
      </c>
      <c r="W53" s="23">
        <f t="shared" si="7"/>
        <v>4.63424853</v>
      </c>
      <c r="X53" s="23">
        <f t="shared" si="8"/>
        <v>1.639430755</v>
      </c>
      <c r="Y53" s="23">
        <f t="shared" si="9"/>
        <v>1</v>
      </c>
      <c r="Z53" s="23">
        <f t="shared" si="10"/>
        <v>1.021699021</v>
      </c>
      <c r="AA53" s="24">
        <f t="shared" si="11"/>
        <v>452</v>
      </c>
      <c r="AB53" s="26">
        <f t="shared" si="39"/>
        <v>1</v>
      </c>
      <c r="AC53" s="26" t="str">
        <f t="shared" si="24"/>
        <v/>
      </c>
      <c r="AD53" s="26" t="str">
        <f t="shared" si="25"/>
        <v>$AJ10-154$: 452,</v>
      </c>
      <c r="AE53" s="26" t="str">
        <f t="shared" si="36"/>
        <v/>
      </c>
      <c r="AF53" s="26" t="str">
        <f t="shared" si="34"/>
        <v/>
      </c>
      <c r="AG53" s="26" t="str">
        <f t="shared" si="35"/>
        <v/>
      </c>
    </row>
    <row r="54" ht="15.75" customHeight="1">
      <c r="A54" s="7" t="s">
        <v>97</v>
      </c>
      <c r="B54" s="7" t="s">
        <v>97</v>
      </c>
      <c r="C54" s="8">
        <f t="shared" si="1"/>
        <v>1132</v>
      </c>
      <c r="D54" s="30">
        <v>1972.0</v>
      </c>
      <c r="E54" s="7"/>
      <c r="F54" s="7" t="b">
        <v>0</v>
      </c>
      <c r="G54" s="7" t="b">
        <v>0</v>
      </c>
      <c r="H54" s="7" t="b">
        <v>0</v>
      </c>
      <c r="I54" s="7" t="b">
        <v>0</v>
      </c>
      <c r="J54" s="9" t="b">
        <v>0</v>
      </c>
      <c r="K54" s="7">
        <v>7931.0</v>
      </c>
      <c r="L54" s="7">
        <v>6521.1</v>
      </c>
      <c r="M54" s="7">
        <v>289.8</v>
      </c>
      <c r="N54" s="7">
        <v>1.72</v>
      </c>
      <c r="O54" s="7"/>
      <c r="P54" s="7"/>
      <c r="Q54" s="10">
        <f t="shared" si="2"/>
        <v>83.84404712</v>
      </c>
      <c r="R54" s="11">
        <f t="shared" si="3"/>
        <v>0.1735903452</v>
      </c>
      <c r="S54" s="12">
        <f t="shared" si="4"/>
        <v>1.75</v>
      </c>
      <c r="T54" s="8">
        <f t="shared" si="17"/>
        <v>1132</v>
      </c>
      <c r="U54" s="13">
        <f>T54/vlookup(A54,Max!$A$2:$AP$700,column(Max!$AP$2),false)</f>
        <v>0.6658823529</v>
      </c>
      <c r="V54" s="8">
        <f t="shared" si="6"/>
        <v>1124.660842</v>
      </c>
      <c r="W54" s="14">
        <f t="shared" si="7"/>
        <v>0.9721773138</v>
      </c>
      <c r="X54" s="14">
        <f t="shared" si="8"/>
        <v>1.035478787</v>
      </c>
      <c r="Y54" s="14">
        <f t="shared" si="9"/>
        <v>1</v>
      </c>
      <c r="Z54" s="14">
        <f t="shared" si="10"/>
        <v>1</v>
      </c>
      <c r="AA54" s="15">
        <f t="shared" si="11"/>
        <v>0</v>
      </c>
      <c r="AB54" s="29">
        <v>0.0</v>
      </c>
      <c r="AC54" s="15" t="str">
        <f t="shared" si="24"/>
        <v>{
$name$: $AJ1200$,
$config$: $AJ1200$,
$cost$: 1132
},</v>
      </c>
      <c r="AD54" s="15" t="str">
        <f t="shared" si="25"/>
        <v/>
      </c>
      <c r="AE54" s="15" t="str">
        <f t="shared" si="36"/>
        <v/>
      </c>
      <c r="AF54" s="15" t="str">
        <f t="shared" si="34"/>
        <v/>
      </c>
      <c r="AG54" s="15" t="str">
        <f t="shared" si="35"/>
        <v/>
      </c>
    </row>
    <row r="55" ht="15.75" customHeight="1">
      <c r="A55" s="16" t="s">
        <v>98</v>
      </c>
      <c r="B55" s="16" t="s">
        <v>98</v>
      </c>
      <c r="C55" s="17">
        <f t="shared" si="1"/>
        <v>4527</v>
      </c>
      <c r="D55" s="31">
        <v>2002.0</v>
      </c>
      <c r="E55" s="16" t="b">
        <v>1</v>
      </c>
      <c r="F55" s="16" t="b">
        <v>1</v>
      </c>
      <c r="G55" s="16" t="b">
        <v>0</v>
      </c>
      <c r="H55" s="16" t="b">
        <v>0</v>
      </c>
      <c r="I55" s="16" t="b">
        <v>0</v>
      </c>
      <c r="J55" s="18" t="b">
        <v>0</v>
      </c>
      <c r="K55" s="16">
        <v>2001.6</v>
      </c>
      <c r="L55" s="16">
        <v>2165.7</v>
      </c>
      <c r="M55" s="16">
        <v>457.2</v>
      </c>
      <c r="N55" s="16">
        <v>27.58</v>
      </c>
      <c r="O55" s="16"/>
      <c r="P55" s="16"/>
      <c r="Q55" s="19">
        <f t="shared" si="2"/>
        <v>110.3317044</v>
      </c>
      <c r="R55" s="20">
        <f t="shared" si="3"/>
        <v>2.090317218</v>
      </c>
      <c r="S55" s="21">
        <f t="shared" si="4"/>
        <v>4</v>
      </c>
      <c r="T55" s="17">
        <f t="shared" si="17"/>
        <v>4527</v>
      </c>
      <c r="U55" s="22">
        <f>T55/vlookup(A55,Max!$A$2:$AP$700,column(Max!$AP$2),false)</f>
        <v>1.561034483</v>
      </c>
      <c r="V55" s="17">
        <f t="shared" si="6"/>
        <v>526.4780767</v>
      </c>
      <c r="W55" s="23">
        <f t="shared" si="7"/>
        <v>3.611920473</v>
      </c>
      <c r="X55" s="23">
        <f t="shared" si="8"/>
        <v>2.380460343</v>
      </c>
      <c r="Y55" s="23">
        <f t="shared" si="9"/>
        <v>1</v>
      </c>
      <c r="Z55" s="23">
        <f t="shared" si="10"/>
        <v>1</v>
      </c>
      <c r="AA55" s="26">
        <f t="shared" si="11"/>
        <v>0</v>
      </c>
      <c r="AB55" s="25">
        <v>0.0</v>
      </c>
      <c r="AC55" s="26" t="str">
        <f t="shared" si="24"/>
        <v>{
$name$: $ALCE$,
$config$: $ALCE$,
$cost$: 4527
},</v>
      </c>
      <c r="AD55" s="26" t="str">
        <f t="shared" si="25"/>
        <v/>
      </c>
      <c r="AE55" s="26" t="str">
        <f t="shared" si="36"/>
        <v/>
      </c>
      <c r="AF55" s="26" t="str">
        <f t="shared" si="34"/>
        <v/>
      </c>
      <c r="AG55" s="26" t="str">
        <f t="shared" si="35"/>
        <v/>
      </c>
    </row>
    <row r="56" ht="15.75" customHeight="1">
      <c r="A56" s="7" t="s">
        <v>99</v>
      </c>
      <c r="B56" s="7" t="s">
        <v>100</v>
      </c>
      <c r="C56" s="8">
        <f t="shared" si="1"/>
        <v>17</v>
      </c>
      <c r="D56" s="7">
        <v>2004.0</v>
      </c>
      <c r="E56" s="7"/>
      <c r="F56" s="7" t="b">
        <v>0</v>
      </c>
      <c r="G56" s="7" t="b">
        <v>0</v>
      </c>
      <c r="H56" s="7" t="b">
        <v>1</v>
      </c>
      <c r="I56" s="7" t="b">
        <v>0</v>
      </c>
      <c r="J56" s="9" t="b">
        <v>0</v>
      </c>
      <c r="K56" s="7">
        <v>5.44</v>
      </c>
      <c r="L56" s="7">
        <v>0.89</v>
      </c>
      <c r="M56" s="7">
        <v>333.0</v>
      </c>
      <c r="N56" s="7">
        <v>1.38</v>
      </c>
      <c r="O56" s="7">
        <v>1.0</v>
      </c>
      <c r="P56" s="7">
        <v>1.0</v>
      </c>
      <c r="Q56" s="10">
        <f t="shared" si="2"/>
        <v>16.68285711</v>
      </c>
      <c r="R56" s="11">
        <f t="shared" si="3"/>
        <v>19.1011236</v>
      </c>
      <c r="S56" s="12">
        <f t="shared" si="4"/>
        <v>1.75</v>
      </c>
      <c r="T56" s="8">
        <f t="shared" si="17"/>
        <v>17</v>
      </c>
      <c r="U56" s="13">
        <f>T56/vlookup(A56,Max!$A$2:$AP$700,column(Max!$AP$2),false)</f>
        <v>1.47826087</v>
      </c>
      <c r="V56" s="8">
        <f t="shared" si="6"/>
        <v>13.58157397</v>
      </c>
      <c r="W56" s="14">
        <f t="shared" si="7"/>
        <v>1.260715269</v>
      </c>
      <c r="X56" s="14">
        <f t="shared" si="8"/>
        <v>0.97686556</v>
      </c>
      <c r="Y56" s="14">
        <f t="shared" si="9"/>
        <v>1</v>
      </c>
      <c r="Z56" s="14">
        <f t="shared" si="10"/>
        <v>1.025444154</v>
      </c>
      <c r="AA56" s="15">
        <f t="shared" si="11"/>
        <v>0</v>
      </c>
      <c r="AB56" s="15">
        <f>if(iserror(find("$",A56)),1,2)</f>
        <v>1</v>
      </c>
      <c r="AC56" s="15" t="str">
        <f t="shared" si="24"/>
        <v/>
      </c>
      <c r="AD56" s="15" t="str">
        <f t="shared" si="25"/>
        <v>$AMBR-890N$: 17,</v>
      </c>
      <c r="AE56" s="15" t="str">
        <f t="shared" si="36"/>
        <v/>
      </c>
      <c r="AF56" s="15" t="str">
        <f t="shared" si="34"/>
        <v/>
      </c>
      <c r="AG56" s="15" t="str">
        <f t="shared" si="35"/>
        <v/>
      </c>
    </row>
    <row r="57" ht="15.75" customHeight="1">
      <c r="A57" s="16" t="s">
        <v>101</v>
      </c>
      <c r="B57" s="16" t="s">
        <v>100</v>
      </c>
      <c r="C57" s="17">
        <f t="shared" si="1"/>
        <v>0</v>
      </c>
      <c r="D57" s="16">
        <v>2004.0</v>
      </c>
      <c r="E57" s="16"/>
      <c r="F57" s="16" t="b">
        <v>0</v>
      </c>
      <c r="G57" s="16" t="b">
        <v>0</v>
      </c>
      <c r="H57" s="16" t="b">
        <v>1</v>
      </c>
      <c r="I57" s="16" t="b">
        <v>0</v>
      </c>
      <c r="J57" s="18" t="b">
        <v>0</v>
      </c>
      <c r="K57" s="16">
        <v>5.44</v>
      </c>
      <c r="L57" s="16">
        <v>0.623</v>
      </c>
      <c r="M57" s="16">
        <v>333.0</v>
      </c>
      <c r="N57" s="16">
        <v>1.38</v>
      </c>
      <c r="O57" s="16">
        <v>1.0</v>
      </c>
      <c r="P57" s="16">
        <v>1.0</v>
      </c>
      <c r="Q57" s="19">
        <f t="shared" si="2"/>
        <v>11.67799998</v>
      </c>
      <c r="R57" s="20">
        <f t="shared" si="3"/>
        <v>27.28731942</v>
      </c>
      <c r="S57" s="21">
        <f t="shared" si="4"/>
        <v>1.75</v>
      </c>
      <c r="T57" s="17">
        <f t="shared" si="17"/>
        <v>17</v>
      </c>
      <c r="U57" s="22">
        <f>T57/vlookup(A57,Max!$A$2:$AP$700,column(Max!$AP$2),false)</f>
        <v>1.619047619</v>
      </c>
      <c r="V57" s="17">
        <f t="shared" si="6"/>
        <v>13.58157397</v>
      </c>
      <c r="W57" s="23">
        <f t="shared" si="7"/>
        <v>1.260715269</v>
      </c>
      <c r="X57" s="23">
        <f t="shared" si="8"/>
        <v>0.97686556</v>
      </c>
      <c r="Y57" s="23">
        <f t="shared" si="9"/>
        <v>1</v>
      </c>
      <c r="Z57" s="23">
        <f t="shared" si="10"/>
        <v>1.025444154</v>
      </c>
      <c r="AA57" s="24">
        <f t="shared" si="11"/>
        <v>0</v>
      </c>
      <c r="AB57" s="25">
        <v>0.0</v>
      </c>
      <c r="AC57" s="26" t="str">
        <f t="shared" si="24"/>
        <v>{
$name$: $AMBR-623N$,
$config$: $AMBR$,
$cost$: 0
},</v>
      </c>
      <c r="AD57" s="26" t="str">
        <f t="shared" si="25"/>
        <v/>
      </c>
      <c r="AE57" s="26" t="str">
        <f t="shared" si="36"/>
        <v/>
      </c>
      <c r="AF57" s="26" t="str">
        <f t="shared" si="34"/>
        <v/>
      </c>
      <c r="AG57" s="26" t="str">
        <f t="shared" si="35"/>
        <v/>
      </c>
    </row>
    <row r="58" ht="15.75" customHeight="1">
      <c r="A58" s="7" t="s">
        <v>102</v>
      </c>
      <c r="B58" s="7" t="s">
        <v>103</v>
      </c>
      <c r="C58" s="8">
        <f t="shared" si="1"/>
        <v>1852</v>
      </c>
      <c r="D58" s="7">
        <v>2018.0</v>
      </c>
      <c r="E58" s="7" t="b">
        <v>0</v>
      </c>
      <c r="F58" s="7" t="b">
        <v>1</v>
      </c>
      <c r="G58" s="7" t="b">
        <v>0</v>
      </c>
      <c r="H58" s="7" t="b">
        <v>0</v>
      </c>
      <c r="I58" s="7" t="b">
        <v>0</v>
      </c>
      <c r="J58" s="9" t="b">
        <v>0</v>
      </c>
      <c r="K58" s="7">
        <v>2850.0</v>
      </c>
      <c r="L58" s="7">
        <v>2487.0</v>
      </c>
      <c r="M58" s="7">
        <v>337.0</v>
      </c>
      <c r="N58" s="7">
        <v>26.66</v>
      </c>
      <c r="O58" s="7">
        <v>0.9975</v>
      </c>
      <c r="P58" s="7">
        <v>0.9975</v>
      </c>
      <c r="Q58" s="10">
        <f t="shared" si="2"/>
        <v>88.98365664</v>
      </c>
      <c r="R58" s="11">
        <f t="shared" si="3"/>
        <v>0.7446722959</v>
      </c>
      <c r="S58" s="12">
        <f t="shared" si="4"/>
        <v>4</v>
      </c>
      <c r="T58" s="8">
        <f t="shared" si="17"/>
        <v>1852</v>
      </c>
      <c r="U58" s="13">
        <f>T58/vlookup(A58,Max!$A$2:$AP$700,column(Max!$AP$2),false)</f>
        <v>1.763809524</v>
      </c>
      <c r="V58" s="8">
        <f t="shared" si="6"/>
        <v>594.0593273</v>
      </c>
      <c r="W58" s="14">
        <f t="shared" si="7"/>
        <v>1.298602073</v>
      </c>
      <c r="X58" s="14">
        <f t="shared" si="8"/>
        <v>2.356354975</v>
      </c>
      <c r="Y58" s="14">
        <f t="shared" si="9"/>
        <v>1</v>
      </c>
      <c r="Z58" s="14">
        <f t="shared" si="10"/>
        <v>1.01904714</v>
      </c>
      <c r="AA58" s="15">
        <f t="shared" si="11"/>
        <v>0</v>
      </c>
      <c r="AB58" s="29">
        <v>0.0</v>
      </c>
      <c r="AC58" s="15" t="str">
        <f t="shared" si="24"/>
        <v>{
$name$: $AR-1$,
$config$: $AR1$,
$cost$: 1852
},</v>
      </c>
      <c r="AD58" s="15" t="str">
        <f t="shared" si="25"/>
        <v/>
      </c>
      <c r="AE58" s="15" t="str">
        <f>if(AB58=2,if(AF57&lt;&gt;AF58,char(9)&amp;char(9)&amp;"@CONFIG["&amp;AF58&amp;"]"&amp;char(10)&amp;char(9)&amp;char(9)&amp;"{"&amp;char(10),"")&amp;char(9)&amp;char(9)&amp;char(9)&amp;"@SUBCONFIG["&amp;AG58&amp;"] { %cost = "&amp;AA58&amp;" }"&amp;if(AF62&lt;&gt;AF58,char(10)&amp;char(9)&amp;char(9)&amp;"}",""),"")</f>
        <v/>
      </c>
      <c r="AF58" s="15" t="str">
        <f t="shared" si="34"/>
        <v/>
      </c>
      <c r="AG58" s="15" t="str">
        <f t="shared" si="35"/>
        <v/>
      </c>
    </row>
    <row r="59" ht="15.75" customHeight="1">
      <c r="A59" s="18" t="s">
        <v>104</v>
      </c>
      <c r="B59" s="18" t="s">
        <v>105</v>
      </c>
      <c r="C59" s="17">
        <f t="shared" si="1"/>
        <v>91</v>
      </c>
      <c r="D59" s="18">
        <v>1957.0</v>
      </c>
      <c r="E59" s="18" t="b">
        <v>0</v>
      </c>
      <c r="F59" s="18" t="b">
        <v>0</v>
      </c>
      <c r="G59" s="18" t="b">
        <v>0</v>
      </c>
      <c r="H59" s="18" t="b">
        <v>1</v>
      </c>
      <c r="I59" s="18" t="b">
        <v>0</v>
      </c>
      <c r="J59" s="18" t="b">
        <v>0</v>
      </c>
      <c r="K59" s="18">
        <v>108.9</v>
      </c>
      <c r="L59" s="18">
        <v>25.57</v>
      </c>
      <c r="M59" s="18">
        <v>246.0</v>
      </c>
      <c r="N59" s="18">
        <v>3.0</v>
      </c>
      <c r="O59" s="18">
        <v>0.99</v>
      </c>
      <c r="P59" s="18">
        <v>0.998</v>
      </c>
      <c r="Q59" s="19">
        <f t="shared" si="2"/>
        <v>23.9431988</v>
      </c>
      <c r="R59" s="20">
        <f t="shared" si="3"/>
        <v>3.558858037</v>
      </c>
      <c r="S59" s="21">
        <f t="shared" si="4"/>
        <v>1.75</v>
      </c>
      <c r="T59" s="17">
        <f t="shared" si="17"/>
        <v>91</v>
      </c>
      <c r="U59" s="22" t="str">
        <f>T59/vlookup(A59,Max!$A$2:$AP$700,column(Max!$AP$2),false)</f>
        <v>#N/A</v>
      </c>
      <c r="V59" s="17">
        <f t="shared" si="6"/>
        <v>80.27498212</v>
      </c>
      <c r="W59" s="23">
        <f t="shared" si="7"/>
        <v>0.899898797</v>
      </c>
      <c r="X59" s="23">
        <f t="shared" si="8"/>
        <v>1.163360426</v>
      </c>
      <c r="Y59" s="23">
        <f t="shared" si="9"/>
        <v>1</v>
      </c>
      <c r="Z59" s="23">
        <f t="shared" si="10"/>
        <v>1.079683773</v>
      </c>
      <c r="AA59" s="26">
        <f t="shared" si="11"/>
        <v>0</v>
      </c>
      <c r="AB59" s="25">
        <v>0.0</v>
      </c>
      <c r="AC59" s="26"/>
      <c r="AD59" s="26"/>
      <c r="AE59" s="26"/>
      <c r="AF59" s="26"/>
      <c r="AG59" s="26"/>
    </row>
    <row r="60" ht="15.75" customHeight="1">
      <c r="A60" s="9" t="s">
        <v>106</v>
      </c>
      <c r="B60" s="9" t="s">
        <v>105</v>
      </c>
      <c r="C60" s="8">
        <f t="shared" si="1"/>
        <v>-6</v>
      </c>
      <c r="D60" s="9">
        <v>1959.0</v>
      </c>
      <c r="E60" s="9" t="b">
        <v>0</v>
      </c>
      <c r="F60" s="9" t="b">
        <v>0</v>
      </c>
      <c r="G60" s="9" t="b">
        <v>0</v>
      </c>
      <c r="H60" s="9" t="b">
        <v>1</v>
      </c>
      <c r="I60" s="9" t="b">
        <v>0</v>
      </c>
      <c r="J60" s="9" t="b">
        <v>0</v>
      </c>
      <c r="K60" s="9">
        <v>103.9</v>
      </c>
      <c r="L60" s="9">
        <v>29.36</v>
      </c>
      <c r="M60" s="9">
        <v>246.0</v>
      </c>
      <c r="N60" s="9">
        <v>3.0</v>
      </c>
      <c r="O60" s="9">
        <v>0.99</v>
      </c>
      <c r="P60" s="9">
        <v>0.998</v>
      </c>
      <c r="Q60" s="10">
        <f t="shared" si="2"/>
        <v>28.81507981</v>
      </c>
      <c r="R60" s="11">
        <f t="shared" si="3"/>
        <v>2.895095368</v>
      </c>
      <c r="S60" s="12">
        <f t="shared" si="4"/>
        <v>1.75</v>
      </c>
      <c r="T60" s="8">
        <f t="shared" si="17"/>
        <v>85</v>
      </c>
      <c r="U60" s="13" t="str">
        <f>T60/vlookup(A60,Max!$A$2:$AP$700,column(Max!$AP$2),false)</f>
        <v>#N/A</v>
      </c>
      <c r="V60" s="8">
        <f t="shared" si="6"/>
        <v>78.03017973</v>
      </c>
      <c r="W60" s="14">
        <f t="shared" si="7"/>
        <v>0.899898797</v>
      </c>
      <c r="X60" s="14">
        <f t="shared" si="8"/>
        <v>1.163360426</v>
      </c>
      <c r="Y60" s="14">
        <f t="shared" si="9"/>
        <v>1</v>
      </c>
      <c r="Z60" s="14">
        <f t="shared" si="10"/>
        <v>1.037840375</v>
      </c>
      <c r="AA60" s="27">
        <f t="shared" si="11"/>
        <v>-6</v>
      </c>
      <c r="AB60" s="29">
        <v>1.0</v>
      </c>
      <c r="AC60" s="15"/>
      <c r="AD60" s="15"/>
      <c r="AE60" s="15"/>
      <c r="AF60" s="15"/>
      <c r="AG60" s="15"/>
    </row>
    <row r="61" ht="15.75" customHeight="1">
      <c r="A61" s="18" t="s">
        <v>107</v>
      </c>
      <c r="B61" s="18" t="s">
        <v>105</v>
      </c>
      <c r="C61" s="17">
        <f t="shared" si="1"/>
        <v>-4</v>
      </c>
      <c r="D61" s="18">
        <v>1963.0</v>
      </c>
      <c r="E61" s="18" t="b">
        <v>0</v>
      </c>
      <c r="F61" s="18" t="b">
        <v>0</v>
      </c>
      <c r="G61" s="18" t="b">
        <v>0</v>
      </c>
      <c r="H61" s="18" t="b">
        <v>1</v>
      </c>
      <c r="I61" s="18" t="b">
        <v>0</v>
      </c>
      <c r="J61" s="18" t="b">
        <v>0</v>
      </c>
      <c r="K61" s="18">
        <v>102.1</v>
      </c>
      <c r="L61" s="18">
        <v>29.36</v>
      </c>
      <c r="M61" s="18">
        <v>246.0</v>
      </c>
      <c r="N61" s="18">
        <v>3.86</v>
      </c>
      <c r="O61" s="18">
        <v>0.998</v>
      </c>
      <c r="P61" s="18">
        <v>0.999</v>
      </c>
      <c r="Q61" s="19">
        <f t="shared" si="2"/>
        <v>29.32308318</v>
      </c>
      <c r="R61" s="20">
        <f t="shared" si="3"/>
        <v>2.963215259</v>
      </c>
      <c r="S61" s="21">
        <f t="shared" si="4"/>
        <v>1.75</v>
      </c>
      <c r="T61" s="17">
        <f t="shared" si="17"/>
        <v>87</v>
      </c>
      <c r="U61" s="22" t="str">
        <f>T61/vlookup(A61,Max!$A$2:$AP$700,column(Max!$AP$2),false)</f>
        <v>#N/A</v>
      </c>
      <c r="V61" s="17">
        <f t="shared" si="6"/>
        <v>77.21189635</v>
      </c>
      <c r="W61" s="23">
        <f t="shared" si="7"/>
        <v>0.899898797</v>
      </c>
      <c r="X61" s="23">
        <f t="shared" si="8"/>
        <v>1.231244058</v>
      </c>
      <c r="Y61" s="23">
        <f t="shared" si="9"/>
        <v>1</v>
      </c>
      <c r="Z61" s="23">
        <f t="shared" si="10"/>
        <v>1.017775723</v>
      </c>
      <c r="AA61" s="24">
        <f t="shared" si="11"/>
        <v>-4</v>
      </c>
      <c r="AB61" s="25">
        <v>1.0</v>
      </c>
      <c r="AC61" s="26"/>
      <c r="AD61" s="26"/>
      <c r="AE61" s="26"/>
      <c r="AF61" s="26"/>
      <c r="AG61" s="26"/>
    </row>
    <row r="62" ht="15.75" customHeight="1">
      <c r="A62" s="7" t="s">
        <v>108</v>
      </c>
      <c r="B62" s="7" t="s">
        <v>109</v>
      </c>
      <c r="C62" s="8">
        <f t="shared" si="1"/>
        <v>5294</v>
      </c>
      <c r="D62" s="7">
        <v>2020.0</v>
      </c>
      <c r="E62" s="7" t="b">
        <v>1</v>
      </c>
      <c r="F62" s="7" t="b">
        <v>1</v>
      </c>
      <c r="G62" s="7" t="b">
        <v>0</v>
      </c>
      <c r="H62" s="7" t="b">
        <v>0</v>
      </c>
      <c r="I62" s="7" t="b">
        <v>0</v>
      </c>
      <c r="J62" s="9" t="b">
        <v>0</v>
      </c>
      <c r="K62" s="7">
        <v>3300.0</v>
      </c>
      <c r="L62" s="7">
        <v>2319.9</v>
      </c>
      <c r="M62" s="7">
        <v>452.3</v>
      </c>
      <c r="N62" s="7">
        <v>20.64</v>
      </c>
      <c r="O62" s="7"/>
      <c r="P62" s="7"/>
      <c r="Q62" s="10">
        <f t="shared" si="2"/>
        <v>71.68604956</v>
      </c>
      <c r="R62" s="11">
        <f t="shared" si="3"/>
        <v>2.281994914</v>
      </c>
      <c r="S62" s="12">
        <f t="shared" si="4"/>
        <v>4</v>
      </c>
      <c r="T62" s="8">
        <f t="shared" si="17"/>
        <v>5294</v>
      </c>
      <c r="U62" s="13">
        <f>T62/vlookup(A62,Max!$A$2:$AP$700,column(Max!$AP$2),false)</f>
        <v>2.036153846</v>
      </c>
      <c r="V62" s="8">
        <f t="shared" si="6"/>
        <v>703.4163436</v>
      </c>
      <c r="W62" s="14">
        <f t="shared" si="7"/>
        <v>3.448657097</v>
      </c>
      <c r="X62" s="14">
        <f t="shared" si="8"/>
        <v>2.182205168</v>
      </c>
      <c r="Y62" s="14">
        <f t="shared" si="9"/>
        <v>1</v>
      </c>
      <c r="Z62" s="14">
        <f t="shared" si="10"/>
        <v>1</v>
      </c>
      <c r="AA62" s="15">
        <f t="shared" si="11"/>
        <v>0</v>
      </c>
      <c r="AB62" s="29">
        <v>0.0</v>
      </c>
      <c r="AC62" s="15" t="str">
        <f t="shared" ref="AC62:AC631" si="40">if(AB62=0,"{"&amp;char(10)&amp;"$name$"&amp;": "&amp;"$"&amp;A62&amp;"$"&amp;","&amp;char(10)&amp;"$config$"&amp;": "&amp;"$"&amp;B62&amp;"$"&amp;","&amp;char(10)&amp;"$cost$"&amp;": "&amp;C62&amp;char(10)&amp;"},","")</f>
        <v>{
$name$: $AR-22$,
$config$: $AR22$,
$cost$: 5294
},</v>
      </c>
      <c r="AD62" s="15" t="str">
        <f t="shared" ref="AD62:AD657" si="41">if(AB62=1,"$"&amp;A62&amp;"$"&amp;": "&amp;C62&amp;",","")</f>
        <v/>
      </c>
      <c r="AE62" s="15" t="str">
        <f>if(AB62=2,if(AF58&lt;&gt;AF62,char(9)&amp;char(9)&amp;"@CONFIG["&amp;AF62&amp;"]"&amp;char(10)&amp;char(9)&amp;char(9)&amp;"{"&amp;char(10),"")&amp;char(9)&amp;char(9)&amp;char(9)&amp;"@SUBCONFIG["&amp;AG62&amp;"] { %cost = "&amp;AA62&amp;" }"&amp;if(AF63&lt;&gt;AF62,char(10)&amp;char(9)&amp;char(9)&amp;"}",""),"")</f>
        <v/>
      </c>
      <c r="AF62" s="15" t="str">
        <f t="shared" ref="AF62:AF100" si="42">if(AB62=2,left(A62,find("$",A62)-1),"")</f>
        <v/>
      </c>
      <c r="AG62" s="15" t="str">
        <f t="shared" ref="AG62:AG100" si="43">if(AB62=2,mid(A62,find("$",A62)+1,len(A62)),"")</f>
        <v/>
      </c>
    </row>
    <row r="63" ht="15.75" customHeight="1">
      <c r="A63" s="16" t="s">
        <v>110</v>
      </c>
      <c r="B63" s="16" t="s">
        <v>111</v>
      </c>
      <c r="C63" s="17">
        <f t="shared" si="1"/>
        <v>42</v>
      </c>
      <c r="D63" s="16">
        <v>1968.0</v>
      </c>
      <c r="E63" s="16" t="b">
        <v>0</v>
      </c>
      <c r="F63" s="16" t="b">
        <v>0</v>
      </c>
      <c r="G63" s="16" t="b">
        <v>0</v>
      </c>
      <c r="H63" s="16" t="b">
        <v>1</v>
      </c>
      <c r="I63" s="16" t="b">
        <v>0</v>
      </c>
      <c r="J63" s="18" t="b">
        <v>0</v>
      </c>
      <c r="K63" s="16">
        <v>68.0</v>
      </c>
      <c r="L63" s="16">
        <v>23.3</v>
      </c>
      <c r="M63" s="16">
        <v>310.0</v>
      </c>
      <c r="N63" s="16">
        <v>0.9</v>
      </c>
      <c r="O63" s="16">
        <v>0.95</v>
      </c>
      <c r="P63" s="16">
        <v>0.92</v>
      </c>
      <c r="Q63" s="19">
        <f t="shared" si="2"/>
        <v>34.94027602</v>
      </c>
      <c r="R63" s="20">
        <f t="shared" si="3"/>
        <v>1.802575107</v>
      </c>
      <c r="S63" s="21">
        <f t="shared" si="4"/>
        <v>1.75</v>
      </c>
      <c r="T63" s="17">
        <f t="shared" si="17"/>
        <v>42</v>
      </c>
      <c r="U63" s="22">
        <f>T63/vlookup(A63,Max!$A$2:$AP$700,column(Max!$AP$2),false)</f>
        <v>2.210526316</v>
      </c>
      <c r="V63" s="17">
        <f t="shared" si="6"/>
        <v>60.4578617</v>
      </c>
      <c r="W63" s="23">
        <f t="shared" si="7"/>
        <v>1.057751671</v>
      </c>
      <c r="X63" s="23">
        <f t="shared" si="8"/>
        <v>0.8872920059</v>
      </c>
      <c r="Y63" s="23">
        <f t="shared" si="9"/>
        <v>1</v>
      </c>
      <c r="Z63" s="23">
        <f t="shared" si="10"/>
        <v>0.7323026321</v>
      </c>
      <c r="AA63" s="26">
        <f t="shared" si="11"/>
        <v>0</v>
      </c>
      <c r="AB63" s="26">
        <f>if(iserror(find("$",A63)),1,2)</f>
        <v>1</v>
      </c>
      <c r="AC63" s="26" t="str">
        <f t="shared" si="40"/>
        <v/>
      </c>
      <c r="AD63" s="26" t="str">
        <f t="shared" si="41"/>
        <v>$AstrisII$: 42,</v>
      </c>
      <c r="AE63" s="26" t="str">
        <f t="shared" ref="AE63:AE66" si="44">if(AB63=2,if(AF62&lt;&gt;AF63,char(9)&amp;char(9)&amp;"@CONFIG["&amp;AF63&amp;"]"&amp;char(10)&amp;char(9)&amp;char(9)&amp;"{"&amp;char(10),"")&amp;char(9)&amp;char(9)&amp;char(9)&amp;"@SUBCONFIG["&amp;AG63&amp;"] { %cost = "&amp;AA63&amp;" }"&amp;if(AF64&lt;&gt;AF63,char(10)&amp;char(9)&amp;char(9)&amp;"}",""),"")</f>
        <v/>
      </c>
      <c r="AF63" s="26" t="str">
        <f t="shared" si="42"/>
        <v/>
      </c>
      <c r="AG63" s="26" t="str">
        <f t="shared" si="43"/>
        <v/>
      </c>
    </row>
    <row r="64" ht="15.75" customHeight="1">
      <c r="A64" s="7" t="s">
        <v>112</v>
      </c>
      <c r="B64" s="7" t="s">
        <v>111</v>
      </c>
      <c r="C64" s="8">
        <f t="shared" si="1"/>
        <v>-9</v>
      </c>
      <c r="D64" s="7">
        <v>1968.0</v>
      </c>
      <c r="E64" s="7" t="b">
        <v>0</v>
      </c>
      <c r="F64" s="7" t="b">
        <v>0</v>
      </c>
      <c r="G64" s="7" t="b">
        <v>0</v>
      </c>
      <c r="H64" s="7" t="b">
        <v>1</v>
      </c>
      <c r="I64" s="7" t="b">
        <v>0</v>
      </c>
      <c r="J64" s="9" t="b">
        <v>0</v>
      </c>
      <c r="K64" s="7">
        <v>68.0</v>
      </c>
      <c r="L64" s="7">
        <v>22.56</v>
      </c>
      <c r="M64" s="7">
        <v>297.0</v>
      </c>
      <c r="N64" s="7">
        <v>0.9</v>
      </c>
      <c r="O64" s="7">
        <v>0.93</v>
      </c>
      <c r="P64" s="7">
        <v>0.883333</v>
      </c>
      <c r="Q64" s="10">
        <f t="shared" si="2"/>
        <v>33.83058485</v>
      </c>
      <c r="R64" s="11">
        <f t="shared" si="3"/>
        <v>1.462765957</v>
      </c>
      <c r="S64" s="12">
        <f t="shared" si="4"/>
        <v>1.75</v>
      </c>
      <c r="T64" s="8">
        <f t="shared" si="17"/>
        <v>33</v>
      </c>
      <c r="U64" s="13">
        <f>T64/vlookup(A64,Max!$A$2:$AP$700,column(Max!$AP$2),false)</f>
        <v>2.444444444</v>
      </c>
      <c r="V64" s="8">
        <f t="shared" si="6"/>
        <v>60.4578617</v>
      </c>
      <c r="W64" s="14">
        <f t="shared" si="7"/>
        <v>0.9912508265</v>
      </c>
      <c r="X64" s="14">
        <f t="shared" si="8"/>
        <v>0.8872920059</v>
      </c>
      <c r="Y64" s="14">
        <f t="shared" si="9"/>
        <v>1</v>
      </c>
      <c r="Z64" s="14">
        <f t="shared" si="10"/>
        <v>0.6272353452</v>
      </c>
      <c r="AA64" s="27">
        <f t="shared" si="11"/>
        <v>-9</v>
      </c>
      <c r="AB64" s="29">
        <v>0.0</v>
      </c>
      <c r="AC64" s="15" t="str">
        <f t="shared" si="40"/>
        <v>{
$name$: $AstrisI$,
$config$: $Astris$,
$cost$: -9
},</v>
      </c>
      <c r="AD64" s="15" t="str">
        <f t="shared" si="41"/>
        <v/>
      </c>
      <c r="AE64" s="15" t="str">
        <f t="shared" si="44"/>
        <v/>
      </c>
      <c r="AF64" s="15" t="str">
        <f t="shared" si="42"/>
        <v/>
      </c>
      <c r="AG64" s="15" t="str">
        <f t="shared" si="43"/>
        <v/>
      </c>
    </row>
    <row r="65" ht="15.75" customHeight="1">
      <c r="A65" s="16" t="s">
        <v>113</v>
      </c>
      <c r="B65" s="16" t="s">
        <v>113</v>
      </c>
      <c r="C65" s="17">
        <f t="shared" si="1"/>
        <v>4349</v>
      </c>
      <c r="D65" s="16">
        <v>2005.0</v>
      </c>
      <c r="E65" s="16" t="b">
        <v>1</v>
      </c>
      <c r="F65" s="16" t="b">
        <v>1</v>
      </c>
      <c r="G65" s="16" t="b">
        <v>0</v>
      </c>
      <c r="H65" s="16" t="b">
        <v>1</v>
      </c>
      <c r="I65" s="16" t="b">
        <v>0</v>
      </c>
      <c r="J65" s="18" t="b">
        <v>0</v>
      </c>
      <c r="K65" s="16">
        <v>2371.0</v>
      </c>
      <c r="L65" s="16">
        <v>1280.0</v>
      </c>
      <c r="M65" s="16">
        <v>465.0</v>
      </c>
      <c r="N65" s="16">
        <v>28.2</v>
      </c>
      <c r="O65" s="16"/>
      <c r="P65" s="16"/>
      <c r="Q65" s="19">
        <f t="shared" si="2"/>
        <v>55.05005267</v>
      </c>
      <c r="R65" s="20">
        <f t="shared" si="3"/>
        <v>3.39765625</v>
      </c>
      <c r="S65" s="21">
        <f t="shared" si="4"/>
        <v>4</v>
      </c>
      <c r="T65" s="17">
        <f t="shared" si="17"/>
        <v>4349</v>
      </c>
      <c r="U65" s="22">
        <f>T65/vlookup(A65,Max!$A$2:$AP$700,column(Max!$AP$2),false)</f>
        <v>2.288947368</v>
      </c>
      <c r="V65" s="17">
        <f t="shared" si="6"/>
        <v>580.4198342</v>
      </c>
      <c r="W65" s="23">
        <f t="shared" si="7"/>
        <v>3.890704653</v>
      </c>
      <c r="X65" s="23">
        <f t="shared" si="8"/>
        <v>1.926052201</v>
      </c>
      <c r="Y65" s="23">
        <f t="shared" si="9"/>
        <v>1</v>
      </c>
      <c r="Z65" s="23">
        <f t="shared" si="10"/>
        <v>1</v>
      </c>
      <c r="AA65" s="26">
        <f t="shared" si="11"/>
        <v>0</v>
      </c>
      <c r="AB65" s="25">
        <v>0.0</v>
      </c>
      <c r="AC65" s="26" t="str">
        <f t="shared" si="40"/>
        <v>{
$name$: $ATCRE$,
$config$: $ATCRE$,
$cost$: 4349
},</v>
      </c>
      <c r="AD65" s="26" t="str">
        <f t="shared" si="41"/>
        <v/>
      </c>
      <c r="AE65" s="26" t="str">
        <f t="shared" si="44"/>
        <v/>
      </c>
      <c r="AF65" s="26" t="str">
        <f t="shared" si="42"/>
        <v/>
      </c>
      <c r="AG65" s="26" t="str">
        <f t="shared" si="43"/>
        <v/>
      </c>
    </row>
    <row r="66" ht="15.75" customHeight="1">
      <c r="A66" s="7" t="s">
        <v>114</v>
      </c>
      <c r="B66" s="7" t="s">
        <v>113</v>
      </c>
      <c r="C66" s="8">
        <f t="shared" si="1"/>
        <v>1203</v>
      </c>
      <c r="D66" s="7">
        <v>2015.0</v>
      </c>
      <c r="E66" s="7" t="b">
        <v>1</v>
      </c>
      <c r="F66" s="7" t="b">
        <v>1</v>
      </c>
      <c r="G66" s="7" t="b">
        <v>0</v>
      </c>
      <c r="H66" s="7" t="b">
        <v>1</v>
      </c>
      <c r="I66" s="7" t="b">
        <v>0</v>
      </c>
      <c r="J66" s="9" t="b">
        <v>0</v>
      </c>
      <c r="K66" s="7">
        <v>2371.0</v>
      </c>
      <c r="L66" s="7">
        <v>1500.0</v>
      </c>
      <c r="M66" s="7">
        <v>490.0</v>
      </c>
      <c r="N66" s="7">
        <v>28.2</v>
      </c>
      <c r="O66" s="7"/>
      <c r="P66" s="7"/>
      <c r="Q66" s="10">
        <f t="shared" si="2"/>
        <v>64.51178047</v>
      </c>
      <c r="R66" s="11">
        <f t="shared" si="3"/>
        <v>3.701333333</v>
      </c>
      <c r="S66" s="12">
        <f t="shared" si="4"/>
        <v>4</v>
      </c>
      <c r="T66" s="8">
        <f t="shared" si="17"/>
        <v>5552</v>
      </c>
      <c r="U66" s="13">
        <f>T66/vlookup(A66,Max!$A$2:$AP$700,column(Max!$AP$2),false)</f>
        <v>1.914482759</v>
      </c>
      <c r="V66" s="8">
        <f t="shared" si="6"/>
        <v>580.4198342</v>
      </c>
      <c r="W66" s="14">
        <f t="shared" si="7"/>
        <v>4.966431266</v>
      </c>
      <c r="X66" s="14">
        <f t="shared" si="8"/>
        <v>1.926052201</v>
      </c>
      <c r="Y66" s="14">
        <f t="shared" si="9"/>
        <v>1</v>
      </c>
      <c r="Z66" s="14">
        <f t="shared" si="10"/>
        <v>1</v>
      </c>
      <c r="AA66" s="27">
        <f t="shared" si="11"/>
        <v>1203</v>
      </c>
      <c r="AB66" s="15">
        <f>if(iserror(find("$",A66)),1,2)</f>
        <v>1</v>
      </c>
      <c r="AC66" s="15" t="str">
        <f t="shared" si="40"/>
        <v/>
      </c>
      <c r="AD66" s="15" t="str">
        <f t="shared" si="41"/>
        <v>$ATCRE-BlockII$: 1203,</v>
      </c>
      <c r="AE66" s="15" t="str">
        <f t="shared" si="44"/>
        <v/>
      </c>
      <c r="AF66" s="15" t="str">
        <f t="shared" si="42"/>
        <v/>
      </c>
      <c r="AG66" s="15" t="str">
        <f t="shared" si="43"/>
        <v/>
      </c>
    </row>
    <row r="67" ht="15.75" customHeight="1">
      <c r="A67" s="16" t="s">
        <v>115</v>
      </c>
      <c r="B67" s="16" t="s">
        <v>115</v>
      </c>
      <c r="C67" s="17">
        <f t="shared" si="1"/>
        <v>917</v>
      </c>
      <c r="D67" s="16">
        <v>2015.0</v>
      </c>
      <c r="E67" s="16" t="b">
        <v>1</v>
      </c>
      <c r="F67" s="16" t="b">
        <v>1</v>
      </c>
      <c r="G67" s="16" t="b">
        <v>0</v>
      </c>
      <c r="H67" s="16" t="b">
        <v>0</v>
      </c>
      <c r="I67" s="16" t="b">
        <v>1</v>
      </c>
      <c r="J67" s="18" t="b">
        <v>0</v>
      </c>
      <c r="K67" s="16">
        <v>480.0</v>
      </c>
      <c r="L67" s="16">
        <v>511.3</v>
      </c>
      <c r="M67" s="16">
        <v>360.0</v>
      </c>
      <c r="N67" s="16">
        <v>8.0</v>
      </c>
      <c r="O67" s="16">
        <v>0.996875</v>
      </c>
      <c r="P67" s="16">
        <v>0.994</v>
      </c>
      <c r="Q67" s="19">
        <f t="shared" si="2"/>
        <v>108.6210205</v>
      </c>
      <c r="R67" s="20">
        <f t="shared" si="3"/>
        <v>1.793467632</v>
      </c>
      <c r="S67" s="21">
        <f t="shared" si="4"/>
        <v>4</v>
      </c>
      <c r="T67" s="17">
        <f t="shared" si="17"/>
        <v>917</v>
      </c>
      <c r="U67" s="22">
        <f>T67/vlookup(A67,Max!$A$2:$AP$700,column(Max!$AP$2),false)</f>
        <v>1.175641026</v>
      </c>
      <c r="V67" s="17">
        <f t="shared" si="6"/>
        <v>238.0022518</v>
      </c>
      <c r="W67" s="23">
        <f t="shared" si="7"/>
        <v>1.54894141</v>
      </c>
      <c r="X67" s="23">
        <f t="shared" si="8"/>
        <v>1.642138065</v>
      </c>
      <c r="Y67" s="23">
        <f t="shared" si="9"/>
        <v>1.5</v>
      </c>
      <c r="Z67" s="23">
        <f t="shared" si="10"/>
        <v>1.01013164</v>
      </c>
      <c r="AA67" s="26">
        <f t="shared" si="11"/>
        <v>0</v>
      </c>
      <c r="AB67" s="25">
        <v>0.0</v>
      </c>
      <c r="AC67" s="26" t="str">
        <f t="shared" si="40"/>
        <v>{
$name$: $BE3$,
$config$: $BE3$,
$cost$: 917
},</v>
      </c>
      <c r="AD67" s="26" t="str">
        <f t="shared" si="41"/>
        <v/>
      </c>
      <c r="AE67" s="26" t="str">
        <f t="shared" ref="AE67:AE68" si="45">if(AB67=2,if(AF66&lt;&gt;AF67,char(9)&amp;char(9)&amp;"@CONFIG["&amp;AF67&amp;"]"&amp;char(10)&amp;char(9)&amp;char(9)&amp;"{"&amp;char(10),"")&amp;char(9)&amp;char(9)&amp;char(9)&amp;"@SUBCONFIG["&amp;AG67&amp;"] { %cost = "&amp;AA67&amp;" }"&amp;if(AF69&lt;&gt;AF67,char(10)&amp;char(9)&amp;char(9)&amp;"}",""),"")</f>
        <v/>
      </c>
      <c r="AF67" s="26" t="str">
        <f t="shared" si="42"/>
        <v/>
      </c>
      <c r="AG67" s="26" t="str">
        <f t="shared" si="43"/>
        <v/>
      </c>
    </row>
    <row r="68" ht="15.75" customHeight="1">
      <c r="A68" s="9" t="s">
        <v>116</v>
      </c>
      <c r="B68" s="9" t="s">
        <v>117</v>
      </c>
      <c r="C68" s="8">
        <f t="shared" si="1"/>
        <v>1399</v>
      </c>
      <c r="D68" s="9">
        <v>2025.0</v>
      </c>
      <c r="E68" s="7" t="b">
        <v>1</v>
      </c>
      <c r="F68" s="7" t="b">
        <v>1</v>
      </c>
      <c r="G68" s="7" t="b">
        <v>0</v>
      </c>
      <c r="H68" s="9" t="b">
        <v>1</v>
      </c>
      <c r="I68" s="9" t="b">
        <v>0</v>
      </c>
      <c r="J68" s="9" t="b">
        <v>0</v>
      </c>
      <c r="K68" s="9">
        <v>730.0</v>
      </c>
      <c r="L68" s="9">
        <v>778.0</v>
      </c>
      <c r="M68" s="9">
        <v>445.0</v>
      </c>
      <c r="N68" s="7">
        <v>8.0</v>
      </c>
      <c r="O68" s="7">
        <v>0.996875</v>
      </c>
      <c r="P68" s="7">
        <v>0.994</v>
      </c>
      <c r="Q68" s="10">
        <f t="shared" si="2"/>
        <v>108.6766043</v>
      </c>
      <c r="R68" s="11">
        <f t="shared" si="3"/>
        <v>1.798200514</v>
      </c>
      <c r="S68" s="12">
        <f t="shared" si="4"/>
        <v>4</v>
      </c>
      <c r="T68" s="8">
        <f t="shared" si="17"/>
        <v>1399</v>
      </c>
      <c r="U68" s="13" t="str">
        <f>T68/vlookup(A68,Max!$A$2:$AP$700,column(Max!$AP$2),false)</f>
        <v>#N/A</v>
      </c>
      <c r="V68" s="8">
        <f t="shared" si="6"/>
        <v>298.7895632</v>
      </c>
      <c r="W68" s="14">
        <f t="shared" si="7"/>
        <v>3.221130427</v>
      </c>
      <c r="X68" s="14">
        <f t="shared" si="8"/>
        <v>1.450631992</v>
      </c>
      <c r="Y68" s="14">
        <f t="shared" si="9"/>
        <v>1</v>
      </c>
      <c r="Z68" s="14">
        <f t="shared" si="10"/>
        <v>1.002258473</v>
      </c>
      <c r="AA68" s="15">
        <f t="shared" si="11"/>
        <v>0</v>
      </c>
      <c r="AB68" s="29">
        <v>0.0</v>
      </c>
      <c r="AC68" s="15" t="str">
        <f t="shared" si="40"/>
        <v>{
$name$: $BE-3U$,
$config$: $BE3U$,
$cost$: 1399
},</v>
      </c>
      <c r="AD68" s="15" t="str">
        <f t="shared" si="41"/>
        <v/>
      </c>
      <c r="AE68" s="15" t="str">
        <f t="shared" si="45"/>
        <v/>
      </c>
      <c r="AF68" s="15" t="str">
        <f t="shared" si="42"/>
        <v/>
      </c>
      <c r="AG68" s="15" t="str">
        <f t="shared" si="43"/>
        <v/>
      </c>
    </row>
    <row r="69" ht="15.75" customHeight="1">
      <c r="A69" s="16" t="s">
        <v>118</v>
      </c>
      <c r="B69" s="16" t="s">
        <v>119</v>
      </c>
      <c r="C69" s="17">
        <f t="shared" si="1"/>
        <v>1332</v>
      </c>
      <c r="D69" s="16">
        <v>2020.0</v>
      </c>
      <c r="E69" s="16"/>
      <c r="F69" s="16" t="b">
        <v>1</v>
      </c>
      <c r="G69" s="16" t="b">
        <v>0</v>
      </c>
      <c r="H69" s="16" t="b">
        <v>0</v>
      </c>
      <c r="I69" s="16" t="b">
        <v>0</v>
      </c>
      <c r="J69" s="18" t="b">
        <v>0</v>
      </c>
      <c r="K69" s="16">
        <v>2250.0</v>
      </c>
      <c r="L69" s="16">
        <v>2647.5</v>
      </c>
      <c r="M69" s="16">
        <v>341.0</v>
      </c>
      <c r="N69" s="16">
        <v>13.4</v>
      </c>
      <c r="O69" s="16">
        <v>0.995</v>
      </c>
      <c r="P69" s="16">
        <v>0.995</v>
      </c>
      <c r="Q69" s="19">
        <f t="shared" si="2"/>
        <v>119.9866074</v>
      </c>
      <c r="R69" s="20">
        <f t="shared" si="3"/>
        <v>0.5031161473</v>
      </c>
      <c r="S69" s="21">
        <f t="shared" si="4"/>
        <v>4</v>
      </c>
      <c r="T69" s="17">
        <f t="shared" si="17"/>
        <v>1332</v>
      </c>
      <c r="U69" s="22">
        <f>T69/vlookup(A69,Max!$A$2:$AP$700,column(Max!$AP$2),false)</f>
        <v>1.024615385</v>
      </c>
      <c r="V69" s="17">
        <f t="shared" si="6"/>
        <v>512.961176</v>
      </c>
      <c r="W69" s="23">
        <f t="shared" si="7"/>
        <v>1.338050904</v>
      </c>
      <c r="X69" s="23">
        <f t="shared" si="8"/>
        <v>1.916964683</v>
      </c>
      <c r="Y69" s="23">
        <f t="shared" si="9"/>
        <v>1</v>
      </c>
      <c r="Z69" s="23">
        <f t="shared" si="10"/>
        <v>1.01267413</v>
      </c>
      <c r="AA69" s="26">
        <f t="shared" si="11"/>
        <v>0</v>
      </c>
      <c r="AB69" s="25">
        <v>0.0</v>
      </c>
      <c r="AC69" s="26" t="str">
        <f t="shared" si="40"/>
        <v>{
$name$: $BE-4$,
$config$: $BE4$,
$cost$: 1332
},</v>
      </c>
      <c r="AD69" s="26" t="str">
        <f t="shared" si="41"/>
        <v/>
      </c>
      <c r="AE69" s="26" t="str">
        <f>if(AB69=2,if(AF67&lt;&gt;AF69,char(9)&amp;char(9)&amp;"@CONFIG["&amp;AF69&amp;"]"&amp;char(10)&amp;char(9)&amp;char(9)&amp;"{"&amp;char(10),"")&amp;char(9)&amp;char(9)&amp;char(9)&amp;"@SUBCONFIG["&amp;AG69&amp;"] { %cost = "&amp;AA69&amp;" }"&amp;if(AF70&lt;&gt;AF69,char(10)&amp;char(9)&amp;char(9)&amp;"}",""),"")</f>
        <v/>
      </c>
      <c r="AF69" s="26" t="str">
        <f t="shared" si="42"/>
        <v/>
      </c>
      <c r="AG69" s="26" t="str">
        <f t="shared" si="43"/>
        <v/>
      </c>
    </row>
    <row r="70" ht="15.75" customHeight="1">
      <c r="A70" s="7" t="s">
        <v>120</v>
      </c>
      <c r="B70" s="7" t="s">
        <v>120</v>
      </c>
      <c r="C70" s="8">
        <f t="shared" si="1"/>
        <v>4316</v>
      </c>
      <c r="D70" s="9">
        <v>2031.0</v>
      </c>
      <c r="E70" s="7" t="b">
        <v>1</v>
      </c>
      <c r="F70" s="7" t="b">
        <v>1</v>
      </c>
      <c r="G70" s="7" t="b">
        <v>0</v>
      </c>
      <c r="H70" s="7" t="b">
        <v>1</v>
      </c>
      <c r="I70" s="7" t="b">
        <v>0</v>
      </c>
      <c r="J70" s="9" t="b">
        <v>1</v>
      </c>
      <c r="K70" s="7">
        <v>2270.0</v>
      </c>
      <c r="L70" s="7">
        <v>66.72</v>
      </c>
      <c r="M70" s="7">
        <v>925.0</v>
      </c>
      <c r="N70" s="7">
        <v>13.79</v>
      </c>
      <c r="O70" s="7">
        <v>1.0</v>
      </c>
      <c r="P70" s="7">
        <v>1.0</v>
      </c>
      <c r="Q70" s="10">
        <f t="shared" si="2"/>
        <v>2.997157072</v>
      </c>
      <c r="R70" s="11">
        <f t="shared" si="3"/>
        <v>64.6882494</v>
      </c>
      <c r="S70" s="12">
        <f t="shared" si="4"/>
        <v>4</v>
      </c>
      <c r="T70" s="8">
        <f t="shared" si="17"/>
        <v>4316</v>
      </c>
      <c r="U70" s="13">
        <f>T70/vlookup(A70,Max!$A$2:$AP$700,column(Max!$AP$2),false)</f>
        <v>1.438666667</v>
      </c>
      <c r="V70" s="8">
        <f t="shared" si="6"/>
        <v>566.0142367</v>
      </c>
      <c r="W70" s="14">
        <f t="shared" si="7"/>
        <v>2.26727083</v>
      </c>
      <c r="X70" s="14">
        <f t="shared" si="8"/>
        <v>1.639698366</v>
      </c>
      <c r="Y70" s="14">
        <f t="shared" si="9"/>
        <v>2</v>
      </c>
      <c r="Z70" s="14">
        <f t="shared" si="10"/>
        <v>1.025444154</v>
      </c>
      <c r="AA70" s="15">
        <f t="shared" si="11"/>
        <v>0</v>
      </c>
      <c r="AB70" s="29">
        <v>0.0</v>
      </c>
      <c r="AC70" s="15" t="str">
        <f t="shared" si="40"/>
        <v>{
$name$: $BNTR$,
$config$: $BNTR$,
$cost$: 4316
},</v>
      </c>
      <c r="AD70" s="15" t="str">
        <f t="shared" si="41"/>
        <v/>
      </c>
      <c r="AE70" s="15" t="str">
        <f t="shared" ref="AE70:AE100" si="46">if(AB70=2,if(AF69&lt;&gt;AF70,char(9)&amp;char(9)&amp;"@CONFIG["&amp;AF70&amp;"]"&amp;char(10)&amp;char(9)&amp;char(9)&amp;"{"&amp;char(10),"")&amp;char(9)&amp;char(9)&amp;char(9)&amp;"@SUBCONFIG["&amp;AG70&amp;"] { %cost = "&amp;AA70&amp;" }"&amp;if(AF71&lt;&gt;AF70,char(10)&amp;char(9)&amp;char(9)&amp;"}",""),"")</f>
        <v/>
      </c>
      <c r="AF70" s="15" t="str">
        <f t="shared" si="42"/>
        <v/>
      </c>
      <c r="AG70" s="15" t="str">
        <f t="shared" si="43"/>
        <v/>
      </c>
    </row>
    <row r="71" ht="15.75" customHeight="1">
      <c r="A71" s="16" t="s">
        <v>121</v>
      </c>
      <c r="B71" s="16" t="s">
        <v>121</v>
      </c>
      <c r="C71" s="17">
        <f t="shared" si="1"/>
        <v>4639</v>
      </c>
      <c r="D71" s="18">
        <v>2031.0</v>
      </c>
      <c r="E71" s="16" t="b">
        <v>1</v>
      </c>
      <c r="F71" s="16" t="b">
        <v>1</v>
      </c>
      <c r="G71" s="16" t="b">
        <v>0</v>
      </c>
      <c r="H71" s="16" t="b">
        <v>1</v>
      </c>
      <c r="I71" s="16" t="b">
        <v>0</v>
      </c>
      <c r="J71" s="18" t="b">
        <v>1</v>
      </c>
      <c r="K71" s="16">
        <v>3670.0</v>
      </c>
      <c r="L71" s="16">
        <v>111.6</v>
      </c>
      <c r="M71" s="16">
        <v>894.0</v>
      </c>
      <c r="N71" s="16">
        <v>6.89</v>
      </c>
      <c r="O71" s="16">
        <v>1.0</v>
      </c>
      <c r="P71" s="16">
        <v>1.0</v>
      </c>
      <c r="Q71" s="19">
        <f t="shared" si="2"/>
        <v>3.100826404</v>
      </c>
      <c r="R71" s="20">
        <f t="shared" si="3"/>
        <v>41.56810036</v>
      </c>
      <c r="S71" s="21">
        <f t="shared" si="4"/>
        <v>4</v>
      </c>
      <c r="T71" s="17">
        <f t="shared" si="17"/>
        <v>4639</v>
      </c>
      <c r="U71" s="22">
        <f>T71/vlookup(A71,Max!$A$2:$AP$700,column(Max!$AP$2),false)</f>
        <v>1.220789474</v>
      </c>
      <c r="V71" s="17">
        <f t="shared" si="6"/>
        <v>748.5994825</v>
      </c>
      <c r="W71" s="23">
        <f t="shared" si="7"/>
        <v>2.154164912</v>
      </c>
      <c r="X71" s="23">
        <f t="shared" si="8"/>
        <v>1.402688799</v>
      </c>
      <c r="Y71" s="23">
        <f t="shared" si="9"/>
        <v>2</v>
      </c>
      <c r="Z71" s="23">
        <f t="shared" si="10"/>
        <v>1.025444154</v>
      </c>
      <c r="AA71" s="26">
        <f t="shared" si="11"/>
        <v>0</v>
      </c>
      <c r="AB71" s="25">
        <v>0.0</v>
      </c>
      <c r="AC71" s="26" t="str">
        <f t="shared" si="40"/>
        <v>{
$name$: $BNTR25k$,
$config$: $BNTR25k$,
$cost$: 4639
},</v>
      </c>
      <c r="AD71" s="26" t="str">
        <f t="shared" si="41"/>
        <v/>
      </c>
      <c r="AE71" s="26" t="str">
        <f t="shared" si="46"/>
        <v/>
      </c>
      <c r="AF71" s="26" t="str">
        <f t="shared" si="42"/>
        <v/>
      </c>
      <c r="AG71" s="26" t="str">
        <f t="shared" si="43"/>
        <v/>
      </c>
    </row>
    <row r="72" ht="15.75" customHeight="1">
      <c r="A72" s="7" t="s">
        <v>122</v>
      </c>
      <c r="B72" s="7" t="s">
        <v>123</v>
      </c>
      <c r="C72" s="8">
        <f t="shared" si="1"/>
        <v>8</v>
      </c>
      <c r="D72" s="7">
        <v>1968.0</v>
      </c>
      <c r="E72" s="7"/>
      <c r="F72" s="7" t="b">
        <v>0</v>
      </c>
      <c r="G72" s="7" t="b">
        <v>0</v>
      </c>
      <c r="H72" s="7" t="b">
        <v>1</v>
      </c>
      <c r="I72" s="7" t="b">
        <v>0</v>
      </c>
      <c r="J72" s="9" t="b">
        <v>0</v>
      </c>
      <c r="K72" s="7">
        <v>2.84</v>
      </c>
      <c r="L72" s="7">
        <v>0.445</v>
      </c>
      <c r="M72" s="7">
        <v>301.0</v>
      </c>
      <c r="N72" s="7">
        <v>0.67</v>
      </c>
      <c r="O72" s="7">
        <v>0.995</v>
      </c>
      <c r="P72" s="7">
        <v>0.9985</v>
      </c>
      <c r="Q72" s="10">
        <f t="shared" si="2"/>
        <v>15.97794766</v>
      </c>
      <c r="R72" s="11">
        <f t="shared" si="3"/>
        <v>17.97752809</v>
      </c>
      <c r="S72" s="12">
        <f t="shared" si="4"/>
        <v>1.75</v>
      </c>
      <c r="T72" s="8">
        <f t="shared" si="17"/>
        <v>8</v>
      </c>
      <c r="U72" s="13">
        <f>T72/vlookup(A72,Max!$A$2:$AP$700,column(Max!$AP$2),false)</f>
        <v>0.7272727273</v>
      </c>
      <c r="V72" s="8">
        <f t="shared" si="6"/>
        <v>9.323952655</v>
      </c>
      <c r="W72" s="14">
        <f t="shared" si="7"/>
        <v>1.003273336</v>
      </c>
      <c r="X72" s="14">
        <f t="shared" si="8"/>
        <v>0.8302881406</v>
      </c>
      <c r="Y72" s="14">
        <f t="shared" si="9"/>
        <v>1</v>
      </c>
      <c r="Z72" s="14">
        <f t="shared" si="10"/>
        <v>1.008880873</v>
      </c>
      <c r="AA72" s="15">
        <f t="shared" si="11"/>
        <v>0</v>
      </c>
      <c r="AB72" s="29">
        <v>0.0</v>
      </c>
      <c r="AC72" s="15" t="str">
        <f t="shared" si="40"/>
        <v>{
$name$: $C-1$,
$config$: $C1$,
$cost$: 8
},</v>
      </c>
      <c r="AD72" s="15" t="str">
        <f t="shared" si="41"/>
        <v/>
      </c>
      <c r="AE72" s="15" t="str">
        <f t="shared" si="46"/>
        <v/>
      </c>
      <c r="AF72" s="15" t="str">
        <f t="shared" si="42"/>
        <v/>
      </c>
      <c r="AG72" s="15" t="str">
        <f t="shared" si="43"/>
        <v/>
      </c>
    </row>
    <row r="73" ht="15.75" customHeight="1">
      <c r="A73" s="16" t="s">
        <v>124</v>
      </c>
      <c r="B73" s="16" t="s">
        <v>124</v>
      </c>
      <c r="C73" s="17">
        <f t="shared" si="1"/>
        <v>5801</v>
      </c>
      <c r="D73" s="16">
        <v>2006.0</v>
      </c>
      <c r="E73" s="16" t="b">
        <v>1</v>
      </c>
      <c r="F73" s="16" t="b">
        <v>1</v>
      </c>
      <c r="G73" s="16" t="b">
        <v>0</v>
      </c>
      <c r="H73" s="16" t="b">
        <v>0</v>
      </c>
      <c r="I73" s="16" t="b">
        <v>0</v>
      </c>
      <c r="J73" s="18" t="b">
        <v>0</v>
      </c>
      <c r="K73" s="16">
        <v>3629.0</v>
      </c>
      <c r="L73" s="16">
        <v>2669.0</v>
      </c>
      <c r="M73" s="16">
        <v>454.7</v>
      </c>
      <c r="N73" s="16">
        <v>20.68</v>
      </c>
      <c r="O73" s="16">
        <v>0.995</v>
      </c>
      <c r="P73" s="16">
        <v>0.995</v>
      </c>
      <c r="Q73" s="19">
        <f t="shared" si="2"/>
        <v>74.99648841</v>
      </c>
      <c r="R73" s="20">
        <f t="shared" si="3"/>
        <v>2.173473211</v>
      </c>
      <c r="S73" s="21">
        <f t="shared" si="4"/>
        <v>4</v>
      </c>
      <c r="T73" s="17">
        <f t="shared" si="17"/>
        <v>5801</v>
      </c>
      <c r="U73" s="22">
        <f>T73/vlookup(A73,Max!$A$2:$AP$700,column(Max!$AP$2),false)</f>
        <v>1.381190476</v>
      </c>
      <c r="V73" s="17">
        <f t="shared" si="6"/>
        <v>743.6809354</v>
      </c>
      <c r="W73" s="23">
        <f t="shared" si="7"/>
        <v>3.527524302</v>
      </c>
      <c r="X73" s="23">
        <f t="shared" si="8"/>
        <v>2.183473033</v>
      </c>
      <c r="Y73" s="23">
        <f t="shared" si="9"/>
        <v>1</v>
      </c>
      <c r="Z73" s="23">
        <f t="shared" si="10"/>
        <v>1.01267413</v>
      </c>
      <c r="AA73" s="26">
        <f t="shared" si="11"/>
        <v>0</v>
      </c>
      <c r="AB73" s="25">
        <v>0.0</v>
      </c>
      <c r="AC73" s="26" t="str">
        <f t="shared" si="40"/>
        <v>{
$name$: $COBRA$,
$config$: $COBRA$,
$cost$: 5801
},</v>
      </c>
      <c r="AD73" s="26" t="str">
        <f t="shared" si="41"/>
        <v/>
      </c>
      <c r="AE73" s="26" t="str">
        <f t="shared" si="46"/>
        <v/>
      </c>
      <c r="AF73" s="26" t="str">
        <f t="shared" si="42"/>
        <v/>
      </c>
      <c r="AG73" s="26" t="str">
        <f t="shared" si="43"/>
        <v/>
      </c>
    </row>
    <row r="74" ht="15.75" customHeight="1">
      <c r="A74" s="7" t="s">
        <v>125</v>
      </c>
      <c r="B74" s="7" t="s">
        <v>125</v>
      </c>
      <c r="C74" s="8">
        <f t="shared" si="1"/>
        <v>7796</v>
      </c>
      <c r="D74" s="7">
        <v>2009.0</v>
      </c>
      <c r="E74" s="7" t="b">
        <v>1</v>
      </c>
      <c r="F74" s="7" t="b">
        <v>1</v>
      </c>
      <c r="G74" s="7" t="b">
        <v>0</v>
      </c>
      <c r="H74" s="7" t="b">
        <v>0</v>
      </c>
      <c r="I74" s="7" t="b">
        <v>0</v>
      </c>
      <c r="J74" s="9" t="b">
        <v>0</v>
      </c>
      <c r="K74" s="7">
        <v>6050.0</v>
      </c>
      <c r="L74" s="7">
        <v>4448.0</v>
      </c>
      <c r="M74" s="7">
        <v>454.0</v>
      </c>
      <c r="N74" s="7">
        <v>20.68</v>
      </c>
      <c r="O74" s="7">
        <v>0.995</v>
      </c>
      <c r="P74" s="7">
        <v>0.995</v>
      </c>
      <c r="Q74" s="10">
        <f t="shared" si="2"/>
        <v>74.97020995</v>
      </c>
      <c r="R74" s="11">
        <f t="shared" si="3"/>
        <v>1.752697842</v>
      </c>
      <c r="S74" s="12">
        <f t="shared" si="4"/>
        <v>4</v>
      </c>
      <c r="T74" s="8">
        <f t="shared" si="17"/>
        <v>7796</v>
      </c>
      <c r="U74" s="13">
        <f>T74/vlookup(A74,Max!$A$2:$AP$700,column(Max!$AP$2),false)</f>
        <v>1.16358209</v>
      </c>
      <c r="V74" s="8">
        <f t="shared" si="6"/>
        <v>1006.152323</v>
      </c>
      <c r="W74" s="14">
        <f t="shared" si="7"/>
        <v>3.504306227</v>
      </c>
      <c r="X74" s="14">
        <f t="shared" si="8"/>
        <v>2.183473033</v>
      </c>
      <c r="Y74" s="14">
        <f t="shared" si="9"/>
        <v>1</v>
      </c>
      <c r="Z74" s="14">
        <f t="shared" si="10"/>
        <v>1.01267413</v>
      </c>
      <c r="AA74" s="15">
        <f t="shared" si="11"/>
        <v>0</v>
      </c>
      <c r="AB74" s="29">
        <v>0.0</v>
      </c>
      <c r="AC74" s="15" t="str">
        <f t="shared" si="40"/>
        <v>{
$name$: $COBRAH$,
$config$: $COBRAH$,
$cost$: 7796
},</v>
      </c>
      <c r="AD74" s="15" t="str">
        <f t="shared" si="41"/>
        <v/>
      </c>
      <c r="AE74" s="15" t="str">
        <f t="shared" si="46"/>
        <v/>
      </c>
      <c r="AF74" s="15" t="str">
        <f t="shared" si="42"/>
        <v/>
      </c>
      <c r="AG74" s="15" t="str">
        <f t="shared" si="43"/>
        <v/>
      </c>
    </row>
    <row r="75" ht="15.75" customHeight="1">
      <c r="A75" s="16" t="s">
        <v>126</v>
      </c>
      <c r="B75" s="16" t="s">
        <v>127</v>
      </c>
      <c r="C75" s="17">
        <f t="shared" si="1"/>
        <v>1665</v>
      </c>
      <c r="D75" s="18">
        <v>2012.0</v>
      </c>
      <c r="E75" s="16"/>
      <c r="F75" s="16" t="b">
        <v>1</v>
      </c>
      <c r="G75" s="16" t="b">
        <v>0</v>
      </c>
      <c r="H75" s="16" t="b">
        <v>0</v>
      </c>
      <c r="I75" s="16" t="b">
        <v>0</v>
      </c>
      <c r="J75" s="18" t="b">
        <v>0</v>
      </c>
      <c r="K75" s="16">
        <v>4183.4</v>
      </c>
      <c r="L75" s="16">
        <v>2926.0</v>
      </c>
      <c r="M75" s="16">
        <v>249.9</v>
      </c>
      <c r="N75" s="16">
        <v>27.6</v>
      </c>
      <c r="O75" s="16">
        <v>1.0</v>
      </c>
      <c r="P75" s="16">
        <v>1.0</v>
      </c>
      <c r="Q75" s="19">
        <f t="shared" si="2"/>
        <v>71.32212149</v>
      </c>
      <c r="R75" s="20">
        <f t="shared" si="3"/>
        <v>0.5690362269</v>
      </c>
      <c r="S75" s="21">
        <f t="shared" si="4"/>
        <v>4</v>
      </c>
      <c r="T75" s="17">
        <f t="shared" si="17"/>
        <v>1665</v>
      </c>
      <c r="U75" s="22">
        <f>T75/vlookup(A75,Max!$A$2:$AP$700,column(Max!$AP$2),false)</f>
        <v>1.074193548</v>
      </c>
      <c r="V75" s="17">
        <f t="shared" si="6"/>
        <v>754.3212269</v>
      </c>
      <c r="W75" s="23">
        <f t="shared" si="7"/>
        <v>0.9039680595</v>
      </c>
      <c r="X75" s="23">
        <f t="shared" si="8"/>
        <v>2.380978078</v>
      </c>
      <c r="Y75" s="23">
        <f t="shared" si="9"/>
        <v>1</v>
      </c>
      <c r="Z75" s="23">
        <f t="shared" si="10"/>
        <v>1.025444154</v>
      </c>
      <c r="AA75" s="26">
        <f t="shared" si="11"/>
        <v>0</v>
      </c>
      <c r="AB75" s="25">
        <v>0.0</v>
      </c>
      <c r="AC75" s="26" t="str">
        <f t="shared" si="40"/>
        <v>{
$name$: $DFMMHPE-1$,
$config$: $DFMMHPE$,
$cost$: 1665
},</v>
      </c>
      <c r="AD75" s="26" t="str">
        <f t="shared" si="41"/>
        <v/>
      </c>
      <c r="AE75" s="26" t="str">
        <f t="shared" si="46"/>
        <v/>
      </c>
      <c r="AF75" s="26" t="str">
        <f t="shared" si="42"/>
        <v/>
      </c>
      <c r="AG75" s="26" t="str">
        <f t="shared" si="43"/>
        <v/>
      </c>
    </row>
    <row r="76" ht="15.75" customHeight="1">
      <c r="A76" s="7" t="s">
        <v>128</v>
      </c>
      <c r="B76" s="7" t="s">
        <v>127</v>
      </c>
      <c r="C76" s="8">
        <f t="shared" si="1"/>
        <v>5001</v>
      </c>
      <c r="D76" s="9">
        <v>2012.0</v>
      </c>
      <c r="E76" s="7" t="b">
        <v>1</v>
      </c>
      <c r="F76" s="7" t="b">
        <v>1</v>
      </c>
      <c r="G76" s="7" t="b">
        <v>0</v>
      </c>
      <c r="H76" s="7" t="b">
        <v>0</v>
      </c>
      <c r="I76" s="7" t="b">
        <v>0</v>
      </c>
      <c r="J76" s="9" t="b">
        <v>0</v>
      </c>
      <c r="K76" s="7">
        <v>4183.4</v>
      </c>
      <c r="L76" s="7">
        <v>2292.0</v>
      </c>
      <c r="M76" s="7">
        <v>459.2</v>
      </c>
      <c r="N76" s="7">
        <v>20.7</v>
      </c>
      <c r="O76" s="7">
        <v>1.0</v>
      </c>
      <c r="P76" s="7">
        <v>1.0</v>
      </c>
      <c r="Q76" s="10">
        <f t="shared" si="2"/>
        <v>55.86818266</v>
      </c>
      <c r="R76" s="11">
        <f t="shared" si="3"/>
        <v>2.908376963</v>
      </c>
      <c r="S76" s="12">
        <f t="shared" si="4"/>
        <v>4</v>
      </c>
      <c r="T76" s="8">
        <f t="shared" si="17"/>
        <v>6666</v>
      </c>
      <c r="U76" s="13">
        <f>T76/vlookup(A76,Max!$A$2:$AP$700,column(Max!$AP$2),false)</f>
        <v>1.129830508</v>
      </c>
      <c r="V76" s="8">
        <f t="shared" si="6"/>
        <v>808.5239442</v>
      </c>
      <c r="W76" s="14">
        <f t="shared" si="7"/>
        <v>3.681130543</v>
      </c>
      <c r="X76" s="14">
        <f t="shared" si="8"/>
        <v>2.184106321</v>
      </c>
      <c r="Y76" s="14">
        <f t="shared" si="9"/>
        <v>1</v>
      </c>
      <c r="Z76" s="14">
        <f t="shared" si="10"/>
        <v>1.025444154</v>
      </c>
      <c r="AA76" s="27">
        <f t="shared" si="11"/>
        <v>5001</v>
      </c>
      <c r="AB76" s="15">
        <f>if(iserror(find("$",A76)),1,2)</f>
        <v>1</v>
      </c>
      <c r="AC76" s="15" t="str">
        <f t="shared" si="40"/>
        <v/>
      </c>
      <c r="AD76" s="15" t="str">
        <f t="shared" si="41"/>
        <v>$DFMMHPE-2$: 5001,</v>
      </c>
      <c r="AE76" s="15" t="str">
        <f t="shared" si="46"/>
        <v/>
      </c>
      <c r="AF76" s="15" t="str">
        <f t="shared" si="42"/>
        <v/>
      </c>
      <c r="AG76" s="15" t="str">
        <f t="shared" si="43"/>
        <v/>
      </c>
    </row>
    <row r="77" ht="15.75" customHeight="1">
      <c r="A77" s="16" t="s">
        <v>129</v>
      </c>
      <c r="B77" s="16" t="s">
        <v>130</v>
      </c>
      <c r="C77" s="17">
        <f t="shared" si="1"/>
        <v>624</v>
      </c>
      <c r="D77" s="16">
        <v>1963.0</v>
      </c>
      <c r="E77" s="16"/>
      <c r="F77" s="16" t="b">
        <v>1</v>
      </c>
      <c r="G77" s="16" t="b">
        <v>0</v>
      </c>
      <c r="H77" s="16" t="b">
        <v>0</v>
      </c>
      <c r="I77" s="16" t="b">
        <v>0</v>
      </c>
      <c r="J77" s="18" t="b">
        <v>0</v>
      </c>
      <c r="K77" s="16">
        <v>1800.0</v>
      </c>
      <c r="L77" s="16">
        <v>1947.53</v>
      </c>
      <c r="M77" s="16">
        <v>290.0</v>
      </c>
      <c r="N77" s="16">
        <v>5.0</v>
      </c>
      <c r="O77" s="16">
        <v>0.995</v>
      </c>
      <c r="P77" s="16">
        <v>0.993</v>
      </c>
      <c r="Q77" s="19">
        <f t="shared" si="2"/>
        <v>110.3293284</v>
      </c>
      <c r="R77" s="20">
        <f t="shared" si="3"/>
        <v>0.3204058474</v>
      </c>
      <c r="S77" s="21">
        <f t="shared" si="4"/>
        <v>4</v>
      </c>
      <c r="T77" s="17">
        <f t="shared" si="17"/>
        <v>624</v>
      </c>
      <c r="U77" s="22">
        <f>T77/vlookup(A77,Max!$A$2:$AP$700,column(Max!$AP$2),false)</f>
        <v>0.65</v>
      </c>
      <c r="V77" s="17">
        <f t="shared" si="6"/>
        <v>446.697021</v>
      </c>
      <c r="W77" s="23">
        <f t="shared" si="7"/>
        <v>0.9726726019</v>
      </c>
      <c r="X77" s="23">
        <f t="shared" si="8"/>
        <v>1.426177805</v>
      </c>
      <c r="Y77" s="23">
        <f t="shared" si="9"/>
        <v>1</v>
      </c>
      <c r="Z77" s="23">
        <f t="shared" si="10"/>
        <v>1.007592984</v>
      </c>
      <c r="AA77" s="26">
        <f t="shared" si="11"/>
        <v>0</v>
      </c>
      <c r="AB77" s="25">
        <v>0.0</v>
      </c>
      <c r="AC77" s="26" t="str">
        <f t="shared" si="40"/>
        <v>{
$name$: $E-1$,
$config$: $E1$,
$cost$: 624
},</v>
      </c>
      <c r="AD77" s="26" t="str">
        <f t="shared" si="41"/>
        <v/>
      </c>
      <c r="AE77" s="26" t="str">
        <f t="shared" si="46"/>
        <v/>
      </c>
      <c r="AF77" s="26" t="str">
        <f t="shared" si="42"/>
        <v/>
      </c>
      <c r="AG77" s="26" t="str">
        <f t="shared" si="43"/>
        <v/>
      </c>
    </row>
    <row r="78" ht="15.75" customHeight="1">
      <c r="A78" s="7" t="s">
        <v>131</v>
      </c>
      <c r="B78" s="7" t="s">
        <v>130</v>
      </c>
      <c r="C78" s="8">
        <f t="shared" si="1"/>
        <v>28</v>
      </c>
      <c r="D78" s="7">
        <v>1966.0</v>
      </c>
      <c r="E78" s="7" t="b">
        <v>0</v>
      </c>
      <c r="F78" s="7" t="b">
        <v>1</v>
      </c>
      <c r="G78" s="7" t="b">
        <v>0</v>
      </c>
      <c r="H78" s="7" t="b">
        <v>0</v>
      </c>
      <c r="I78" s="7" t="b">
        <v>0</v>
      </c>
      <c r="J78" s="9" t="b">
        <v>0</v>
      </c>
      <c r="K78" s="7">
        <v>1814.4</v>
      </c>
      <c r="L78" s="7">
        <v>2366.39</v>
      </c>
      <c r="M78" s="7">
        <v>291.0</v>
      </c>
      <c r="N78" s="7">
        <v>5.45</v>
      </c>
      <c r="O78" s="7">
        <v>0.996939</v>
      </c>
      <c r="P78" s="7">
        <v>0.996939</v>
      </c>
      <c r="Q78" s="10">
        <f t="shared" si="2"/>
        <v>132.9941712</v>
      </c>
      <c r="R78" s="11">
        <f t="shared" si="3"/>
        <v>0.275525167</v>
      </c>
      <c r="S78" s="12">
        <f t="shared" si="4"/>
        <v>4</v>
      </c>
      <c r="T78" s="8">
        <f t="shared" si="17"/>
        <v>652</v>
      </c>
      <c r="U78" s="13">
        <f>T78/vlookup(A78,Max!$A$2:$AP$700,column(Max!$AP$2),false)</f>
        <v>0.5669565217</v>
      </c>
      <c r="V78" s="8">
        <f t="shared" si="6"/>
        <v>448.9070112</v>
      </c>
      <c r="W78" s="14">
        <f t="shared" si="7"/>
        <v>0.9751775897</v>
      </c>
      <c r="X78" s="14">
        <f t="shared" si="8"/>
        <v>1.463529979</v>
      </c>
      <c r="Y78" s="14">
        <f t="shared" si="9"/>
        <v>1</v>
      </c>
      <c r="Z78" s="14">
        <f t="shared" si="10"/>
        <v>1.017614949</v>
      </c>
      <c r="AA78" s="27">
        <f t="shared" si="11"/>
        <v>28</v>
      </c>
      <c r="AB78" s="15">
        <f t="shared" ref="AB78:AB83" si="47">if(iserror(find("$",A78)),1,2)</f>
        <v>1</v>
      </c>
      <c r="AC78" s="15" t="str">
        <f t="shared" si="40"/>
        <v/>
      </c>
      <c r="AD78" s="15" t="str">
        <f t="shared" si="41"/>
        <v>$E-1-468k$: 28,</v>
      </c>
      <c r="AE78" s="15" t="str">
        <f t="shared" si="46"/>
        <v/>
      </c>
      <c r="AF78" s="15" t="str">
        <f t="shared" si="42"/>
        <v/>
      </c>
      <c r="AG78" s="15" t="str">
        <f t="shared" si="43"/>
        <v/>
      </c>
    </row>
    <row r="79" ht="15.75" customHeight="1">
      <c r="A79" s="16" t="s">
        <v>132</v>
      </c>
      <c r="B79" s="16" t="s">
        <v>130</v>
      </c>
      <c r="C79" s="17">
        <f t="shared" si="1"/>
        <v>38</v>
      </c>
      <c r="D79" s="16">
        <v>1969.0</v>
      </c>
      <c r="E79" s="16" t="b">
        <v>0</v>
      </c>
      <c r="F79" s="16" t="b">
        <v>1</v>
      </c>
      <c r="G79" s="16" t="b">
        <v>0</v>
      </c>
      <c r="H79" s="16" t="b">
        <v>0</v>
      </c>
      <c r="I79" s="16" t="b">
        <v>0</v>
      </c>
      <c r="J79" s="18" t="b">
        <v>0</v>
      </c>
      <c r="K79" s="16">
        <v>1814.4</v>
      </c>
      <c r="L79" s="16">
        <v>2505.97</v>
      </c>
      <c r="M79" s="16">
        <v>291.0</v>
      </c>
      <c r="N79" s="16">
        <v>5.77</v>
      </c>
      <c r="O79" s="16">
        <v>0.996341</v>
      </c>
      <c r="P79" s="16">
        <v>0.996341</v>
      </c>
      <c r="Q79" s="19">
        <f t="shared" si="2"/>
        <v>140.8387473</v>
      </c>
      <c r="R79" s="20">
        <f t="shared" si="3"/>
        <v>0.264169164</v>
      </c>
      <c r="S79" s="21">
        <f t="shared" si="4"/>
        <v>4</v>
      </c>
      <c r="T79" s="17">
        <f t="shared" si="17"/>
        <v>662</v>
      </c>
      <c r="U79" s="22">
        <f>T79/vlookup(A79,Max!$A$2:$AP$700,column(Max!$AP$2),false)</f>
        <v>0.662</v>
      </c>
      <c r="V79" s="17">
        <f t="shared" si="6"/>
        <v>448.9070112</v>
      </c>
      <c r="W79" s="23">
        <f t="shared" si="7"/>
        <v>0.9751775897</v>
      </c>
      <c r="X79" s="23">
        <f t="shared" si="8"/>
        <v>1.488796764</v>
      </c>
      <c r="Y79" s="23">
        <f t="shared" si="9"/>
        <v>1</v>
      </c>
      <c r="Z79" s="23">
        <f t="shared" si="10"/>
        <v>1.01608963</v>
      </c>
      <c r="AA79" s="24">
        <f t="shared" si="11"/>
        <v>38</v>
      </c>
      <c r="AB79" s="26">
        <f t="shared" si="47"/>
        <v>1</v>
      </c>
      <c r="AC79" s="26" t="str">
        <f t="shared" si="40"/>
        <v/>
      </c>
      <c r="AD79" s="26" t="str">
        <f t="shared" si="41"/>
        <v>$E-1-500k$: 38,</v>
      </c>
      <c r="AE79" s="26" t="str">
        <f t="shared" si="46"/>
        <v/>
      </c>
      <c r="AF79" s="26" t="str">
        <f t="shared" si="42"/>
        <v/>
      </c>
      <c r="AG79" s="26" t="str">
        <f t="shared" si="43"/>
        <v/>
      </c>
    </row>
    <row r="80" ht="15.75" customHeight="1">
      <c r="A80" s="7" t="s">
        <v>133</v>
      </c>
      <c r="B80" s="7" t="s">
        <v>130</v>
      </c>
      <c r="C80" s="8">
        <f t="shared" si="1"/>
        <v>22</v>
      </c>
      <c r="D80" s="7">
        <v>1970.0</v>
      </c>
      <c r="E80" s="7"/>
      <c r="F80" s="7" t="b">
        <v>1</v>
      </c>
      <c r="G80" s="7" t="b">
        <v>0</v>
      </c>
      <c r="H80" s="7" t="b">
        <v>0</v>
      </c>
      <c r="I80" s="7" t="b">
        <v>0</v>
      </c>
      <c r="J80" s="9" t="b">
        <v>0</v>
      </c>
      <c r="K80" s="7">
        <v>1800.0</v>
      </c>
      <c r="L80" s="7">
        <v>2358.25</v>
      </c>
      <c r="M80" s="7">
        <v>290.0</v>
      </c>
      <c r="N80" s="7">
        <v>5.45</v>
      </c>
      <c r="O80" s="7">
        <v>0.995</v>
      </c>
      <c r="P80" s="7">
        <v>0.996</v>
      </c>
      <c r="Q80" s="10">
        <f t="shared" si="2"/>
        <v>133.5969862</v>
      </c>
      <c r="R80" s="11">
        <f t="shared" si="3"/>
        <v>0.2739319411</v>
      </c>
      <c r="S80" s="12">
        <f t="shared" si="4"/>
        <v>4</v>
      </c>
      <c r="T80" s="8">
        <f t="shared" si="17"/>
        <v>646</v>
      </c>
      <c r="U80" s="13">
        <f>T80/vlookup(A80,Max!$A$2:$AP$700,column(Max!$AP$2),false)</f>
        <v>0.817721519</v>
      </c>
      <c r="V80" s="8">
        <f t="shared" si="6"/>
        <v>446.697021</v>
      </c>
      <c r="W80" s="14">
        <f t="shared" si="7"/>
        <v>0.9726726019</v>
      </c>
      <c r="X80" s="14">
        <f t="shared" si="8"/>
        <v>1.463529979</v>
      </c>
      <c r="Y80" s="14">
        <f t="shared" si="9"/>
        <v>1</v>
      </c>
      <c r="Z80" s="14">
        <f t="shared" si="10"/>
        <v>1.015220455</v>
      </c>
      <c r="AA80" s="27">
        <f t="shared" si="11"/>
        <v>22</v>
      </c>
      <c r="AB80" s="15">
        <f t="shared" si="47"/>
        <v>1</v>
      </c>
      <c r="AC80" s="15" t="str">
        <f t="shared" si="40"/>
        <v/>
      </c>
      <c r="AD80" s="15" t="str">
        <f t="shared" si="41"/>
        <v>$E-1-Upgrade$: 22,</v>
      </c>
      <c r="AE80" s="15" t="str">
        <f t="shared" si="46"/>
        <v/>
      </c>
      <c r="AF80" s="15" t="str">
        <f t="shared" si="42"/>
        <v/>
      </c>
      <c r="AG80" s="15" t="str">
        <f t="shared" si="43"/>
        <v/>
      </c>
    </row>
    <row r="81" ht="15.75" customHeight="1">
      <c r="A81" s="16" t="s">
        <v>134</v>
      </c>
      <c r="B81" s="16" t="s">
        <v>130</v>
      </c>
      <c r="C81" s="17">
        <f t="shared" si="1"/>
        <v>63</v>
      </c>
      <c r="D81" s="16">
        <v>1976.0</v>
      </c>
      <c r="E81" s="16" t="b">
        <v>0</v>
      </c>
      <c r="F81" s="16" t="b">
        <v>1</v>
      </c>
      <c r="G81" s="16" t="b">
        <v>0</v>
      </c>
      <c r="H81" s="16" t="b">
        <v>0</v>
      </c>
      <c r="I81" s="16" t="b">
        <v>0</v>
      </c>
      <c r="J81" s="18" t="b">
        <v>0</v>
      </c>
      <c r="K81" s="16">
        <v>1814.4</v>
      </c>
      <c r="L81" s="16">
        <v>2828.57</v>
      </c>
      <c r="M81" s="16">
        <v>292.0</v>
      </c>
      <c r="N81" s="16">
        <v>6.45</v>
      </c>
      <c r="O81" s="16">
        <v>0.996341</v>
      </c>
      <c r="P81" s="16">
        <v>0.996341</v>
      </c>
      <c r="Q81" s="19">
        <f t="shared" si="2"/>
        <v>158.9692835</v>
      </c>
      <c r="R81" s="20">
        <f t="shared" si="3"/>
        <v>0.2428789105</v>
      </c>
      <c r="S81" s="21">
        <f t="shared" si="4"/>
        <v>4</v>
      </c>
      <c r="T81" s="17">
        <f t="shared" si="17"/>
        <v>687</v>
      </c>
      <c r="U81" s="22">
        <f>T81/vlookup(A81,Max!$A$2:$AP$700,column(Max!$AP$2),false)</f>
        <v>0.7231578947</v>
      </c>
      <c r="V81" s="17">
        <f t="shared" si="6"/>
        <v>448.9070112</v>
      </c>
      <c r="W81" s="23">
        <f t="shared" si="7"/>
        <v>0.9777307799</v>
      </c>
      <c r="X81" s="23">
        <f t="shared" si="8"/>
        <v>1.539396825</v>
      </c>
      <c r="Y81" s="23">
        <f t="shared" si="9"/>
        <v>1</v>
      </c>
      <c r="Z81" s="23">
        <f t="shared" si="10"/>
        <v>1.01608963</v>
      </c>
      <c r="AA81" s="24">
        <f t="shared" si="11"/>
        <v>63</v>
      </c>
      <c r="AB81" s="26">
        <f t="shared" si="47"/>
        <v>1</v>
      </c>
      <c r="AC81" s="26" t="str">
        <f t="shared" si="40"/>
        <v/>
      </c>
      <c r="AD81" s="26" t="str">
        <f t="shared" si="41"/>
        <v>$E-1-575k$: 63,</v>
      </c>
      <c r="AE81" s="26" t="str">
        <f t="shared" si="46"/>
        <v/>
      </c>
      <c r="AF81" s="26" t="str">
        <f t="shared" si="42"/>
        <v/>
      </c>
      <c r="AG81" s="26" t="str">
        <f t="shared" si="43"/>
        <v/>
      </c>
    </row>
    <row r="82" ht="15.75" customHeight="1">
      <c r="A82" s="7" t="s">
        <v>135</v>
      </c>
      <c r="B82" s="7" t="s">
        <v>130</v>
      </c>
      <c r="C82" s="8">
        <f t="shared" si="1"/>
        <v>45</v>
      </c>
      <c r="D82" s="7">
        <v>1976.0</v>
      </c>
      <c r="E82" s="7"/>
      <c r="F82" s="7" t="b">
        <v>1</v>
      </c>
      <c r="G82" s="7" t="b">
        <v>0</v>
      </c>
      <c r="H82" s="7" t="b">
        <v>0</v>
      </c>
      <c r="I82" s="7" t="b">
        <v>0</v>
      </c>
      <c r="J82" s="9" t="b">
        <v>0</v>
      </c>
      <c r="K82" s="7">
        <v>1800.0</v>
      </c>
      <c r="L82" s="7">
        <v>2662.6</v>
      </c>
      <c r="M82" s="7">
        <v>301.0</v>
      </c>
      <c r="N82" s="7">
        <v>5.45</v>
      </c>
      <c r="O82" s="7">
        <v>0.998</v>
      </c>
      <c r="P82" s="7">
        <v>0.998</v>
      </c>
      <c r="Q82" s="10">
        <f t="shared" si="2"/>
        <v>150.8386878</v>
      </c>
      <c r="R82" s="11">
        <f t="shared" si="3"/>
        <v>0.2512581687</v>
      </c>
      <c r="S82" s="12">
        <f t="shared" si="4"/>
        <v>4</v>
      </c>
      <c r="T82" s="8">
        <f t="shared" si="17"/>
        <v>669</v>
      </c>
      <c r="U82" s="13">
        <f>T82/vlookup(A82,Max!$A$2:$AP$700,column(Max!$AP$2),false)</f>
        <v>0.7964285714</v>
      </c>
      <c r="V82" s="8">
        <f t="shared" si="6"/>
        <v>446.697021</v>
      </c>
      <c r="W82" s="14">
        <f t="shared" si="7"/>
        <v>1.003273336</v>
      </c>
      <c r="X82" s="14">
        <f t="shared" si="8"/>
        <v>1.463529979</v>
      </c>
      <c r="Y82" s="14">
        <f t="shared" si="9"/>
        <v>1</v>
      </c>
      <c r="Z82" s="14">
        <f t="shared" si="10"/>
        <v>1.020324621</v>
      </c>
      <c r="AA82" s="27">
        <f t="shared" si="11"/>
        <v>45</v>
      </c>
      <c r="AB82" s="15">
        <f t="shared" si="47"/>
        <v>1</v>
      </c>
      <c r="AC82" s="15" t="str">
        <f t="shared" si="40"/>
        <v/>
      </c>
      <c r="AD82" s="15" t="str">
        <f t="shared" si="41"/>
        <v>$E-1-Upgrade2$: 45,</v>
      </c>
      <c r="AE82" s="15" t="str">
        <f t="shared" si="46"/>
        <v/>
      </c>
      <c r="AF82" s="15" t="str">
        <f t="shared" si="42"/>
        <v/>
      </c>
      <c r="AG82" s="15" t="str">
        <f t="shared" si="43"/>
        <v/>
      </c>
    </row>
    <row r="83" ht="15.75" customHeight="1">
      <c r="A83" s="16" t="s">
        <v>136</v>
      </c>
      <c r="B83" s="16" t="s">
        <v>130</v>
      </c>
      <c r="C83" s="17">
        <f t="shared" si="1"/>
        <v>113</v>
      </c>
      <c r="D83" s="16">
        <v>1976.0</v>
      </c>
      <c r="E83" s="16"/>
      <c r="F83" s="16" t="b">
        <v>1</v>
      </c>
      <c r="G83" s="16" t="b">
        <v>0</v>
      </c>
      <c r="H83" s="16" t="b">
        <v>0</v>
      </c>
      <c r="I83" s="16" t="b">
        <v>0</v>
      </c>
      <c r="J83" s="18" t="b">
        <v>0</v>
      </c>
      <c r="K83" s="16">
        <v>1835.0</v>
      </c>
      <c r="L83" s="16">
        <v>2250.0</v>
      </c>
      <c r="M83" s="16">
        <v>310.0</v>
      </c>
      <c r="N83" s="16">
        <v>6.0</v>
      </c>
      <c r="O83" s="16">
        <v>0.998944</v>
      </c>
      <c r="P83" s="16">
        <v>0.998944</v>
      </c>
      <c r="Q83" s="19">
        <f t="shared" si="2"/>
        <v>125.0333228</v>
      </c>
      <c r="R83" s="20">
        <f t="shared" si="3"/>
        <v>0.3275555556</v>
      </c>
      <c r="S83" s="21">
        <f t="shared" si="4"/>
        <v>4</v>
      </c>
      <c r="T83" s="17">
        <f t="shared" si="17"/>
        <v>737</v>
      </c>
      <c r="U83" s="22">
        <f>T83/vlookup(A83,Max!$A$2:$AP$700,column(Max!$AP$2),false)</f>
        <v>0.7444444444</v>
      </c>
      <c r="V83" s="17">
        <f t="shared" si="6"/>
        <v>452.0571857</v>
      </c>
      <c r="W83" s="23">
        <f t="shared" si="7"/>
        <v>1.057751671</v>
      </c>
      <c r="X83" s="23">
        <f t="shared" si="8"/>
        <v>1.506357476</v>
      </c>
      <c r="Y83" s="23">
        <f t="shared" si="9"/>
        <v>1</v>
      </c>
      <c r="Z83" s="23">
        <f t="shared" si="10"/>
        <v>1.022739125</v>
      </c>
      <c r="AA83" s="24">
        <f t="shared" si="11"/>
        <v>113</v>
      </c>
      <c r="AB83" s="26">
        <f t="shared" si="47"/>
        <v>1</v>
      </c>
      <c r="AC83" s="26" t="str">
        <f t="shared" si="40"/>
        <v/>
      </c>
      <c r="AD83" s="26" t="str">
        <f t="shared" si="41"/>
        <v>$E-1A_KS$: 113,</v>
      </c>
      <c r="AE83" s="26" t="str">
        <f t="shared" si="46"/>
        <v/>
      </c>
      <c r="AF83" s="26" t="str">
        <f t="shared" si="42"/>
        <v/>
      </c>
      <c r="AG83" s="26" t="str">
        <f t="shared" si="43"/>
        <v/>
      </c>
    </row>
    <row r="84" ht="15.75" customHeight="1">
      <c r="A84" s="7" t="s">
        <v>137</v>
      </c>
      <c r="B84" s="7" t="s">
        <v>137</v>
      </c>
      <c r="C84" s="8">
        <f t="shared" si="1"/>
        <v>1969</v>
      </c>
      <c r="D84" s="7">
        <v>1977.0</v>
      </c>
      <c r="E84" s="7"/>
      <c r="F84" s="7" t="b">
        <v>1</v>
      </c>
      <c r="G84" s="7" t="b">
        <v>0</v>
      </c>
      <c r="H84" s="7" t="b">
        <v>0</v>
      </c>
      <c r="I84" s="7" t="b">
        <v>0</v>
      </c>
      <c r="J84" s="9" t="b">
        <v>0</v>
      </c>
      <c r="K84" s="7">
        <v>8390.0</v>
      </c>
      <c r="L84" s="7">
        <v>9189.6</v>
      </c>
      <c r="M84" s="7">
        <v>306.2</v>
      </c>
      <c r="N84" s="7">
        <v>8.0</v>
      </c>
      <c r="O84" s="7"/>
      <c r="P84" s="7"/>
      <c r="Q84" s="10">
        <f t="shared" si="2"/>
        <v>111.6899176</v>
      </c>
      <c r="R84" s="11">
        <f t="shared" si="3"/>
        <v>0.2142639506</v>
      </c>
      <c r="S84" s="12">
        <f t="shared" si="4"/>
        <v>4</v>
      </c>
      <c r="T84" s="8">
        <f t="shared" si="17"/>
        <v>1969</v>
      </c>
      <c r="U84" s="13">
        <f>T84/vlookup(A84,Max!$A$2:$AP$700,column(Max!$AP$2),false)</f>
        <v>0.5048717949</v>
      </c>
      <c r="V84" s="8">
        <f t="shared" si="6"/>
        <v>1164.964267</v>
      </c>
      <c r="W84" s="14">
        <f t="shared" si="7"/>
        <v>1.029202987</v>
      </c>
      <c r="X84" s="14">
        <f t="shared" si="8"/>
        <v>1.642138065</v>
      </c>
      <c r="Y84" s="14">
        <f t="shared" si="9"/>
        <v>1</v>
      </c>
      <c r="Z84" s="14">
        <f t="shared" si="10"/>
        <v>1</v>
      </c>
      <c r="AA84" s="15">
        <f t="shared" si="11"/>
        <v>0</v>
      </c>
      <c r="AB84" s="29">
        <v>0.0</v>
      </c>
      <c r="AC84" s="15" t="str">
        <f t="shared" si="40"/>
        <v>{
$name$: $F-1A_ETS$,
$config$: $F-1A_ETS$,
$cost$: 1969
},</v>
      </c>
      <c r="AD84" s="15" t="str">
        <f t="shared" si="41"/>
        <v/>
      </c>
      <c r="AE84" s="15" t="str">
        <f t="shared" si="46"/>
        <v/>
      </c>
      <c r="AF84" s="15" t="str">
        <f t="shared" si="42"/>
        <v/>
      </c>
      <c r="AG84" s="15" t="str">
        <f t="shared" si="43"/>
        <v/>
      </c>
    </row>
    <row r="85" ht="15.75" customHeight="1">
      <c r="A85" s="16" t="s">
        <v>138</v>
      </c>
      <c r="B85" s="16" t="s">
        <v>139</v>
      </c>
      <c r="C85" s="17">
        <f t="shared" si="1"/>
        <v>1855</v>
      </c>
      <c r="D85" s="16">
        <v>1967.0</v>
      </c>
      <c r="E85" s="16"/>
      <c r="F85" s="16" t="b">
        <v>1</v>
      </c>
      <c r="G85" s="16" t="b">
        <v>0</v>
      </c>
      <c r="H85" s="16" t="b">
        <v>0</v>
      </c>
      <c r="I85" s="16" t="b">
        <v>0</v>
      </c>
      <c r="J85" s="18" t="b">
        <v>0</v>
      </c>
      <c r="K85" s="16">
        <v>8444.0</v>
      </c>
      <c r="L85" s="16">
        <v>7775.49</v>
      </c>
      <c r="M85" s="16">
        <v>301.0</v>
      </c>
      <c r="N85" s="16">
        <v>6.77</v>
      </c>
      <c r="O85" s="16">
        <v>0.994697</v>
      </c>
      <c r="P85" s="16">
        <v>0.994697</v>
      </c>
      <c r="Q85" s="19">
        <f t="shared" si="2"/>
        <v>93.89854564</v>
      </c>
      <c r="R85" s="20">
        <f t="shared" si="3"/>
        <v>0.2385701737</v>
      </c>
      <c r="S85" s="21">
        <f t="shared" si="4"/>
        <v>4</v>
      </c>
      <c r="T85" s="17">
        <f t="shared" si="17"/>
        <v>1855</v>
      </c>
      <c r="U85" s="22">
        <f>T85/vlookup(A85,Max!$A$2:$AP$700,column(Max!$AP$2),false)</f>
        <v>0.6396551724</v>
      </c>
      <c r="V85" s="17">
        <f t="shared" si="6"/>
        <v>1169.651842</v>
      </c>
      <c r="W85" s="23">
        <f t="shared" si="7"/>
        <v>1.003273336</v>
      </c>
      <c r="X85" s="23">
        <f t="shared" si="8"/>
        <v>1.561921751</v>
      </c>
      <c r="Y85" s="23">
        <f t="shared" si="9"/>
        <v>1</v>
      </c>
      <c r="Z85" s="23">
        <f t="shared" si="10"/>
        <v>1.01190335</v>
      </c>
      <c r="AA85" s="26">
        <f t="shared" si="11"/>
        <v>0</v>
      </c>
      <c r="AB85" s="25">
        <v>0.0</v>
      </c>
      <c r="AC85" s="26" t="str">
        <f t="shared" si="40"/>
        <v>{
$name$: $F-1-1.5M$,
$config$: $F1$,
$cost$: 1855
},</v>
      </c>
      <c r="AD85" s="26" t="str">
        <f t="shared" si="41"/>
        <v/>
      </c>
      <c r="AE85" s="26" t="str">
        <f t="shared" si="46"/>
        <v/>
      </c>
      <c r="AF85" s="26" t="str">
        <f t="shared" si="42"/>
        <v/>
      </c>
      <c r="AG85" s="26" t="str">
        <f t="shared" si="43"/>
        <v/>
      </c>
    </row>
    <row r="86" ht="15.75" customHeight="1">
      <c r="A86" s="7" t="s">
        <v>140</v>
      </c>
      <c r="B86" s="7" t="s">
        <v>139</v>
      </c>
      <c r="C86" s="8">
        <f t="shared" si="1"/>
        <v>34</v>
      </c>
      <c r="D86" s="7">
        <v>1969.0</v>
      </c>
      <c r="E86" s="7"/>
      <c r="F86" s="7" t="b">
        <v>1</v>
      </c>
      <c r="G86" s="7" t="b">
        <v>0</v>
      </c>
      <c r="H86" s="7" t="b">
        <v>0</v>
      </c>
      <c r="I86" s="7" t="b">
        <v>0</v>
      </c>
      <c r="J86" s="9" t="b">
        <v>0</v>
      </c>
      <c r="K86" s="7">
        <v>8444.0</v>
      </c>
      <c r="L86" s="7">
        <v>7895.01</v>
      </c>
      <c r="M86" s="7">
        <v>305.0</v>
      </c>
      <c r="N86" s="7">
        <v>6.77</v>
      </c>
      <c r="O86" s="7">
        <v>0.994697</v>
      </c>
      <c r="P86" s="7">
        <v>0.994697</v>
      </c>
      <c r="Q86" s="10">
        <f t="shared" si="2"/>
        <v>95.34189573</v>
      </c>
      <c r="R86" s="11">
        <f t="shared" si="3"/>
        <v>0.2392650548</v>
      </c>
      <c r="S86" s="12">
        <f t="shared" si="4"/>
        <v>4</v>
      </c>
      <c r="T86" s="8">
        <f t="shared" si="17"/>
        <v>1889</v>
      </c>
      <c r="U86" s="13">
        <f>T86/vlookup(A86,Max!$A$2:$AP$700,column(Max!$AP$2),false)</f>
        <v>0.6996296296</v>
      </c>
      <c r="V86" s="8">
        <f t="shared" si="6"/>
        <v>1169.651842</v>
      </c>
      <c r="W86" s="14">
        <f t="shared" si="7"/>
        <v>1.021881862</v>
      </c>
      <c r="X86" s="14">
        <f t="shared" si="8"/>
        <v>1.561921751</v>
      </c>
      <c r="Y86" s="14">
        <f t="shared" si="9"/>
        <v>1</v>
      </c>
      <c r="Z86" s="14">
        <f t="shared" si="10"/>
        <v>1.01190335</v>
      </c>
      <c r="AA86" s="27">
        <f t="shared" si="11"/>
        <v>34</v>
      </c>
      <c r="AB86" s="15">
        <f t="shared" ref="AB86:AB87" si="48">if(iserror(find("$",A86)),1,2)</f>
        <v>1</v>
      </c>
      <c r="AC86" s="15" t="str">
        <f t="shared" si="40"/>
        <v/>
      </c>
      <c r="AD86" s="15" t="str">
        <f t="shared" si="41"/>
        <v>$F-1-1.52M$: 34,</v>
      </c>
      <c r="AE86" s="15" t="str">
        <f t="shared" si="46"/>
        <v/>
      </c>
      <c r="AF86" s="15" t="str">
        <f t="shared" si="42"/>
        <v/>
      </c>
      <c r="AG86" s="15" t="str">
        <f t="shared" si="43"/>
        <v/>
      </c>
    </row>
    <row r="87" ht="15.75" customHeight="1">
      <c r="A87" s="16" t="s">
        <v>141</v>
      </c>
      <c r="B87" s="16" t="s">
        <v>139</v>
      </c>
      <c r="C87" s="17">
        <f t="shared" si="1"/>
        <v>188</v>
      </c>
      <c r="D87" s="16">
        <v>1977.0</v>
      </c>
      <c r="E87" s="16"/>
      <c r="F87" s="16" t="b">
        <v>1</v>
      </c>
      <c r="G87" s="16" t="b">
        <v>0</v>
      </c>
      <c r="H87" s="16" t="b">
        <v>0</v>
      </c>
      <c r="I87" s="16" t="b">
        <v>0</v>
      </c>
      <c r="J87" s="18" t="b">
        <v>0</v>
      </c>
      <c r="K87" s="16">
        <v>8618.0</v>
      </c>
      <c r="L87" s="16">
        <v>9189.6</v>
      </c>
      <c r="M87" s="16">
        <v>306.2</v>
      </c>
      <c r="N87" s="16">
        <v>8.0</v>
      </c>
      <c r="O87" s="16">
        <v>0.998</v>
      </c>
      <c r="P87" s="16">
        <v>0.998</v>
      </c>
      <c r="Q87" s="19">
        <f t="shared" si="2"/>
        <v>108.7350207</v>
      </c>
      <c r="R87" s="20">
        <f t="shared" si="3"/>
        <v>0.2223165317</v>
      </c>
      <c r="S87" s="21">
        <f t="shared" si="4"/>
        <v>4</v>
      </c>
      <c r="T87" s="17">
        <f t="shared" si="17"/>
        <v>2043</v>
      </c>
      <c r="U87" s="22">
        <f>T87/vlookup(A87,Max!$A$2:$AP$700,column(Max!$AP$2),false)</f>
        <v>0.6008823529</v>
      </c>
      <c r="V87" s="17">
        <f t="shared" si="6"/>
        <v>1184.681791</v>
      </c>
      <c r="W87" s="23">
        <f t="shared" si="7"/>
        <v>1.029202987</v>
      </c>
      <c r="X87" s="23">
        <f t="shared" si="8"/>
        <v>1.642138065</v>
      </c>
      <c r="Y87" s="23">
        <f t="shared" si="9"/>
        <v>1</v>
      </c>
      <c r="Z87" s="23">
        <f t="shared" si="10"/>
        <v>1.020324621</v>
      </c>
      <c r="AA87" s="24">
        <f t="shared" si="11"/>
        <v>188</v>
      </c>
      <c r="AB87" s="26">
        <f t="shared" si="48"/>
        <v>1</v>
      </c>
      <c r="AC87" s="26" t="str">
        <f t="shared" si="40"/>
        <v/>
      </c>
      <c r="AD87" s="26" t="str">
        <f t="shared" si="41"/>
        <v>$F-1A$: 188,</v>
      </c>
      <c r="AE87" s="26" t="str">
        <f t="shared" si="46"/>
        <v/>
      </c>
      <c r="AF87" s="26" t="str">
        <f t="shared" si="42"/>
        <v/>
      </c>
      <c r="AG87" s="26" t="str">
        <f t="shared" si="43"/>
        <v/>
      </c>
    </row>
    <row r="88" ht="15.75" customHeight="1">
      <c r="A88" s="7" t="s">
        <v>142</v>
      </c>
      <c r="B88" s="7" t="s">
        <v>143</v>
      </c>
      <c r="C88" s="8">
        <f t="shared" si="1"/>
        <v>2125</v>
      </c>
      <c r="D88" s="7">
        <v>2022.0</v>
      </c>
      <c r="E88" s="7"/>
      <c r="F88" s="7" t="b">
        <v>1</v>
      </c>
      <c r="G88" s="7" t="b">
        <v>0</v>
      </c>
      <c r="H88" s="7" t="b">
        <v>0</v>
      </c>
      <c r="I88" s="7" t="b">
        <v>0</v>
      </c>
      <c r="J88" s="9" t="b">
        <v>0</v>
      </c>
      <c r="K88" s="7">
        <v>9656.0</v>
      </c>
      <c r="L88" s="7">
        <v>8815.0</v>
      </c>
      <c r="M88" s="7">
        <v>299.0</v>
      </c>
      <c r="N88" s="7">
        <v>8.0</v>
      </c>
      <c r="O88" s="7">
        <v>0.998</v>
      </c>
      <c r="P88" s="7">
        <v>0.998</v>
      </c>
      <c r="Q88" s="10">
        <f t="shared" si="2"/>
        <v>93.09028988</v>
      </c>
      <c r="R88" s="11">
        <f t="shared" si="3"/>
        <v>0.2410663642</v>
      </c>
      <c r="S88" s="12">
        <f t="shared" si="4"/>
        <v>4</v>
      </c>
      <c r="T88" s="8">
        <f t="shared" si="17"/>
        <v>2125</v>
      </c>
      <c r="U88" s="13">
        <f>T88/vlookup(A88,Max!$A$2:$AP$700,column(Max!$AP$2),false)</f>
        <v>0.9659090909</v>
      </c>
      <c r="V88" s="8">
        <f t="shared" si="6"/>
        <v>1272.131383</v>
      </c>
      <c r="W88" s="14">
        <f t="shared" si="7"/>
        <v>0.9970282138</v>
      </c>
      <c r="X88" s="14">
        <f t="shared" si="8"/>
        <v>1.642138065</v>
      </c>
      <c r="Y88" s="14">
        <f t="shared" si="9"/>
        <v>1</v>
      </c>
      <c r="Z88" s="14">
        <f t="shared" si="10"/>
        <v>1.020324621</v>
      </c>
      <c r="AA88" s="15">
        <f t="shared" si="11"/>
        <v>0</v>
      </c>
      <c r="AB88" s="29">
        <v>0.0</v>
      </c>
      <c r="AC88" s="15" t="str">
        <f t="shared" si="40"/>
        <v>{
$name$: $F-1B$,
$config$: $F1B$,
$cost$: 2125
},</v>
      </c>
      <c r="AD88" s="15" t="str">
        <f t="shared" si="41"/>
        <v/>
      </c>
      <c r="AE88" s="15" t="str">
        <f t="shared" si="46"/>
        <v/>
      </c>
      <c r="AF88" s="15" t="str">
        <f t="shared" si="42"/>
        <v/>
      </c>
      <c r="AG88" s="15" t="str">
        <f t="shared" si="43"/>
        <v/>
      </c>
    </row>
    <row r="89" ht="15.75" customHeight="1">
      <c r="A89" s="16" t="s">
        <v>144</v>
      </c>
      <c r="B89" s="16" t="s">
        <v>145</v>
      </c>
      <c r="C89" s="17">
        <f t="shared" si="1"/>
        <v>136</v>
      </c>
      <c r="D89" s="16">
        <v>1961.0</v>
      </c>
      <c r="E89" s="16"/>
      <c r="F89" s="16" t="b">
        <v>0</v>
      </c>
      <c r="G89" s="16" t="b">
        <v>0</v>
      </c>
      <c r="H89" s="16" t="b">
        <v>1</v>
      </c>
      <c r="I89" s="16" t="b">
        <v>0</v>
      </c>
      <c r="J89" s="18" t="b">
        <v>0</v>
      </c>
      <c r="K89" s="16">
        <v>172.0</v>
      </c>
      <c r="L89" s="16">
        <v>53.38</v>
      </c>
      <c r="M89" s="16">
        <v>357.0</v>
      </c>
      <c r="N89" s="16">
        <v>1.03</v>
      </c>
      <c r="O89" s="16">
        <v>0.98</v>
      </c>
      <c r="P89" s="16">
        <v>0.98</v>
      </c>
      <c r="Q89" s="19">
        <f t="shared" si="2"/>
        <v>31.64677401</v>
      </c>
      <c r="R89" s="20">
        <f t="shared" si="3"/>
        <v>2.547770701</v>
      </c>
      <c r="S89" s="21">
        <f t="shared" si="4"/>
        <v>1.75</v>
      </c>
      <c r="T89" s="17">
        <f t="shared" si="17"/>
        <v>136</v>
      </c>
      <c r="U89" s="22">
        <f>T89/vlookup(A89,Max!$A$2:$AP$700,column(Max!$AP$2),false)</f>
        <v>0.9714285714</v>
      </c>
      <c r="V89" s="17">
        <f t="shared" si="6"/>
        <v>105.848602</v>
      </c>
      <c r="W89" s="23">
        <f t="shared" si="7"/>
        <v>1.512870547</v>
      </c>
      <c r="X89" s="23">
        <f t="shared" si="8"/>
        <v>0.9146403984</v>
      </c>
      <c r="Y89" s="23">
        <f t="shared" si="9"/>
        <v>1</v>
      </c>
      <c r="Z89" s="23">
        <f t="shared" si="10"/>
        <v>0.9269202967</v>
      </c>
      <c r="AA89" s="26">
        <f t="shared" si="11"/>
        <v>0</v>
      </c>
      <c r="AB89" s="25">
        <v>0.0</v>
      </c>
      <c r="AC89" s="26" t="str">
        <f t="shared" si="40"/>
        <v>{
$name$: $G-1$,
$config$: $G1$,
$cost$: 136
},</v>
      </c>
      <c r="AD89" s="26" t="str">
        <f t="shared" si="41"/>
        <v/>
      </c>
      <c r="AE89" s="26" t="str">
        <f t="shared" si="46"/>
        <v/>
      </c>
      <c r="AF89" s="26" t="str">
        <f t="shared" si="42"/>
        <v/>
      </c>
      <c r="AG89" s="26" t="str">
        <f t="shared" si="43"/>
        <v/>
      </c>
    </row>
    <row r="90" ht="15.75" customHeight="1">
      <c r="A90" s="7" t="s">
        <v>146</v>
      </c>
      <c r="B90" s="7" t="s">
        <v>145</v>
      </c>
      <c r="C90" s="8">
        <f t="shared" si="1"/>
        <v>36</v>
      </c>
      <c r="D90" s="7">
        <v>1965.0</v>
      </c>
      <c r="E90" s="7"/>
      <c r="F90" s="7" t="b">
        <v>0</v>
      </c>
      <c r="G90" s="7" t="b">
        <v>0</v>
      </c>
      <c r="H90" s="7" t="b">
        <v>1</v>
      </c>
      <c r="I90" s="7" t="b">
        <v>0</v>
      </c>
      <c r="J90" s="9" t="b">
        <v>0</v>
      </c>
      <c r="K90" s="7">
        <v>192.0</v>
      </c>
      <c r="L90" s="7">
        <v>55.02</v>
      </c>
      <c r="M90" s="7">
        <v>368.0</v>
      </c>
      <c r="N90" s="7">
        <v>1.03</v>
      </c>
      <c r="O90" s="7">
        <v>0.997718</v>
      </c>
      <c r="P90" s="7">
        <v>0.995679</v>
      </c>
      <c r="Q90" s="10">
        <f t="shared" si="2"/>
        <v>29.22124264</v>
      </c>
      <c r="R90" s="11">
        <f t="shared" si="3"/>
        <v>3.126135951</v>
      </c>
      <c r="S90" s="12">
        <f t="shared" si="4"/>
        <v>1.75</v>
      </c>
      <c r="T90" s="8">
        <f t="shared" si="17"/>
        <v>172</v>
      </c>
      <c r="U90" s="13">
        <f>T90/vlookup(A90,Max!$A$2:$AP$700,column(Max!$AP$2),false)</f>
        <v>1.011764706</v>
      </c>
      <c r="V90" s="8">
        <f t="shared" si="6"/>
        <v>113.1555611</v>
      </c>
      <c r="W90" s="14">
        <f t="shared" si="7"/>
        <v>1.650729212</v>
      </c>
      <c r="X90" s="14">
        <f t="shared" si="8"/>
        <v>0.9146403984</v>
      </c>
      <c r="Y90" s="14">
        <f t="shared" si="9"/>
        <v>1</v>
      </c>
      <c r="Z90" s="14">
        <f t="shared" si="10"/>
        <v>1.0086254</v>
      </c>
      <c r="AA90" s="27">
        <f t="shared" si="11"/>
        <v>36</v>
      </c>
      <c r="AB90" s="15">
        <f>if(iserror(find("$",A90)),1,2)</f>
        <v>1</v>
      </c>
      <c r="AC90" s="15" t="str">
        <f t="shared" si="40"/>
        <v/>
      </c>
      <c r="AD90" s="15" t="str">
        <f t="shared" si="41"/>
        <v>$G-1A$: 36,</v>
      </c>
      <c r="AE90" s="15" t="str">
        <f t="shared" si="46"/>
        <v/>
      </c>
      <c r="AF90" s="15" t="str">
        <f t="shared" si="42"/>
        <v/>
      </c>
      <c r="AG90" s="15" t="str">
        <f t="shared" si="43"/>
        <v/>
      </c>
    </row>
    <row r="91" ht="15.75" customHeight="1">
      <c r="A91" s="16" t="s">
        <v>147</v>
      </c>
      <c r="B91" s="16" t="s">
        <v>148</v>
      </c>
      <c r="C91" s="17">
        <f t="shared" si="1"/>
        <v>106</v>
      </c>
      <c r="D91" s="16">
        <v>1958.0</v>
      </c>
      <c r="E91" s="16"/>
      <c r="F91" s="16" t="b">
        <v>1</v>
      </c>
      <c r="G91" s="16" t="b">
        <v>0</v>
      </c>
      <c r="H91" s="16" t="b">
        <v>1</v>
      </c>
      <c r="I91" s="16" t="b">
        <v>0</v>
      </c>
      <c r="J91" s="18" t="b">
        <v>0</v>
      </c>
      <c r="K91" s="16">
        <v>173.0</v>
      </c>
      <c r="L91" s="16">
        <v>68.236</v>
      </c>
      <c r="M91" s="16">
        <v>267.0</v>
      </c>
      <c r="N91" s="16">
        <v>4.1</v>
      </c>
      <c r="O91" s="16">
        <v>0.995</v>
      </c>
      <c r="P91" s="16">
        <v>0.981667</v>
      </c>
      <c r="Q91" s="19">
        <f t="shared" si="2"/>
        <v>40.22043659</v>
      </c>
      <c r="R91" s="20">
        <f t="shared" si="3"/>
        <v>1.553432206</v>
      </c>
      <c r="S91" s="21">
        <f t="shared" si="4"/>
        <v>4</v>
      </c>
      <c r="T91" s="32">
        <v>106.0</v>
      </c>
      <c r="U91" s="22">
        <f>T91/vlookup(A91,Max!$A$2:$AP$700,column(Max!$AP$2),false)</f>
        <v>2.465116279</v>
      </c>
      <c r="V91" s="17">
        <f t="shared" si="6"/>
        <v>106.2214304</v>
      </c>
      <c r="W91" s="23">
        <f t="shared" si="7"/>
        <v>0.9266331503</v>
      </c>
      <c r="X91" s="23">
        <f t="shared" si="8"/>
        <v>1.248068355</v>
      </c>
      <c r="Y91" s="23">
        <f t="shared" si="9"/>
        <v>1</v>
      </c>
      <c r="Z91" s="23">
        <f t="shared" si="10"/>
        <v>1.029012531</v>
      </c>
      <c r="AA91" s="26">
        <f t="shared" si="11"/>
        <v>0</v>
      </c>
      <c r="AB91" s="25">
        <v>0.0</v>
      </c>
      <c r="AC91" s="26" t="str">
        <f t="shared" si="40"/>
        <v>{
$name$: $Gamma-2$,
$config$: $Gamma2$,
$cost$: 106
},</v>
      </c>
      <c r="AD91" s="26" t="str">
        <f t="shared" si="41"/>
        <v/>
      </c>
      <c r="AE91" s="26" t="str">
        <f t="shared" si="46"/>
        <v/>
      </c>
      <c r="AF91" s="26" t="str">
        <f t="shared" si="42"/>
        <v/>
      </c>
      <c r="AG91" s="26" t="str">
        <f t="shared" si="43"/>
        <v/>
      </c>
    </row>
    <row r="92" ht="15.75" customHeight="1">
      <c r="A92" s="7" t="s">
        <v>149</v>
      </c>
      <c r="B92" s="7" t="s">
        <v>148</v>
      </c>
      <c r="C92" s="8">
        <f t="shared" si="1"/>
        <v>3</v>
      </c>
      <c r="D92" s="7">
        <v>1961.0</v>
      </c>
      <c r="E92" s="7"/>
      <c r="F92" s="7" t="b">
        <v>1</v>
      </c>
      <c r="G92" s="7" t="b">
        <v>0</v>
      </c>
      <c r="H92" s="7" t="b">
        <v>1</v>
      </c>
      <c r="I92" s="7" t="b">
        <v>0</v>
      </c>
      <c r="J92" s="9" t="b">
        <v>0</v>
      </c>
      <c r="K92" s="7">
        <f>173*0.95</f>
        <v>164.35</v>
      </c>
      <c r="L92" s="7">
        <v>75.1</v>
      </c>
      <c r="M92" s="7">
        <v>279.4</v>
      </c>
      <c r="N92" s="7">
        <v>6.9</v>
      </c>
      <c r="O92" s="7">
        <v>0.995</v>
      </c>
      <c r="P92" s="7">
        <v>0.981667</v>
      </c>
      <c r="Q92" s="10">
        <f t="shared" si="2"/>
        <v>46.59609819</v>
      </c>
      <c r="R92" s="11">
        <f t="shared" si="3"/>
        <v>1.451398136</v>
      </c>
      <c r="S92" s="12">
        <f t="shared" si="4"/>
        <v>4</v>
      </c>
      <c r="T92" s="28">
        <v>109.0</v>
      </c>
      <c r="U92" s="13">
        <f>T92/vlookup(A92,Max!$A$2:$AP$700,column(Max!$AP$2),false)</f>
        <v>2.534883721</v>
      </c>
      <c r="V92" s="8">
        <f t="shared" si="6"/>
        <v>102.9684404</v>
      </c>
      <c r="W92" s="14">
        <f t="shared" si="7"/>
        <v>0.9488758891</v>
      </c>
      <c r="X92" s="14">
        <f t="shared" si="8"/>
        <v>1.403146604</v>
      </c>
      <c r="Y92" s="14">
        <f t="shared" si="9"/>
        <v>1</v>
      </c>
      <c r="Z92" s="14">
        <f t="shared" si="10"/>
        <v>0.9668969606</v>
      </c>
      <c r="AA92" s="27">
        <f t="shared" si="11"/>
        <v>3</v>
      </c>
      <c r="AB92" s="15">
        <f>if(iserror(find("$",A92)),1,2)</f>
        <v>1</v>
      </c>
      <c r="AC92" s="15" t="str">
        <f t="shared" si="40"/>
        <v/>
      </c>
      <c r="AD92" s="15" t="str">
        <f t="shared" si="41"/>
        <v>$Larch-2$: 3,</v>
      </c>
      <c r="AE92" s="15" t="str">
        <f t="shared" si="46"/>
        <v/>
      </c>
      <c r="AF92" s="15" t="str">
        <f t="shared" si="42"/>
        <v/>
      </c>
      <c r="AG92" s="15" t="str">
        <f t="shared" si="43"/>
        <v/>
      </c>
    </row>
    <row r="93" ht="15.75" customHeight="1">
      <c r="A93" s="16" t="s">
        <v>150</v>
      </c>
      <c r="B93" s="16" t="s">
        <v>151</v>
      </c>
      <c r="C93" s="17">
        <f t="shared" si="1"/>
        <v>108</v>
      </c>
      <c r="D93" s="16">
        <v>1956.0</v>
      </c>
      <c r="E93" s="16"/>
      <c r="F93" s="16" t="b">
        <v>1</v>
      </c>
      <c r="G93" s="16" t="b">
        <v>0</v>
      </c>
      <c r="H93" s="16" t="b">
        <v>0</v>
      </c>
      <c r="I93" s="16" t="b">
        <v>0</v>
      </c>
      <c r="J93" s="18" t="b">
        <v>0</v>
      </c>
      <c r="K93" s="16">
        <v>204.0</v>
      </c>
      <c r="L93" s="16">
        <v>84.3</v>
      </c>
      <c r="M93" s="16">
        <v>226.9</v>
      </c>
      <c r="N93" s="16">
        <v>3.28</v>
      </c>
      <c r="O93" s="16">
        <v>0.995</v>
      </c>
      <c r="P93" s="16">
        <v>0.981667</v>
      </c>
      <c r="Q93" s="19">
        <f t="shared" si="2"/>
        <v>42.1382728</v>
      </c>
      <c r="R93" s="20">
        <f t="shared" si="3"/>
        <v>1.28113879</v>
      </c>
      <c r="S93" s="21">
        <f t="shared" si="4"/>
        <v>4</v>
      </c>
      <c r="T93" s="32">
        <v>108.0</v>
      </c>
      <c r="U93" s="22">
        <f>T93/vlookup(A93,Max!$A$2:$AP$700,column(Max!$AP$2),false)</f>
        <v>1.862068966</v>
      </c>
      <c r="V93" s="17">
        <f t="shared" si="6"/>
        <v>117.3998093</v>
      </c>
      <c r="W93" s="23">
        <f t="shared" si="7"/>
        <v>0.8848969049</v>
      </c>
      <c r="X93" s="23">
        <f t="shared" si="8"/>
        <v>1.256738226</v>
      </c>
      <c r="Y93" s="23">
        <f t="shared" si="9"/>
        <v>1</v>
      </c>
      <c r="Z93" s="23">
        <f t="shared" si="10"/>
        <v>1.082450945</v>
      </c>
      <c r="AA93" s="26">
        <f t="shared" si="11"/>
        <v>0</v>
      </c>
      <c r="AB93" s="25">
        <v>0.0</v>
      </c>
      <c r="AC93" s="26" t="str">
        <f t="shared" si="40"/>
        <v>{
$name$: $Gamma-201$,
$config$: $Gamma301$,
$cost$: 108
},</v>
      </c>
      <c r="AD93" s="26" t="str">
        <f t="shared" si="41"/>
        <v/>
      </c>
      <c r="AE93" s="26" t="str">
        <f t="shared" si="46"/>
        <v/>
      </c>
      <c r="AF93" s="26" t="str">
        <f t="shared" si="42"/>
        <v/>
      </c>
      <c r="AG93" s="26" t="str">
        <f t="shared" si="43"/>
        <v/>
      </c>
    </row>
    <row r="94" ht="15.75" customHeight="1">
      <c r="A94" s="7" t="s">
        <v>152</v>
      </c>
      <c r="B94" s="7" t="s">
        <v>151</v>
      </c>
      <c r="C94" s="8">
        <f t="shared" si="1"/>
        <v>10</v>
      </c>
      <c r="D94" s="7">
        <v>1958.0</v>
      </c>
      <c r="E94" s="7"/>
      <c r="F94" s="7" t="b">
        <v>1</v>
      </c>
      <c r="G94" s="7" t="b">
        <v>0</v>
      </c>
      <c r="H94" s="7" t="b">
        <v>0</v>
      </c>
      <c r="I94" s="7" t="b">
        <v>0</v>
      </c>
      <c r="J94" s="9" t="b">
        <v>0</v>
      </c>
      <c r="K94" s="7">
        <f>204*1.05</f>
        <v>214.2</v>
      </c>
      <c r="L94" s="7">
        <v>96.97</v>
      </c>
      <c r="M94" s="7">
        <v>251.0</v>
      </c>
      <c r="N94" s="7">
        <v>4.1</v>
      </c>
      <c r="O94" s="7">
        <v>0.995</v>
      </c>
      <c r="P94" s="7">
        <v>0.981667</v>
      </c>
      <c r="Q94" s="10">
        <f t="shared" si="2"/>
        <v>46.16334308</v>
      </c>
      <c r="R94" s="11">
        <f t="shared" si="3"/>
        <v>1.216871197</v>
      </c>
      <c r="S94" s="12">
        <f t="shared" si="4"/>
        <v>4</v>
      </c>
      <c r="T94" s="28">
        <v>118.0</v>
      </c>
      <c r="U94" s="13">
        <f>T94/vlookup(A94,Max!$A$2:$AP$700,column(Max!$AP$2),false)</f>
        <v>1.903225806</v>
      </c>
      <c r="V94" s="8">
        <f t="shared" si="6"/>
        <v>120.9328515</v>
      </c>
      <c r="W94" s="14">
        <f t="shared" si="7"/>
        <v>0.9051841746</v>
      </c>
      <c r="X94" s="14">
        <f t="shared" si="8"/>
        <v>1.343747995</v>
      </c>
      <c r="Y94" s="14">
        <f t="shared" si="9"/>
        <v>1</v>
      </c>
      <c r="Z94" s="14">
        <f t="shared" si="10"/>
        <v>1.041988586</v>
      </c>
      <c r="AA94" s="27">
        <f t="shared" si="11"/>
        <v>10</v>
      </c>
      <c r="AB94" s="15">
        <f t="shared" ref="AB94:AB95" si="49">if(iserror(find("$",A94)),1,2)</f>
        <v>1</v>
      </c>
      <c r="AC94" s="15" t="str">
        <f t="shared" si="40"/>
        <v/>
      </c>
      <c r="AD94" s="15" t="str">
        <f t="shared" si="41"/>
        <v>$Gamma-301$: 10,</v>
      </c>
      <c r="AE94" s="15" t="str">
        <f t="shared" si="46"/>
        <v/>
      </c>
      <c r="AF94" s="15" t="str">
        <f t="shared" si="42"/>
        <v/>
      </c>
      <c r="AG94" s="15" t="str">
        <f t="shared" si="43"/>
        <v/>
      </c>
    </row>
    <row r="95" ht="15.75" customHeight="1">
      <c r="A95" s="16" t="s">
        <v>153</v>
      </c>
      <c r="B95" s="16" t="s">
        <v>151</v>
      </c>
      <c r="C95" s="17">
        <f t="shared" si="1"/>
        <v>13</v>
      </c>
      <c r="D95" s="16">
        <v>1961.0</v>
      </c>
      <c r="E95" s="16"/>
      <c r="F95" s="16" t="b">
        <v>1</v>
      </c>
      <c r="G95" s="16" t="b">
        <v>0</v>
      </c>
      <c r="H95" s="16" t="b">
        <v>0</v>
      </c>
      <c r="I95" s="16" t="b">
        <v>0</v>
      </c>
      <c r="J95" s="18" t="b">
        <v>0</v>
      </c>
      <c r="K95" s="16">
        <v>204.0</v>
      </c>
      <c r="L95" s="16">
        <v>133.447</v>
      </c>
      <c r="M95" s="16">
        <v>269.0</v>
      </c>
      <c r="N95" s="16">
        <v>6.9</v>
      </c>
      <c r="O95" s="16">
        <v>0.995</v>
      </c>
      <c r="P95" s="16">
        <v>0.981667</v>
      </c>
      <c r="Q95" s="19">
        <f t="shared" si="2"/>
        <v>66.70493582</v>
      </c>
      <c r="R95" s="20">
        <f t="shared" si="3"/>
        <v>0.9067270152</v>
      </c>
      <c r="S95" s="21">
        <f t="shared" si="4"/>
        <v>4</v>
      </c>
      <c r="T95" s="32">
        <v>121.0</v>
      </c>
      <c r="U95" s="22">
        <f>T95/vlookup(A95,Max!$A$2:$AP$700,column(Max!$AP$2),false)</f>
        <v>1.592105263</v>
      </c>
      <c r="V95" s="17">
        <f t="shared" si="6"/>
        <v>117.3998093</v>
      </c>
      <c r="W95" s="23">
        <f t="shared" si="7"/>
        <v>0.929857637</v>
      </c>
      <c r="X95" s="23">
        <f t="shared" si="8"/>
        <v>1.570859704</v>
      </c>
      <c r="Y95" s="23">
        <f t="shared" si="9"/>
        <v>1</v>
      </c>
      <c r="Z95" s="23">
        <f t="shared" si="10"/>
        <v>0.9790897256</v>
      </c>
      <c r="AA95" s="24">
        <f t="shared" si="11"/>
        <v>13</v>
      </c>
      <c r="AB95" s="26">
        <f t="shared" si="49"/>
        <v>1</v>
      </c>
      <c r="AC95" s="26" t="str">
        <f t="shared" si="40"/>
        <v/>
      </c>
      <c r="AD95" s="26" t="str">
        <f t="shared" si="41"/>
        <v>$Larch-4$: 13,</v>
      </c>
      <c r="AE95" s="26" t="str">
        <f t="shared" si="46"/>
        <v/>
      </c>
      <c r="AF95" s="26" t="str">
        <f t="shared" si="42"/>
        <v/>
      </c>
      <c r="AG95" s="26" t="str">
        <f t="shared" si="43"/>
        <v/>
      </c>
    </row>
    <row r="96" ht="15.75" customHeight="1">
      <c r="A96" s="7" t="s">
        <v>154</v>
      </c>
      <c r="B96" s="7" t="s">
        <v>155</v>
      </c>
      <c r="C96" s="8">
        <f t="shared" si="1"/>
        <v>174</v>
      </c>
      <c r="D96" s="7">
        <v>1958.0</v>
      </c>
      <c r="E96" s="7"/>
      <c r="F96" s="7" t="b">
        <v>1</v>
      </c>
      <c r="G96" s="7" t="b">
        <v>0</v>
      </c>
      <c r="H96" s="7" t="b">
        <v>0</v>
      </c>
      <c r="I96" s="7" t="b">
        <v>0</v>
      </c>
      <c r="J96" s="9" t="b">
        <v>0</v>
      </c>
      <c r="K96" s="7">
        <v>342.0</v>
      </c>
      <c r="L96" s="7">
        <v>256.395</v>
      </c>
      <c r="M96" s="7">
        <v>251.0</v>
      </c>
      <c r="N96" s="7">
        <v>4.1</v>
      </c>
      <c r="O96" s="7">
        <v>0.995</v>
      </c>
      <c r="P96" s="7">
        <v>0.981667</v>
      </c>
      <c r="Q96" s="10">
        <f t="shared" si="2"/>
        <v>76.44740867</v>
      </c>
      <c r="R96" s="11">
        <f t="shared" si="3"/>
        <v>0.6786403791</v>
      </c>
      <c r="S96" s="12">
        <f t="shared" si="4"/>
        <v>4</v>
      </c>
      <c r="T96" s="28">
        <v>174.0</v>
      </c>
      <c r="U96" s="13">
        <f>T96/vlookup(A96,Max!$A$2:$AP$700,column(Max!$AP$2),false)</f>
        <v>1.242857143</v>
      </c>
      <c r="V96" s="8">
        <f t="shared" si="6"/>
        <v>160.8233648</v>
      </c>
      <c r="W96" s="14">
        <f t="shared" si="7"/>
        <v>0.9051841746</v>
      </c>
      <c r="X96" s="14">
        <f t="shared" si="8"/>
        <v>1.343747995</v>
      </c>
      <c r="Y96" s="14">
        <f t="shared" si="9"/>
        <v>1</v>
      </c>
      <c r="Z96" s="14">
        <f t="shared" si="10"/>
        <v>1.041988586</v>
      </c>
      <c r="AA96" s="15">
        <f t="shared" si="11"/>
        <v>0</v>
      </c>
      <c r="AB96" s="29">
        <v>0.0</v>
      </c>
      <c r="AC96" s="15" t="str">
        <f t="shared" si="40"/>
        <v>{
$name$: $Gamma-8$,
$config$: $Gamma8$,
$cost$: 174
},</v>
      </c>
      <c r="AD96" s="15" t="str">
        <f t="shared" si="41"/>
        <v/>
      </c>
      <c r="AE96" s="15" t="str">
        <f t="shared" si="46"/>
        <v/>
      </c>
      <c r="AF96" s="15" t="str">
        <f t="shared" si="42"/>
        <v/>
      </c>
      <c r="AG96" s="15" t="str">
        <f t="shared" si="43"/>
        <v/>
      </c>
    </row>
    <row r="97" ht="15.75" customHeight="1">
      <c r="A97" s="16" t="s">
        <v>156</v>
      </c>
      <c r="B97" s="16" t="s">
        <v>155</v>
      </c>
      <c r="C97" s="17">
        <f t="shared" si="1"/>
        <v>6</v>
      </c>
      <c r="D97" s="16">
        <v>1961.0</v>
      </c>
      <c r="E97" s="16"/>
      <c r="F97" s="16" t="b">
        <v>1</v>
      </c>
      <c r="G97" s="16" t="b">
        <v>0</v>
      </c>
      <c r="H97" s="16" t="b">
        <v>0</v>
      </c>
      <c r="I97" s="16" t="b">
        <v>0</v>
      </c>
      <c r="J97" s="18" t="b">
        <v>0</v>
      </c>
      <c r="K97" s="16">
        <f>342*0.95</f>
        <v>324.9</v>
      </c>
      <c r="L97" s="16">
        <v>266.893</v>
      </c>
      <c r="M97" s="16">
        <v>269.0</v>
      </c>
      <c r="N97" s="16">
        <v>6.9</v>
      </c>
      <c r="O97" s="16">
        <v>0.995</v>
      </c>
      <c r="P97" s="16">
        <v>0.981667</v>
      </c>
      <c r="Q97" s="19">
        <f t="shared" si="2"/>
        <v>83.76581054</v>
      </c>
      <c r="R97" s="20">
        <f t="shared" si="3"/>
        <v>0.6744275796</v>
      </c>
      <c r="S97" s="21">
        <f t="shared" si="4"/>
        <v>4</v>
      </c>
      <c r="T97" s="32">
        <v>180.0</v>
      </c>
      <c r="U97" s="22">
        <f>T97/vlookup(A97,Max!$A$2:$AP$700,column(Max!$AP$2),false)</f>
        <v>1.333333333</v>
      </c>
      <c r="V97" s="17">
        <f t="shared" si="6"/>
        <v>155.8654218</v>
      </c>
      <c r="W97" s="23">
        <f t="shared" si="7"/>
        <v>0.929857637</v>
      </c>
      <c r="X97" s="23">
        <f t="shared" si="8"/>
        <v>1.570859704</v>
      </c>
      <c r="Y97" s="23">
        <f t="shared" si="9"/>
        <v>1</v>
      </c>
      <c r="Z97" s="23">
        <f t="shared" si="10"/>
        <v>0.9790897256</v>
      </c>
      <c r="AA97" s="24">
        <f t="shared" si="11"/>
        <v>6</v>
      </c>
      <c r="AB97" s="26">
        <f>if(iserror(find("$",A97)),1,2)</f>
        <v>1</v>
      </c>
      <c r="AC97" s="26" t="str">
        <f t="shared" si="40"/>
        <v/>
      </c>
      <c r="AD97" s="26" t="str">
        <f t="shared" si="41"/>
        <v>$Larch-8$: 6,</v>
      </c>
      <c r="AE97" s="26" t="str">
        <f t="shared" si="46"/>
        <v/>
      </c>
      <c r="AF97" s="26" t="str">
        <f t="shared" si="42"/>
        <v/>
      </c>
      <c r="AG97" s="26" t="str">
        <f t="shared" si="43"/>
        <v/>
      </c>
    </row>
    <row r="98" ht="15.75" customHeight="1">
      <c r="A98" s="9" t="s">
        <v>157</v>
      </c>
      <c r="B98" s="7" t="s">
        <v>158</v>
      </c>
      <c r="C98" s="8">
        <f t="shared" si="1"/>
        <v>392</v>
      </c>
      <c r="D98" s="7">
        <v>1961.0</v>
      </c>
      <c r="E98" s="7"/>
      <c r="F98" s="7" t="b">
        <v>1</v>
      </c>
      <c r="G98" s="7" t="b">
        <v>0</v>
      </c>
      <c r="H98" s="7" t="b">
        <v>0</v>
      </c>
      <c r="I98" s="7" t="b">
        <v>0</v>
      </c>
      <c r="J98" s="9" t="b">
        <v>0</v>
      </c>
      <c r="K98" s="7">
        <v>911.0</v>
      </c>
      <c r="L98" s="7">
        <v>846.76</v>
      </c>
      <c r="M98" s="7">
        <v>295.0</v>
      </c>
      <c r="N98" s="7">
        <v>4.05</v>
      </c>
      <c r="O98" s="7">
        <v>0.995455</v>
      </c>
      <c r="P98" s="7">
        <v>0.995455</v>
      </c>
      <c r="Q98" s="10">
        <f t="shared" si="2"/>
        <v>94.78099868</v>
      </c>
      <c r="R98" s="11">
        <f t="shared" si="3"/>
        <v>0.4629410931</v>
      </c>
      <c r="S98" s="12">
        <f t="shared" si="4"/>
        <v>4</v>
      </c>
      <c r="T98" s="8">
        <f t="shared" ref="T98:T150" si="50">round(V98*W98*X98*Y98*Z98,0)</f>
        <v>392</v>
      </c>
      <c r="U98" s="13">
        <f>T98/vlookup(A98,Max!$A$2:$AP$700,column(Max!$AP$2),false)</f>
        <v>0.768627451</v>
      </c>
      <c r="V98" s="8">
        <f t="shared" si="6"/>
        <v>293.3113531</v>
      </c>
      <c r="W98" s="14">
        <f t="shared" si="7"/>
        <v>0.985688335</v>
      </c>
      <c r="X98" s="14">
        <f t="shared" si="8"/>
        <v>1.338810714</v>
      </c>
      <c r="Y98" s="14">
        <f t="shared" si="9"/>
        <v>1</v>
      </c>
      <c r="Z98" s="14">
        <f t="shared" si="10"/>
        <v>1.013832232</v>
      </c>
      <c r="AA98" s="15">
        <f t="shared" si="11"/>
        <v>0</v>
      </c>
      <c r="AB98" s="29">
        <v>0.0</v>
      </c>
      <c r="AC98" s="15" t="str">
        <f t="shared" si="40"/>
        <v>{
$name$: $H-1-165K$,
$config$: $H1$,
$cost$: 392
},</v>
      </c>
      <c r="AD98" s="15" t="str">
        <f t="shared" si="41"/>
        <v/>
      </c>
      <c r="AE98" s="15" t="str">
        <f t="shared" si="46"/>
        <v/>
      </c>
      <c r="AF98" s="15" t="str">
        <f t="shared" si="42"/>
        <v/>
      </c>
      <c r="AG98" s="15" t="str">
        <f t="shared" si="43"/>
        <v/>
      </c>
    </row>
    <row r="99" ht="15.75" customHeight="1">
      <c r="A99" s="18" t="s">
        <v>159</v>
      </c>
      <c r="B99" s="16" t="s">
        <v>158</v>
      </c>
      <c r="C99" s="17">
        <f t="shared" si="1"/>
        <v>15</v>
      </c>
      <c r="D99" s="16">
        <v>1964.0</v>
      </c>
      <c r="E99" s="16"/>
      <c r="F99" s="16" t="b">
        <v>1</v>
      </c>
      <c r="G99" s="16" t="b">
        <v>0</v>
      </c>
      <c r="H99" s="16" t="b">
        <v>0</v>
      </c>
      <c r="I99" s="16" t="b">
        <v>0</v>
      </c>
      <c r="J99" s="18" t="b">
        <v>0</v>
      </c>
      <c r="K99" s="16">
        <v>911.0</v>
      </c>
      <c r="L99" s="16">
        <v>950.19</v>
      </c>
      <c r="M99" s="16">
        <v>295.0</v>
      </c>
      <c r="N99" s="16">
        <v>4.52</v>
      </c>
      <c r="O99" s="16">
        <v>0.996939</v>
      </c>
      <c r="P99" s="16">
        <v>0.996939</v>
      </c>
      <c r="Q99" s="19">
        <f t="shared" si="2"/>
        <v>106.3583036</v>
      </c>
      <c r="R99" s="20">
        <f t="shared" si="3"/>
        <v>0.4283353856</v>
      </c>
      <c r="S99" s="21">
        <f t="shared" si="4"/>
        <v>4</v>
      </c>
      <c r="T99" s="17">
        <f t="shared" si="50"/>
        <v>407</v>
      </c>
      <c r="U99" s="22">
        <f>T99/vlookup(A99,Max!$A$2:$AP$700,column(Max!$AP$2),false)</f>
        <v>0.7679245283</v>
      </c>
      <c r="V99" s="17">
        <f t="shared" si="6"/>
        <v>293.3113531</v>
      </c>
      <c r="W99" s="23">
        <f t="shared" si="7"/>
        <v>0.985688335</v>
      </c>
      <c r="X99" s="23">
        <f t="shared" si="8"/>
        <v>1.383643485</v>
      </c>
      <c r="Y99" s="23">
        <f t="shared" si="9"/>
        <v>1</v>
      </c>
      <c r="Z99" s="23">
        <f t="shared" si="10"/>
        <v>1.017614949</v>
      </c>
      <c r="AA99" s="24">
        <f t="shared" si="11"/>
        <v>15</v>
      </c>
      <c r="AB99" s="26">
        <f t="shared" ref="AB99:AB107" si="51">if(iserror(find("$",A99)),1,2)</f>
        <v>1</v>
      </c>
      <c r="AC99" s="26" t="str">
        <f t="shared" si="40"/>
        <v/>
      </c>
      <c r="AD99" s="26" t="str">
        <f t="shared" si="41"/>
        <v>$H-1-188K$: 15,</v>
      </c>
      <c r="AE99" s="26" t="str">
        <f t="shared" si="46"/>
        <v/>
      </c>
      <c r="AF99" s="26" t="str">
        <f t="shared" si="42"/>
        <v/>
      </c>
      <c r="AG99" s="26" t="str">
        <f t="shared" si="43"/>
        <v/>
      </c>
    </row>
    <row r="100" ht="15.75" customHeight="1">
      <c r="A100" s="9" t="s">
        <v>160</v>
      </c>
      <c r="B100" s="7" t="s">
        <v>158</v>
      </c>
      <c r="C100" s="8">
        <f t="shared" si="1"/>
        <v>21</v>
      </c>
      <c r="D100" s="7">
        <v>1966.0</v>
      </c>
      <c r="E100" s="7"/>
      <c r="F100" s="7" t="b">
        <v>1</v>
      </c>
      <c r="G100" s="7" t="b">
        <v>0</v>
      </c>
      <c r="H100" s="7" t="b">
        <v>0</v>
      </c>
      <c r="I100" s="7" t="b">
        <v>0</v>
      </c>
      <c r="J100" s="9" t="b">
        <v>0</v>
      </c>
      <c r="K100" s="7">
        <v>911.0</v>
      </c>
      <c r="L100" s="7">
        <v>997.93</v>
      </c>
      <c r="M100" s="7">
        <v>295.0</v>
      </c>
      <c r="N100" s="7">
        <v>4.75</v>
      </c>
      <c r="O100" s="7">
        <v>0.996341</v>
      </c>
      <c r="P100" s="7">
        <v>0.996341</v>
      </c>
      <c r="Q100" s="10">
        <f t="shared" si="2"/>
        <v>111.7020195</v>
      </c>
      <c r="R100" s="11">
        <f t="shared" si="3"/>
        <v>0.4138566833</v>
      </c>
      <c r="S100" s="12">
        <f t="shared" si="4"/>
        <v>4</v>
      </c>
      <c r="T100" s="8">
        <f t="shared" si="50"/>
        <v>413</v>
      </c>
      <c r="U100" s="13">
        <f>T100/vlookup(A100,Max!$A$2:$AP$700,column(Max!$AP$2),false)</f>
        <v>0.826</v>
      </c>
      <c r="V100" s="8">
        <f t="shared" si="6"/>
        <v>293.3113531</v>
      </c>
      <c r="W100" s="14">
        <f t="shared" si="7"/>
        <v>0.985688335</v>
      </c>
      <c r="X100" s="14">
        <f t="shared" si="8"/>
        <v>1.404399787</v>
      </c>
      <c r="Y100" s="14">
        <f t="shared" si="9"/>
        <v>1</v>
      </c>
      <c r="Z100" s="14">
        <f t="shared" si="10"/>
        <v>1.01608963</v>
      </c>
      <c r="AA100" s="27">
        <f t="shared" si="11"/>
        <v>21</v>
      </c>
      <c r="AB100" s="15">
        <f t="shared" si="51"/>
        <v>1</v>
      </c>
      <c r="AC100" s="15" t="str">
        <f t="shared" si="40"/>
        <v/>
      </c>
      <c r="AD100" s="15" t="str">
        <f t="shared" si="41"/>
        <v>$H-1-200K$: 21,</v>
      </c>
      <c r="AE100" s="15" t="str">
        <f t="shared" si="46"/>
        <v/>
      </c>
      <c r="AF100" s="15" t="str">
        <f t="shared" si="42"/>
        <v/>
      </c>
      <c r="AG100" s="15" t="str">
        <f t="shared" si="43"/>
        <v/>
      </c>
    </row>
    <row r="101" ht="15.75" customHeight="1">
      <c r="A101" s="18" t="s">
        <v>161</v>
      </c>
      <c r="B101" s="18" t="s">
        <v>158</v>
      </c>
      <c r="C101" s="17">
        <f t="shared" si="1"/>
        <v>18</v>
      </c>
      <c r="D101" s="18">
        <v>1967.0</v>
      </c>
      <c r="E101" s="16"/>
      <c r="F101" s="18" t="b">
        <v>1</v>
      </c>
      <c r="G101" s="18" t="b">
        <v>0</v>
      </c>
      <c r="H101" s="18" t="b">
        <v>0</v>
      </c>
      <c r="I101" s="18" t="b">
        <v>0</v>
      </c>
      <c r="J101" s="18" t="b">
        <v>0</v>
      </c>
      <c r="K101" s="18">
        <v>915.0</v>
      </c>
      <c r="L101" s="18">
        <v>1260.7</v>
      </c>
      <c r="M101" s="18">
        <v>297.0</v>
      </c>
      <c r="N101" s="18">
        <v>4.52</v>
      </c>
      <c r="O101" s="16">
        <v>0.996341</v>
      </c>
      <c r="P101" s="16">
        <v>0.996341</v>
      </c>
      <c r="Q101" s="19">
        <f t="shared" si="2"/>
        <v>140.4979482</v>
      </c>
      <c r="R101" s="20">
        <f t="shared" si="3"/>
        <v>0.3252161498</v>
      </c>
      <c r="S101" s="21">
        <f t="shared" si="4"/>
        <v>4</v>
      </c>
      <c r="T101" s="17">
        <f t="shared" si="50"/>
        <v>410</v>
      </c>
      <c r="U101" s="22" t="str">
        <f>T101/vlookup(A101,Max!$A$2:$AP$700,column(Max!$AP$2),false)</f>
        <v>#N/A</v>
      </c>
      <c r="V101" s="17">
        <f t="shared" si="6"/>
        <v>294.1040052</v>
      </c>
      <c r="W101" s="23">
        <f t="shared" si="7"/>
        <v>0.9912508265</v>
      </c>
      <c r="X101" s="23">
        <f t="shared" si="8"/>
        <v>1.383643485</v>
      </c>
      <c r="Y101" s="23">
        <f t="shared" si="9"/>
        <v>1</v>
      </c>
      <c r="Z101" s="23">
        <f t="shared" si="10"/>
        <v>1.01608963</v>
      </c>
      <c r="AA101" s="24">
        <f t="shared" si="11"/>
        <v>18</v>
      </c>
      <c r="AB101" s="26">
        <f t="shared" si="51"/>
        <v>1</v>
      </c>
      <c r="AC101" s="26" t="str">
        <f t="shared" si="40"/>
        <v/>
      </c>
      <c r="AD101" s="26" t="str">
        <f t="shared" si="41"/>
        <v>$H-2-250K$: 18,</v>
      </c>
      <c r="AE101" s="26"/>
      <c r="AF101" s="26"/>
      <c r="AG101" s="26"/>
    </row>
    <row r="102" ht="15.75" customHeight="1">
      <c r="A102" s="9" t="s">
        <v>162</v>
      </c>
      <c r="B102" s="7" t="s">
        <v>158</v>
      </c>
      <c r="C102" s="8">
        <f t="shared" si="1"/>
        <v>22</v>
      </c>
      <c r="D102" s="7">
        <v>1972.0</v>
      </c>
      <c r="E102" s="7"/>
      <c r="F102" s="7" t="b">
        <v>1</v>
      </c>
      <c r="G102" s="7" t="b">
        <v>0</v>
      </c>
      <c r="H102" s="7" t="b">
        <v>0</v>
      </c>
      <c r="I102" s="7" t="b">
        <v>0</v>
      </c>
      <c r="J102" s="9" t="b">
        <v>0</v>
      </c>
      <c r="K102" s="7">
        <v>911.0</v>
      </c>
      <c r="L102" s="7">
        <v>1021.01</v>
      </c>
      <c r="M102" s="7">
        <v>295.0</v>
      </c>
      <c r="N102" s="7">
        <v>4.82</v>
      </c>
      <c r="O102" s="7">
        <v>0.996341</v>
      </c>
      <c r="P102" s="7">
        <v>0.996341</v>
      </c>
      <c r="Q102" s="10">
        <f t="shared" si="2"/>
        <v>114.2854498</v>
      </c>
      <c r="R102" s="11">
        <f t="shared" si="3"/>
        <v>0.4054808474</v>
      </c>
      <c r="S102" s="12">
        <f t="shared" si="4"/>
        <v>4</v>
      </c>
      <c r="T102" s="8">
        <f t="shared" si="50"/>
        <v>414</v>
      </c>
      <c r="U102" s="13">
        <f>T102/vlookup(A102,Max!$A$2:$AP$700,column(Max!$AP$2),false)</f>
        <v>1.061538462</v>
      </c>
      <c r="V102" s="8">
        <f t="shared" si="6"/>
        <v>293.3113531</v>
      </c>
      <c r="W102" s="14">
        <f t="shared" si="7"/>
        <v>0.985688335</v>
      </c>
      <c r="X102" s="14">
        <f t="shared" si="8"/>
        <v>1.410576953</v>
      </c>
      <c r="Y102" s="14">
        <f t="shared" si="9"/>
        <v>1</v>
      </c>
      <c r="Z102" s="14">
        <f t="shared" si="10"/>
        <v>1.01608963</v>
      </c>
      <c r="AA102" s="27">
        <f t="shared" si="11"/>
        <v>22</v>
      </c>
      <c r="AB102" s="15">
        <f t="shared" si="51"/>
        <v>1</v>
      </c>
      <c r="AC102" s="15" t="str">
        <f t="shared" si="40"/>
        <v/>
      </c>
      <c r="AD102" s="15" t="str">
        <f t="shared" si="41"/>
        <v>$H-1-205K$: 22,</v>
      </c>
      <c r="AE102" s="15" t="str">
        <f>if(AB102=2,if(AF101&lt;&gt;AF102,char(9)&amp;char(9)&amp;"@CONFIG["&amp;AF102&amp;"]"&amp;char(10)&amp;char(9)&amp;char(9)&amp;"{"&amp;char(10),"")&amp;char(9)&amp;char(9)&amp;char(9)&amp;"@SUBCONFIG["&amp;AG102&amp;"] { %cost = "&amp;AA102&amp;" }"&amp;if(AF103&lt;&gt;AF102,char(10)&amp;char(9)&amp;char(9)&amp;"}",""),"")</f>
        <v/>
      </c>
      <c r="AF102" s="15" t="str">
        <f t="shared" ref="AF102:AF103" si="52">if(AB102=2,left(A102,find("$",A102)-1),"")</f>
        <v/>
      </c>
      <c r="AG102" s="15" t="str">
        <f t="shared" ref="AG102:AG103" si="53">if(AB102=2,mid(A102,find("$",A102)+1,len(A102)),"")</f>
        <v/>
      </c>
    </row>
    <row r="103" ht="15.75" customHeight="1">
      <c r="A103" s="16" t="s">
        <v>163</v>
      </c>
      <c r="B103" s="16" t="s">
        <v>158</v>
      </c>
      <c r="C103" s="17">
        <f t="shared" si="1"/>
        <v>67</v>
      </c>
      <c r="D103" s="16">
        <v>1974.0</v>
      </c>
      <c r="E103" s="16"/>
      <c r="F103" s="16" t="b">
        <v>1</v>
      </c>
      <c r="G103" s="16" t="b">
        <v>0</v>
      </c>
      <c r="H103" s="16" t="b">
        <v>0</v>
      </c>
      <c r="I103" s="16" t="b">
        <v>0</v>
      </c>
      <c r="J103" s="18" t="b">
        <v>0</v>
      </c>
      <c r="K103" s="16">
        <v>1072.0</v>
      </c>
      <c r="L103" s="16">
        <v>1023.0</v>
      </c>
      <c r="M103" s="16">
        <v>295.0</v>
      </c>
      <c r="N103" s="16">
        <v>4.85</v>
      </c>
      <c r="O103" s="16">
        <v>0.996535</v>
      </c>
      <c r="P103" s="16">
        <v>0.996535</v>
      </c>
      <c r="Q103" s="19">
        <f t="shared" si="2"/>
        <v>97.31060474</v>
      </c>
      <c r="R103" s="20">
        <f t="shared" si="3"/>
        <v>0.4486803519</v>
      </c>
      <c r="S103" s="21">
        <f t="shared" si="4"/>
        <v>4</v>
      </c>
      <c r="T103" s="17">
        <f t="shared" si="50"/>
        <v>459</v>
      </c>
      <c r="U103" s="22">
        <f>T103/vlookup(A103,Max!$A$2:$AP$700,column(Max!$AP$2),false)</f>
        <v>1.119512195</v>
      </c>
      <c r="V103" s="17">
        <f t="shared" si="6"/>
        <v>324.2603592</v>
      </c>
      <c r="W103" s="23">
        <f t="shared" si="7"/>
        <v>0.985688335</v>
      </c>
      <c r="X103" s="23">
        <f t="shared" si="8"/>
        <v>1.413205092</v>
      </c>
      <c r="Y103" s="23">
        <f t="shared" si="9"/>
        <v>1</v>
      </c>
      <c r="Z103" s="23">
        <f t="shared" si="10"/>
        <v>1.016584315</v>
      </c>
      <c r="AA103" s="24">
        <f t="shared" si="11"/>
        <v>67</v>
      </c>
      <c r="AB103" s="26">
        <f t="shared" si="51"/>
        <v>1</v>
      </c>
      <c r="AC103" s="26" t="str">
        <f t="shared" si="40"/>
        <v/>
      </c>
      <c r="AD103" s="26" t="str">
        <f t="shared" si="41"/>
        <v>$RS-27$: 67,</v>
      </c>
      <c r="AE103" s="26" t="str">
        <f>if(AB103=2,if(AF102&lt;&gt;AF103,char(9)&amp;char(9)&amp;"@CONFIG["&amp;AF103&amp;"]"&amp;char(10)&amp;char(9)&amp;char(9)&amp;"{"&amp;char(10),"")&amp;char(9)&amp;char(9)&amp;char(9)&amp;"@SUBCONFIG["&amp;AG103&amp;"] { %cost = "&amp;AA103&amp;" }"&amp;if(AF106&lt;&gt;AF103,char(10)&amp;char(9)&amp;char(9)&amp;"}",""),"")</f>
        <v/>
      </c>
      <c r="AF103" s="26" t="str">
        <f t="shared" si="52"/>
        <v/>
      </c>
      <c r="AG103" s="26" t="str">
        <f t="shared" si="53"/>
        <v/>
      </c>
    </row>
    <row r="104" ht="15.75" customHeight="1">
      <c r="A104" s="9" t="s">
        <v>164</v>
      </c>
      <c r="B104" s="9" t="s">
        <v>158</v>
      </c>
      <c r="C104" s="8">
        <f t="shared" si="1"/>
        <v>41</v>
      </c>
      <c r="D104" s="9">
        <v>1976.0</v>
      </c>
      <c r="E104" s="7"/>
      <c r="F104" s="9" t="b">
        <v>1</v>
      </c>
      <c r="G104" s="9" t="b">
        <v>0</v>
      </c>
      <c r="H104" s="9" t="b">
        <v>0</v>
      </c>
      <c r="I104" s="9" t="b">
        <v>0</v>
      </c>
      <c r="J104" s="9" t="b">
        <v>0</v>
      </c>
      <c r="K104" s="9">
        <v>915.0</v>
      </c>
      <c r="L104" s="9">
        <v>1480.6</v>
      </c>
      <c r="M104" s="9">
        <v>297.0</v>
      </c>
      <c r="N104" s="9">
        <v>5.42</v>
      </c>
      <c r="O104" s="7">
        <v>0.996341</v>
      </c>
      <c r="P104" s="7">
        <v>0.996341</v>
      </c>
      <c r="Q104" s="10">
        <f t="shared" si="2"/>
        <v>165.0045705</v>
      </c>
      <c r="R104" s="11">
        <f t="shared" si="3"/>
        <v>0.2924490072</v>
      </c>
      <c r="S104" s="12">
        <f t="shared" si="4"/>
        <v>4</v>
      </c>
      <c r="T104" s="8">
        <f t="shared" si="50"/>
        <v>433</v>
      </c>
      <c r="U104" s="13" t="str">
        <f>T104/vlookup(A104,Max!$A$2:$AP$700,column(Max!$AP$2),false)</f>
        <v>#N/A</v>
      </c>
      <c r="V104" s="8">
        <f t="shared" si="6"/>
        <v>294.1040052</v>
      </c>
      <c r="W104" s="14">
        <f t="shared" si="7"/>
        <v>0.9912508265</v>
      </c>
      <c r="X104" s="14">
        <f t="shared" si="8"/>
        <v>1.461108469</v>
      </c>
      <c r="Y104" s="14">
        <f t="shared" si="9"/>
        <v>1</v>
      </c>
      <c r="Z104" s="14">
        <f t="shared" si="10"/>
        <v>1.01608963</v>
      </c>
      <c r="AA104" s="27">
        <f t="shared" si="11"/>
        <v>41</v>
      </c>
      <c r="AB104" s="15">
        <f t="shared" si="51"/>
        <v>1</v>
      </c>
      <c r="AC104" s="15" t="str">
        <f t="shared" si="40"/>
        <v/>
      </c>
      <c r="AD104" s="15" t="str">
        <f t="shared" si="41"/>
        <v>$H-2-300K$: 41,</v>
      </c>
      <c r="AE104" s="15"/>
      <c r="AF104" s="15"/>
      <c r="AG104" s="15"/>
    </row>
    <row r="105" ht="15.75" customHeight="1">
      <c r="A105" s="18" t="s">
        <v>165</v>
      </c>
      <c r="B105" s="16" t="s">
        <v>158</v>
      </c>
      <c r="C105" s="17">
        <f t="shared" si="1"/>
        <v>46</v>
      </c>
      <c r="D105" s="16">
        <v>1976.0</v>
      </c>
      <c r="E105" s="16"/>
      <c r="F105" s="16" t="b">
        <v>1</v>
      </c>
      <c r="G105" s="16" t="b">
        <v>0</v>
      </c>
      <c r="H105" s="16" t="b">
        <v>0</v>
      </c>
      <c r="I105" s="16" t="b">
        <v>0</v>
      </c>
      <c r="J105" s="18" t="b">
        <v>0</v>
      </c>
      <c r="K105" s="16">
        <v>911.0</v>
      </c>
      <c r="L105" s="16">
        <v>1224.46</v>
      </c>
      <c r="M105" s="16">
        <v>295.0</v>
      </c>
      <c r="N105" s="16">
        <v>5.78</v>
      </c>
      <c r="O105" s="16">
        <v>0.996341</v>
      </c>
      <c r="P105" s="16">
        <v>0.996341</v>
      </c>
      <c r="Q105" s="19">
        <f t="shared" si="2"/>
        <v>137.0583656</v>
      </c>
      <c r="R105" s="20">
        <f t="shared" si="3"/>
        <v>0.3577087042</v>
      </c>
      <c r="S105" s="21">
        <f t="shared" si="4"/>
        <v>4</v>
      </c>
      <c r="T105" s="17">
        <f t="shared" si="50"/>
        <v>438</v>
      </c>
      <c r="U105" s="22">
        <f>T105/vlookup(A105,Max!$A$2:$AP$700,column(Max!$AP$2),false)</f>
        <v>1.018604651</v>
      </c>
      <c r="V105" s="17">
        <f t="shared" si="6"/>
        <v>293.3113531</v>
      </c>
      <c r="W105" s="23">
        <f t="shared" si="7"/>
        <v>0.985688335</v>
      </c>
      <c r="X105" s="23">
        <f t="shared" si="8"/>
        <v>1.489570366</v>
      </c>
      <c r="Y105" s="23">
        <f t="shared" si="9"/>
        <v>1</v>
      </c>
      <c r="Z105" s="23">
        <f t="shared" si="10"/>
        <v>1.01608963</v>
      </c>
      <c r="AA105" s="24">
        <f t="shared" si="11"/>
        <v>46</v>
      </c>
      <c r="AB105" s="26">
        <f t="shared" si="51"/>
        <v>1</v>
      </c>
      <c r="AC105" s="26" t="str">
        <f t="shared" si="40"/>
        <v/>
      </c>
      <c r="AD105" s="26" t="str">
        <f t="shared" si="41"/>
        <v>$H-1-250K$: 46,</v>
      </c>
      <c r="AE105" s="26" t="str">
        <f>if(AB105=2,if(AF102&lt;&gt;AF105,char(9)&amp;char(9)&amp;"@CONFIG["&amp;AF105&amp;"]"&amp;char(10)&amp;char(9)&amp;char(9)&amp;"{"&amp;char(10),"")&amp;char(9)&amp;char(9)&amp;char(9)&amp;"@SUBCONFIG["&amp;AG105&amp;"] { %cost = "&amp;AA105&amp;" }"&amp;if(AF106&lt;&gt;AF105,char(10)&amp;char(9)&amp;char(9)&amp;"}",""),"")</f>
        <v/>
      </c>
      <c r="AF105" s="26" t="str">
        <f t="shared" ref="AF105:AF195" si="54">if(AB105=2,left(A105,find("$",A105)-1),"")</f>
        <v/>
      </c>
      <c r="AG105" s="26" t="str">
        <f t="shared" ref="AG105:AG195" si="55">if(AB105=2,mid(A105,find("$",A105)+1,len(A105)),"")</f>
        <v/>
      </c>
    </row>
    <row r="106" ht="15.75" customHeight="1">
      <c r="A106" s="7" t="s">
        <v>166</v>
      </c>
      <c r="B106" s="7" t="s">
        <v>158</v>
      </c>
      <c r="C106" s="8">
        <f t="shared" si="1"/>
        <v>100</v>
      </c>
      <c r="D106" s="7">
        <v>1989.0</v>
      </c>
      <c r="E106" s="7"/>
      <c r="F106" s="7" t="b">
        <v>1</v>
      </c>
      <c r="G106" s="7" t="b">
        <v>0</v>
      </c>
      <c r="H106" s="7" t="b">
        <v>0</v>
      </c>
      <c r="I106" s="7" t="b">
        <v>0</v>
      </c>
      <c r="J106" s="9" t="b">
        <v>0</v>
      </c>
      <c r="K106" s="7">
        <v>1147.0</v>
      </c>
      <c r="L106" s="7">
        <v>1054.23</v>
      </c>
      <c r="M106" s="7">
        <v>302.0</v>
      </c>
      <c r="N106" s="7">
        <v>4.85</v>
      </c>
      <c r="O106" s="7">
        <v>0.998944</v>
      </c>
      <c r="P106" s="7">
        <v>0.998944</v>
      </c>
      <c r="Q106" s="10">
        <f t="shared" si="2"/>
        <v>93.7240994</v>
      </c>
      <c r="R106" s="11">
        <f t="shared" si="3"/>
        <v>0.4666913292</v>
      </c>
      <c r="S106" s="12">
        <f t="shared" si="4"/>
        <v>4</v>
      </c>
      <c r="T106" s="8">
        <f t="shared" si="50"/>
        <v>492</v>
      </c>
      <c r="U106" s="13">
        <f>T106/vlookup(A106,Max!$A$2:$AP$700,column(Max!$AP$2),false)</f>
        <v>1.490909091</v>
      </c>
      <c r="V106" s="8">
        <f t="shared" si="6"/>
        <v>338.0756139</v>
      </c>
      <c r="W106" s="14">
        <f t="shared" si="7"/>
        <v>1.007095326</v>
      </c>
      <c r="X106" s="14">
        <f t="shared" si="8"/>
        <v>1.413205092</v>
      </c>
      <c r="Y106" s="14">
        <f t="shared" si="9"/>
        <v>1</v>
      </c>
      <c r="Z106" s="14">
        <f t="shared" si="10"/>
        <v>1.022739125</v>
      </c>
      <c r="AA106" s="27">
        <f t="shared" si="11"/>
        <v>100</v>
      </c>
      <c r="AB106" s="15">
        <f t="shared" si="51"/>
        <v>1</v>
      </c>
      <c r="AC106" s="15" t="str">
        <f t="shared" si="40"/>
        <v/>
      </c>
      <c r="AD106" s="15" t="str">
        <f t="shared" si="41"/>
        <v>$RS-27A$: 100,</v>
      </c>
      <c r="AE106" s="15" t="str">
        <f t="shared" ref="AE106:AE193" si="56">if(AB106=2,if(AF105&lt;&gt;AF106,char(9)&amp;char(9)&amp;"@CONFIG["&amp;AF106&amp;"]"&amp;char(10)&amp;char(9)&amp;char(9)&amp;"{"&amp;char(10),"")&amp;char(9)&amp;char(9)&amp;char(9)&amp;"@SUBCONFIG["&amp;AG106&amp;"] { %cost = "&amp;AA106&amp;" }"&amp;if(AF107&lt;&gt;AF106,char(10)&amp;char(9)&amp;char(9)&amp;"}",""),"")</f>
        <v/>
      </c>
      <c r="AF106" s="15" t="str">
        <f t="shared" si="54"/>
        <v/>
      </c>
      <c r="AG106" s="15" t="str">
        <f t="shared" si="55"/>
        <v/>
      </c>
    </row>
    <row r="107" ht="15.75" customHeight="1">
      <c r="A107" s="16" t="s">
        <v>167</v>
      </c>
      <c r="B107" s="16" t="s">
        <v>168</v>
      </c>
      <c r="C107" s="17">
        <f t="shared" si="1"/>
        <v>2648</v>
      </c>
      <c r="D107" s="16">
        <v>1976.0</v>
      </c>
      <c r="E107" s="16" t="b">
        <v>1</v>
      </c>
      <c r="F107" s="16" t="b">
        <v>1</v>
      </c>
      <c r="G107" s="16" t="b">
        <v>0</v>
      </c>
      <c r="H107" s="16" t="b">
        <v>0</v>
      </c>
      <c r="I107" s="16" t="b">
        <v>0</v>
      </c>
      <c r="J107" s="18" t="b">
        <v>0</v>
      </c>
      <c r="K107" s="16">
        <f>1780*0.973574409</f>
        <v>1732.962448</v>
      </c>
      <c r="L107" s="16">
        <v>1382.07</v>
      </c>
      <c r="M107" s="16">
        <v>445.0</v>
      </c>
      <c r="N107" s="16">
        <v>11.5</v>
      </c>
      <c r="O107" s="16">
        <v>0.97</v>
      </c>
      <c r="P107" s="16">
        <v>0.96</v>
      </c>
      <c r="Q107" s="19">
        <f t="shared" si="2"/>
        <v>81.32427705</v>
      </c>
      <c r="R107" s="20">
        <f t="shared" si="3"/>
        <v>1.91596663</v>
      </c>
      <c r="S107" s="21">
        <f t="shared" si="4"/>
        <v>4</v>
      </c>
      <c r="T107" s="17">
        <f t="shared" si="50"/>
        <v>2648</v>
      </c>
      <c r="U107" s="22">
        <f>T107/vlookup(A107,Max!$A$2:$AP$700,column(Max!$AP$2),false)</f>
        <v>1.471111111</v>
      </c>
      <c r="V107" s="17">
        <f t="shared" si="6"/>
        <v>484.7948373</v>
      </c>
      <c r="W107" s="23">
        <f t="shared" si="7"/>
        <v>3.221130427</v>
      </c>
      <c r="X107" s="23">
        <f t="shared" si="8"/>
        <v>1.831015515</v>
      </c>
      <c r="Y107" s="23">
        <f t="shared" si="9"/>
        <v>1</v>
      </c>
      <c r="Z107" s="23">
        <f t="shared" si="10"/>
        <v>0.9259554583</v>
      </c>
      <c r="AA107" s="26">
        <f t="shared" si="11"/>
        <v>0</v>
      </c>
      <c r="AB107" s="26">
        <f t="shared" si="51"/>
        <v>1</v>
      </c>
      <c r="AC107" s="26" t="str">
        <f t="shared" si="40"/>
        <v/>
      </c>
      <c r="AD107" s="26" t="str">
        <f t="shared" si="41"/>
        <v>$HG-3-SL$: 2648,</v>
      </c>
      <c r="AE107" s="26" t="str">
        <f t="shared" si="56"/>
        <v/>
      </c>
      <c r="AF107" s="26" t="str">
        <f t="shared" si="54"/>
        <v/>
      </c>
      <c r="AG107" s="26" t="str">
        <f t="shared" si="55"/>
        <v/>
      </c>
    </row>
    <row r="108" ht="15.75" customHeight="1">
      <c r="A108" s="7" t="s">
        <v>169</v>
      </c>
      <c r="B108" s="7" t="s">
        <v>168</v>
      </c>
      <c r="C108" s="8">
        <f t="shared" si="1"/>
        <v>-383</v>
      </c>
      <c r="D108" s="7">
        <v>1976.0</v>
      </c>
      <c r="E108" s="7" t="b">
        <v>1</v>
      </c>
      <c r="F108" s="7" t="b">
        <v>1</v>
      </c>
      <c r="G108" s="7" t="b">
        <v>0</v>
      </c>
      <c r="H108" s="7" t="b">
        <v>1</v>
      </c>
      <c r="I108" s="7" t="b">
        <v>0</v>
      </c>
      <c r="J108" s="9" t="b">
        <v>0</v>
      </c>
      <c r="K108" s="7">
        <v>1780.0</v>
      </c>
      <c r="L108" s="7">
        <v>1400.7</v>
      </c>
      <c r="M108" s="7">
        <v>451.0</v>
      </c>
      <c r="N108" s="7">
        <v>11.5</v>
      </c>
      <c r="O108" s="7">
        <v>0.97</v>
      </c>
      <c r="P108" s="7">
        <v>0.96</v>
      </c>
      <c r="Q108" s="10">
        <f t="shared" si="2"/>
        <v>80.24249974</v>
      </c>
      <c r="R108" s="11">
        <f t="shared" si="3"/>
        <v>1.617048619</v>
      </c>
      <c r="S108" s="12">
        <f t="shared" si="4"/>
        <v>4</v>
      </c>
      <c r="T108" s="8">
        <f t="shared" si="50"/>
        <v>2265</v>
      </c>
      <c r="U108" s="13">
        <f>T108/vlookup(A108,Max!$A$2:$AP$700,column(Max!$AP$2),false)</f>
        <v>1.1325</v>
      </c>
      <c r="V108" s="8">
        <f t="shared" si="6"/>
        <v>492.2650132</v>
      </c>
      <c r="W108" s="14">
        <f t="shared" si="7"/>
        <v>3.406796795</v>
      </c>
      <c r="X108" s="14">
        <f t="shared" si="8"/>
        <v>1.574051792</v>
      </c>
      <c r="Y108" s="14">
        <f t="shared" si="9"/>
        <v>1</v>
      </c>
      <c r="Z108" s="14">
        <f t="shared" si="10"/>
        <v>0.8580635065</v>
      </c>
      <c r="AA108" s="27">
        <f t="shared" si="11"/>
        <v>-383</v>
      </c>
      <c r="AB108" s="29">
        <v>0.0</v>
      </c>
      <c r="AC108" s="15" t="str">
        <f t="shared" si="40"/>
        <v>{
$name$: $HG-3$,
$config$: $HG3$,
$cost$: -383
},</v>
      </c>
      <c r="AD108" s="15" t="str">
        <f t="shared" si="41"/>
        <v/>
      </c>
      <c r="AE108" s="15" t="str">
        <f t="shared" si="56"/>
        <v/>
      </c>
      <c r="AF108" s="15" t="str">
        <f t="shared" si="54"/>
        <v/>
      </c>
      <c r="AG108" s="15" t="str">
        <f t="shared" si="55"/>
        <v/>
      </c>
    </row>
    <row r="109" ht="15.75" customHeight="1">
      <c r="A109" s="16" t="s">
        <v>170</v>
      </c>
      <c r="B109" s="16" t="s">
        <v>168</v>
      </c>
      <c r="C109" s="17">
        <f t="shared" si="1"/>
        <v>140</v>
      </c>
      <c r="D109" s="16">
        <v>1981.0</v>
      </c>
      <c r="E109" s="16" t="b">
        <v>1</v>
      </c>
      <c r="F109" s="16" t="b">
        <v>1</v>
      </c>
      <c r="G109" s="16" t="b">
        <v>0</v>
      </c>
      <c r="H109" s="16" t="b">
        <v>0</v>
      </c>
      <c r="I109" s="16" t="b">
        <v>0</v>
      </c>
      <c r="J109" s="18" t="b">
        <v>0</v>
      </c>
      <c r="K109" s="16">
        <f>1780*0.973574409</f>
        <v>1732.962448</v>
      </c>
      <c r="L109" s="16">
        <v>1382.07</v>
      </c>
      <c r="M109" s="16">
        <v>445.0</v>
      </c>
      <c r="N109" s="16">
        <v>11.5</v>
      </c>
      <c r="O109" s="16">
        <v>0.97</v>
      </c>
      <c r="P109" s="16">
        <v>0.98</v>
      </c>
      <c r="Q109" s="19">
        <f t="shared" si="2"/>
        <v>81.32427705</v>
      </c>
      <c r="R109" s="20">
        <f t="shared" si="3"/>
        <v>2.017263959</v>
      </c>
      <c r="S109" s="21">
        <f t="shared" si="4"/>
        <v>4</v>
      </c>
      <c r="T109" s="17">
        <f t="shared" si="50"/>
        <v>2788</v>
      </c>
      <c r="U109" s="22">
        <f>T109/vlookup(A109,Max!$A$2:$AP$700,column(Max!$AP$2),false)</f>
        <v>1.467368421</v>
      </c>
      <c r="V109" s="17">
        <f t="shared" si="6"/>
        <v>484.7948373</v>
      </c>
      <c r="W109" s="23">
        <f t="shared" si="7"/>
        <v>3.221130427</v>
      </c>
      <c r="X109" s="23">
        <f t="shared" si="8"/>
        <v>1.831015515</v>
      </c>
      <c r="Y109" s="23">
        <f t="shared" si="9"/>
        <v>1</v>
      </c>
      <c r="Z109" s="23">
        <f t="shared" si="10"/>
        <v>0.9749384593</v>
      </c>
      <c r="AA109" s="24">
        <f t="shared" si="11"/>
        <v>140</v>
      </c>
      <c r="AB109" s="26">
        <f t="shared" ref="AB109:AB114" si="57">if(iserror(find("$",A109)),1,2)</f>
        <v>1</v>
      </c>
      <c r="AC109" s="26" t="str">
        <f t="shared" si="40"/>
        <v/>
      </c>
      <c r="AD109" s="26" t="str">
        <f t="shared" si="41"/>
        <v>$HG-3A-SL$: 140,</v>
      </c>
      <c r="AE109" s="26" t="str">
        <f t="shared" si="56"/>
        <v/>
      </c>
      <c r="AF109" s="26" t="str">
        <f t="shared" si="54"/>
        <v/>
      </c>
      <c r="AG109" s="26" t="str">
        <f t="shared" si="55"/>
        <v/>
      </c>
    </row>
    <row r="110" ht="15.75" customHeight="1">
      <c r="A110" s="7" t="s">
        <v>171</v>
      </c>
      <c r="B110" s="7" t="s">
        <v>168</v>
      </c>
      <c r="C110" s="8">
        <f t="shared" si="1"/>
        <v>-263</v>
      </c>
      <c r="D110" s="7">
        <v>1981.0</v>
      </c>
      <c r="E110" s="7" t="b">
        <v>1</v>
      </c>
      <c r="F110" s="7" t="b">
        <v>1</v>
      </c>
      <c r="G110" s="7" t="b">
        <v>0</v>
      </c>
      <c r="H110" s="7" t="b">
        <v>1</v>
      </c>
      <c r="I110" s="7" t="b">
        <v>0</v>
      </c>
      <c r="J110" s="9" t="b">
        <v>0</v>
      </c>
      <c r="K110" s="7">
        <v>1780.0</v>
      </c>
      <c r="L110" s="7">
        <v>1400.7</v>
      </c>
      <c r="M110" s="7">
        <v>451.0</v>
      </c>
      <c r="N110" s="7">
        <v>11.5</v>
      </c>
      <c r="O110" s="7">
        <v>0.97</v>
      </c>
      <c r="P110" s="7">
        <v>0.98</v>
      </c>
      <c r="Q110" s="10">
        <f t="shared" si="2"/>
        <v>80.24249974</v>
      </c>
      <c r="R110" s="11">
        <f t="shared" si="3"/>
        <v>1.702720069</v>
      </c>
      <c r="S110" s="12">
        <f t="shared" si="4"/>
        <v>4</v>
      </c>
      <c r="T110" s="8">
        <f t="shared" si="50"/>
        <v>2385</v>
      </c>
      <c r="U110" s="13">
        <f>T110/vlookup(A110,Max!$A$2:$AP$700,column(Max!$AP$2),false)</f>
        <v>1.135714286</v>
      </c>
      <c r="V110" s="8">
        <f t="shared" si="6"/>
        <v>492.2650132</v>
      </c>
      <c r="W110" s="14">
        <f t="shared" si="7"/>
        <v>3.406796795</v>
      </c>
      <c r="X110" s="14">
        <f t="shared" si="8"/>
        <v>1.574051792</v>
      </c>
      <c r="Y110" s="14">
        <f t="shared" si="9"/>
        <v>1</v>
      </c>
      <c r="Z110" s="14">
        <f t="shared" si="10"/>
        <v>0.9034550263</v>
      </c>
      <c r="AA110" s="27">
        <f t="shared" si="11"/>
        <v>-263</v>
      </c>
      <c r="AB110" s="15">
        <f t="shared" si="57"/>
        <v>1</v>
      </c>
      <c r="AC110" s="15" t="str">
        <f t="shared" si="40"/>
        <v/>
      </c>
      <c r="AD110" s="15" t="str">
        <f t="shared" si="41"/>
        <v>$HG-3A$: -263,</v>
      </c>
      <c r="AE110" s="15" t="str">
        <f t="shared" si="56"/>
        <v/>
      </c>
      <c r="AF110" s="15" t="str">
        <f t="shared" si="54"/>
        <v/>
      </c>
      <c r="AG110" s="15" t="str">
        <f t="shared" si="55"/>
        <v/>
      </c>
    </row>
    <row r="111" ht="15.75" customHeight="1">
      <c r="A111" s="16" t="s">
        <v>172</v>
      </c>
      <c r="B111" s="16" t="s">
        <v>168</v>
      </c>
      <c r="C111" s="17">
        <f t="shared" si="1"/>
        <v>706</v>
      </c>
      <c r="D111" s="16">
        <v>1988.0</v>
      </c>
      <c r="E111" s="16" t="b">
        <v>1</v>
      </c>
      <c r="F111" s="16" t="b">
        <v>1</v>
      </c>
      <c r="G111" s="16" t="b">
        <v>0</v>
      </c>
      <c r="H111" s="16" t="b">
        <v>0</v>
      </c>
      <c r="I111" s="16" t="b">
        <v>0</v>
      </c>
      <c r="J111" s="18" t="b">
        <v>0</v>
      </c>
      <c r="K111" s="16">
        <v>1732.96</v>
      </c>
      <c r="L111" s="16">
        <v>1403.81</v>
      </c>
      <c r="M111" s="16">
        <v>452.0</v>
      </c>
      <c r="N111" s="16">
        <v>16.0</v>
      </c>
      <c r="O111" s="16">
        <v>0.97</v>
      </c>
      <c r="P111" s="16">
        <v>0.988</v>
      </c>
      <c r="Q111" s="19">
        <f t="shared" si="2"/>
        <v>82.6036269</v>
      </c>
      <c r="R111" s="20">
        <f t="shared" si="3"/>
        <v>2.389212215</v>
      </c>
      <c r="S111" s="21">
        <f t="shared" si="4"/>
        <v>4</v>
      </c>
      <c r="T111" s="17">
        <f t="shared" si="50"/>
        <v>3354</v>
      </c>
      <c r="U111" s="22">
        <f>T111/vlookup(A111,Max!$A$2:$AP$700,column(Max!$AP$2),false)</f>
        <v>1.765263158</v>
      </c>
      <c r="V111" s="17">
        <f t="shared" si="6"/>
        <v>484.7944465</v>
      </c>
      <c r="W111" s="23">
        <f t="shared" si="7"/>
        <v>3.438943991</v>
      </c>
      <c r="X111" s="23">
        <f t="shared" si="8"/>
        <v>2.021709105</v>
      </c>
      <c r="Y111" s="23">
        <f t="shared" si="9"/>
        <v>1</v>
      </c>
      <c r="Z111" s="23">
        <f t="shared" si="10"/>
        <v>0.9949571447</v>
      </c>
      <c r="AA111" s="24">
        <f t="shared" si="11"/>
        <v>706</v>
      </c>
      <c r="AB111" s="26">
        <f t="shared" si="57"/>
        <v>1</v>
      </c>
      <c r="AC111" s="26" t="str">
        <f t="shared" si="40"/>
        <v/>
      </c>
      <c r="AD111" s="26" t="str">
        <f t="shared" si="41"/>
        <v>$HG-3B-SL-2$: 706,</v>
      </c>
      <c r="AE111" s="26" t="str">
        <f t="shared" si="56"/>
        <v/>
      </c>
      <c r="AF111" s="26" t="str">
        <f t="shared" si="54"/>
        <v/>
      </c>
      <c r="AG111" s="26" t="str">
        <f t="shared" si="55"/>
        <v/>
      </c>
    </row>
    <row r="112" ht="15.75" customHeight="1">
      <c r="A112" s="7" t="s">
        <v>173</v>
      </c>
      <c r="B112" s="7" t="s">
        <v>168</v>
      </c>
      <c r="C112" s="8">
        <f t="shared" si="1"/>
        <v>299</v>
      </c>
      <c r="D112" s="7">
        <v>1988.0</v>
      </c>
      <c r="E112" s="7" t="b">
        <v>1</v>
      </c>
      <c r="F112" s="7" t="b">
        <v>1</v>
      </c>
      <c r="G112" s="7" t="b">
        <v>0</v>
      </c>
      <c r="H112" s="7" t="b">
        <v>1</v>
      </c>
      <c r="I112" s="7" t="b">
        <v>0</v>
      </c>
      <c r="J112" s="9" t="b">
        <v>0</v>
      </c>
      <c r="K112" s="7">
        <v>1780.0</v>
      </c>
      <c r="L112" s="7">
        <v>1422.44</v>
      </c>
      <c r="M112" s="7">
        <v>458.0</v>
      </c>
      <c r="N112" s="7">
        <v>16.0</v>
      </c>
      <c r="O112" s="7">
        <v>0.99</v>
      </c>
      <c r="P112" s="7">
        <v>0.988</v>
      </c>
      <c r="Q112" s="10">
        <f t="shared" si="2"/>
        <v>81.48792841</v>
      </c>
      <c r="R112" s="11">
        <f t="shared" si="3"/>
        <v>2.071792132</v>
      </c>
      <c r="S112" s="12">
        <f t="shared" si="4"/>
        <v>4</v>
      </c>
      <c r="T112" s="8">
        <f t="shared" si="50"/>
        <v>2947</v>
      </c>
      <c r="U112" s="13">
        <f>T112/vlookup(A112,Max!$A$2:$AP$700,column(Max!$AP$2),false)</f>
        <v>1.091481481</v>
      </c>
      <c r="V112" s="8">
        <f t="shared" si="6"/>
        <v>492.2650132</v>
      </c>
      <c r="W112" s="14">
        <f t="shared" si="7"/>
        <v>3.639421545</v>
      </c>
      <c r="X112" s="14">
        <f t="shared" si="8"/>
        <v>1.695465669</v>
      </c>
      <c r="Y112" s="14">
        <f t="shared" si="9"/>
        <v>1</v>
      </c>
      <c r="Z112" s="14">
        <f t="shared" si="10"/>
        <v>0.9702694592</v>
      </c>
      <c r="AA112" s="27">
        <f t="shared" si="11"/>
        <v>299</v>
      </c>
      <c r="AB112" s="15">
        <f t="shared" si="57"/>
        <v>1</v>
      </c>
      <c r="AC112" s="15" t="str">
        <f t="shared" si="40"/>
        <v/>
      </c>
      <c r="AD112" s="15" t="str">
        <f t="shared" si="41"/>
        <v>$HG-3B-2$: 299,</v>
      </c>
      <c r="AE112" s="15" t="str">
        <f t="shared" si="56"/>
        <v/>
      </c>
      <c r="AF112" s="15" t="str">
        <f t="shared" si="54"/>
        <v/>
      </c>
      <c r="AG112" s="15" t="str">
        <f t="shared" si="55"/>
        <v/>
      </c>
    </row>
    <row r="113" ht="15.75" customHeight="1">
      <c r="A113" s="16" t="s">
        <v>174</v>
      </c>
      <c r="B113" s="16" t="s">
        <v>168</v>
      </c>
      <c r="C113" s="17">
        <f t="shared" si="1"/>
        <v>723</v>
      </c>
      <c r="D113" s="16">
        <v>1988.0</v>
      </c>
      <c r="E113" s="16" t="b">
        <v>1</v>
      </c>
      <c r="F113" s="16" t="b">
        <v>1</v>
      </c>
      <c r="G113" s="16" t="b">
        <v>0</v>
      </c>
      <c r="H113" s="16" t="b">
        <v>0</v>
      </c>
      <c r="I113" s="16" t="b">
        <v>0</v>
      </c>
      <c r="J113" s="18" t="b">
        <v>0</v>
      </c>
      <c r="K113" s="16">
        <v>1732.96</v>
      </c>
      <c r="L113" s="16">
        <v>1382.35</v>
      </c>
      <c r="M113" s="16">
        <v>452.0</v>
      </c>
      <c r="N113" s="16">
        <v>16.0</v>
      </c>
      <c r="O113" s="16">
        <v>0.99</v>
      </c>
      <c r="P113" s="16">
        <v>0.99</v>
      </c>
      <c r="Q113" s="19">
        <f t="shared" si="2"/>
        <v>81.34086782</v>
      </c>
      <c r="R113" s="20">
        <f t="shared" si="3"/>
        <v>2.438600933</v>
      </c>
      <c r="S113" s="21">
        <f t="shared" si="4"/>
        <v>4</v>
      </c>
      <c r="T113" s="17">
        <f t="shared" si="50"/>
        <v>3371</v>
      </c>
      <c r="U113" s="22">
        <f>T113/vlookup(A113,Max!$A$2:$AP$700,column(Max!$AP$2),false)</f>
        <v>1.465652174</v>
      </c>
      <c r="V113" s="17">
        <f t="shared" si="6"/>
        <v>484.7944465</v>
      </c>
      <c r="W113" s="23">
        <f t="shared" si="7"/>
        <v>3.438943991</v>
      </c>
      <c r="X113" s="23">
        <f t="shared" si="8"/>
        <v>2.021709105</v>
      </c>
      <c r="Y113" s="23">
        <f t="shared" si="9"/>
        <v>1</v>
      </c>
      <c r="Z113" s="23">
        <f t="shared" si="10"/>
        <v>1</v>
      </c>
      <c r="AA113" s="24">
        <f t="shared" si="11"/>
        <v>723</v>
      </c>
      <c r="AB113" s="26">
        <f t="shared" si="57"/>
        <v>1</v>
      </c>
      <c r="AC113" s="26" t="str">
        <f t="shared" si="40"/>
        <v/>
      </c>
      <c r="AD113" s="26" t="str">
        <f t="shared" si="41"/>
        <v>$HG-3B-SL$: 723,</v>
      </c>
      <c r="AE113" s="26" t="str">
        <f t="shared" si="56"/>
        <v/>
      </c>
      <c r="AF113" s="26" t="str">
        <f t="shared" si="54"/>
        <v/>
      </c>
      <c r="AG113" s="26" t="str">
        <f t="shared" si="55"/>
        <v/>
      </c>
    </row>
    <row r="114" ht="15.75" customHeight="1">
      <c r="A114" s="7" t="s">
        <v>175</v>
      </c>
      <c r="B114" s="7" t="s">
        <v>168</v>
      </c>
      <c r="C114" s="8">
        <f t="shared" si="1"/>
        <v>314</v>
      </c>
      <c r="D114" s="7">
        <v>1988.0</v>
      </c>
      <c r="E114" s="7" t="b">
        <v>1</v>
      </c>
      <c r="F114" s="7" t="b">
        <v>1</v>
      </c>
      <c r="G114" s="7" t="b">
        <v>0</v>
      </c>
      <c r="H114" s="7" t="b">
        <v>1</v>
      </c>
      <c r="I114" s="7" t="b">
        <v>0</v>
      </c>
      <c r="J114" s="9" t="b">
        <v>0</v>
      </c>
      <c r="K114" s="7">
        <v>1780.0</v>
      </c>
      <c r="L114" s="7">
        <v>1400.7</v>
      </c>
      <c r="M114" s="7">
        <v>458.0</v>
      </c>
      <c r="N114" s="7">
        <v>16.0</v>
      </c>
      <c r="O114" s="7">
        <v>0.99</v>
      </c>
      <c r="P114" s="7">
        <v>0.99</v>
      </c>
      <c r="Q114" s="10">
        <f t="shared" si="2"/>
        <v>80.24249974</v>
      </c>
      <c r="R114" s="11">
        <f t="shared" si="3"/>
        <v>2.114656957</v>
      </c>
      <c r="S114" s="12">
        <f t="shared" si="4"/>
        <v>4</v>
      </c>
      <c r="T114" s="8">
        <f t="shared" si="50"/>
        <v>2962</v>
      </c>
      <c r="U114" s="13">
        <f>T114/vlookup(A114,Max!$A$2:$AP$700,column(Max!$AP$2),false)</f>
        <v>1.097037037</v>
      </c>
      <c r="V114" s="8">
        <f t="shared" si="6"/>
        <v>492.2650132</v>
      </c>
      <c r="W114" s="14">
        <f t="shared" si="7"/>
        <v>3.639421545</v>
      </c>
      <c r="X114" s="14">
        <f t="shared" si="8"/>
        <v>1.695465669</v>
      </c>
      <c r="Y114" s="14">
        <f t="shared" si="9"/>
        <v>1</v>
      </c>
      <c r="Z114" s="14">
        <f t="shared" si="10"/>
        <v>0.9751871871</v>
      </c>
      <c r="AA114" s="27">
        <f t="shared" si="11"/>
        <v>314</v>
      </c>
      <c r="AB114" s="15">
        <f t="shared" si="57"/>
        <v>1</v>
      </c>
      <c r="AC114" s="15" t="str">
        <f t="shared" si="40"/>
        <v/>
      </c>
      <c r="AD114" s="15" t="str">
        <f t="shared" si="41"/>
        <v>$HG-3B$: 314,</v>
      </c>
      <c r="AE114" s="15" t="str">
        <f t="shared" si="56"/>
        <v/>
      </c>
      <c r="AF114" s="15" t="str">
        <f t="shared" si="54"/>
        <v/>
      </c>
      <c r="AG114" s="15" t="str">
        <f t="shared" si="55"/>
        <v/>
      </c>
    </row>
    <row r="115" ht="15.75" customHeight="1">
      <c r="A115" s="16" t="s">
        <v>176</v>
      </c>
      <c r="B115" s="16" t="s">
        <v>177</v>
      </c>
      <c r="C115" s="17">
        <f t="shared" si="1"/>
        <v>428</v>
      </c>
      <c r="D115" s="16">
        <v>1966.0</v>
      </c>
      <c r="E115" s="16" t="b">
        <v>1</v>
      </c>
      <c r="F115" s="16" t="b">
        <v>1</v>
      </c>
      <c r="G115" s="16" t="b">
        <v>0</v>
      </c>
      <c r="H115" s="16" t="b">
        <v>1</v>
      </c>
      <c r="I115" s="16" t="b">
        <v>0</v>
      </c>
      <c r="J115" s="18" t="b">
        <v>0</v>
      </c>
      <c r="K115" s="16">
        <v>150.0</v>
      </c>
      <c r="L115" s="16">
        <v>62.4</v>
      </c>
      <c r="M115" s="16">
        <v>440.8</v>
      </c>
      <c r="N115" s="16">
        <v>3.0</v>
      </c>
      <c r="O115" s="16">
        <v>0.986364</v>
      </c>
      <c r="P115" s="16">
        <v>0.968182</v>
      </c>
      <c r="Q115" s="19">
        <f t="shared" si="2"/>
        <v>42.42019434</v>
      </c>
      <c r="R115" s="20">
        <f t="shared" si="3"/>
        <v>6.858974359</v>
      </c>
      <c r="S115" s="21">
        <f t="shared" si="4"/>
        <v>4</v>
      </c>
      <c r="T115" s="17">
        <f t="shared" si="50"/>
        <v>428</v>
      </c>
      <c r="U115" s="22">
        <f>T115/vlookup(A115,Max!$A$2:$AP$700,column(Max!$AP$2),false)</f>
        <v>1.860869565</v>
      </c>
      <c r="V115" s="17">
        <f t="shared" si="6"/>
        <v>129.9921419</v>
      </c>
      <c r="W115" s="23">
        <f t="shared" si="7"/>
        <v>3.098210678</v>
      </c>
      <c r="X115" s="23">
        <f t="shared" si="8"/>
        <v>1.163360426</v>
      </c>
      <c r="Y115" s="23">
        <f t="shared" si="9"/>
        <v>1</v>
      </c>
      <c r="Z115" s="23">
        <f t="shared" si="10"/>
        <v>0.913897642</v>
      </c>
      <c r="AA115" s="26">
        <f t="shared" si="11"/>
        <v>0</v>
      </c>
      <c r="AB115" s="25">
        <v>0.0</v>
      </c>
      <c r="AC115" s="26" t="str">
        <f t="shared" si="40"/>
        <v>{
$name$: $HM-7$,
$config$: $HM7$,
$cost$: 428
},</v>
      </c>
      <c r="AD115" s="26" t="str">
        <f t="shared" si="41"/>
        <v/>
      </c>
      <c r="AE115" s="26" t="str">
        <f t="shared" si="56"/>
        <v/>
      </c>
      <c r="AF115" s="26" t="str">
        <f t="shared" si="54"/>
        <v/>
      </c>
      <c r="AG115" s="26" t="str">
        <f t="shared" si="55"/>
        <v/>
      </c>
    </row>
    <row r="116" ht="15.75" customHeight="1">
      <c r="A116" s="7" t="s">
        <v>178</v>
      </c>
      <c r="B116" s="7" t="s">
        <v>177</v>
      </c>
      <c r="C116" s="8">
        <f t="shared" si="1"/>
        <v>86</v>
      </c>
      <c r="D116" s="7">
        <v>1972.0</v>
      </c>
      <c r="E116" s="7" t="b">
        <v>1</v>
      </c>
      <c r="F116" s="7" t="b">
        <v>1</v>
      </c>
      <c r="G116" s="7" t="b">
        <v>0</v>
      </c>
      <c r="H116" s="7" t="b">
        <v>1</v>
      </c>
      <c r="I116" s="7" t="b">
        <v>0</v>
      </c>
      <c r="J116" s="9" t="b">
        <v>0</v>
      </c>
      <c r="K116" s="7">
        <v>165.0</v>
      </c>
      <c r="L116" s="7">
        <v>64.2</v>
      </c>
      <c r="M116" s="7">
        <v>443.2</v>
      </c>
      <c r="N116" s="7">
        <v>3.5</v>
      </c>
      <c r="O116" s="7">
        <v>0.990833</v>
      </c>
      <c r="P116" s="7">
        <v>0.993966</v>
      </c>
      <c r="Q116" s="10">
        <f t="shared" si="2"/>
        <v>39.67623072</v>
      </c>
      <c r="R116" s="11">
        <f t="shared" si="3"/>
        <v>8.00623053</v>
      </c>
      <c r="S116" s="12">
        <f t="shared" si="4"/>
        <v>4</v>
      </c>
      <c r="T116" s="8">
        <f t="shared" si="50"/>
        <v>514</v>
      </c>
      <c r="U116" s="13">
        <f>T116/vlookup(A116,Max!$A$2:$AP$700,column(Max!$AP$2),false)</f>
        <v>2.336363636</v>
      </c>
      <c r="V116" s="8">
        <f t="shared" si="6"/>
        <v>136.4037756</v>
      </c>
      <c r="W116" s="14">
        <f t="shared" si="7"/>
        <v>3.167761424</v>
      </c>
      <c r="X116" s="14">
        <f t="shared" si="8"/>
        <v>1.204418213</v>
      </c>
      <c r="Y116" s="14">
        <f t="shared" si="9"/>
        <v>1</v>
      </c>
      <c r="Z116" s="14">
        <f t="shared" si="10"/>
        <v>0.9870564531</v>
      </c>
      <c r="AA116" s="27">
        <f t="shared" si="11"/>
        <v>86</v>
      </c>
      <c r="AB116" s="15">
        <f t="shared" ref="AB116:AB118" si="58">if(iserror(find("$",A116)),1,2)</f>
        <v>1</v>
      </c>
      <c r="AC116" s="15" t="str">
        <f t="shared" si="40"/>
        <v/>
      </c>
      <c r="AD116" s="15" t="str">
        <f t="shared" si="41"/>
        <v>$HM-7B$: 86,</v>
      </c>
      <c r="AE116" s="15" t="str">
        <f t="shared" si="56"/>
        <v/>
      </c>
      <c r="AF116" s="15" t="str">
        <f t="shared" si="54"/>
        <v/>
      </c>
      <c r="AG116" s="15" t="str">
        <f t="shared" si="55"/>
        <v/>
      </c>
    </row>
    <row r="117" ht="15.75" customHeight="1">
      <c r="A117" s="16" t="s">
        <v>179</v>
      </c>
      <c r="B117" s="16" t="s">
        <v>177</v>
      </c>
      <c r="C117" s="17">
        <f t="shared" si="1"/>
        <v>117</v>
      </c>
      <c r="D117" s="16">
        <v>1976.0</v>
      </c>
      <c r="E117" s="16" t="b">
        <v>1</v>
      </c>
      <c r="F117" s="16" t="b">
        <v>1</v>
      </c>
      <c r="G117" s="16" t="b">
        <v>0</v>
      </c>
      <c r="H117" s="16" t="b">
        <v>1</v>
      </c>
      <c r="I117" s="16" t="b">
        <v>0</v>
      </c>
      <c r="J117" s="18" t="b">
        <v>0</v>
      </c>
      <c r="K117" s="16">
        <v>165.0</v>
      </c>
      <c r="L117" s="16">
        <v>64.6</v>
      </c>
      <c r="M117" s="16">
        <v>446.0</v>
      </c>
      <c r="N117" s="16">
        <v>3.7</v>
      </c>
      <c r="O117" s="16">
        <v>0.997973</v>
      </c>
      <c r="P117" s="16">
        <v>0.99527</v>
      </c>
      <c r="Q117" s="19">
        <f t="shared" si="2"/>
        <v>39.92343465</v>
      </c>
      <c r="R117" s="20">
        <f t="shared" si="3"/>
        <v>8.436532508</v>
      </c>
      <c r="S117" s="21">
        <f t="shared" si="4"/>
        <v>4</v>
      </c>
      <c r="T117" s="17">
        <f t="shared" si="50"/>
        <v>545</v>
      </c>
      <c r="U117" s="22">
        <f>T117/vlookup(A117,Max!$A$2:$AP$700,column(Max!$AP$2),false)</f>
        <v>2.369565217</v>
      </c>
      <c r="V117" s="17">
        <f t="shared" si="6"/>
        <v>136.4037756</v>
      </c>
      <c r="W117" s="23">
        <f t="shared" si="7"/>
        <v>3.251235656</v>
      </c>
      <c r="X117" s="23">
        <f t="shared" si="8"/>
        <v>1.219571852</v>
      </c>
      <c r="Y117" s="23">
        <f t="shared" si="9"/>
        <v>1</v>
      </c>
      <c r="Z117" s="23">
        <f t="shared" si="10"/>
        <v>1.008233855</v>
      </c>
      <c r="AA117" s="24">
        <f t="shared" si="11"/>
        <v>117</v>
      </c>
      <c r="AB117" s="26">
        <f t="shared" si="58"/>
        <v>1</v>
      </c>
      <c r="AC117" s="26" t="str">
        <f t="shared" si="40"/>
        <v/>
      </c>
      <c r="AD117" s="26" t="str">
        <f t="shared" si="41"/>
        <v>$HM-7B+$: 117,</v>
      </c>
      <c r="AE117" s="26" t="str">
        <f t="shared" si="56"/>
        <v/>
      </c>
      <c r="AF117" s="26" t="str">
        <f t="shared" si="54"/>
        <v/>
      </c>
      <c r="AG117" s="26" t="str">
        <f t="shared" si="55"/>
        <v/>
      </c>
    </row>
    <row r="118" ht="15.75" customHeight="1">
      <c r="A118" s="7" t="s">
        <v>180</v>
      </c>
      <c r="B118" s="7" t="s">
        <v>177</v>
      </c>
      <c r="C118" s="8">
        <f t="shared" si="1"/>
        <v>118</v>
      </c>
      <c r="D118" s="7">
        <v>1990.0</v>
      </c>
      <c r="E118" s="7" t="b">
        <v>1</v>
      </c>
      <c r="F118" s="7" t="b">
        <v>1</v>
      </c>
      <c r="G118" s="7" t="b">
        <v>0</v>
      </c>
      <c r="H118" s="7" t="b">
        <v>1</v>
      </c>
      <c r="I118" s="7" t="b">
        <v>0</v>
      </c>
      <c r="J118" s="9" t="b">
        <v>0</v>
      </c>
      <c r="K118" s="7">
        <v>165.0</v>
      </c>
      <c r="L118" s="7">
        <v>64.8</v>
      </c>
      <c r="M118" s="7">
        <v>445.6</v>
      </c>
      <c r="N118" s="7">
        <v>3.66</v>
      </c>
      <c r="O118" s="7">
        <v>0.998</v>
      </c>
      <c r="P118" s="7">
        <v>0.997973</v>
      </c>
      <c r="Q118" s="10">
        <f t="shared" si="2"/>
        <v>40.04703661</v>
      </c>
      <c r="R118" s="11">
        <f t="shared" si="3"/>
        <v>8.425925926</v>
      </c>
      <c r="S118" s="12">
        <f t="shared" si="4"/>
        <v>4</v>
      </c>
      <c r="T118" s="8">
        <f t="shared" si="50"/>
        <v>546</v>
      </c>
      <c r="U118" s="13">
        <f>T118/vlookup(A118,Max!$A$2:$AP$700,column(Max!$AP$2),false)</f>
        <v>2.873684211</v>
      </c>
      <c r="V118" s="8">
        <f t="shared" si="6"/>
        <v>136.4037756</v>
      </c>
      <c r="W118" s="14">
        <f t="shared" si="7"/>
        <v>3.239154131</v>
      </c>
      <c r="X118" s="14">
        <f t="shared" si="8"/>
        <v>1.216592818</v>
      </c>
      <c r="Y118" s="14">
        <f t="shared" si="9"/>
        <v>1</v>
      </c>
      <c r="Z118" s="14">
        <f t="shared" si="10"/>
        <v>1.015161984</v>
      </c>
      <c r="AA118" s="27">
        <f t="shared" si="11"/>
        <v>118</v>
      </c>
      <c r="AB118" s="15">
        <f t="shared" si="58"/>
        <v>1</v>
      </c>
      <c r="AC118" s="15" t="str">
        <f t="shared" si="40"/>
        <v/>
      </c>
      <c r="AD118" s="15" t="str">
        <f t="shared" si="41"/>
        <v>$HM-7B++$: 118,</v>
      </c>
      <c r="AE118" s="15" t="str">
        <f t="shared" si="56"/>
        <v/>
      </c>
      <c r="AF118" s="15" t="str">
        <f t="shared" si="54"/>
        <v/>
      </c>
      <c r="AG118" s="15" t="str">
        <f t="shared" si="55"/>
        <v/>
      </c>
    </row>
    <row r="119" ht="15.75" customHeight="1">
      <c r="A119" s="16" t="s">
        <v>181</v>
      </c>
      <c r="B119" s="16" t="s">
        <v>181</v>
      </c>
      <c r="C119" s="17">
        <f t="shared" si="1"/>
        <v>11489</v>
      </c>
      <c r="D119" s="18">
        <v>2018.0</v>
      </c>
      <c r="E119" s="16" t="b">
        <v>1</v>
      </c>
      <c r="F119" s="16" t="b">
        <v>1</v>
      </c>
      <c r="G119" s="16" t="b">
        <v>0</v>
      </c>
      <c r="H119" s="16" t="b">
        <v>1</v>
      </c>
      <c r="I119" s="16" t="b">
        <v>0</v>
      </c>
      <c r="J119" s="18" t="b">
        <v>1</v>
      </c>
      <c r="K119" s="16">
        <v>2900.0</v>
      </c>
      <c r="L119" s="16">
        <v>266.89</v>
      </c>
      <c r="M119" s="16">
        <v>1082.0</v>
      </c>
      <c r="N119" s="16">
        <v>11.19</v>
      </c>
      <c r="O119" s="16">
        <v>1.0</v>
      </c>
      <c r="P119" s="16">
        <v>1.0</v>
      </c>
      <c r="Q119" s="19">
        <f t="shared" si="2"/>
        <v>9.384553769</v>
      </c>
      <c r="R119" s="20">
        <f t="shared" si="3"/>
        <v>43.04769755</v>
      </c>
      <c r="S119" s="21">
        <f t="shared" si="4"/>
        <v>4</v>
      </c>
      <c r="T119" s="17">
        <f t="shared" si="50"/>
        <v>11489</v>
      </c>
      <c r="U119" s="22">
        <f>T119/vlookup(A119,Max!$A$2:$AP$700,column(Max!$AP$2),false)</f>
        <v>0.8837692308</v>
      </c>
      <c r="V119" s="17">
        <f t="shared" si="6"/>
        <v>652.33627</v>
      </c>
      <c r="W119" s="23">
        <f t="shared" si="7"/>
        <v>5.489420734</v>
      </c>
      <c r="X119" s="23">
        <f t="shared" si="8"/>
        <v>1.564403481</v>
      </c>
      <c r="Y119" s="23">
        <f t="shared" si="9"/>
        <v>2</v>
      </c>
      <c r="Z119" s="23">
        <f t="shared" si="10"/>
        <v>1.025444154</v>
      </c>
      <c r="AA119" s="26">
        <f t="shared" si="11"/>
        <v>0</v>
      </c>
      <c r="AB119" s="25">
        <v>0.0</v>
      </c>
      <c r="AC119" s="26" t="str">
        <f t="shared" si="40"/>
        <v>{
$name$: $INsTAR$,
$config$: $INsTAR$,
$cost$: 11489
},</v>
      </c>
      <c r="AD119" s="26" t="str">
        <f t="shared" si="41"/>
        <v/>
      </c>
      <c r="AE119" s="26" t="str">
        <f t="shared" si="56"/>
        <v/>
      </c>
      <c r="AF119" s="26" t="str">
        <f t="shared" si="54"/>
        <v/>
      </c>
      <c r="AG119" s="26" t="str">
        <f t="shared" si="55"/>
        <v/>
      </c>
    </row>
    <row r="120" ht="15.75" customHeight="1">
      <c r="A120" s="7" t="s">
        <v>182</v>
      </c>
      <c r="B120" s="7" t="s">
        <v>183</v>
      </c>
      <c r="C120" s="8">
        <f t="shared" si="1"/>
        <v>7</v>
      </c>
      <c r="D120" s="9">
        <v>2018.0</v>
      </c>
      <c r="E120" s="7"/>
      <c r="F120" s="7" t="b">
        <v>0</v>
      </c>
      <c r="G120" s="7" t="b">
        <v>0</v>
      </c>
      <c r="H120" s="7" t="b">
        <v>0</v>
      </c>
      <c r="I120" s="7" t="b">
        <v>1</v>
      </c>
      <c r="J120" s="9" t="b">
        <v>0</v>
      </c>
      <c r="K120" s="7">
        <v>0.75</v>
      </c>
      <c r="L120" s="7">
        <v>0.445</v>
      </c>
      <c r="M120" s="7">
        <v>302.0</v>
      </c>
      <c r="N120" s="7">
        <v>1.61</v>
      </c>
      <c r="O120" s="7">
        <v>1.0</v>
      </c>
      <c r="P120" s="7">
        <v>1.0</v>
      </c>
      <c r="Q120" s="10">
        <f t="shared" si="2"/>
        <v>60.50316179</v>
      </c>
      <c r="R120" s="11">
        <f t="shared" si="3"/>
        <v>15.73033708</v>
      </c>
      <c r="S120" s="12">
        <f t="shared" si="4"/>
        <v>1.75</v>
      </c>
      <c r="T120" s="8">
        <f t="shared" si="50"/>
        <v>7</v>
      </c>
      <c r="U120" s="13">
        <f>T120/vlookup(A120,Max!$A$2:$AP$700,column(Max!$AP$2),false)</f>
        <v>1.272727273</v>
      </c>
      <c r="V120" s="8">
        <f t="shared" si="6"/>
        <v>4.363808482</v>
      </c>
      <c r="W120" s="14">
        <f t="shared" si="7"/>
        <v>1.007095326</v>
      </c>
      <c r="X120" s="14">
        <f t="shared" si="8"/>
        <v>1.015150505</v>
      </c>
      <c r="Y120" s="14">
        <f t="shared" si="9"/>
        <v>1.5</v>
      </c>
      <c r="Z120" s="14">
        <f t="shared" si="10"/>
        <v>1.025444154</v>
      </c>
      <c r="AA120" s="15">
        <f t="shared" si="11"/>
        <v>0</v>
      </c>
      <c r="AB120" s="29">
        <v>0.0</v>
      </c>
      <c r="AC120" s="15" t="str">
        <f t="shared" si="40"/>
        <v>{
$name$: $ISE-100$,
$config$: $ISE100$,
$cost$: 7
},</v>
      </c>
      <c r="AD120" s="15" t="str">
        <f t="shared" si="41"/>
        <v/>
      </c>
      <c r="AE120" s="15" t="str">
        <f t="shared" si="56"/>
        <v/>
      </c>
      <c r="AF120" s="15" t="str">
        <f t="shared" si="54"/>
        <v/>
      </c>
      <c r="AG120" s="15" t="str">
        <f t="shared" si="55"/>
        <v/>
      </c>
    </row>
    <row r="121" ht="15.75" customHeight="1">
      <c r="A121" s="18" t="s">
        <v>184</v>
      </c>
      <c r="B121" s="16" t="s">
        <v>185</v>
      </c>
      <c r="C121" s="17">
        <f t="shared" si="1"/>
        <v>1444</v>
      </c>
      <c r="D121" s="16">
        <v>1966.0</v>
      </c>
      <c r="E121" s="16" t="b">
        <v>1</v>
      </c>
      <c r="F121" s="16" t="b">
        <v>1</v>
      </c>
      <c r="G121" s="16" t="b">
        <v>0</v>
      </c>
      <c r="H121" s="16" t="b">
        <v>1</v>
      </c>
      <c r="I121" s="16" t="b">
        <v>0</v>
      </c>
      <c r="J121" s="18" t="b">
        <v>0</v>
      </c>
      <c r="K121" s="16">
        <v>1566.708</v>
      </c>
      <c r="L121" s="16">
        <v>889.644</v>
      </c>
      <c r="M121" s="16">
        <v>418.0</v>
      </c>
      <c r="N121" s="16">
        <v>4.94</v>
      </c>
      <c r="O121" s="16">
        <v>0.987931</v>
      </c>
      <c r="P121" s="16">
        <v>0.986538</v>
      </c>
      <c r="Q121" s="19">
        <f t="shared" si="2"/>
        <v>57.90386006</v>
      </c>
      <c r="R121" s="20">
        <f t="shared" si="3"/>
        <v>1.623121159</v>
      </c>
      <c r="S121" s="21">
        <f t="shared" si="4"/>
        <v>4</v>
      </c>
      <c r="T121" s="17">
        <f t="shared" si="50"/>
        <v>1444</v>
      </c>
      <c r="U121" s="22">
        <f>T121/vlookup(A121,Max!$A$2:$AP$700,column(Max!$AP$2),false)</f>
        <v>0.9025</v>
      </c>
      <c r="V121" s="17">
        <f t="shared" si="6"/>
        <v>457.7358324</v>
      </c>
      <c r="W121" s="23">
        <f t="shared" si="7"/>
        <v>2.520190337</v>
      </c>
      <c r="X121" s="23">
        <f t="shared" si="8"/>
        <v>1.301519165</v>
      </c>
      <c r="Y121" s="23">
        <f t="shared" si="9"/>
        <v>1</v>
      </c>
      <c r="Z121" s="23">
        <f t="shared" si="10"/>
        <v>0.9616412679</v>
      </c>
      <c r="AA121" s="26">
        <f t="shared" si="11"/>
        <v>0</v>
      </c>
      <c r="AB121" s="25">
        <v>0.0</v>
      </c>
      <c r="AC121" s="26" t="str">
        <f t="shared" si="40"/>
        <v>{
$name$: $J-2-200K$,
$config$: $J2$,
$cost$: 1444
},</v>
      </c>
      <c r="AD121" s="26" t="str">
        <f t="shared" si="41"/>
        <v/>
      </c>
      <c r="AE121" s="26" t="str">
        <f t="shared" si="56"/>
        <v/>
      </c>
      <c r="AF121" s="26" t="str">
        <f t="shared" si="54"/>
        <v/>
      </c>
      <c r="AG121" s="26" t="str">
        <f t="shared" si="55"/>
        <v/>
      </c>
    </row>
    <row r="122" ht="15.75" customHeight="1">
      <c r="A122" s="9" t="s">
        <v>186</v>
      </c>
      <c r="B122" s="7" t="s">
        <v>185</v>
      </c>
      <c r="C122" s="8">
        <f t="shared" si="1"/>
        <v>75</v>
      </c>
      <c r="D122" s="7">
        <v>1966.0</v>
      </c>
      <c r="E122" s="7" t="b">
        <v>1</v>
      </c>
      <c r="F122" s="7" t="b">
        <v>1</v>
      </c>
      <c r="G122" s="7" t="b">
        <v>0</v>
      </c>
      <c r="H122" s="7" t="b">
        <v>1</v>
      </c>
      <c r="I122" s="7" t="b">
        <v>0</v>
      </c>
      <c r="J122" s="9" t="b">
        <v>0</v>
      </c>
      <c r="K122" s="33">
        <f>1566.708*1.093</f>
        <v>1712.411844</v>
      </c>
      <c r="L122" s="7">
        <v>889.644</v>
      </c>
      <c r="M122" s="7">
        <v>418.0</v>
      </c>
      <c r="N122" s="7">
        <v>4.94</v>
      </c>
      <c r="O122" s="7">
        <v>0.987931</v>
      </c>
      <c r="P122" s="7">
        <v>0.986538</v>
      </c>
      <c r="Q122" s="10">
        <f t="shared" si="2"/>
        <v>52.97699914</v>
      </c>
      <c r="R122" s="11">
        <f t="shared" si="3"/>
        <v>1.707424543</v>
      </c>
      <c r="S122" s="12">
        <f t="shared" si="4"/>
        <v>4</v>
      </c>
      <c r="T122" s="8">
        <f t="shared" si="50"/>
        <v>1519</v>
      </c>
      <c r="U122" s="13" t="str">
        <f>T122/vlookup(A122,Max!$A$2:$AP$700,column(Max!$AP$2),false)</f>
        <v>#N/A</v>
      </c>
      <c r="V122" s="8">
        <f t="shared" si="6"/>
        <v>481.5064932</v>
      </c>
      <c r="W122" s="14">
        <f t="shared" si="7"/>
        <v>2.520190337</v>
      </c>
      <c r="X122" s="14">
        <f t="shared" si="8"/>
        <v>1.301519165</v>
      </c>
      <c r="Y122" s="14">
        <f t="shared" si="9"/>
        <v>1</v>
      </c>
      <c r="Z122" s="14">
        <f t="shared" si="10"/>
        <v>0.9616412679</v>
      </c>
      <c r="AA122" s="27">
        <f t="shared" si="11"/>
        <v>75</v>
      </c>
      <c r="AB122" s="15">
        <f t="shared" ref="AB122:AB127" si="59">if(iserror(find("$",A122)),1,2)</f>
        <v>2</v>
      </c>
      <c r="AC122" s="15" t="str">
        <f t="shared" si="40"/>
        <v/>
      </c>
      <c r="AD122" s="15" t="str">
        <f t="shared" si="41"/>
        <v/>
      </c>
      <c r="AE122" s="15" t="str">
        <f t="shared" si="56"/>
        <v>		@CONFIG[J-2-200K]
		{
			@SUBCONFIG[EngineConditioningKit] { %cost = 75 }
		}</v>
      </c>
      <c r="AF122" s="15" t="str">
        <f t="shared" si="54"/>
        <v>J-2-200K</v>
      </c>
      <c r="AG122" s="15" t="str">
        <f t="shared" si="55"/>
        <v>EngineConditioningKit</v>
      </c>
    </row>
    <row r="123" ht="15.75" customHeight="1">
      <c r="A123" s="18" t="s">
        <v>187</v>
      </c>
      <c r="B123" s="16" t="s">
        <v>185</v>
      </c>
      <c r="C123" s="17">
        <f t="shared" si="1"/>
        <v>99</v>
      </c>
      <c r="D123" s="16">
        <v>1967.0</v>
      </c>
      <c r="E123" s="16" t="b">
        <v>1</v>
      </c>
      <c r="F123" s="16" t="b">
        <v>1</v>
      </c>
      <c r="G123" s="16" t="b">
        <v>0</v>
      </c>
      <c r="H123" s="16" t="b">
        <v>1</v>
      </c>
      <c r="I123" s="16" t="b">
        <v>0</v>
      </c>
      <c r="J123" s="18" t="b">
        <v>0</v>
      </c>
      <c r="K123" s="16">
        <v>1566.708</v>
      </c>
      <c r="L123" s="16">
        <v>1000.8495</v>
      </c>
      <c r="M123" s="16">
        <v>424.4</v>
      </c>
      <c r="N123" s="16">
        <v>5.15</v>
      </c>
      <c r="O123" s="16">
        <v>0.987931</v>
      </c>
      <c r="P123" s="16">
        <v>0.986538</v>
      </c>
      <c r="Q123" s="19">
        <f t="shared" si="2"/>
        <v>65.14184257</v>
      </c>
      <c r="R123" s="20">
        <f t="shared" si="3"/>
        <v>1.541690334</v>
      </c>
      <c r="S123" s="21">
        <f t="shared" si="4"/>
        <v>4</v>
      </c>
      <c r="T123" s="17">
        <f t="shared" si="50"/>
        <v>1543</v>
      </c>
      <c r="U123" s="22">
        <f>T123/vlookup(A123,Max!$A$2:$AP$700,column(Max!$AP$2),false)</f>
        <v>0.8121052632</v>
      </c>
      <c r="V123" s="17">
        <f t="shared" si="6"/>
        <v>457.7358324</v>
      </c>
      <c r="W123" s="23">
        <f t="shared" si="7"/>
        <v>2.668398728</v>
      </c>
      <c r="X123" s="23">
        <f t="shared" si="8"/>
        <v>1.313767853</v>
      </c>
      <c r="Y123" s="23">
        <f t="shared" si="9"/>
        <v>1</v>
      </c>
      <c r="Z123" s="23">
        <f t="shared" si="10"/>
        <v>0.9616412679</v>
      </c>
      <c r="AA123" s="24">
        <f t="shared" si="11"/>
        <v>99</v>
      </c>
      <c r="AB123" s="26">
        <f t="shared" si="59"/>
        <v>1</v>
      </c>
      <c r="AC123" s="26" t="str">
        <f t="shared" si="40"/>
        <v/>
      </c>
      <c r="AD123" s="26" t="str">
        <f t="shared" si="41"/>
        <v>$J-2-225K$: 99,</v>
      </c>
      <c r="AE123" s="26" t="str">
        <f t="shared" si="56"/>
        <v/>
      </c>
      <c r="AF123" s="26" t="str">
        <f t="shared" si="54"/>
        <v/>
      </c>
      <c r="AG123" s="26" t="str">
        <f t="shared" si="55"/>
        <v/>
      </c>
    </row>
    <row r="124" ht="15.75" customHeight="1">
      <c r="A124" s="9" t="s">
        <v>188</v>
      </c>
      <c r="B124" s="7" t="s">
        <v>185</v>
      </c>
      <c r="C124" s="8">
        <f t="shared" si="1"/>
        <v>179</v>
      </c>
      <c r="D124" s="7">
        <v>1967.0</v>
      </c>
      <c r="E124" s="7" t="b">
        <v>1</v>
      </c>
      <c r="F124" s="7" t="b">
        <v>1</v>
      </c>
      <c r="G124" s="7" t="b">
        <v>0</v>
      </c>
      <c r="H124" s="7" t="b">
        <v>1</v>
      </c>
      <c r="I124" s="7" t="b">
        <v>0</v>
      </c>
      <c r="J124" s="9" t="b">
        <v>0</v>
      </c>
      <c r="K124" s="33">
        <f>1566.708*1.093</f>
        <v>1712.411844</v>
      </c>
      <c r="L124" s="7">
        <v>1000.8495</v>
      </c>
      <c r="M124" s="7">
        <v>424.4</v>
      </c>
      <c r="N124" s="7">
        <v>5.15</v>
      </c>
      <c r="O124" s="7">
        <v>0.987931</v>
      </c>
      <c r="P124" s="7">
        <v>0.986538</v>
      </c>
      <c r="Q124" s="10">
        <f t="shared" si="2"/>
        <v>59.59912404</v>
      </c>
      <c r="R124" s="11">
        <f t="shared" si="3"/>
        <v>1.621622432</v>
      </c>
      <c r="S124" s="12">
        <f t="shared" si="4"/>
        <v>4</v>
      </c>
      <c r="T124" s="8">
        <f t="shared" si="50"/>
        <v>1623</v>
      </c>
      <c r="U124" s="13" t="str">
        <f>T124/vlookup(A124,Max!$A$2:$AP$700,column(Max!$AP$2),false)</f>
        <v>#N/A</v>
      </c>
      <c r="V124" s="8">
        <f t="shared" si="6"/>
        <v>481.5064932</v>
      </c>
      <c r="W124" s="14">
        <f t="shared" si="7"/>
        <v>2.668398728</v>
      </c>
      <c r="X124" s="14">
        <f t="shared" si="8"/>
        <v>1.313767853</v>
      </c>
      <c r="Y124" s="14">
        <f t="shared" si="9"/>
        <v>1</v>
      </c>
      <c r="Z124" s="14">
        <f t="shared" si="10"/>
        <v>0.9616412679</v>
      </c>
      <c r="AA124" s="27">
        <f t="shared" si="11"/>
        <v>179</v>
      </c>
      <c r="AB124" s="15">
        <f t="shared" si="59"/>
        <v>2</v>
      </c>
      <c r="AC124" s="15" t="str">
        <f t="shared" si="40"/>
        <v/>
      </c>
      <c r="AD124" s="15" t="str">
        <f t="shared" si="41"/>
        <v/>
      </c>
      <c r="AE124" s="15" t="str">
        <f t="shared" si="56"/>
        <v>		@CONFIG[J-2-225K]
		{
			@SUBCONFIG[EngineConditioningKit] { %cost = 179 }
		}</v>
      </c>
      <c r="AF124" s="15" t="str">
        <f t="shared" si="54"/>
        <v>J-2-225K</v>
      </c>
      <c r="AG124" s="15" t="str">
        <f t="shared" si="55"/>
        <v>EngineConditioningKit</v>
      </c>
    </row>
    <row r="125" ht="15.75" customHeight="1">
      <c r="A125" s="18" t="s">
        <v>189</v>
      </c>
      <c r="B125" s="16" t="s">
        <v>185</v>
      </c>
      <c r="C125" s="17">
        <f t="shared" si="1"/>
        <v>201</v>
      </c>
      <c r="D125" s="16">
        <v>1969.0</v>
      </c>
      <c r="E125" s="16" t="b">
        <v>1</v>
      </c>
      <c r="F125" s="16" t="b">
        <v>1</v>
      </c>
      <c r="G125" s="16" t="b">
        <v>0</v>
      </c>
      <c r="H125" s="16" t="b">
        <v>1</v>
      </c>
      <c r="I125" s="16" t="b">
        <v>0</v>
      </c>
      <c r="J125" s="18" t="b">
        <v>0</v>
      </c>
      <c r="K125" s="16">
        <v>1566.708</v>
      </c>
      <c r="L125" s="16">
        <v>1023.0906</v>
      </c>
      <c r="M125" s="16">
        <v>425.0</v>
      </c>
      <c r="N125" s="16">
        <v>5.26</v>
      </c>
      <c r="O125" s="16">
        <v>0.998077</v>
      </c>
      <c r="P125" s="16">
        <v>0.997794</v>
      </c>
      <c r="Q125" s="19">
        <f t="shared" si="2"/>
        <v>66.58943907</v>
      </c>
      <c r="R125" s="20">
        <f t="shared" si="3"/>
        <v>1.607873242</v>
      </c>
      <c r="S125" s="21">
        <f t="shared" si="4"/>
        <v>4</v>
      </c>
      <c r="T125" s="17">
        <f t="shared" si="50"/>
        <v>1645</v>
      </c>
      <c r="U125" s="22">
        <f>T125/vlookup(A125,Max!$A$2:$AP$700,column(Max!$AP$2),false)</f>
        <v>0.7477272727</v>
      </c>
      <c r="V125" s="17">
        <f t="shared" si="6"/>
        <v>457.7358324</v>
      </c>
      <c r="W125" s="23">
        <f t="shared" si="7"/>
        <v>2.682821306</v>
      </c>
      <c r="X125" s="23">
        <f t="shared" si="8"/>
        <v>1.320029985</v>
      </c>
      <c r="Y125" s="23">
        <f t="shared" si="9"/>
        <v>1</v>
      </c>
      <c r="Z125" s="23">
        <f t="shared" si="10"/>
        <v>1.014902572</v>
      </c>
      <c r="AA125" s="24">
        <f t="shared" si="11"/>
        <v>201</v>
      </c>
      <c r="AB125" s="26">
        <f t="shared" si="59"/>
        <v>1</v>
      </c>
      <c r="AC125" s="26" t="str">
        <f t="shared" si="40"/>
        <v/>
      </c>
      <c r="AD125" s="26" t="str">
        <f t="shared" si="41"/>
        <v>$J-2-230K$: 201,</v>
      </c>
      <c r="AE125" s="26" t="str">
        <f t="shared" si="56"/>
        <v/>
      </c>
      <c r="AF125" s="26" t="str">
        <f t="shared" si="54"/>
        <v/>
      </c>
      <c r="AG125" s="26" t="str">
        <f t="shared" si="55"/>
        <v/>
      </c>
    </row>
    <row r="126" ht="15.75" customHeight="1">
      <c r="A126" s="9" t="s">
        <v>190</v>
      </c>
      <c r="B126" s="7" t="s">
        <v>185</v>
      </c>
      <c r="C126" s="8">
        <f t="shared" si="1"/>
        <v>287</v>
      </c>
      <c r="D126" s="7">
        <v>1969.0</v>
      </c>
      <c r="E126" s="7" t="b">
        <v>1</v>
      </c>
      <c r="F126" s="7" t="b">
        <v>1</v>
      </c>
      <c r="G126" s="7" t="b">
        <v>0</v>
      </c>
      <c r="H126" s="7" t="b">
        <v>1</v>
      </c>
      <c r="I126" s="7" t="b">
        <v>0</v>
      </c>
      <c r="J126" s="9" t="b">
        <v>0</v>
      </c>
      <c r="K126" s="33">
        <f>1566.708*1.093</f>
        <v>1712.411844</v>
      </c>
      <c r="L126" s="7">
        <v>1023.0906</v>
      </c>
      <c r="M126" s="7">
        <v>425.0</v>
      </c>
      <c r="N126" s="7">
        <v>5.26</v>
      </c>
      <c r="O126" s="7">
        <v>0.998077</v>
      </c>
      <c r="P126" s="7">
        <v>0.997794</v>
      </c>
      <c r="Q126" s="10">
        <f t="shared" si="2"/>
        <v>60.92354902</v>
      </c>
      <c r="R126" s="11">
        <f t="shared" si="3"/>
        <v>1.691932269</v>
      </c>
      <c r="S126" s="12">
        <f t="shared" si="4"/>
        <v>4</v>
      </c>
      <c r="T126" s="8">
        <f t="shared" si="50"/>
        <v>1731</v>
      </c>
      <c r="U126" s="13" t="str">
        <f>T126/vlookup(A126,Max!$A$2:$AP$700,column(Max!$AP$2),false)</f>
        <v>#N/A</v>
      </c>
      <c r="V126" s="8">
        <f t="shared" si="6"/>
        <v>481.5064932</v>
      </c>
      <c r="W126" s="14">
        <f t="shared" si="7"/>
        <v>2.682821306</v>
      </c>
      <c r="X126" s="14">
        <f t="shared" si="8"/>
        <v>1.320029985</v>
      </c>
      <c r="Y126" s="14">
        <f t="shared" si="9"/>
        <v>1</v>
      </c>
      <c r="Z126" s="14">
        <f t="shared" si="10"/>
        <v>1.014902572</v>
      </c>
      <c r="AA126" s="27">
        <f t="shared" si="11"/>
        <v>287</v>
      </c>
      <c r="AB126" s="15">
        <f t="shared" si="59"/>
        <v>2</v>
      </c>
      <c r="AC126" s="15" t="str">
        <f t="shared" si="40"/>
        <v/>
      </c>
      <c r="AD126" s="15" t="str">
        <f t="shared" si="41"/>
        <v/>
      </c>
      <c r="AE126" s="15" t="str">
        <f t="shared" si="56"/>
        <v>		@CONFIG[J-2-230K]
		{
			@SUBCONFIG[EngineConditioningKit] { %cost = 287 }
		}</v>
      </c>
      <c r="AF126" s="15" t="str">
        <f t="shared" si="54"/>
        <v>J-2-230K</v>
      </c>
      <c r="AG126" s="15" t="str">
        <f t="shared" si="55"/>
        <v>EngineConditioningKit</v>
      </c>
    </row>
    <row r="127" ht="15.75" customHeight="1">
      <c r="A127" s="16" t="s">
        <v>191</v>
      </c>
      <c r="B127" s="16" t="s">
        <v>185</v>
      </c>
      <c r="C127" s="17">
        <f t="shared" si="1"/>
        <v>527</v>
      </c>
      <c r="D127" s="16">
        <v>1975.0</v>
      </c>
      <c r="E127" s="16" t="b">
        <v>1</v>
      </c>
      <c r="F127" s="16" t="b">
        <v>1</v>
      </c>
      <c r="G127" s="16" t="b">
        <v>0</v>
      </c>
      <c r="H127" s="16" t="b">
        <v>1</v>
      </c>
      <c r="I127" s="16" t="b">
        <v>0</v>
      </c>
      <c r="J127" s="18" t="b">
        <v>0</v>
      </c>
      <c r="K127" s="16">
        <v>1467.37</v>
      </c>
      <c r="L127" s="16">
        <v>1178.7783</v>
      </c>
      <c r="M127" s="16">
        <v>436.0</v>
      </c>
      <c r="N127" s="16">
        <v>8.58</v>
      </c>
      <c r="O127" s="16">
        <v>0.9995</v>
      </c>
      <c r="P127" s="16">
        <v>0.9995</v>
      </c>
      <c r="Q127" s="19">
        <f t="shared" si="2"/>
        <v>81.9165814</v>
      </c>
      <c r="R127" s="20">
        <f t="shared" si="3"/>
        <v>1.672070142</v>
      </c>
      <c r="S127" s="21">
        <f t="shared" si="4"/>
        <v>4</v>
      </c>
      <c r="T127" s="17">
        <f t="shared" si="50"/>
        <v>1971</v>
      </c>
      <c r="U127" s="22">
        <f>T127/vlookup(A127,Max!$A$2:$AP$700,column(Max!$AP$2),false)</f>
        <v>0.6358064516</v>
      </c>
      <c r="V127" s="17">
        <f t="shared" si="6"/>
        <v>441.0335983</v>
      </c>
      <c r="W127" s="23">
        <f t="shared" si="7"/>
        <v>2.964432836</v>
      </c>
      <c r="X127" s="23">
        <f t="shared" si="8"/>
        <v>1.473657789</v>
      </c>
      <c r="Y127" s="23">
        <f t="shared" si="9"/>
        <v>1</v>
      </c>
      <c r="Z127" s="23">
        <f t="shared" si="10"/>
        <v>1.022883106</v>
      </c>
      <c r="AA127" s="24">
        <f t="shared" si="11"/>
        <v>527</v>
      </c>
      <c r="AB127" s="26">
        <f t="shared" si="59"/>
        <v>1</v>
      </c>
      <c r="AC127" s="26" t="str">
        <f t="shared" si="40"/>
        <v/>
      </c>
      <c r="AD127" s="26" t="str">
        <f t="shared" si="41"/>
        <v>$J-2S$: 527,</v>
      </c>
      <c r="AE127" s="26" t="str">
        <f t="shared" si="56"/>
        <v/>
      </c>
      <c r="AF127" s="26" t="str">
        <f t="shared" si="54"/>
        <v/>
      </c>
      <c r="AG127" s="26" t="str">
        <f t="shared" si="55"/>
        <v/>
      </c>
    </row>
    <row r="128" ht="15.75" customHeight="1">
      <c r="A128" s="7" t="s">
        <v>192</v>
      </c>
      <c r="B128" s="7" t="s">
        <v>193</v>
      </c>
      <c r="C128" s="8">
        <f t="shared" si="1"/>
        <v>2020</v>
      </c>
      <c r="D128" s="7">
        <v>1977.0</v>
      </c>
      <c r="E128" s="7" t="b">
        <v>1</v>
      </c>
      <c r="F128" s="7" t="b">
        <v>1</v>
      </c>
      <c r="G128" s="7" t="b">
        <v>0</v>
      </c>
      <c r="H128" s="7" t="b">
        <v>1</v>
      </c>
      <c r="I128" s="7" t="b">
        <v>0</v>
      </c>
      <c r="J128" s="9" t="b">
        <v>0</v>
      </c>
      <c r="K128" s="7">
        <v>1511.0</v>
      </c>
      <c r="L128" s="7">
        <v>889.3</v>
      </c>
      <c r="M128" s="7">
        <v>442.0</v>
      </c>
      <c r="N128" s="7">
        <v>6.89</v>
      </c>
      <c r="O128" s="7">
        <v>0.9999</v>
      </c>
      <c r="P128" s="7">
        <v>0.9999</v>
      </c>
      <c r="Q128" s="10">
        <f t="shared" si="2"/>
        <v>60.01546165</v>
      </c>
      <c r="R128" s="11">
        <f t="shared" si="3"/>
        <v>2.271449455</v>
      </c>
      <c r="S128" s="12">
        <f t="shared" si="4"/>
        <v>4</v>
      </c>
      <c r="T128" s="8">
        <f t="shared" si="50"/>
        <v>2020</v>
      </c>
      <c r="U128" s="13">
        <f>T128/vlookup(A128,Max!$A$2:$AP$700,column(Max!$AP$2),false)</f>
        <v>0.7481481481</v>
      </c>
      <c r="V128" s="8">
        <f t="shared" si="6"/>
        <v>448.4219347</v>
      </c>
      <c r="W128" s="14">
        <f t="shared" si="7"/>
        <v>3.132759025</v>
      </c>
      <c r="X128" s="14">
        <f t="shared" si="8"/>
        <v>1.402688799</v>
      </c>
      <c r="Y128" s="14">
        <f t="shared" si="9"/>
        <v>1</v>
      </c>
      <c r="Z128" s="14">
        <f t="shared" si="10"/>
        <v>1.024931534</v>
      </c>
      <c r="AA128" s="15">
        <f t="shared" si="11"/>
        <v>0</v>
      </c>
      <c r="AB128" s="29">
        <v>0.0</v>
      </c>
      <c r="AC128" s="15" t="str">
        <f t="shared" si="40"/>
        <v>{
$name$: $J-2T-200k$,
$config$: $J2T$,
$cost$: 2020
},</v>
      </c>
      <c r="AD128" s="15" t="str">
        <f t="shared" si="41"/>
        <v/>
      </c>
      <c r="AE128" s="15" t="str">
        <f t="shared" si="56"/>
        <v/>
      </c>
      <c r="AF128" s="15" t="str">
        <f t="shared" si="54"/>
        <v/>
      </c>
      <c r="AG128" s="15" t="str">
        <f t="shared" si="55"/>
        <v/>
      </c>
    </row>
    <row r="129" ht="15.75" customHeight="1">
      <c r="A129" s="18" t="s">
        <v>194</v>
      </c>
      <c r="B129" s="16" t="s">
        <v>193</v>
      </c>
      <c r="C129" s="17">
        <f t="shared" si="1"/>
        <v>83</v>
      </c>
      <c r="D129" s="16">
        <v>1981.0</v>
      </c>
      <c r="E129" s="16" t="b">
        <v>1</v>
      </c>
      <c r="F129" s="16" t="b">
        <v>1</v>
      </c>
      <c r="G129" s="16" t="b">
        <v>0</v>
      </c>
      <c r="H129" s="16" t="b">
        <v>1</v>
      </c>
      <c r="I129" s="16" t="b">
        <v>0</v>
      </c>
      <c r="J129" s="18" t="b">
        <v>0</v>
      </c>
      <c r="K129" s="16">
        <v>1511.0</v>
      </c>
      <c r="L129" s="16">
        <v>1111.6</v>
      </c>
      <c r="M129" s="16">
        <v>440.0</v>
      </c>
      <c r="N129" s="16">
        <v>8.96</v>
      </c>
      <c r="O129" s="16">
        <v>0.9999</v>
      </c>
      <c r="P129" s="16">
        <v>0.9999</v>
      </c>
      <c r="Q129" s="19">
        <f t="shared" si="2"/>
        <v>75.01763991</v>
      </c>
      <c r="R129" s="20">
        <f t="shared" si="3"/>
        <v>1.891867578</v>
      </c>
      <c r="S129" s="21">
        <f t="shared" si="4"/>
        <v>4</v>
      </c>
      <c r="T129" s="17">
        <f t="shared" si="50"/>
        <v>2103</v>
      </c>
      <c r="U129" s="22">
        <f>T129/vlookup(A129,Max!$A$2:$AP$700,column(Max!$AP$2),false)</f>
        <v>0.6571875</v>
      </c>
      <c r="V129" s="17">
        <f t="shared" si="6"/>
        <v>448.4219347</v>
      </c>
      <c r="W129" s="23">
        <f t="shared" si="7"/>
        <v>3.075427574</v>
      </c>
      <c r="X129" s="23">
        <f t="shared" si="8"/>
        <v>1.488097223</v>
      </c>
      <c r="Y129" s="23">
        <f t="shared" si="9"/>
        <v>1</v>
      </c>
      <c r="Z129" s="23">
        <f t="shared" si="10"/>
        <v>1.024931534</v>
      </c>
      <c r="AA129" s="24">
        <f t="shared" si="11"/>
        <v>83</v>
      </c>
      <c r="AB129" s="26">
        <f>if(iserror(find("$",A129)),1,2)</f>
        <v>1</v>
      </c>
      <c r="AC129" s="26" t="str">
        <f t="shared" si="40"/>
        <v/>
      </c>
      <c r="AD129" s="26" t="str">
        <f t="shared" si="41"/>
        <v>$J-2T-250K$: 83,</v>
      </c>
      <c r="AE129" s="26" t="str">
        <f t="shared" si="56"/>
        <v/>
      </c>
      <c r="AF129" s="26" t="str">
        <f t="shared" si="54"/>
        <v/>
      </c>
      <c r="AG129" s="26" t="str">
        <f t="shared" si="55"/>
        <v/>
      </c>
    </row>
    <row r="130" ht="15.75" customHeight="1">
      <c r="A130" s="7" t="s">
        <v>195</v>
      </c>
      <c r="B130" s="7" t="s">
        <v>196</v>
      </c>
      <c r="C130" s="8">
        <f t="shared" si="1"/>
        <v>3458</v>
      </c>
      <c r="D130" s="7">
        <v>2012.0</v>
      </c>
      <c r="E130" s="7" t="b">
        <v>1</v>
      </c>
      <c r="F130" s="7" t="b">
        <v>1</v>
      </c>
      <c r="G130" s="7" t="b">
        <v>0</v>
      </c>
      <c r="H130" s="7" t="b">
        <v>0</v>
      </c>
      <c r="I130" s="7" t="b">
        <v>0</v>
      </c>
      <c r="J130" s="9" t="b">
        <v>0</v>
      </c>
      <c r="K130" s="7">
        <v>2470.0</v>
      </c>
      <c r="L130" s="7">
        <v>1307.5</v>
      </c>
      <c r="M130" s="7">
        <v>448.0</v>
      </c>
      <c r="N130" s="7">
        <v>9.22</v>
      </c>
      <c r="O130" s="7">
        <v>0.9999</v>
      </c>
      <c r="P130" s="7">
        <v>0.9999</v>
      </c>
      <c r="Q130" s="10">
        <f t="shared" si="2"/>
        <v>53.97890464</v>
      </c>
      <c r="R130" s="11">
        <f t="shared" si="3"/>
        <v>2.644741874</v>
      </c>
      <c r="S130" s="12">
        <f t="shared" si="4"/>
        <v>4</v>
      </c>
      <c r="T130" s="8">
        <f t="shared" si="50"/>
        <v>3458</v>
      </c>
      <c r="U130" s="13">
        <f>T130/vlookup(A130,Max!$A$2:$AP$700,column(Max!$AP$2),false)</f>
        <v>1.280740741</v>
      </c>
      <c r="V130" s="8">
        <f t="shared" si="6"/>
        <v>594.3130524</v>
      </c>
      <c r="W130" s="14">
        <f t="shared" si="7"/>
        <v>3.312441276</v>
      </c>
      <c r="X130" s="14">
        <f t="shared" si="8"/>
        <v>1.713570388</v>
      </c>
      <c r="Y130" s="14">
        <f t="shared" si="9"/>
        <v>1</v>
      </c>
      <c r="Z130" s="14">
        <f t="shared" si="10"/>
        <v>1.025187812</v>
      </c>
      <c r="AA130" s="15">
        <f t="shared" si="11"/>
        <v>0</v>
      </c>
      <c r="AB130" s="29">
        <v>0.0</v>
      </c>
      <c r="AC130" s="15" t="str">
        <f t="shared" si="40"/>
        <v>{
$name$: $J-2X$,
$config$: $J2X$,
$cost$: 3458
},</v>
      </c>
      <c r="AD130" s="15" t="str">
        <f t="shared" si="41"/>
        <v/>
      </c>
      <c r="AE130" s="15" t="str">
        <f t="shared" si="56"/>
        <v/>
      </c>
      <c r="AF130" s="15" t="str">
        <f t="shared" si="54"/>
        <v/>
      </c>
      <c r="AG130" s="15" t="str">
        <f t="shared" si="55"/>
        <v/>
      </c>
    </row>
    <row r="131" ht="15.75" customHeight="1">
      <c r="A131" s="16" t="s">
        <v>197</v>
      </c>
      <c r="B131" s="16" t="s">
        <v>198</v>
      </c>
      <c r="C131" s="17">
        <f t="shared" si="1"/>
        <v>163</v>
      </c>
      <c r="D131" s="16">
        <v>1960.0</v>
      </c>
      <c r="E131" s="16"/>
      <c r="F131" s="16" t="b">
        <v>0</v>
      </c>
      <c r="G131" s="16" t="b">
        <v>0</v>
      </c>
      <c r="H131" s="16" t="b">
        <v>1</v>
      </c>
      <c r="I131" s="16" t="b">
        <v>0</v>
      </c>
      <c r="J131" s="18" t="b">
        <v>0</v>
      </c>
      <c r="K131" s="18">
        <v>380.0</v>
      </c>
      <c r="L131" s="16">
        <v>200.1699</v>
      </c>
      <c r="M131" s="16">
        <v>304.0</v>
      </c>
      <c r="N131" s="16">
        <v>1.38</v>
      </c>
      <c r="O131" s="16">
        <v>0.98</v>
      </c>
      <c r="P131" s="16">
        <v>0.985</v>
      </c>
      <c r="Q131" s="19">
        <f t="shared" si="2"/>
        <v>53.71486626</v>
      </c>
      <c r="R131" s="20">
        <f t="shared" si="3"/>
        <v>0.8143082451</v>
      </c>
      <c r="S131" s="21">
        <f t="shared" si="4"/>
        <v>1.75</v>
      </c>
      <c r="T131" s="17">
        <f t="shared" si="50"/>
        <v>163</v>
      </c>
      <c r="U131" s="22">
        <f>T131/vlookup(A131,Max!$A$2:$AP$700,column(Max!$AP$2),false)</f>
        <v>0.815</v>
      </c>
      <c r="V131" s="17">
        <f t="shared" si="6"/>
        <v>171.5157461</v>
      </c>
      <c r="W131" s="23">
        <f t="shared" si="7"/>
        <v>1.016396816</v>
      </c>
      <c r="X131" s="23">
        <f t="shared" si="8"/>
        <v>0.97686556</v>
      </c>
      <c r="Y131" s="23">
        <f t="shared" si="9"/>
        <v>1</v>
      </c>
      <c r="Z131" s="23">
        <f t="shared" si="10"/>
        <v>0.9590408115</v>
      </c>
      <c r="AA131" s="26">
        <f t="shared" si="11"/>
        <v>0</v>
      </c>
      <c r="AB131" s="25">
        <v>0.0</v>
      </c>
      <c r="AC131" s="26" t="str">
        <f t="shared" si="40"/>
        <v>{
$name$: $Juno45k-BI$,
$config$: $Juno45k$,
$cost$: 163
},</v>
      </c>
      <c r="AD131" s="26" t="str">
        <f t="shared" si="41"/>
        <v/>
      </c>
      <c r="AE131" s="26" t="str">
        <f t="shared" si="56"/>
        <v/>
      </c>
      <c r="AF131" s="26" t="str">
        <f t="shared" si="54"/>
        <v/>
      </c>
      <c r="AG131" s="26" t="str">
        <f t="shared" si="55"/>
        <v/>
      </c>
    </row>
    <row r="132" ht="15.75" customHeight="1">
      <c r="A132" s="7" t="s">
        <v>199</v>
      </c>
      <c r="B132" s="7" t="s">
        <v>198</v>
      </c>
      <c r="C132" s="8">
        <f t="shared" si="1"/>
        <v>5</v>
      </c>
      <c r="D132" s="7">
        <v>1962.0</v>
      </c>
      <c r="E132" s="7"/>
      <c r="F132" s="7" t="b">
        <v>0</v>
      </c>
      <c r="G132" s="7" t="b">
        <v>0</v>
      </c>
      <c r="H132" s="7" t="b">
        <v>1</v>
      </c>
      <c r="I132" s="7" t="b">
        <v>0</v>
      </c>
      <c r="J132" s="9" t="b">
        <v>0</v>
      </c>
      <c r="K132" s="9">
        <v>380.0</v>
      </c>
      <c r="L132" s="7">
        <v>253.3688</v>
      </c>
      <c r="M132" s="7">
        <v>305.0</v>
      </c>
      <c r="N132" s="7">
        <v>1.38</v>
      </c>
      <c r="O132" s="7">
        <v>0.988</v>
      </c>
      <c r="P132" s="7">
        <v>0.994</v>
      </c>
      <c r="Q132" s="10">
        <f t="shared" si="2"/>
        <v>67.99059802</v>
      </c>
      <c r="R132" s="11">
        <f t="shared" si="3"/>
        <v>0.6630650656</v>
      </c>
      <c r="S132" s="12">
        <f t="shared" si="4"/>
        <v>1.75</v>
      </c>
      <c r="T132" s="8">
        <f t="shared" si="50"/>
        <v>168</v>
      </c>
      <c r="U132" s="13">
        <f>T132/vlookup(A132,Max!$A$2:$AP$700,column(Max!$AP$2),false)</f>
        <v>0.6222222222</v>
      </c>
      <c r="V132" s="8">
        <f t="shared" si="6"/>
        <v>171.5157461</v>
      </c>
      <c r="W132" s="14">
        <f t="shared" si="7"/>
        <v>1.021881862</v>
      </c>
      <c r="X132" s="14">
        <f t="shared" si="8"/>
        <v>0.97686556</v>
      </c>
      <c r="Y132" s="14">
        <f t="shared" si="9"/>
        <v>1</v>
      </c>
      <c r="Z132" s="14">
        <f t="shared" si="10"/>
        <v>0.9800998799</v>
      </c>
      <c r="AA132" s="27">
        <f t="shared" si="11"/>
        <v>5</v>
      </c>
      <c r="AB132" s="15">
        <f>if(iserror(find("$",A132)),1,2)</f>
        <v>1</v>
      </c>
      <c r="AC132" s="15" t="str">
        <f t="shared" si="40"/>
        <v/>
      </c>
      <c r="AD132" s="15" t="str">
        <f t="shared" si="41"/>
        <v>$Juno45k-BII$: 5,</v>
      </c>
      <c r="AE132" s="15" t="str">
        <f t="shared" si="56"/>
        <v/>
      </c>
      <c r="AF132" s="15" t="str">
        <f t="shared" si="54"/>
        <v/>
      </c>
      <c r="AG132" s="15" t="str">
        <f t="shared" si="55"/>
        <v/>
      </c>
    </row>
    <row r="133" ht="15.75" customHeight="1">
      <c r="A133" s="16" t="s">
        <v>200</v>
      </c>
      <c r="B133" s="16" t="s">
        <v>201</v>
      </c>
      <c r="C133" s="17">
        <f t="shared" si="1"/>
        <v>59</v>
      </c>
      <c r="D133" s="16">
        <v>1960.0</v>
      </c>
      <c r="E133" s="16"/>
      <c r="F133" s="16" t="b">
        <v>0</v>
      </c>
      <c r="G133" s="16" t="b">
        <v>0</v>
      </c>
      <c r="H133" s="16" t="b">
        <v>1</v>
      </c>
      <c r="I133" s="16" t="b">
        <v>0</v>
      </c>
      <c r="J133" s="18" t="b">
        <v>0</v>
      </c>
      <c r="K133" s="16">
        <v>83.9</v>
      </c>
      <c r="L133" s="16">
        <v>26.68932</v>
      </c>
      <c r="M133" s="16">
        <v>300.0</v>
      </c>
      <c r="N133" s="16">
        <v>1.03</v>
      </c>
      <c r="O133" s="16">
        <v>0.98</v>
      </c>
      <c r="P133" s="16">
        <v>0.98</v>
      </c>
      <c r="Q133" s="19">
        <f t="shared" si="2"/>
        <v>32.43805988</v>
      </c>
      <c r="R133" s="20">
        <f t="shared" si="3"/>
        <v>2.210622077</v>
      </c>
      <c r="S133" s="21">
        <f t="shared" si="4"/>
        <v>1.75</v>
      </c>
      <c r="T133" s="17">
        <f t="shared" si="50"/>
        <v>59</v>
      </c>
      <c r="U133" s="22">
        <f>T133/vlookup(A133,Max!$A$2:$AP$700,column(Max!$AP$2),false)</f>
        <v>2.565217391</v>
      </c>
      <c r="V133" s="17">
        <f t="shared" si="6"/>
        <v>68.5978989</v>
      </c>
      <c r="W133" s="23">
        <f t="shared" si="7"/>
        <v>1</v>
      </c>
      <c r="X133" s="23">
        <f t="shared" si="8"/>
        <v>0.9146403984</v>
      </c>
      <c r="Y133" s="23">
        <f t="shared" si="9"/>
        <v>1</v>
      </c>
      <c r="Z133" s="23">
        <f t="shared" si="10"/>
        <v>0.9469165382</v>
      </c>
      <c r="AA133" s="26">
        <f t="shared" si="11"/>
        <v>0</v>
      </c>
      <c r="AB133" s="25">
        <v>0.0</v>
      </c>
      <c r="AC133" s="26" t="str">
        <f t="shared" si="40"/>
        <v>{
$name$: $Juno6k-BI$,
$config$: $Juno6k$,
$cost$: 59
},</v>
      </c>
      <c r="AD133" s="26" t="str">
        <f t="shared" si="41"/>
        <v/>
      </c>
      <c r="AE133" s="26" t="str">
        <f t="shared" si="56"/>
        <v/>
      </c>
      <c r="AF133" s="26" t="str">
        <f t="shared" si="54"/>
        <v/>
      </c>
      <c r="AG133" s="26" t="str">
        <f t="shared" si="55"/>
        <v/>
      </c>
    </row>
    <row r="134" ht="15.75" customHeight="1">
      <c r="A134" s="7" t="s">
        <v>202</v>
      </c>
      <c r="B134" s="7" t="s">
        <v>201</v>
      </c>
      <c r="C134" s="8">
        <f t="shared" si="1"/>
        <v>3</v>
      </c>
      <c r="D134" s="7">
        <v>1962.0</v>
      </c>
      <c r="E134" s="7"/>
      <c r="F134" s="7" t="b">
        <v>0</v>
      </c>
      <c r="G134" s="7" t="b">
        <v>0</v>
      </c>
      <c r="H134" s="7" t="b">
        <v>1</v>
      </c>
      <c r="I134" s="7" t="b">
        <v>0</v>
      </c>
      <c r="J134" s="9" t="b">
        <v>0</v>
      </c>
      <c r="K134" s="7">
        <v>83.9</v>
      </c>
      <c r="L134" s="7">
        <v>34.176</v>
      </c>
      <c r="M134" s="7">
        <v>302.0</v>
      </c>
      <c r="N134" s="7">
        <v>1.03</v>
      </c>
      <c r="O134" s="7">
        <v>0.9875</v>
      </c>
      <c r="P134" s="7">
        <v>0.994444</v>
      </c>
      <c r="Q134" s="10">
        <f t="shared" si="2"/>
        <v>41.53733158</v>
      </c>
      <c r="R134" s="11">
        <f t="shared" si="3"/>
        <v>1.814138577</v>
      </c>
      <c r="S134" s="12">
        <f t="shared" si="4"/>
        <v>1.75</v>
      </c>
      <c r="T134" s="8">
        <f t="shared" si="50"/>
        <v>62</v>
      </c>
      <c r="U134" s="13">
        <f>T134/vlookup(A134,Max!$A$2:$AP$700,column(Max!$AP$2),false)</f>
        <v>2.066666667</v>
      </c>
      <c r="V134" s="8">
        <f t="shared" si="6"/>
        <v>68.5978989</v>
      </c>
      <c r="W134" s="14">
        <f t="shared" si="7"/>
        <v>1.007095326</v>
      </c>
      <c r="X134" s="14">
        <f t="shared" si="8"/>
        <v>0.9146403984</v>
      </c>
      <c r="Y134" s="14">
        <f t="shared" si="9"/>
        <v>1</v>
      </c>
      <c r="Z134" s="14">
        <f t="shared" si="10"/>
        <v>0.9799538054</v>
      </c>
      <c r="AA134" s="27">
        <f t="shared" si="11"/>
        <v>3</v>
      </c>
      <c r="AB134" s="15">
        <f>if(iserror(find("$",A134)),1,2)</f>
        <v>1</v>
      </c>
      <c r="AC134" s="15" t="str">
        <f t="shared" si="40"/>
        <v/>
      </c>
      <c r="AD134" s="15" t="str">
        <f t="shared" si="41"/>
        <v>$Juno6k-BII$: 3,</v>
      </c>
      <c r="AE134" s="15" t="str">
        <f t="shared" si="56"/>
        <v/>
      </c>
      <c r="AF134" s="15" t="str">
        <f t="shared" si="54"/>
        <v/>
      </c>
      <c r="AG134" s="15" t="str">
        <f t="shared" si="55"/>
        <v/>
      </c>
    </row>
    <row r="135" ht="15.75" customHeight="1">
      <c r="A135" s="16" t="s">
        <v>203</v>
      </c>
      <c r="B135" s="16" t="s">
        <v>203</v>
      </c>
      <c r="C135" s="17">
        <f t="shared" si="1"/>
        <v>54</v>
      </c>
      <c r="D135" s="16">
        <v>2006.0</v>
      </c>
      <c r="E135" s="16"/>
      <c r="F135" s="16" t="b">
        <v>0</v>
      </c>
      <c r="G135" s="16" t="b">
        <v>0</v>
      </c>
      <c r="H135" s="16" t="b">
        <v>1</v>
      </c>
      <c r="I135" s="16" t="b">
        <v>0</v>
      </c>
      <c r="J135" s="18" t="b">
        <v>0</v>
      </c>
      <c r="K135" s="16">
        <v>52.0</v>
      </c>
      <c r="L135" s="16">
        <v>30.5</v>
      </c>
      <c r="M135" s="16">
        <v>317.0</v>
      </c>
      <c r="N135" s="16">
        <v>1.03</v>
      </c>
      <c r="O135" s="16">
        <v>1.0</v>
      </c>
      <c r="P135" s="16">
        <v>1.0</v>
      </c>
      <c r="Q135" s="19">
        <f t="shared" si="2"/>
        <v>59.8102777</v>
      </c>
      <c r="R135" s="20">
        <f t="shared" si="3"/>
        <v>1.770491803</v>
      </c>
      <c r="S135" s="21">
        <f t="shared" si="4"/>
        <v>1.75</v>
      </c>
      <c r="T135" s="17">
        <f t="shared" si="50"/>
        <v>54</v>
      </c>
      <c r="U135" s="22">
        <f>T135/vlookup(A135,Max!$A$2:$AP$700,column(Max!$AP$2),false)</f>
        <v>1.8</v>
      </c>
      <c r="V135" s="17">
        <f t="shared" si="6"/>
        <v>51.47592973</v>
      </c>
      <c r="W135" s="23">
        <f t="shared" si="7"/>
        <v>1.123541165</v>
      </c>
      <c r="X135" s="23">
        <f t="shared" si="8"/>
        <v>0.9146403984</v>
      </c>
      <c r="Y135" s="23">
        <f t="shared" si="9"/>
        <v>1</v>
      </c>
      <c r="Z135" s="23">
        <f t="shared" si="10"/>
        <v>1.025444154</v>
      </c>
      <c r="AA135" s="26">
        <f t="shared" si="11"/>
        <v>0</v>
      </c>
      <c r="AB135" s="25">
        <v>0.0</v>
      </c>
      <c r="AC135" s="26" t="str">
        <f t="shared" si="40"/>
        <v>{
$name$: $Kestrel$,
$config$: $Kestrel$,
$cost$: 54
},</v>
      </c>
      <c r="AD135" s="26" t="str">
        <f t="shared" si="41"/>
        <v/>
      </c>
      <c r="AE135" s="26" t="str">
        <f t="shared" si="56"/>
        <v/>
      </c>
      <c r="AF135" s="26" t="str">
        <f t="shared" si="54"/>
        <v/>
      </c>
      <c r="AG135" s="26" t="str">
        <f t="shared" si="55"/>
        <v/>
      </c>
    </row>
    <row r="136" ht="15.75" customHeight="1">
      <c r="A136" s="7" t="s">
        <v>204</v>
      </c>
      <c r="B136" s="7" t="s">
        <v>203</v>
      </c>
      <c r="C136" s="8">
        <f t="shared" si="1"/>
        <v>1</v>
      </c>
      <c r="D136" s="7">
        <v>2007.0</v>
      </c>
      <c r="E136" s="7"/>
      <c r="F136" s="7" t="b">
        <v>0</v>
      </c>
      <c r="G136" s="7" t="b">
        <v>0</v>
      </c>
      <c r="H136" s="7" t="b">
        <v>1</v>
      </c>
      <c r="I136" s="7" t="b">
        <v>0</v>
      </c>
      <c r="J136" s="9" t="b">
        <v>0</v>
      </c>
      <c r="K136" s="7">
        <v>52.0</v>
      </c>
      <c r="L136" s="7">
        <v>30.7</v>
      </c>
      <c r="M136" s="7">
        <v>320.0</v>
      </c>
      <c r="N136" s="7">
        <v>1.03</v>
      </c>
      <c r="O136" s="7">
        <v>1.0</v>
      </c>
      <c r="P136" s="7">
        <v>1.0</v>
      </c>
      <c r="Q136" s="10">
        <f t="shared" si="2"/>
        <v>60.20247624</v>
      </c>
      <c r="R136" s="11">
        <f t="shared" si="3"/>
        <v>1.791530945</v>
      </c>
      <c r="S136" s="12">
        <f t="shared" si="4"/>
        <v>1.75</v>
      </c>
      <c r="T136" s="8">
        <f t="shared" si="50"/>
        <v>55</v>
      </c>
      <c r="U136" s="13">
        <f>T136/vlookup(A136,Max!$A$2:$AP$700,column(Max!$AP$2),false)</f>
        <v>1.774193548</v>
      </c>
      <c r="V136" s="8">
        <f t="shared" si="6"/>
        <v>51.47592973</v>
      </c>
      <c r="W136" s="14">
        <f t="shared" si="7"/>
        <v>1.147610757</v>
      </c>
      <c r="X136" s="14">
        <f t="shared" si="8"/>
        <v>0.9146403984</v>
      </c>
      <c r="Y136" s="14">
        <f t="shared" si="9"/>
        <v>1</v>
      </c>
      <c r="Z136" s="14">
        <f t="shared" si="10"/>
        <v>1.025444154</v>
      </c>
      <c r="AA136" s="27">
        <f t="shared" si="11"/>
        <v>1</v>
      </c>
      <c r="AB136" s="15">
        <f>if(iserror(find("$",A136)),1,2)</f>
        <v>1</v>
      </c>
      <c r="AC136" s="15" t="str">
        <f t="shared" si="40"/>
        <v/>
      </c>
      <c r="AD136" s="15" t="str">
        <f t="shared" si="41"/>
        <v>$Kestrel-2$: 1,</v>
      </c>
      <c r="AE136" s="15" t="str">
        <f t="shared" si="56"/>
        <v/>
      </c>
      <c r="AF136" s="15" t="str">
        <f t="shared" si="54"/>
        <v/>
      </c>
      <c r="AG136" s="15" t="str">
        <f t="shared" si="55"/>
        <v/>
      </c>
    </row>
    <row r="137" ht="15.75" customHeight="1">
      <c r="A137" s="16" t="s">
        <v>205</v>
      </c>
      <c r="B137" s="16" t="s">
        <v>206</v>
      </c>
      <c r="C137" s="17">
        <f t="shared" si="1"/>
        <v>65</v>
      </c>
      <c r="D137" s="16">
        <v>2008.0</v>
      </c>
      <c r="E137" s="16"/>
      <c r="F137" s="16" t="b">
        <v>0</v>
      </c>
      <c r="G137" s="16" t="b">
        <v>0</v>
      </c>
      <c r="H137" s="16" t="b">
        <v>1</v>
      </c>
      <c r="I137" s="16" t="b">
        <v>0</v>
      </c>
      <c r="J137" s="18" t="b">
        <v>0</v>
      </c>
      <c r="K137" s="16">
        <v>60.0</v>
      </c>
      <c r="L137" s="16">
        <v>35.1</v>
      </c>
      <c r="M137" s="16">
        <v>331.0</v>
      </c>
      <c r="N137" s="16">
        <v>1.03</v>
      </c>
      <c r="O137" s="16">
        <v>1.0</v>
      </c>
      <c r="P137" s="16">
        <v>1.0</v>
      </c>
      <c r="Q137" s="19">
        <f t="shared" si="2"/>
        <v>59.65339829</v>
      </c>
      <c r="R137" s="20">
        <f t="shared" si="3"/>
        <v>1.851851852</v>
      </c>
      <c r="S137" s="21">
        <f t="shared" si="4"/>
        <v>1.75</v>
      </c>
      <c r="T137" s="17">
        <f t="shared" si="50"/>
        <v>65</v>
      </c>
      <c r="U137" s="22">
        <f>T137/vlookup(A137,Max!$A$2:$AP$700,column(Max!$AP$2),false)</f>
        <v>1.911764706</v>
      </c>
      <c r="V137" s="17">
        <f t="shared" si="6"/>
        <v>56.08373075</v>
      </c>
      <c r="W137" s="23">
        <f t="shared" si="7"/>
        <v>1.242337337</v>
      </c>
      <c r="X137" s="23">
        <f t="shared" si="8"/>
        <v>0.9146403984</v>
      </c>
      <c r="Y137" s="23">
        <f t="shared" si="9"/>
        <v>1</v>
      </c>
      <c r="Z137" s="23">
        <f t="shared" si="10"/>
        <v>1.025444154</v>
      </c>
      <c r="AA137" s="26">
        <f t="shared" si="11"/>
        <v>0</v>
      </c>
      <c r="AB137" s="25">
        <v>0.0</v>
      </c>
      <c r="AC137" s="26" t="str">
        <f t="shared" si="40"/>
        <v>{
$name$: $Kestrel-1B$,
$config$: $Kestrel_1B$,
$cost$: 65
},</v>
      </c>
      <c r="AD137" s="26" t="str">
        <f t="shared" si="41"/>
        <v/>
      </c>
      <c r="AE137" s="26" t="str">
        <f t="shared" si="56"/>
        <v/>
      </c>
      <c r="AF137" s="26" t="str">
        <f t="shared" si="54"/>
        <v/>
      </c>
      <c r="AG137" s="26" t="str">
        <f t="shared" si="55"/>
        <v/>
      </c>
    </row>
    <row r="138" ht="15.75" customHeight="1">
      <c r="A138" s="7" t="s">
        <v>207</v>
      </c>
      <c r="B138" s="7" t="s">
        <v>207</v>
      </c>
      <c r="C138" s="8">
        <f t="shared" si="1"/>
        <v>1345</v>
      </c>
      <c r="D138" s="7"/>
      <c r="E138" s="7" t="b">
        <v>1</v>
      </c>
      <c r="F138" s="7" t="b">
        <v>1</v>
      </c>
      <c r="G138" s="7" t="b">
        <v>0</v>
      </c>
      <c r="H138" s="7" t="b">
        <v>1</v>
      </c>
      <c r="I138" s="7" t="b">
        <v>0</v>
      </c>
      <c r="J138" s="9" t="b">
        <v>1</v>
      </c>
      <c r="K138" s="7">
        <v>12080.0</v>
      </c>
      <c r="L138" s="7">
        <v>29.3</v>
      </c>
      <c r="M138" s="7">
        <v>768.0</v>
      </c>
      <c r="N138" s="7">
        <v>1.415</v>
      </c>
      <c r="O138" s="7">
        <v>1.0</v>
      </c>
      <c r="P138" s="7">
        <v>1.0</v>
      </c>
      <c r="Q138" s="10">
        <f t="shared" si="2"/>
        <v>0.2473318291</v>
      </c>
      <c r="R138" s="11">
        <f t="shared" si="3"/>
        <v>45.90443686</v>
      </c>
      <c r="S138" s="12">
        <f t="shared" si="4"/>
        <v>4</v>
      </c>
      <c r="T138" s="8">
        <f t="shared" si="50"/>
        <v>1345</v>
      </c>
      <c r="U138" s="13">
        <f>T138/vlookup(A138,Max!$A$2:$AP$700,column(Max!$AP$2),false)</f>
        <v>2.537735849</v>
      </c>
      <c r="V138" s="8">
        <f t="shared" si="6"/>
        <v>1524.980681</v>
      </c>
      <c r="W138" s="14">
        <f t="shared" si="7"/>
        <v>0.4489806538</v>
      </c>
      <c r="X138" s="14">
        <f t="shared" si="8"/>
        <v>0.9823860868</v>
      </c>
      <c r="Y138" s="14">
        <f t="shared" si="9"/>
        <v>2</v>
      </c>
      <c r="Z138" s="14">
        <f t="shared" si="10"/>
        <v>1</v>
      </c>
      <c r="AA138" s="15">
        <f t="shared" si="11"/>
        <v>0</v>
      </c>
      <c r="AB138" s="29">
        <v>0.0</v>
      </c>
      <c r="AC138" s="15" t="str">
        <f t="shared" si="40"/>
        <v>{
$name$: $KIWIA24$,
$config$: $KIWIA24$,
$cost$: 1345
},</v>
      </c>
      <c r="AD138" s="15" t="str">
        <f t="shared" si="41"/>
        <v/>
      </c>
      <c r="AE138" s="15" t="str">
        <f t="shared" si="56"/>
        <v/>
      </c>
      <c r="AF138" s="15" t="str">
        <f t="shared" si="54"/>
        <v/>
      </c>
      <c r="AG138" s="15" t="str">
        <f t="shared" si="55"/>
        <v/>
      </c>
    </row>
    <row r="139" ht="15.75" customHeight="1">
      <c r="A139" s="16" t="s">
        <v>208</v>
      </c>
      <c r="B139" s="16" t="s">
        <v>208</v>
      </c>
      <c r="C139" s="17">
        <f t="shared" si="1"/>
        <v>5437</v>
      </c>
      <c r="D139" s="16"/>
      <c r="E139" s="16" t="b">
        <v>1</v>
      </c>
      <c r="F139" s="16" t="b">
        <v>1</v>
      </c>
      <c r="G139" s="16" t="b">
        <v>0</v>
      </c>
      <c r="H139" s="16" t="b">
        <v>1</v>
      </c>
      <c r="I139" s="16" t="b">
        <v>0</v>
      </c>
      <c r="J139" s="18" t="b">
        <v>1</v>
      </c>
      <c r="K139" s="16">
        <v>14890.0</v>
      </c>
      <c r="L139" s="16">
        <v>220.0</v>
      </c>
      <c r="M139" s="16">
        <v>830.0</v>
      </c>
      <c r="N139" s="16">
        <v>3.61</v>
      </c>
      <c r="O139" s="16">
        <v>1.0</v>
      </c>
      <c r="P139" s="16">
        <v>1.0</v>
      </c>
      <c r="Q139" s="19">
        <f t="shared" si="2"/>
        <v>1.506632412</v>
      </c>
      <c r="R139" s="20">
        <f t="shared" si="3"/>
        <v>24.71363636</v>
      </c>
      <c r="S139" s="21">
        <f t="shared" si="4"/>
        <v>4</v>
      </c>
      <c r="T139" s="17">
        <f t="shared" si="50"/>
        <v>5437</v>
      </c>
      <c r="U139" s="22">
        <f>T139/vlookup(A139,Max!$A$2:$AP$700,column(Max!$AP$2),false)</f>
        <v>1.647575758</v>
      </c>
      <c r="V139" s="17">
        <f t="shared" si="6"/>
        <v>1731.681806</v>
      </c>
      <c r="W139" s="23">
        <f t="shared" si="7"/>
        <v>1.294270407</v>
      </c>
      <c r="X139" s="23">
        <f t="shared" si="8"/>
        <v>1.212833333</v>
      </c>
      <c r="Y139" s="23">
        <f t="shared" si="9"/>
        <v>2</v>
      </c>
      <c r="Z139" s="23">
        <f t="shared" si="10"/>
        <v>1</v>
      </c>
      <c r="AA139" s="26">
        <f t="shared" si="11"/>
        <v>0</v>
      </c>
      <c r="AB139" s="25">
        <v>0.0</v>
      </c>
      <c r="AC139" s="26" t="str">
        <f t="shared" si="40"/>
        <v>{
$name$: $KIWIB48$,
$config$: $KIWIB48$,
$cost$: 5437
},</v>
      </c>
      <c r="AD139" s="26" t="str">
        <f t="shared" si="41"/>
        <v/>
      </c>
      <c r="AE139" s="26" t="str">
        <f t="shared" si="56"/>
        <v/>
      </c>
      <c r="AF139" s="26" t="str">
        <f t="shared" si="54"/>
        <v/>
      </c>
      <c r="AG139" s="26" t="str">
        <f t="shared" si="55"/>
        <v/>
      </c>
    </row>
    <row r="140" ht="15.75" customHeight="1">
      <c r="A140" s="7" t="s">
        <v>209</v>
      </c>
      <c r="B140" s="7" t="s">
        <v>210</v>
      </c>
      <c r="C140" s="8">
        <f t="shared" si="1"/>
        <v>79</v>
      </c>
      <c r="D140" s="9">
        <v>1975.0</v>
      </c>
      <c r="E140" s="7"/>
      <c r="F140" s="7" t="b">
        <v>1</v>
      </c>
      <c r="G140" s="7" t="b">
        <v>0</v>
      </c>
      <c r="H140" s="7" t="b">
        <v>0</v>
      </c>
      <c r="I140" s="7" t="b">
        <v>0</v>
      </c>
      <c r="J140" s="9" t="b">
        <v>0</v>
      </c>
      <c r="K140" s="7">
        <v>52.0</v>
      </c>
      <c r="L140" s="7">
        <v>4.38</v>
      </c>
      <c r="M140" s="7">
        <v>317.0</v>
      </c>
      <c r="N140" s="7">
        <v>3.92</v>
      </c>
      <c r="O140" s="7">
        <v>0.99966</v>
      </c>
      <c r="P140" s="7">
        <v>0.99966</v>
      </c>
      <c r="Q140" s="10">
        <f t="shared" si="2"/>
        <v>8.589148077</v>
      </c>
      <c r="R140" s="11">
        <f t="shared" si="3"/>
        <v>18.03652968</v>
      </c>
      <c r="S140" s="12">
        <f t="shared" si="4"/>
        <v>4</v>
      </c>
      <c r="T140" s="8">
        <f t="shared" si="50"/>
        <v>79</v>
      </c>
      <c r="U140" s="13">
        <f>T140/vlookup(A140,Max!$A$2:$AP$700,column(Max!$AP$2),false)</f>
        <v>6.583333333</v>
      </c>
      <c r="V140" s="8">
        <f t="shared" si="6"/>
        <v>51.47592973</v>
      </c>
      <c r="W140" s="14">
        <f t="shared" si="7"/>
        <v>1.123541165</v>
      </c>
      <c r="X140" s="14">
        <f t="shared" si="8"/>
        <v>1.325770931</v>
      </c>
      <c r="Y140" s="14">
        <f t="shared" si="9"/>
        <v>1</v>
      </c>
      <c r="Z140" s="14">
        <f t="shared" si="10"/>
        <v>1.024572749</v>
      </c>
      <c r="AA140" s="15">
        <f t="shared" si="11"/>
        <v>0</v>
      </c>
      <c r="AB140" s="29">
        <v>0.0</v>
      </c>
      <c r="AC140" s="15" t="str">
        <f t="shared" si="40"/>
        <v>{
$name$: $KRD-442$,
$config$: $KRD442$,
$cost$: 79
},</v>
      </c>
      <c r="AD140" s="15" t="str">
        <f t="shared" si="41"/>
        <v/>
      </c>
      <c r="AE140" s="15" t="str">
        <f t="shared" si="56"/>
        <v/>
      </c>
      <c r="AF140" s="15" t="str">
        <f t="shared" si="54"/>
        <v/>
      </c>
      <c r="AG140" s="15" t="str">
        <f t="shared" si="55"/>
        <v/>
      </c>
    </row>
    <row r="141" ht="15.75" customHeight="1">
      <c r="A141" s="16" t="s">
        <v>211</v>
      </c>
      <c r="B141" s="16" t="s">
        <v>212</v>
      </c>
      <c r="C141" s="17">
        <f t="shared" si="1"/>
        <v>85</v>
      </c>
      <c r="D141" s="18">
        <v>1975.0</v>
      </c>
      <c r="E141" s="16"/>
      <c r="F141" s="16" t="b">
        <v>1</v>
      </c>
      <c r="G141" s="16" t="b">
        <v>0</v>
      </c>
      <c r="H141" s="16" t="b">
        <v>0</v>
      </c>
      <c r="I141" s="16" t="b">
        <v>0</v>
      </c>
      <c r="J141" s="18" t="b">
        <v>0</v>
      </c>
      <c r="K141" s="16">
        <v>42.0</v>
      </c>
      <c r="L141" s="16">
        <v>18.81</v>
      </c>
      <c r="M141" s="16">
        <v>313.0</v>
      </c>
      <c r="N141" s="16">
        <v>9.22</v>
      </c>
      <c r="O141" s="16">
        <v>0.996512</v>
      </c>
      <c r="P141" s="16">
        <v>0.991176</v>
      </c>
      <c r="Q141" s="19">
        <f t="shared" si="2"/>
        <v>45.66871883</v>
      </c>
      <c r="R141" s="20">
        <f t="shared" si="3"/>
        <v>4.51887294</v>
      </c>
      <c r="S141" s="21">
        <f t="shared" si="4"/>
        <v>4</v>
      </c>
      <c r="T141" s="17">
        <f t="shared" si="50"/>
        <v>85</v>
      </c>
      <c r="U141" s="22">
        <f>T141/vlookup(A141,Max!$A$2:$AP$700,column(Max!$AP$2),false)</f>
        <v>18.47826087</v>
      </c>
      <c r="V141" s="17">
        <f t="shared" si="6"/>
        <v>45.30552878</v>
      </c>
      <c r="W141" s="23">
        <f t="shared" si="7"/>
        <v>1.086108856</v>
      </c>
      <c r="X141" s="23">
        <f t="shared" si="8"/>
        <v>1.713570388</v>
      </c>
      <c r="Y141" s="23">
        <f t="shared" si="9"/>
        <v>1</v>
      </c>
      <c r="Z141" s="23">
        <f t="shared" si="10"/>
        <v>1.002972343</v>
      </c>
      <c r="AA141" s="26">
        <f t="shared" si="11"/>
        <v>0</v>
      </c>
      <c r="AB141" s="25">
        <v>0.0</v>
      </c>
      <c r="AC141" s="26" t="str">
        <f t="shared" si="40"/>
        <v>{
$name$: $KRD-61$,
$config$: $KRD61$,
$cost$: 85
},</v>
      </c>
      <c r="AD141" s="26" t="str">
        <f t="shared" si="41"/>
        <v/>
      </c>
      <c r="AE141" s="26" t="str">
        <f t="shared" si="56"/>
        <v/>
      </c>
      <c r="AF141" s="26" t="str">
        <f t="shared" si="54"/>
        <v/>
      </c>
      <c r="AG141" s="26" t="str">
        <f t="shared" si="55"/>
        <v/>
      </c>
    </row>
    <row r="142" ht="15.75" customHeight="1">
      <c r="A142" s="7" t="s">
        <v>213</v>
      </c>
      <c r="B142" s="7" t="s">
        <v>214</v>
      </c>
      <c r="C142" s="8">
        <f t="shared" si="1"/>
        <v>45</v>
      </c>
      <c r="D142" s="9">
        <v>1975.0</v>
      </c>
      <c r="E142" s="7"/>
      <c r="F142" s="7" t="b">
        <v>0</v>
      </c>
      <c r="G142" s="7" t="b">
        <v>0</v>
      </c>
      <c r="H142" s="7" t="b">
        <v>0</v>
      </c>
      <c r="I142" s="7" t="b">
        <v>0</v>
      </c>
      <c r="J142" s="9" t="b">
        <v>0</v>
      </c>
      <c r="K142" s="7">
        <v>38.5</v>
      </c>
      <c r="L142" s="7">
        <v>3.09</v>
      </c>
      <c r="M142" s="7">
        <v>293.7</v>
      </c>
      <c r="N142" s="7">
        <v>1.75</v>
      </c>
      <c r="O142" s="7">
        <v>0.99966</v>
      </c>
      <c r="P142" s="7">
        <v>0.99966</v>
      </c>
      <c r="Q142" s="10">
        <f t="shared" si="2"/>
        <v>8.184215815</v>
      </c>
      <c r="R142" s="11">
        <f t="shared" si="3"/>
        <v>14.5631068</v>
      </c>
      <c r="S142" s="12">
        <f t="shared" si="4"/>
        <v>1.75</v>
      </c>
      <c r="T142" s="8">
        <f t="shared" si="50"/>
        <v>45</v>
      </c>
      <c r="U142" s="13">
        <f>T142/vlookup(A142,Max!$A$2:$AP$700,column(Max!$AP$2),false)</f>
        <v>5</v>
      </c>
      <c r="V142" s="8">
        <f t="shared" si="6"/>
        <v>43.01298539</v>
      </c>
      <c r="W142" s="14">
        <f t="shared" si="7"/>
        <v>0.9821842913</v>
      </c>
      <c r="X142" s="14">
        <f t="shared" si="8"/>
        <v>1.040864237</v>
      </c>
      <c r="Y142" s="14">
        <f t="shared" si="9"/>
        <v>1</v>
      </c>
      <c r="Z142" s="14">
        <f t="shared" si="10"/>
        <v>1.024572749</v>
      </c>
      <c r="AA142" s="15">
        <f t="shared" si="11"/>
        <v>0</v>
      </c>
      <c r="AB142" s="29">
        <v>0.0</v>
      </c>
      <c r="AC142" s="15" t="str">
        <f t="shared" si="40"/>
        <v>{
$name$: $KRD-79$,
$config$: $KRD79$,
$cost$: 45
},</v>
      </c>
      <c r="AD142" s="15" t="str">
        <f t="shared" si="41"/>
        <v/>
      </c>
      <c r="AE142" s="15" t="str">
        <f t="shared" si="56"/>
        <v/>
      </c>
      <c r="AF142" s="15" t="str">
        <f t="shared" si="54"/>
        <v/>
      </c>
      <c r="AG142" s="15" t="str">
        <f t="shared" si="55"/>
        <v/>
      </c>
    </row>
    <row r="143" ht="15.75" customHeight="1">
      <c r="A143" s="16" t="s">
        <v>215</v>
      </c>
      <c r="B143" s="16" t="s">
        <v>216</v>
      </c>
      <c r="C143" s="17">
        <f t="shared" si="1"/>
        <v>59</v>
      </c>
      <c r="D143" s="16">
        <v>1966.0</v>
      </c>
      <c r="E143" s="16"/>
      <c r="F143" s="16" t="b">
        <v>1</v>
      </c>
      <c r="G143" s="16" t="b">
        <v>0</v>
      </c>
      <c r="H143" s="16" t="b">
        <v>1</v>
      </c>
      <c r="I143" s="16" t="b">
        <v>0</v>
      </c>
      <c r="J143" s="18" t="b">
        <v>0</v>
      </c>
      <c r="K143" s="16">
        <v>50.0</v>
      </c>
      <c r="L143" s="16">
        <v>4.09</v>
      </c>
      <c r="M143" s="16">
        <v>278.0</v>
      </c>
      <c r="N143" s="16">
        <v>3.92</v>
      </c>
      <c r="O143" s="16">
        <v>0.995</v>
      </c>
      <c r="P143" s="16">
        <v>0.995</v>
      </c>
      <c r="Q143" s="19">
        <f t="shared" si="2"/>
        <v>8.341278598</v>
      </c>
      <c r="R143" s="20">
        <f t="shared" si="3"/>
        <v>14.42542787</v>
      </c>
      <c r="S143" s="21">
        <f t="shared" si="4"/>
        <v>4</v>
      </c>
      <c r="T143" s="17">
        <f t="shared" si="50"/>
        <v>59</v>
      </c>
      <c r="U143" s="22">
        <f>T143/vlookup(A143,Max!$A$2:$AP$700,column(Max!$AP$2),false)</f>
        <v>4.72</v>
      </c>
      <c r="V143" s="17">
        <f t="shared" si="6"/>
        <v>50.28174842</v>
      </c>
      <c r="W143" s="23">
        <f t="shared" si="7"/>
        <v>0.9460824974</v>
      </c>
      <c r="X143" s="23">
        <f t="shared" si="8"/>
        <v>1.235524521</v>
      </c>
      <c r="Y143" s="23">
        <f t="shared" si="9"/>
        <v>1</v>
      </c>
      <c r="Z143" s="23">
        <f t="shared" si="10"/>
        <v>1.000063133</v>
      </c>
      <c r="AA143" s="26">
        <f t="shared" si="11"/>
        <v>0</v>
      </c>
      <c r="AB143" s="26">
        <f>if(iserror(find("$",A143)),1,2)</f>
        <v>1</v>
      </c>
      <c r="AC143" s="26" t="str">
        <f t="shared" si="40"/>
        <v/>
      </c>
      <c r="AD143" s="26" t="str">
        <f t="shared" si="41"/>
        <v>$S5_60$: 59,</v>
      </c>
      <c r="AE143" s="26" t="str">
        <f t="shared" si="56"/>
        <v/>
      </c>
      <c r="AF143" s="26" t="str">
        <f t="shared" si="54"/>
        <v/>
      </c>
      <c r="AG143" s="26" t="str">
        <f t="shared" si="55"/>
        <v/>
      </c>
    </row>
    <row r="144" ht="15.75" customHeight="1">
      <c r="A144" s="7" t="s">
        <v>217</v>
      </c>
      <c r="B144" s="7" t="s">
        <v>216</v>
      </c>
      <c r="C144" s="8">
        <f t="shared" si="1"/>
        <v>-1</v>
      </c>
      <c r="D144" s="7">
        <v>1966.0</v>
      </c>
      <c r="E144" s="7"/>
      <c r="F144" s="7" t="b">
        <v>1</v>
      </c>
      <c r="G144" s="7" t="b">
        <v>0</v>
      </c>
      <c r="H144" s="7" t="b">
        <v>1</v>
      </c>
      <c r="I144" s="7" t="b">
        <v>0</v>
      </c>
      <c r="J144" s="9" t="b">
        <v>0</v>
      </c>
      <c r="K144" s="7">
        <v>50.0</v>
      </c>
      <c r="L144" s="7">
        <v>4.03</v>
      </c>
      <c r="M144" s="7">
        <v>270.0</v>
      </c>
      <c r="N144" s="7">
        <v>3.92</v>
      </c>
      <c r="O144" s="7">
        <v>0.995</v>
      </c>
      <c r="P144" s="7">
        <v>0.995</v>
      </c>
      <c r="Q144" s="10">
        <f t="shared" si="2"/>
        <v>8.218912653</v>
      </c>
      <c r="R144" s="11">
        <f t="shared" si="3"/>
        <v>14.39205955</v>
      </c>
      <c r="S144" s="12">
        <f t="shared" si="4"/>
        <v>4</v>
      </c>
      <c r="T144" s="8">
        <f t="shared" si="50"/>
        <v>58</v>
      </c>
      <c r="U144" s="13">
        <f>T144/vlookup(A144,Max!$A$2:$AP$700,column(Max!$AP$2),false)</f>
        <v>5.043478261</v>
      </c>
      <c r="V144" s="8">
        <f t="shared" si="6"/>
        <v>50.28174842</v>
      </c>
      <c r="W144" s="14">
        <f t="shared" si="7"/>
        <v>0.9315196521</v>
      </c>
      <c r="X144" s="14">
        <f t="shared" si="8"/>
        <v>1.235524521</v>
      </c>
      <c r="Y144" s="14">
        <f t="shared" si="9"/>
        <v>1</v>
      </c>
      <c r="Z144" s="14">
        <f t="shared" si="10"/>
        <v>1.000063133</v>
      </c>
      <c r="AA144" s="27">
        <f t="shared" si="11"/>
        <v>-1</v>
      </c>
      <c r="AB144" s="29">
        <v>0.0</v>
      </c>
      <c r="AC144" s="15" t="str">
        <f t="shared" si="40"/>
        <v>{
$name$: $S5_35$,
$config$: $KTDU35$,
$cost$: -1
},</v>
      </c>
      <c r="AD144" s="15" t="str">
        <f t="shared" si="41"/>
        <v/>
      </c>
      <c r="AE144" s="15" t="str">
        <f t="shared" si="56"/>
        <v/>
      </c>
      <c r="AF144" s="15" t="str">
        <f t="shared" si="54"/>
        <v/>
      </c>
      <c r="AG144" s="15" t="str">
        <f t="shared" si="55"/>
        <v/>
      </c>
    </row>
    <row r="145" ht="15.75" customHeight="1">
      <c r="A145" s="16" t="s">
        <v>218</v>
      </c>
      <c r="B145" s="16" t="s">
        <v>219</v>
      </c>
      <c r="C145" s="17">
        <f t="shared" si="1"/>
        <v>123</v>
      </c>
      <c r="D145" s="18">
        <v>1970.0</v>
      </c>
      <c r="E145" s="16"/>
      <c r="F145" s="16" t="b">
        <v>1</v>
      </c>
      <c r="G145" s="16" t="b">
        <v>0</v>
      </c>
      <c r="H145" s="16" t="b">
        <v>0</v>
      </c>
      <c r="I145" s="16" t="b">
        <v>1</v>
      </c>
      <c r="J145" s="18" t="b">
        <v>0</v>
      </c>
      <c r="K145" s="16">
        <v>40.0</v>
      </c>
      <c r="L145" s="16">
        <v>16.37</v>
      </c>
      <c r="M145" s="16">
        <v>314.0</v>
      </c>
      <c r="N145" s="16">
        <v>8.3</v>
      </c>
      <c r="O145" s="16">
        <v>0.996521</v>
      </c>
      <c r="P145" s="16">
        <v>0.998177</v>
      </c>
      <c r="Q145" s="19">
        <f t="shared" si="2"/>
        <v>41.73188589</v>
      </c>
      <c r="R145" s="20">
        <f t="shared" si="3"/>
        <v>7.513744655</v>
      </c>
      <c r="S145" s="21">
        <f t="shared" si="4"/>
        <v>4</v>
      </c>
      <c r="T145" s="17">
        <f t="shared" si="50"/>
        <v>123</v>
      </c>
      <c r="U145" s="22">
        <f>T145/vlookup(A145,Max!$A$2:$AP$700,column(Max!$AP$2),false)</f>
        <v>3.967741935</v>
      </c>
      <c r="V145" s="17">
        <f t="shared" si="6"/>
        <v>44.00508574</v>
      </c>
      <c r="W145" s="23">
        <f t="shared" si="7"/>
        <v>1.096711703</v>
      </c>
      <c r="X145" s="23">
        <f t="shared" si="8"/>
        <v>1.660374672</v>
      </c>
      <c r="Y145" s="23">
        <f t="shared" si="9"/>
        <v>1.5</v>
      </c>
      <c r="Z145" s="23">
        <f t="shared" si="10"/>
        <v>1.02077708</v>
      </c>
      <c r="AA145" s="26">
        <f t="shared" si="11"/>
        <v>0</v>
      </c>
      <c r="AB145" s="25">
        <v>0.0</v>
      </c>
      <c r="AC145" s="26" t="str">
        <f t="shared" si="40"/>
        <v>{
$name$: $KTDU-416$,
$config$: $KTDU416$,
$cost$: 123
},</v>
      </c>
      <c r="AD145" s="26" t="str">
        <f t="shared" si="41"/>
        <v/>
      </c>
      <c r="AE145" s="26" t="str">
        <f t="shared" si="56"/>
        <v/>
      </c>
      <c r="AF145" s="26" t="str">
        <f t="shared" si="54"/>
        <v/>
      </c>
      <c r="AG145" s="26" t="str">
        <f t="shared" si="55"/>
        <v/>
      </c>
    </row>
    <row r="146" ht="15.75" customHeight="1">
      <c r="A146" s="7" t="s">
        <v>220</v>
      </c>
      <c r="B146" s="7" t="s">
        <v>221</v>
      </c>
      <c r="C146" s="8">
        <f t="shared" si="1"/>
        <v>159</v>
      </c>
      <c r="D146" s="7">
        <v>1969.0</v>
      </c>
      <c r="E146" s="7"/>
      <c r="F146" s="7" t="b">
        <v>1</v>
      </c>
      <c r="G146" s="7" t="b">
        <v>0</v>
      </c>
      <c r="H146" s="7" t="b">
        <v>1</v>
      </c>
      <c r="I146" s="7" t="b">
        <v>1</v>
      </c>
      <c r="J146" s="9" t="b">
        <v>0</v>
      </c>
      <c r="K146" s="7">
        <v>81.0</v>
      </c>
      <c r="L146" s="7">
        <v>18.89</v>
      </c>
      <c r="M146" s="7">
        <v>314.0</v>
      </c>
      <c r="N146" s="7">
        <v>8.3</v>
      </c>
      <c r="O146" s="7">
        <v>0.997619</v>
      </c>
      <c r="P146" s="7">
        <v>0.986364</v>
      </c>
      <c r="Q146" s="10">
        <f t="shared" si="2"/>
        <v>23.78078914</v>
      </c>
      <c r="R146" s="11">
        <f t="shared" si="3"/>
        <v>8.417151932</v>
      </c>
      <c r="S146" s="12">
        <f t="shared" si="4"/>
        <v>4</v>
      </c>
      <c r="T146" s="8">
        <f t="shared" si="50"/>
        <v>159</v>
      </c>
      <c r="U146" s="13">
        <f>T146/vlookup(A146,Max!$A$2:$AP$700,column(Max!$AP$2),false)</f>
        <v>2.839285714</v>
      </c>
      <c r="V146" s="8">
        <f t="shared" si="6"/>
        <v>67.16111</v>
      </c>
      <c r="W146" s="14">
        <f t="shared" si="7"/>
        <v>1.096711703</v>
      </c>
      <c r="X146" s="14">
        <f t="shared" si="8"/>
        <v>1.462697688</v>
      </c>
      <c r="Y146" s="14">
        <f t="shared" si="9"/>
        <v>1.5</v>
      </c>
      <c r="Z146" s="14">
        <f t="shared" si="10"/>
        <v>0.9849559905</v>
      </c>
      <c r="AA146" s="15">
        <f t="shared" si="11"/>
        <v>0</v>
      </c>
      <c r="AB146" s="29">
        <v>0.0</v>
      </c>
      <c r="AC146" s="15" t="str">
        <f t="shared" si="40"/>
        <v>{
$name$: $11D417$,
$config$: $KTDU417$,
$cost$: 159
},</v>
      </c>
      <c r="AD146" s="15" t="str">
        <f t="shared" si="41"/>
        <v/>
      </c>
      <c r="AE146" s="15" t="str">
        <f t="shared" si="56"/>
        <v/>
      </c>
      <c r="AF146" s="15" t="str">
        <f t="shared" si="54"/>
        <v/>
      </c>
      <c r="AG146" s="15" t="str">
        <f t="shared" si="55"/>
        <v/>
      </c>
    </row>
    <row r="147" ht="15.75" customHeight="1">
      <c r="A147" s="16" t="s">
        <v>222</v>
      </c>
      <c r="B147" s="16" t="s">
        <v>221</v>
      </c>
      <c r="C147" s="17">
        <f t="shared" si="1"/>
        <v>-79</v>
      </c>
      <c r="D147" s="16">
        <v>1969.0</v>
      </c>
      <c r="E147" s="16"/>
      <c r="F147" s="16" t="b">
        <v>1</v>
      </c>
      <c r="G147" s="16" t="b">
        <v>0</v>
      </c>
      <c r="H147" s="16" t="b">
        <v>1</v>
      </c>
      <c r="I147" s="16" t="b">
        <v>1</v>
      </c>
      <c r="J147" s="18" t="b">
        <v>0</v>
      </c>
      <c r="K147" s="18">
        <v>81.0</v>
      </c>
      <c r="L147" s="16">
        <v>3.43</v>
      </c>
      <c r="M147" s="16">
        <v>254.0</v>
      </c>
      <c r="N147" s="16">
        <v>0.89</v>
      </c>
      <c r="O147" s="16">
        <v>0.997619</v>
      </c>
      <c r="P147" s="16">
        <v>0.986364</v>
      </c>
      <c r="Q147" s="19">
        <f t="shared" si="2"/>
        <v>4.318057531</v>
      </c>
      <c r="R147" s="20">
        <f t="shared" si="3"/>
        <v>23.32361516</v>
      </c>
      <c r="S147" s="21">
        <f t="shared" si="4"/>
        <v>4</v>
      </c>
      <c r="T147" s="17">
        <f t="shared" si="50"/>
        <v>80</v>
      </c>
      <c r="U147" s="22">
        <f>T147/vlookup(A147,Max!$A$2:$AP$700,column(Max!$AP$2),false)</f>
        <v>34.7826087</v>
      </c>
      <c r="V147" s="17">
        <f t="shared" si="6"/>
        <v>67.16111</v>
      </c>
      <c r="W147" s="23">
        <f t="shared" si="7"/>
        <v>0.9086594763</v>
      </c>
      <c r="X147" s="23">
        <f t="shared" si="8"/>
        <v>0.8850641619</v>
      </c>
      <c r="Y147" s="23">
        <f t="shared" si="9"/>
        <v>1.5</v>
      </c>
      <c r="Z147" s="23">
        <f t="shared" si="10"/>
        <v>0.9849559905</v>
      </c>
      <c r="AA147" s="24">
        <f t="shared" si="11"/>
        <v>-79</v>
      </c>
      <c r="AB147" s="26">
        <f>if(iserror(find("$",A147)),1,2)</f>
        <v>1</v>
      </c>
      <c r="AC147" s="26" t="str">
        <f t="shared" si="40"/>
        <v/>
      </c>
      <c r="AD147" s="26" t="str">
        <f t="shared" si="41"/>
        <v>$11D417B$: -79,</v>
      </c>
      <c r="AE147" s="26" t="str">
        <f t="shared" si="56"/>
        <v/>
      </c>
      <c r="AF147" s="26" t="str">
        <f t="shared" si="54"/>
        <v/>
      </c>
      <c r="AG147" s="26" t="str">
        <f t="shared" si="55"/>
        <v/>
      </c>
    </row>
    <row r="148" ht="15.75" customHeight="1">
      <c r="A148" s="7" t="s">
        <v>223</v>
      </c>
      <c r="B148" s="7" t="s">
        <v>224</v>
      </c>
      <c r="C148" s="8">
        <f t="shared" si="1"/>
        <v>107</v>
      </c>
      <c r="D148" s="7">
        <v>1970.0</v>
      </c>
      <c r="E148" s="7"/>
      <c r="F148" s="7" t="b">
        <v>1</v>
      </c>
      <c r="G148" s="7" t="b">
        <v>0</v>
      </c>
      <c r="H148" s="7" t="b">
        <v>1</v>
      </c>
      <c r="I148" s="7" t="b">
        <v>0</v>
      </c>
      <c r="J148" s="9" t="b">
        <v>0</v>
      </c>
      <c r="K148" s="7">
        <v>70.0</v>
      </c>
      <c r="L148" s="7">
        <v>18.85</v>
      </c>
      <c r="M148" s="7">
        <v>312.0</v>
      </c>
      <c r="N148" s="7">
        <v>13.32</v>
      </c>
      <c r="O148" s="7">
        <v>0.996512</v>
      </c>
      <c r="P148" s="7">
        <v>0.991176</v>
      </c>
      <c r="Q148" s="10">
        <f t="shared" si="2"/>
        <v>27.4595008</v>
      </c>
      <c r="R148" s="11">
        <f t="shared" si="3"/>
        <v>5.676392573</v>
      </c>
      <c r="S148" s="12">
        <f t="shared" si="4"/>
        <v>4</v>
      </c>
      <c r="T148" s="8">
        <f t="shared" si="50"/>
        <v>107</v>
      </c>
      <c r="U148" s="13">
        <f>T148/vlookup(A148,Max!$A$2:$AP$700,column(Max!$AP$2),false)</f>
        <v>3.057142857</v>
      </c>
      <c r="V148" s="8">
        <f t="shared" si="6"/>
        <v>61.51955617</v>
      </c>
      <c r="W148" s="14">
        <f t="shared" si="7"/>
        <v>1.076082311</v>
      </c>
      <c r="X148" s="14">
        <f t="shared" si="8"/>
        <v>1.626954677</v>
      </c>
      <c r="Y148" s="14">
        <f t="shared" si="9"/>
        <v>1</v>
      </c>
      <c r="Z148" s="14">
        <f t="shared" si="10"/>
        <v>0.9942492904</v>
      </c>
      <c r="AA148" s="15">
        <f t="shared" si="11"/>
        <v>0</v>
      </c>
      <c r="AB148" s="29">
        <v>0.0</v>
      </c>
      <c r="AC148" s="15" t="str">
        <f t="shared" si="40"/>
        <v>{
$name$: $KTDU-425$,
$config$: $KTDU425A$,
$cost$: 107
},</v>
      </c>
      <c r="AD148" s="15" t="str">
        <f t="shared" si="41"/>
        <v/>
      </c>
      <c r="AE148" s="15" t="str">
        <f t="shared" si="56"/>
        <v/>
      </c>
      <c r="AF148" s="15" t="str">
        <f t="shared" si="54"/>
        <v/>
      </c>
      <c r="AG148" s="15" t="str">
        <f t="shared" si="55"/>
        <v/>
      </c>
    </row>
    <row r="149" ht="15.75" customHeight="1">
      <c r="A149" s="16" t="s">
        <v>225</v>
      </c>
      <c r="B149" s="16" t="s">
        <v>224</v>
      </c>
      <c r="C149" s="17">
        <f t="shared" si="1"/>
        <v>6</v>
      </c>
      <c r="D149" s="16">
        <v>1972.0</v>
      </c>
      <c r="E149" s="16"/>
      <c r="F149" s="16" t="b">
        <v>1</v>
      </c>
      <c r="G149" s="16" t="b">
        <v>0</v>
      </c>
      <c r="H149" s="16" t="b">
        <v>1</v>
      </c>
      <c r="I149" s="16" t="b">
        <v>0</v>
      </c>
      <c r="J149" s="18" t="b">
        <v>0</v>
      </c>
      <c r="K149" s="16">
        <v>70.0</v>
      </c>
      <c r="L149" s="16">
        <v>18.89</v>
      </c>
      <c r="M149" s="16">
        <v>315.0</v>
      </c>
      <c r="N149" s="16">
        <v>14.9</v>
      </c>
      <c r="O149" s="16">
        <v>0.996512</v>
      </c>
      <c r="P149" s="16">
        <v>0.991176</v>
      </c>
      <c r="Q149" s="19">
        <f t="shared" si="2"/>
        <v>27.5177703</v>
      </c>
      <c r="R149" s="20">
        <f t="shared" si="3"/>
        <v>5.982001059</v>
      </c>
      <c r="S149" s="21">
        <f t="shared" si="4"/>
        <v>4</v>
      </c>
      <c r="T149" s="17">
        <f t="shared" si="50"/>
        <v>113</v>
      </c>
      <c r="U149" s="22">
        <f>T149/vlookup(A149,Max!$A$2:$AP$700,column(Max!$AP$2),false)</f>
        <v>3.228571429</v>
      </c>
      <c r="V149" s="17">
        <f t="shared" si="6"/>
        <v>61.51955617</v>
      </c>
      <c r="W149" s="23">
        <f t="shared" si="7"/>
        <v>1.107892259</v>
      </c>
      <c r="X149" s="23">
        <f t="shared" si="8"/>
        <v>1.668510387</v>
      </c>
      <c r="Y149" s="23">
        <f t="shared" si="9"/>
        <v>1</v>
      </c>
      <c r="Z149" s="23">
        <f t="shared" si="10"/>
        <v>0.9942492904</v>
      </c>
      <c r="AA149" s="24">
        <f t="shared" si="11"/>
        <v>6</v>
      </c>
      <c r="AB149" s="26">
        <f>if(iserror(find("$",A149)),1,2)</f>
        <v>1</v>
      </c>
      <c r="AC149" s="26" t="str">
        <f t="shared" si="40"/>
        <v/>
      </c>
      <c r="AD149" s="26" t="str">
        <f t="shared" si="41"/>
        <v>$KTDU-425A$: 6,</v>
      </c>
      <c r="AE149" s="26" t="str">
        <f t="shared" si="56"/>
        <v/>
      </c>
      <c r="AF149" s="26" t="str">
        <f t="shared" si="54"/>
        <v/>
      </c>
      <c r="AG149" s="26" t="str">
        <f t="shared" si="55"/>
        <v/>
      </c>
    </row>
    <row r="150" ht="15.75" customHeight="1">
      <c r="A150" s="7" t="s">
        <v>226</v>
      </c>
      <c r="B150" s="7" t="s">
        <v>227</v>
      </c>
      <c r="C150" s="8">
        <f t="shared" si="1"/>
        <v>68</v>
      </c>
      <c r="D150" s="9">
        <v>1963.0</v>
      </c>
      <c r="E150" s="7"/>
      <c r="F150" s="7" t="b">
        <v>1</v>
      </c>
      <c r="G150" s="7" t="b">
        <v>0</v>
      </c>
      <c r="H150" s="7" t="b">
        <v>0</v>
      </c>
      <c r="I150" s="7" t="b">
        <v>0</v>
      </c>
      <c r="J150" s="9" t="b">
        <v>0</v>
      </c>
      <c r="K150" s="7">
        <v>48.0</v>
      </c>
      <c r="L150" s="7">
        <v>45.77</v>
      </c>
      <c r="M150" s="7">
        <v>287.0</v>
      </c>
      <c r="N150" s="7">
        <v>5.47</v>
      </c>
      <c r="O150" s="7">
        <v>0.981579</v>
      </c>
      <c r="P150" s="7">
        <v>0.980556</v>
      </c>
      <c r="Q150" s="10">
        <f t="shared" si="2"/>
        <v>97.23418944</v>
      </c>
      <c r="R150" s="11">
        <f t="shared" si="3"/>
        <v>1.485689316</v>
      </c>
      <c r="S150" s="12">
        <f t="shared" si="4"/>
        <v>4</v>
      </c>
      <c r="T150" s="8">
        <f t="shared" si="50"/>
        <v>68</v>
      </c>
      <c r="U150" s="13">
        <f>T150/vlookup(A150,Max!$A$2:$AP$700,column(Max!$AP$2),false)</f>
        <v>13.33333333</v>
      </c>
      <c r="V150" s="8">
        <f t="shared" si="6"/>
        <v>49.06878764</v>
      </c>
      <c r="W150" s="14">
        <f t="shared" si="7"/>
        <v>0.965438477</v>
      </c>
      <c r="X150" s="14">
        <f t="shared" si="8"/>
        <v>1.465139139</v>
      </c>
      <c r="Y150" s="14">
        <f t="shared" si="9"/>
        <v>1</v>
      </c>
      <c r="Z150" s="14">
        <f t="shared" si="10"/>
        <v>0.9763218686</v>
      </c>
      <c r="AA150" s="15">
        <f t="shared" si="11"/>
        <v>0</v>
      </c>
      <c r="AB150" s="29">
        <v>0.0</v>
      </c>
      <c r="AC150" s="15" t="str">
        <f t="shared" si="40"/>
        <v>{
$name$: $KTDU-5A$,
$config$: $KTDU5A$,
$cost$: 68
},</v>
      </c>
      <c r="AD150" s="15" t="str">
        <f t="shared" si="41"/>
        <v/>
      </c>
      <c r="AE150" s="15" t="str">
        <f t="shared" si="56"/>
        <v/>
      </c>
      <c r="AF150" s="15" t="str">
        <f t="shared" si="54"/>
        <v/>
      </c>
      <c r="AG150" s="15" t="str">
        <f t="shared" si="55"/>
        <v/>
      </c>
    </row>
    <row r="151" ht="15.75" customHeight="1">
      <c r="A151" s="16" t="s">
        <v>228</v>
      </c>
      <c r="B151" s="16" t="s">
        <v>229</v>
      </c>
      <c r="C151" s="17">
        <f t="shared" si="1"/>
        <v>480</v>
      </c>
      <c r="D151" s="16">
        <v>1975.0</v>
      </c>
      <c r="E151" s="16" t="b">
        <v>1</v>
      </c>
      <c r="F151" s="16" t="b">
        <v>1</v>
      </c>
      <c r="G151" s="16" t="b">
        <v>0</v>
      </c>
      <c r="H151" s="16" t="b">
        <v>1</v>
      </c>
      <c r="I151" s="16" t="b">
        <v>0</v>
      </c>
      <c r="J151" s="18" t="b">
        <v>0</v>
      </c>
      <c r="K151" s="16">
        <v>282.0</v>
      </c>
      <c r="L151" s="16">
        <v>69.6</v>
      </c>
      <c r="M151" s="16">
        <v>447.5</v>
      </c>
      <c r="N151" s="16">
        <v>5.59</v>
      </c>
      <c r="O151" s="16">
        <v>0.98125</v>
      </c>
      <c r="P151" s="16">
        <v>0.97</v>
      </c>
      <c r="Q151" s="19">
        <f t="shared" si="2"/>
        <v>25.16746391</v>
      </c>
      <c r="R151" s="20">
        <f t="shared" si="3"/>
        <v>6.896551724</v>
      </c>
      <c r="S151" s="21">
        <f t="shared" si="4"/>
        <v>4</v>
      </c>
      <c r="T151" s="32">
        <v>480.0</v>
      </c>
      <c r="U151" s="22">
        <f>T151/vlookup(A151,Max!$A$2:$AP$700,column(Max!$AP$2),false)</f>
        <v>2.285714286</v>
      </c>
      <c r="V151" s="17">
        <f t="shared" si="6"/>
        <v>179.6405431</v>
      </c>
      <c r="W151" s="23">
        <f t="shared" si="7"/>
        <v>3.297014256</v>
      </c>
      <c r="X151" s="23">
        <f t="shared" si="8"/>
        <v>1.338226609</v>
      </c>
      <c r="Y151" s="23">
        <f t="shared" si="9"/>
        <v>1</v>
      </c>
      <c r="Z151" s="23">
        <f t="shared" si="10"/>
        <v>0.9063386981</v>
      </c>
      <c r="AA151" s="26">
        <f t="shared" si="11"/>
        <v>0</v>
      </c>
      <c r="AB151" s="25">
        <v>0.0</v>
      </c>
      <c r="AC151" s="26" t="str">
        <f t="shared" si="40"/>
        <v>{
$name$: $RD-56$,
$config$: $KVD1$,
$cost$: 480
},</v>
      </c>
      <c r="AD151" s="26" t="str">
        <f t="shared" si="41"/>
        <v/>
      </c>
      <c r="AE151" s="26" t="str">
        <f t="shared" si="56"/>
        <v/>
      </c>
      <c r="AF151" s="26" t="str">
        <f t="shared" si="54"/>
        <v/>
      </c>
      <c r="AG151" s="26" t="str">
        <f t="shared" si="55"/>
        <v/>
      </c>
    </row>
    <row r="152" ht="15.75" customHeight="1">
      <c r="A152" s="7" t="s">
        <v>230</v>
      </c>
      <c r="B152" s="7" t="s">
        <v>229</v>
      </c>
      <c r="C152" s="8">
        <f t="shared" si="1"/>
        <v>60</v>
      </c>
      <c r="D152" s="7">
        <v>1977.0</v>
      </c>
      <c r="E152" s="7" t="b">
        <v>1</v>
      </c>
      <c r="F152" s="7" t="b">
        <v>1</v>
      </c>
      <c r="G152" s="7" t="b">
        <v>0</v>
      </c>
      <c r="H152" s="7" t="b">
        <v>1</v>
      </c>
      <c r="I152" s="7" t="b">
        <v>0</v>
      </c>
      <c r="J152" s="9" t="b">
        <v>0</v>
      </c>
      <c r="K152" s="7">
        <v>165.0</v>
      </c>
      <c r="L152" s="7">
        <v>73.6</v>
      </c>
      <c r="M152" s="7">
        <v>461.5</v>
      </c>
      <c r="N152" s="7">
        <v>5.88</v>
      </c>
      <c r="O152" s="7">
        <v>0.98125</v>
      </c>
      <c r="P152" s="7">
        <v>0.97</v>
      </c>
      <c r="Q152" s="10">
        <f t="shared" si="2"/>
        <v>45.48552306</v>
      </c>
      <c r="R152" s="11">
        <f t="shared" si="3"/>
        <v>7.336956522</v>
      </c>
      <c r="S152" s="12">
        <f t="shared" si="4"/>
        <v>4</v>
      </c>
      <c r="T152" s="28">
        <v>540.0</v>
      </c>
      <c r="U152" s="13">
        <f>T152/vlookup(A152,Max!$A$2:$AP$700,column(Max!$AP$2),false)</f>
        <v>1.928571429</v>
      </c>
      <c r="V152" s="8">
        <f t="shared" si="6"/>
        <v>136.4037756</v>
      </c>
      <c r="W152" s="14">
        <f t="shared" si="7"/>
        <v>3.762633228</v>
      </c>
      <c r="X152" s="14">
        <f t="shared" si="8"/>
        <v>1.353542518</v>
      </c>
      <c r="Y152" s="14">
        <f t="shared" si="9"/>
        <v>1</v>
      </c>
      <c r="Z152" s="14">
        <f t="shared" si="10"/>
        <v>0.9063386981</v>
      </c>
      <c r="AA152" s="27">
        <f t="shared" si="11"/>
        <v>60</v>
      </c>
      <c r="AB152" s="15">
        <f t="shared" ref="AB152:AB153" si="60">if(iserror(find("$",A152)),1,2)</f>
        <v>1</v>
      </c>
      <c r="AC152" s="15" t="str">
        <f t="shared" si="40"/>
        <v/>
      </c>
      <c r="AD152" s="15" t="str">
        <f t="shared" si="41"/>
        <v>$KVD-1$: 60,</v>
      </c>
      <c r="AE152" s="15" t="str">
        <f t="shared" si="56"/>
        <v/>
      </c>
      <c r="AF152" s="15" t="str">
        <f t="shared" si="54"/>
        <v/>
      </c>
      <c r="AG152" s="15" t="str">
        <f t="shared" si="55"/>
        <v/>
      </c>
    </row>
    <row r="153" ht="15.75" customHeight="1">
      <c r="A153" s="16" t="s">
        <v>231</v>
      </c>
      <c r="B153" s="16" t="s">
        <v>229</v>
      </c>
      <c r="C153" s="17">
        <f t="shared" si="1"/>
        <v>20</v>
      </c>
      <c r="D153" s="16">
        <v>2010.0</v>
      </c>
      <c r="E153" s="16" t="b">
        <v>1</v>
      </c>
      <c r="F153" s="16" t="b">
        <v>1</v>
      </c>
      <c r="G153" s="16" t="b">
        <v>0</v>
      </c>
      <c r="H153" s="16" t="b">
        <v>1</v>
      </c>
      <c r="I153" s="16" t="b">
        <v>0</v>
      </c>
      <c r="J153" s="18" t="b">
        <v>0</v>
      </c>
      <c r="K153" s="16">
        <v>165.0</v>
      </c>
      <c r="L153" s="16">
        <v>69.55</v>
      </c>
      <c r="M153" s="16">
        <v>452.0</v>
      </c>
      <c r="N153" s="16">
        <v>5.7</v>
      </c>
      <c r="O153" s="16">
        <v>0.989286</v>
      </c>
      <c r="P153" s="16">
        <v>0.978571</v>
      </c>
      <c r="Q153" s="19">
        <f t="shared" si="2"/>
        <v>42.98258328</v>
      </c>
      <c r="R153" s="20">
        <f t="shared" si="3"/>
        <v>7.18907261</v>
      </c>
      <c r="S153" s="21">
        <f t="shared" si="4"/>
        <v>4</v>
      </c>
      <c r="T153" s="32">
        <v>500.0</v>
      </c>
      <c r="U153" s="22">
        <f>T153/vlookup(A153,Max!$A$2:$AP$700,column(Max!$AP$2),false)</f>
        <v>2.941176471</v>
      </c>
      <c r="V153" s="17">
        <f t="shared" si="6"/>
        <v>136.4037756</v>
      </c>
      <c r="W153" s="23">
        <f t="shared" si="7"/>
        <v>3.438943991</v>
      </c>
      <c r="X153" s="23">
        <f t="shared" si="8"/>
        <v>1.344107012</v>
      </c>
      <c r="Y153" s="23">
        <f t="shared" si="9"/>
        <v>1</v>
      </c>
      <c r="Z153" s="23">
        <f t="shared" si="10"/>
        <v>0.9455783599</v>
      </c>
      <c r="AA153" s="24">
        <f t="shared" si="11"/>
        <v>20</v>
      </c>
      <c r="AB153" s="26">
        <f t="shared" si="60"/>
        <v>1</v>
      </c>
      <c r="AC153" s="26" t="str">
        <f t="shared" si="40"/>
        <v/>
      </c>
      <c r="AD153" s="26" t="str">
        <f t="shared" si="41"/>
        <v>$CE-7.5$: 20,</v>
      </c>
      <c r="AE153" s="26" t="str">
        <f t="shared" si="56"/>
        <v/>
      </c>
      <c r="AF153" s="26" t="str">
        <f t="shared" si="54"/>
        <v/>
      </c>
      <c r="AG153" s="26" t="str">
        <f t="shared" si="55"/>
        <v/>
      </c>
    </row>
    <row r="154" ht="15.75" customHeight="1">
      <c r="A154" s="7" t="s">
        <v>232</v>
      </c>
      <c r="B154" s="7" t="s">
        <v>233</v>
      </c>
      <c r="C154" s="8">
        <f t="shared" si="1"/>
        <v>66</v>
      </c>
      <c r="D154" s="7">
        <v>1984.0</v>
      </c>
      <c r="E154" s="7"/>
      <c r="F154" s="7" t="b">
        <v>0</v>
      </c>
      <c r="G154" s="7" t="b">
        <v>0</v>
      </c>
      <c r="H154" s="7" t="b">
        <v>1</v>
      </c>
      <c r="I154" s="7" t="b">
        <v>0</v>
      </c>
      <c r="J154" s="9" t="b">
        <v>0</v>
      </c>
      <c r="K154" s="7">
        <v>110.0</v>
      </c>
      <c r="L154" s="7">
        <v>52.95</v>
      </c>
      <c r="M154" s="7">
        <v>290.2</v>
      </c>
      <c r="N154" s="7">
        <v>1.14</v>
      </c>
      <c r="O154" s="7">
        <v>0.965</v>
      </c>
      <c r="P154" s="7">
        <v>0.983333</v>
      </c>
      <c r="Q154" s="10">
        <f t="shared" si="2"/>
        <v>49.08543029</v>
      </c>
      <c r="R154" s="11">
        <f t="shared" si="3"/>
        <v>1.246458924</v>
      </c>
      <c r="S154" s="12">
        <f t="shared" si="4"/>
        <v>1.75</v>
      </c>
      <c r="T154" s="8">
        <f t="shared" ref="T154:T169" si="61">round(V154*W154*X154*Y154*Z154,0)</f>
        <v>66</v>
      </c>
      <c r="U154" s="13">
        <f>T154/vlookup(A154,Max!$A$2:$AP$700,column(Max!$AP$2),false)</f>
        <v>5.076923077</v>
      </c>
      <c r="V154" s="8">
        <f t="shared" si="6"/>
        <v>80.76346196</v>
      </c>
      <c r="W154" s="14">
        <f t="shared" si="7"/>
        <v>0.9731697843</v>
      </c>
      <c r="X154" s="14">
        <f t="shared" si="8"/>
        <v>0.9357624106</v>
      </c>
      <c r="Y154" s="14">
        <f t="shared" si="9"/>
        <v>1</v>
      </c>
      <c r="Z154" s="14">
        <f t="shared" si="10"/>
        <v>0.8994599532</v>
      </c>
      <c r="AA154" s="15">
        <f t="shared" si="11"/>
        <v>0</v>
      </c>
      <c r="AB154" s="29">
        <v>0.0</v>
      </c>
      <c r="AC154" s="15" t="str">
        <f t="shared" si="40"/>
        <v>{
$name$: $LE-3$,
$config$: $LE3$,
$cost$: 66
},</v>
      </c>
      <c r="AD154" s="15" t="str">
        <f t="shared" si="41"/>
        <v/>
      </c>
      <c r="AE154" s="15" t="str">
        <f t="shared" si="56"/>
        <v/>
      </c>
      <c r="AF154" s="15" t="str">
        <f t="shared" si="54"/>
        <v/>
      </c>
      <c r="AG154" s="15" t="str">
        <f t="shared" si="55"/>
        <v/>
      </c>
    </row>
    <row r="155" ht="15.75" customHeight="1">
      <c r="A155" s="16" t="s">
        <v>234</v>
      </c>
      <c r="B155" s="16" t="s">
        <v>235</v>
      </c>
      <c r="C155" s="17">
        <f t="shared" si="1"/>
        <v>652</v>
      </c>
      <c r="D155" s="16">
        <v>1986.0</v>
      </c>
      <c r="E155" s="16" t="b">
        <v>1</v>
      </c>
      <c r="F155" s="16" t="b">
        <v>1</v>
      </c>
      <c r="G155" s="16" t="b">
        <v>0</v>
      </c>
      <c r="H155" s="16" t="b">
        <v>1</v>
      </c>
      <c r="I155" s="16" t="b">
        <v>0</v>
      </c>
      <c r="J155" s="18" t="b">
        <v>0</v>
      </c>
      <c r="K155" s="16">
        <v>245.0</v>
      </c>
      <c r="L155" s="16">
        <v>102.9</v>
      </c>
      <c r="M155" s="16">
        <v>450.0</v>
      </c>
      <c r="N155" s="16">
        <v>3.65</v>
      </c>
      <c r="O155" s="16">
        <v>0.985</v>
      </c>
      <c r="P155" s="16">
        <v>0.985</v>
      </c>
      <c r="Q155" s="19">
        <f t="shared" si="2"/>
        <v>42.82808082</v>
      </c>
      <c r="R155" s="20">
        <f t="shared" si="3"/>
        <v>6.336248785</v>
      </c>
      <c r="S155" s="21">
        <f t="shared" si="4"/>
        <v>4</v>
      </c>
      <c r="T155" s="17">
        <f t="shared" si="61"/>
        <v>652</v>
      </c>
      <c r="U155" s="22">
        <f>T155/vlookup(A155,Max!$A$2:$AP$700,column(Max!$AP$2),false)</f>
        <v>2.834782609</v>
      </c>
      <c r="V155" s="17">
        <f t="shared" si="6"/>
        <v>166.9885592</v>
      </c>
      <c r="W155" s="23">
        <f t="shared" si="7"/>
        <v>3.375</v>
      </c>
      <c r="X155" s="23">
        <f t="shared" si="8"/>
        <v>1.215844119</v>
      </c>
      <c r="Y155" s="23">
        <f t="shared" si="9"/>
        <v>1</v>
      </c>
      <c r="Z155" s="23">
        <f t="shared" si="10"/>
        <v>0.9508087418</v>
      </c>
      <c r="AA155" s="26">
        <f t="shared" si="11"/>
        <v>0</v>
      </c>
      <c r="AB155" s="25">
        <v>0.0</v>
      </c>
      <c r="AC155" s="26" t="str">
        <f t="shared" si="40"/>
        <v>{
$name$: $LE-5$,
$config$: $LE5$,
$cost$: 652
},</v>
      </c>
      <c r="AD155" s="26" t="str">
        <f t="shared" si="41"/>
        <v/>
      </c>
      <c r="AE155" s="26" t="str">
        <f t="shared" si="56"/>
        <v/>
      </c>
      <c r="AF155" s="26" t="str">
        <f t="shared" si="54"/>
        <v/>
      </c>
      <c r="AG155" s="26" t="str">
        <f t="shared" si="55"/>
        <v/>
      </c>
    </row>
    <row r="156" ht="15.75" customHeight="1">
      <c r="A156" s="7" t="s">
        <v>236</v>
      </c>
      <c r="B156" s="7" t="s">
        <v>235</v>
      </c>
      <c r="C156" s="8">
        <f t="shared" si="1"/>
        <v>25</v>
      </c>
      <c r="D156" s="7">
        <v>1994.0</v>
      </c>
      <c r="E156" s="7" t="b">
        <v>1</v>
      </c>
      <c r="F156" s="7" t="b">
        <v>1</v>
      </c>
      <c r="G156" s="7" t="b">
        <v>0</v>
      </c>
      <c r="H156" s="7" t="b">
        <v>1</v>
      </c>
      <c r="I156" s="7" t="b">
        <v>0</v>
      </c>
      <c r="J156" s="9" t="b">
        <v>0</v>
      </c>
      <c r="K156" s="7">
        <v>248.0</v>
      </c>
      <c r="L156" s="7">
        <v>121.5</v>
      </c>
      <c r="M156" s="7">
        <v>452.0</v>
      </c>
      <c r="N156" s="7">
        <v>3.98</v>
      </c>
      <c r="O156" s="7">
        <v>0.9875</v>
      </c>
      <c r="P156" s="7">
        <v>0.98</v>
      </c>
      <c r="Q156" s="10">
        <f t="shared" si="2"/>
        <v>49.95787077</v>
      </c>
      <c r="R156" s="11">
        <f t="shared" si="3"/>
        <v>5.572016461</v>
      </c>
      <c r="S156" s="12">
        <f t="shared" si="4"/>
        <v>4</v>
      </c>
      <c r="T156" s="8">
        <f t="shared" si="61"/>
        <v>677</v>
      </c>
      <c r="U156" s="13">
        <f>T156/vlookup(A156,Max!$A$2:$AP$700,column(Max!$AP$2),false)</f>
        <v>2.417857143</v>
      </c>
      <c r="V156" s="8">
        <f t="shared" si="6"/>
        <v>168.0434662</v>
      </c>
      <c r="W156" s="14">
        <f t="shared" si="7"/>
        <v>3.438943991</v>
      </c>
      <c r="X156" s="14">
        <f t="shared" si="8"/>
        <v>1.239754506</v>
      </c>
      <c r="Y156" s="14">
        <f t="shared" si="9"/>
        <v>1</v>
      </c>
      <c r="Z156" s="14">
        <f t="shared" si="10"/>
        <v>0.9447566629</v>
      </c>
      <c r="AA156" s="27">
        <f t="shared" si="11"/>
        <v>25</v>
      </c>
      <c r="AB156" s="15">
        <f t="shared" ref="AB156:AB159" si="62">if(iserror(find("$",A156)),1,2)</f>
        <v>1</v>
      </c>
      <c r="AC156" s="15" t="str">
        <f t="shared" si="40"/>
        <v/>
      </c>
      <c r="AD156" s="15" t="str">
        <f t="shared" si="41"/>
        <v>$LE-5A$: 25,</v>
      </c>
      <c r="AE156" s="15" t="str">
        <f t="shared" si="56"/>
        <v/>
      </c>
      <c r="AF156" s="15" t="str">
        <f t="shared" si="54"/>
        <v/>
      </c>
      <c r="AG156" s="15" t="str">
        <f t="shared" si="55"/>
        <v/>
      </c>
    </row>
    <row r="157" ht="15.75" customHeight="1">
      <c r="A157" s="16" t="s">
        <v>237</v>
      </c>
      <c r="B157" s="16" t="s">
        <v>235</v>
      </c>
      <c r="C157" s="17">
        <f t="shared" si="1"/>
        <v>64</v>
      </c>
      <c r="D157" s="16">
        <v>2001.0</v>
      </c>
      <c r="E157" s="16" t="b">
        <v>1</v>
      </c>
      <c r="F157" s="16" t="b">
        <v>1</v>
      </c>
      <c r="G157" s="16" t="b">
        <v>0</v>
      </c>
      <c r="H157" s="16" t="b">
        <v>1</v>
      </c>
      <c r="I157" s="16" t="b">
        <v>0</v>
      </c>
      <c r="J157" s="18" t="b">
        <v>0</v>
      </c>
      <c r="K157" s="16">
        <v>285.0</v>
      </c>
      <c r="L157" s="16">
        <v>137.2</v>
      </c>
      <c r="M157" s="16">
        <v>446.8</v>
      </c>
      <c r="N157" s="16">
        <v>3.62</v>
      </c>
      <c r="O157" s="16">
        <v>0.998598</v>
      </c>
      <c r="P157" s="16">
        <v>0.99</v>
      </c>
      <c r="Q157" s="19">
        <f t="shared" si="2"/>
        <v>49.08949614</v>
      </c>
      <c r="R157" s="20">
        <f t="shared" si="3"/>
        <v>5.218658892</v>
      </c>
      <c r="S157" s="21">
        <f t="shared" si="4"/>
        <v>4</v>
      </c>
      <c r="T157" s="17">
        <f t="shared" si="61"/>
        <v>716</v>
      </c>
      <c r="U157" s="22">
        <f>T157/vlookup(A157,Max!$A$2:$AP$700,column(Max!$AP$2),false)</f>
        <v>2.16969697</v>
      </c>
      <c r="V157" s="17">
        <f t="shared" si="6"/>
        <v>180.6344771</v>
      </c>
      <c r="W157" s="23">
        <f t="shared" si="7"/>
        <v>3.275557557</v>
      </c>
      <c r="X157" s="23">
        <f t="shared" si="8"/>
        <v>1.213588444</v>
      </c>
      <c r="Y157" s="23">
        <f t="shared" si="9"/>
        <v>1</v>
      </c>
      <c r="Z157" s="23">
        <f t="shared" si="10"/>
        <v>0.9964986846</v>
      </c>
      <c r="AA157" s="24">
        <f t="shared" si="11"/>
        <v>64</v>
      </c>
      <c r="AB157" s="26">
        <f t="shared" si="62"/>
        <v>1</v>
      </c>
      <c r="AC157" s="26" t="str">
        <f t="shared" si="40"/>
        <v/>
      </c>
      <c r="AD157" s="26" t="str">
        <f t="shared" si="41"/>
        <v>$LE-5B$: 64,</v>
      </c>
      <c r="AE157" s="26" t="str">
        <f t="shared" si="56"/>
        <v/>
      </c>
      <c r="AF157" s="26" t="str">
        <f t="shared" si="54"/>
        <v/>
      </c>
      <c r="AG157" s="26" t="str">
        <f t="shared" si="55"/>
        <v/>
      </c>
    </row>
    <row r="158" ht="15.75" customHeight="1">
      <c r="A158" s="7" t="s">
        <v>238</v>
      </c>
      <c r="B158" s="7" t="s">
        <v>235</v>
      </c>
      <c r="C158" s="8">
        <f t="shared" si="1"/>
        <v>92</v>
      </c>
      <c r="D158" s="7">
        <v>2009.0</v>
      </c>
      <c r="E158" s="7" t="b">
        <v>1</v>
      </c>
      <c r="F158" s="7" t="b">
        <v>1</v>
      </c>
      <c r="G158" s="7" t="b">
        <v>0</v>
      </c>
      <c r="H158" s="7" t="b">
        <v>1</v>
      </c>
      <c r="I158" s="7" t="b">
        <v>0</v>
      </c>
      <c r="J158" s="9" t="b">
        <v>0</v>
      </c>
      <c r="K158" s="7">
        <v>298.0</v>
      </c>
      <c r="L158" s="7">
        <v>137.2</v>
      </c>
      <c r="M158" s="7">
        <v>446.8</v>
      </c>
      <c r="N158" s="7">
        <v>3.58</v>
      </c>
      <c r="O158" s="7">
        <v>0.998598</v>
      </c>
      <c r="P158" s="7">
        <v>0.997222</v>
      </c>
      <c r="Q158" s="10">
        <f t="shared" si="2"/>
        <v>46.94800806</v>
      </c>
      <c r="R158" s="11">
        <f t="shared" si="3"/>
        <v>5.422740525</v>
      </c>
      <c r="S158" s="12">
        <f t="shared" si="4"/>
        <v>4</v>
      </c>
      <c r="T158" s="8">
        <f t="shared" si="61"/>
        <v>744</v>
      </c>
      <c r="U158" s="13">
        <f>T158/vlookup(A158,Max!$A$2:$AP$700,column(Max!$AP$2),false)</f>
        <v>2.010810811</v>
      </c>
      <c r="V158" s="8">
        <f t="shared" si="6"/>
        <v>184.8913051</v>
      </c>
      <c r="W158" s="14">
        <f t="shared" si="7"/>
        <v>3.275557557</v>
      </c>
      <c r="X158" s="14">
        <f t="shared" si="8"/>
        <v>1.210558231</v>
      </c>
      <c r="Y158" s="14">
        <f t="shared" si="9"/>
        <v>1</v>
      </c>
      <c r="Z158" s="14">
        <f t="shared" si="10"/>
        <v>1.014771756</v>
      </c>
      <c r="AA158" s="27">
        <f t="shared" si="11"/>
        <v>92</v>
      </c>
      <c r="AB158" s="15">
        <f t="shared" si="62"/>
        <v>1</v>
      </c>
      <c r="AC158" s="15" t="str">
        <f t="shared" si="40"/>
        <v/>
      </c>
      <c r="AD158" s="15" t="str">
        <f t="shared" si="41"/>
        <v>$LE-5B-2$: 92,</v>
      </c>
      <c r="AE158" s="15" t="str">
        <f t="shared" si="56"/>
        <v/>
      </c>
      <c r="AF158" s="15" t="str">
        <f t="shared" si="54"/>
        <v/>
      </c>
      <c r="AG158" s="15" t="str">
        <f t="shared" si="55"/>
        <v/>
      </c>
    </row>
    <row r="159" ht="15.75" customHeight="1">
      <c r="A159" s="16" t="s">
        <v>239</v>
      </c>
      <c r="B159" s="16" t="s">
        <v>235</v>
      </c>
      <c r="C159" s="17">
        <f t="shared" si="1"/>
        <v>108</v>
      </c>
      <c r="D159" s="16">
        <v>2022.0</v>
      </c>
      <c r="E159" s="16" t="b">
        <v>1</v>
      </c>
      <c r="F159" s="16" t="b">
        <v>1</v>
      </c>
      <c r="G159" s="16" t="b">
        <v>0</v>
      </c>
      <c r="H159" s="16" t="b">
        <v>1</v>
      </c>
      <c r="I159" s="16" t="b">
        <v>0</v>
      </c>
      <c r="J159" s="18" t="b">
        <v>0</v>
      </c>
      <c r="K159" s="16">
        <v>303.0</v>
      </c>
      <c r="L159" s="16">
        <v>137.2</v>
      </c>
      <c r="M159" s="16">
        <v>448.0</v>
      </c>
      <c r="N159" s="16">
        <v>3.61</v>
      </c>
      <c r="O159" s="16">
        <v>0.998598</v>
      </c>
      <c r="P159" s="16">
        <v>0.997222</v>
      </c>
      <c r="Q159" s="19">
        <f t="shared" si="2"/>
        <v>46.17328845</v>
      </c>
      <c r="R159" s="20">
        <f t="shared" si="3"/>
        <v>5.539358601</v>
      </c>
      <c r="S159" s="21">
        <f t="shared" si="4"/>
        <v>4</v>
      </c>
      <c r="T159" s="17">
        <f t="shared" si="61"/>
        <v>760</v>
      </c>
      <c r="U159" s="22">
        <f>T159/vlookup(A159,Max!$A$2:$AP$700,column(Max!$AP$2),false)</f>
        <v>1.948717949</v>
      </c>
      <c r="V159" s="17">
        <f t="shared" si="6"/>
        <v>186.5075796</v>
      </c>
      <c r="W159" s="23">
        <f t="shared" si="7"/>
        <v>3.312441276</v>
      </c>
      <c r="X159" s="23">
        <f t="shared" si="8"/>
        <v>1.212833333</v>
      </c>
      <c r="Y159" s="23">
        <f t="shared" si="9"/>
        <v>1</v>
      </c>
      <c r="Z159" s="23">
        <f t="shared" si="10"/>
        <v>1.014771756</v>
      </c>
      <c r="AA159" s="24">
        <f t="shared" si="11"/>
        <v>108</v>
      </c>
      <c r="AB159" s="26">
        <f t="shared" si="62"/>
        <v>1</v>
      </c>
      <c r="AC159" s="26" t="str">
        <f t="shared" si="40"/>
        <v/>
      </c>
      <c r="AD159" s="26" t="str">
        <f t="shared" si="41"/>
        <v>$LE-5B-3$: 108,</v>
      </c>
      <c r="AE159" s="26" t="str">
        <f t="shared" si="56"/>
        <v/>
      </c>
      <c r="AF159" s="26" t="str">
        <f t="shared" si="54"/>
        <v/>
      </c>
      <c r="AG159" s="26" t="str">
        <f t="shared" si="55"/>
        <v/>
      </c>
    </row>
    <row r="160" ht="15.75" customHeight="1">
      <c r="A160" s="7" t="s">
        <v>240</v>
      </c>
      <c r="B160" s="7" t="s">
        <v>241</v>
      </c>
      <c r="C160" s="8">
        <f t="shared" si="1"/>
        <v>2727</v>
      </c>
      <c r="D160" s="7">
        <v>1993.0</v>
      </c>
      <c r="E160" s="7" t="b">
        <v>1</v>
      </c>
      <c r="F160" s="7" t="b">
        <v>1</v>
      </c>
      <c r="G160" s="7" t="b">
        <v>0</v>
      </c>
      <c r="H160" s="7" t="b">
        <v>0</v>
      </c>
      <c r="I160" s="7" t="b">
        <v>0</v>
      </c>
      <c r="J160" s="9" t="b">
        <v>0</v>
      </c>
      <c r="K160" s="7">
        <v>1720.0</v>
      </c>
      <c r="L160" s="7">
        <v>1096.1</v>
      </c>
      <c r="M160" s="7">
        <v>446.5</v>
      </c>
      <c r="N160" s="7">
        <v>12.7</v>
      </c>
      <c r="O160" s="7">
        <v>0.95625</v>
      </c>
      <c r="P160" s="7">
        <v>0.95625</v>
      </c>
      <c r="Q160" s="10">
        <f t="shared" si="2"/>
        <v>64.98319406</v>
      </c>
      <c r="R160" s="11">
        <f t="shared" si="3"/>
        <v>2.487911687</v>
      </c>
      <c r="S160" s="12">
        <f t="shared" si="4"/>
        <v>4</v>
      </c>
      <c r="T160" s="8">
        <f t="shared" si="61"/>
        <v>2727</v>
      </c>
      <c r="U160" s="13">
        <f>T160/vlookup(A160,Max!$A$2:$AP$700,column(Max!$AP$2),false)</f>
        <v>3.366666667</v>
      </c>
      <c r="V160" s="8">
        <f t="shared" si="6"/>
        <v>482.7224631</v>
      </c>
      <c r="W160" s="14">
        <f t="shared" si="7"/>
        <v>3.266411937</v>
      </c>
      <c r="X160" s="14">
        <f t="shared" si="8"/>
        <v>1.886356568</v>
      </c>
      <c r="Y160" s="14">
        <f t="shared" si="9"/>
        <v>1</v>
      </c>
      <c r="Z160" s="14">
        <f t="shared" si="10"/>
        <v>0.9169393991</v>
      </c>
      <c r="AA160" s="15">
        <f t="shared" si="11"/>
        <v>0</v>
      </c>
      <c r="AB160" s="29">
        <v>0.0</v>
      </c>
      <c r="AC160" s="15" t="str">
        <f t="shared" si="40"/>
        <v>{
$name$: $LE-7$,
$config$: $LE7$,
$cost$: 2727
},</v>
      </c>
      <c r="AD160" s="15" t="str">
        <f t="shared" si="41"/>
        <v/>
      </c>
      <c r="AE160" s="15" t="str">
        <f t="shared" si="56"/>
        <v/>
      </c>
      <c r="AF160" s="15" t="str">
        <f t="shared" si="54"/>
        <v/>
      </c>
      <c r="AG160" s="15" t="str">
        <f t="shared" si="55"/>
        <v/>
      </c>
    </row>
    <row r="161" ht="15.75" customHeight="1">
      <c r="A161" s="16" t="s">
        <v>242</v>
      </c>
      <c r="B161" s="16" t="s">
        <v>241</v>
      </c>
      <c r="C161" s="17">
        <f t="shared" si="1"/>
        <v>23</v>
      </c>
      <c r="D161" s="16">
        <v>2001.0</v>
      </c>
      <c r="E161" s="16" t="b">
        <v>1</v>
      </c>
      <c r="F161" s="16" t="b">
        <v>1</v>
      </c>
      <c r="G161" s="16" t="b">
        <v>0</v>
      </c>
      <c r="H161" s="16" t="b">
        <v>0</v>
      </c>
      <c r="I161" s="16" t="b">
        <v>0</v>
      </c>
      <c r="J161" s="18" t="b">
        <v>0</v>
      </c>
      <c r="K161" s="16">
        <v>1715.0</v>
      </c>
      <c r="L161" s="16">
        <v>996.4</v>
      </c>
      <c r="M161" s="16">
        <v>438.0</v>
      </c>
      <c r="N161" s="16">
        <v>12.0</v>
      </c>
      <c r="O161" s="16">
        <v>0.997458</v>
      </c>
      <c r="P161" s="16">
        <v>0.997458</v>
      </c>
      <c r="Q161" s="19">
        <f t="shared" si="2"/>
        <v>59.24461992</v>
      </c>
      <c r="R161" s="20">
        <f t="shared" si="3"/>
        <v>2.759935769</v>
      </c>
      <c r="S161" s="21">
        <f t="shared" si="4"/>
        <v>4</v>
      </c>
      <c r="T161" s="17">
        <f t="shared" si="61"/>
        <v>2750</v>
      </c>
      <c r="U161" s="22">
        <f>T161/vlookup(A161,Max!$A$2:$AP$700,column(Max!$AP$2),false)</f>
        <v>2.2</v>
      </c>
      <c r="V161" s="17">
        <f t="shared" si="6"/>
        <v>481.9214688</v>
      </c>
      <c r="W161" s="23">
        <f t="shared" si="7"/>
        <v>3.019328309</v>
      </c>
      <c r="X161" s="23">
        <f t="shared" si="8"/>
        <v>1.854543591</v>
      </c>
      <c r="Y161" s="23">
        <f t="shared" si="9"/>
        <v>1</v>
      </c>
      <c r="Z161" s="23">
        <f t="shared" si="10"/>
        <v>1.018939875</v>
      </c>
      <c r="AA161" s="24">
        <f t="shared" si="11"/>
        <v>23</v>
      </c>
      <c r="AB161" s="26">
        <f t="shared" ref="AB161:AB162" si="63">if(iserror(find("$",A161)),1,2)</f>
        <v>1</v>
      </c>
      <c r="AC161" s="26" t="str">
        <f t="shared" si="40"/>
        <v/>
      </c>
      <c r="AD161" s="26" t="str">
        <f t="shared" si="41"/>
        <v>$LE-7A$: 23,</v>
      </c>
      <c r="AE161" s="26" t="str">
        <f t="shared" si="56"/>
        <v/>
      </c>
      <c r="AF161" s="26" t="str">
        <f t="shared" si="54"/>
        <v/>
      </c>
      <c r="AG161" s="26" t="str">
        <f t="shared" si="55"/>
        <v/>
      </c>
    </row>
    <row r="162" ht="15.75" customHeight="1">
      <c r="A162" s="7" t="s">
        <v>243</v>
      </c>
      <c r="B162" s="7" t="s">
        <v>241</v>
      </c>
      <c r="C162" s="8">
        <f t="shared" si="1"/>
        <v>181</v>
      </c>
      <c r="D162" s="7">
        <v>2003.0</v>
      </c>
      <c r="E162" s="7" t="b">
        <v>1</v>
      </c>
      <c r="F162" s="7" t="b">
        <v>1</v>
      </c>
      <c r="G162" s="7" t="b">
        <v>0</v>
      </c>
      <c r="H162" s="7" t="b">
        <v>0</v>
      </c>
      <c r="I162" s="7" t="b">
        <v>0</v>
      </c>
      <c r="J162" s="9" t="b">
        <v>0</v>
      </c>
      <c r="K162" s="7">
        <v>1832.0</v>
      </c>
      <c r="L162" s="7">
        <v>1098.0</v>
      </c>
      <c r="M162" s="7">
        <v>440.0</v>
      </c>
      <c r="N162" s="7">
        <v>12.0</v>
      </c>
      <c r="O162" s="7">
        <v>0.997458</v>
      </c>
      <c r="P162" s="7">
        <v>0.997458</v>
      </c>
      <c r="Q162" s="10">
        <f t="shared" si="2"/>
        <v>61.11617896</v>
      </c>
      <c r="R162" s="11">
        <f t="shared" si="3"/>
        <v>2.64845173</v>
      </c>
      <c r="S162" s="12">
        <f t="shared" si="4"/>
        <v>4</v>
      </c>
      <c r="T162" s="8">
        <f t="shared" si="61"/>
        <v>2908</v>
      </c>
      <c r="U162" s="13">
        <f>T162/vlookup(A162,Max!$A$2:$AP$700,column(Max!$AP$2),false)</f>
        <v>2.005517241</v>
      </c>
      <c r="V162" s="8">
        <f t="shared" si="6"/>
        <v>500.4348092</v>
      </c>
      <c r="W162" s="14">
        <f t="shared" si="7"/>
        <v>3.075427574</v>
      </c>
      <c r="X162" s="14">
        <f t="shared" si="8"/>
        <v>1.854543591</v>
      </c>
      <c r="Y162" s="14">
        <f t="shared" si="9"/>
        <v>1</v>
      </c>
      <c r="Z162" s="14">
        <f t="shared" si="10"/>
        <v>1.018939875</v>
      </c>
      <c r="AA162" s="27">
        <f t="shared" si="11"/>
        <v>181</v>
      </c>
      <c r="AB162" s="15">
        <f t="shared" si="63"/>
        <v>1</v>
      </c>
      <c r="AC162" s="15" t="str">
        <f t="shared" si="40"/>
        <v/>
      </c>
      <c r="AD162" s="15" t="str">
        <f t="shared" si="41"/>
        <v>$LE-7A-2$: 181,</v>
      </c>
      <c r="AE162" s="15" t="str">
        <f t="shared" si="56"/>
        <v/>
      </c>
      <c r="AF162" s="15" t="str">
        <f t="shared" si="54"/>
        <v/>
      </c>
      <c r="AG162" s="15" t="str">
        <f t="shared" si="55"/>
        <v/>
      </c>
    </row>
    <row r="163" ht="15.75" customHeight="1">
      <c r="A163" s="16" t="s">
        <v>244</v>
      </c>
      <c r="B163" s="16" t="s">
        <v>245</v>
      </c>
      <c r="C163" s="17">
        <f t="shared" si="1"/>
        <v>2812</v>
      </c>
      <c r="D163" s="16">
        <v>2022.0</v>
      </c>
      <c r="E163" s="16" t="b">
        <v>1</v>
      </c>
      <c r="F163" s="16" t="b">
        <v>1</v>
      </c>
      <c r="G163" s="16" t="b">
        <v>0</v>
      </c>
      <c r="H163" s="16" t="b">
        <v>0</v>
      </c>
      <c r="I163" s="16" t="b">
        <v>0</v>
      </c>
      <c r="J163" s="18" t="b">
        <v>0</v>
      </c>
      <c r="K163" s="16">
        <v>2410.0</v>
      </c>
      <c r="L163" s="16">
        <v>1471.0</v>
      </c>
      <c r="M163" s="16">
        <v>425.0</v>
      </c>
      <c r="N163" s="16">
        <v>10.0</v>
      </c>
      <c r="O163" s="16">
        <v>0.997458</v>
      </c>
      <c r="P163" s="16">
        <v>0.997458</v>
      </c>
      <c r="Q163" s="19">
        <f t="shared" si="2"/>
        <v>62.2407695</v>
      </c>
      <c r="R163" s="20">
        <f t="shared" si="3"/>
        <v>1.911624745</v>
      </c>
      <c r="S163" s="21">
        <f t="shared" si="4"/>
        <v>4</v>
      </c>
      <c r="T163" s="17">
        <f t="shared" si="61"/>
        <v>2812</v>
      </c>
      <c r="U163" s="22">
        <f>T163/vlookup(A163,Max!$A$2:$AP$700,column(Max!$AP$2),false)</f>
        <v>1.814193548</v>
      </c>
      <c r="V163" s="17">
        <f t="shared" si="6"/>
        <v>585.9190224</v>
      </c>
      <c r="W163" s="23">
        <f t="shared" si="7"/>
        <v>2.682821306</v>
      </c>
      <c r="X163" s="23">
        <f t="shared" si="8"/>
        <v>1.755830837</v>
      </c>
      <c r="Y163" s="23">
        <f t="shared" si="9"/>
        <v>1</v>
      </c>
      <c r="Z163" s="23">
        <f t="shared" si="10"/>
        <v>1.018939875</v>
      </c>
      <c r="AA163" s="26">
        <f t="shared" si="11"/>
        <v>0</v>
      </c>
      <c r="AB163" s="25">
        <v>0.0</v>
      </c>
      <c r="AC163" s="26" t="str">
        <f t="shared" si="40"/>
        <v>{
$name$: $LE-9$,
$config$: $LE9$,
$cost$: 2812
},</v>
      </c>
      <c r="AD163" s="26" t="str">
        <f t="shared" si="41"/>
        <v/>
      </c>
      <c r="AE163" s="26" t="str">
        <f t="shared" si="56"/>
        <v/>
      </c>
      <c r="AF163" s="26" t="str">
        <f t="shared" si="54"/>
        <v/>
      </c>
      <c r="AG163" s="26" t="str">
        <f t="shared" si="55"/>
        <v/>
      </c>
    </row>
    <row r="164" ht="15.75" customHeight="1">
      <c r="A164" s="7" t="s">
        <v>246</v>
      </c>
      <c r="B164" s="7" t="s">
        <v>247</v>
      </c>
      <c r="C164" s="8">
        <f t="shared" si="1"/>
        <v>13</v>
      </c>
      <c r="D164" s="7">
        <v>1996.0</v>
      </c>
      <c r="E164" s="7"/>
      <c r="F164" s="7" t="b">
        <v>0</v>
      </c>
      <c r="G164" s="7" t="b">
        <v>0</v>
      </c>
      <c r="H164" s="7" t="b">
        <v>1</v>
      </c>
      <c r="I164" s="7" t="b">
        <v>0</v>
      </c>
      <c r="J164" s="9" t="b">
        <v>0</v>
      </c>
      <c r="K164" s="7">
        <v>4.5</v>
      </c>
      <c r="L164" s="7">
        <v>0.635</v>
      </c>
      <c r="M164" s="7">
        <v>317.0</v>
      </c>
      <c r="N164" s="7">
        <v>1.2</v>
      </c>
      <c r="O164" s="7">
        <v>0.999362</v>
      </c>
      <c r="P164" s="7">
        <v>0.996875</v>
      </c>
      <c r="Q164" s="10">
        <f t="shared" si="2"/>
        <v>14.38932874</v>
      </c>
      <c r="R164" s="11">
        <f t="shared" si="3"/>
        <v>20.47244094</v>
      </c>
      <c r="S164" s="12">
        <f t="shared" si="4"/>
        <v>1.75</v>
      </c>
      <c r="T164" s="8">
        <f t="shared" si="61"/>
        <v>13</v>
      </c>
      <c r="U164" s="13">
        <f>T164/vlookup(A164,Max!$A$2:$AP$700,column(Max!$AP$2),false)</f>
        <v>1.688311688</v>
      </c>
      <c r="V164" s="8">
        <f t="shared" si="6"/>
        <v>12.16513441</v>
      </c>
      <c r="W164" s="14">
        <f t="shared" si="7"/>
        <v>1.123541165</v>
      </c>
      <c r="X164" s="14">
        <f t="shared" si="8"/>
        <v>0.946624596</v>
      </c>
      <c r="Y164" s="14">
        <f t="shared" si="9"/>
        <v>1</v>
      </c>
      <c r="Z164" s="14">
        <f t="shared" si="10"/>
        <v>1.015829579</v>
      </c>
      <c r="AA164" s="15">
        <f t="shared" si="11"/>
        <v>0</v>
      </c>
      <c r="AB164" s="29">
        <v>0.0</v>
      </c>
      <c r="AC164" s="15" t="str">
        <f t="shared" si="40"/>
        <v>{
$name$: $LEROS-1b$,
$config$: $LEROS1b$,
$cost$: 13
},</v>
      </c>
      <c r="AD164" s="15" t="str">
        <f t="shared" si="41"/>
        <v/>
      </c>
      <c r="AE164" s="15" t="str">
        <f t="shared" si="56"/>
        <v/>
      </c>
      <c r="AF164" s="15" t="str">
        <f t="shared" si="54"/>
        <v/>
      </c>
      <c r="AG164" s="15" t="str">
        <f t="shared" si="55"/>
        <v/>
      </c>
    </row>
    <row r="165" ht="15.75" customHeight="1">
      <c r="A165" s="16" t="s">
        <v>248</v>
      </c>
      <c r="B165" s="16" t="s">
        <v>247</v>
      </c>
      <c r="C165" s="17">
        <f t="shared" si="1"/>
        <v>0</v>
      </c>
      <c r="D165" s="16">
        <v>1996.0</v>
      </c>
      <c r="E165" s="16"/>
      <c r="F165" s="16" t="b">
        <v>0</v>
      </c>
      <c r="G165" s="16" t="b">
        <v>0</v>
      </c>
      <c r="H165" s="16" t="b">
        <v>1</v>
      </c>
      <c r="I165" s="16" t="b">
        <v>0</v>
      </c>
      <c r="J165" s="18" t="b">
        <v>0</v>
      </c>
      <c r="K165" s="16">
        <v>4.3</v>
      </c>
      <c r="L165" s="16">
        <v>0.458</v>
      </c>
      <c r="M165" s="16">
        <v>324.0</v>
      </c>
      <c r="N165" s="16">
        <v>1.13</v>
      </c>
      <c r="O165" s="16">
        <v>0.999348</v>
      </c>
      <c r="P165" s="16">
        <v>0.996809</v>
      </c>
      <c r="Q165" s="19">
        <f t="shared" si="2"/>
        <v>10.86116335</v>
      </c>
      <c r="R165" s="20">
        <f t="shared" si="3"/>
        <v>28.38427948</v>
      </c>
      <c r="S165" s="21">
        <f t="shared" si="4"/>
        <v>1.75</v>
      </c>
      <c r="T165" s="17">
        <f t="shared" si="61"/>
        <v>13</v>
      </c>
      <c r="U165" s="22">
        <f>T165/vlookup(A165,Max!$A$2:$AP$700,column(Max!$AP$2),false)</f>
        <v>1.666666667</v>
      </c>
      <c r="V165" s="17">
        <f t="shared" si="6"/>
        <v>11.84875695</v>
      </c>
      <c r="W165" s="23">
        <f t="shared" si="7"/>
        <v>1.180851571</v>
      </c>
      <c r="X165" s="23">
        <f t="shared" si="8"/>
        <v>0.9339092005</v>
      </c>
      <c r="Y165" s="23">
        <f t="shared" si="9"/>
        <v>1</v>
      </c>
      <c r="Z165" s="23">
        <f t="shared" si="10"/>
        <v>1.01562588</v>
      </c>
      <c r="AA165" s="24">
        <f t="shared" si="11"/>
        <v>0</v>
      </c>
      <c r="AB165" s="26">
        <f t="shared" ref="AB165:AB166" si="64">if(iserror(find("$",A165)),1,2)</f>
        <v>1</v>
      </c>
      <c r="AC165" s="26" t="str">
        <f t="shared" si="40"/>
        <v/>
      </c>
      <c r="AD165" s="26" t="str">
        <f t="shared" si="41"/>
        <v>$LEROS-1c$: 0,</v>
      </c>
      <c r="AE165" s="26" t="str">
        <f t="shared" si="56"/>
        <v/>
      </c>
      <c r="AF165" s="26" t="str">
        <f t="shared" si="54"/>
        <v/>
      </c>
      <c r="AG165" s="26" t="str">
        <f t="shared" si="55"/>
        <v/>
      </c>
    </row>
    <row r="166" ht="15.75" customHeight="1">
      <c r="A166" s="7" t="s">
        <v>249</v>
      </c>
      <c r="B166" s="7" t="s">
        <v>247</v>
      </c>
      <c r="C166" s="8">
        <f t="shared" si="1"/>
        <v>1</v>
      </c>
      <c r="D166" s="7">
        <v>1996.0</v>
      </c>
      <c r="E166" s="7"/>
      <c r="F166" s="7" t="b">
        <v>0</v>
      </c>
      <c r="G166" s="7" t="b">
        <v>0</v>
      </c>
      <c r="H166" s="7" t="b">
        <v>1</v>
      </c>
      <c r="I166" s="7" t="b">
        <v>0</v>
      </c>
      <c r="J166" s="9" t="b">
        <v>0</v>
      </c>
      <c r="K166" s="7">
        <v>5.0</v>
      </c>
      <c r="L166" s="7">
        <v>0.42</v>
      </c>
      <c r="M166" s="7">
        <v>319.5</v>
      </c>
      <c r="N166" s="7">
        <v>1.03</v>
      </c>
      <c r="O166" s="7">
        <v>0.999348</v>
      </c>
      <c r="P166" s="7">
        <v>0.996809</v>
      </c>
      <c r="Q166" s="10">
        <f t="shared" si="2"/>
        <v>8.565616164</v>
      </c>
      <c r="R166" s="11">
        <f t="shared" si="3"/>
        <v>33.33333333</v>
      </c>
      <c r="S166" s="12">
        <f t="shared" si="4"/>
        <v>1.75</v>
      </c>
      <c r="T166" s="8">
        <f t="shared" si="61"/>
        <v>14</v>
      </c>
      <c r="U166" s="13">
        <f>T166/vlookup(A166,Max!$A$2:$AP$700,column(Max!$AP$2),false)</f>
        <v>2.153846154</v>
      </c>
      <c r="V166" s="8">
        <f t="shared" si="6"/>
        <v>12.93205684</v>
      </c>
      <c r="W166" s="14">
        <f t="shared" si="7"/>
        <v>1.1435487</v>
      </c>
      <c r="X166" s="14">
        <f t="shared" si="8"/>
        <v>0.9146403984</v>
      </c>
      <c r="Y166" s="14">
        <f t="shared" si="9"/>
        <v>1</v>
      </c>
      <c r="Z166" s="14">
        <f t="shared" si="10"/>
        <v>1.01562588</v>
      </c>
      <c r="AA166" s="27">
        <f t="shared" si="11"/>
        <v>1</v>
      </c>
      <c r="AB166" s="15">
        <f t="shared" si="64"/>
        <v>1</v>
      </c>
      <c r="AC166" s="15" t="str">
        <f t="shared" si="40"/>
        <v/>
      </c>
      <c r="AD166" s="15" t="str">
        <f t="shared" si="41"/>
        <v>$LEROS-2b$: 1,</v>
      </c>
      <c r="AE166" s="15" t="str">
        <f t="shared" si="56"/>
        <v/>
      </c>
      <c r="AF166" s="15" t="str">
        <f t="shared" si="54"/>
        <v/>
      </c>
      <c r="AG166" s="15" t="str">
        <f t="shared" si="55"/>
        <v/>
      </c>
    </row>
    <row r="167" ht="15.75" customHeight="1">
      <c r="A167" s="16" t="s">
        <v>250</v>
      </c>
      <c r="B167" s="16" t="s">
        <v>251</v>
      </c>
      <c r="C167" s="17">
        <f t="shared" si="1"/>
        <v>19</v>
      </c>
      <c r="D167" s="16">
        <v>2018.0</v>
      </c>
      <c r="E167" s="16"/>
      <c r="F167" s="16" t="b">
        <v>0</v>
      </c>
      <c r="G167" s="16" t="b">
        <v>0</v>
      </c>
      <c r="H167" s="16" t="b">
        <v>0</v>
      </c>
      <c r="I167" s="16" t="b">
        <v>0</v>
      </c>
      <c r="J167" s="18" t="b">
        <v>0</v>
      </c>
      <c r="K167" s="16">
        <v>8.41</v>
      </c>
      <c r="L167" s="16">
        <v>1.1</v>
      </c>
      <c r="M167" s="16">
        <v>323.0</v>
      </c>
      <c r="N167" s="16">
        <v>1.03</v>
      </c>
      <c r="O167" s="16">
        <v>0.999814</v>
      </c>
      <c r="P167" s="16">
        <v>0.999442</v>
      </c>
      <c r="Q167" s="19">
        <f t="shared" si="2"/>
        <v>13.33754853</v>
      </c>
      <c r="R167" s="20">
        <f t="shared" si="3"/>
        <v>17.27272727</v>
      </c>
      <c r="S167" s="21">
        <f t="shared" si="4"/>
        <v>1.75</v>
      </c>
      <c r="T167" s="17">
        <f t="shared" si="61"/>
        <v>19</v>
      </c>
      <c r="U167" s="22">
        <f>T167/vlookup(A167,Max!$A$2:$AP$700,column(Max!$AP$2),false)</f>
        <v>2.087912088</v>
      </c>
      <c r="V167" s="17">
        <f t="shared" si="6"/>
        <v>17.50977161</v>
      </c>
      <c r="W167" s="23">
        <f t="shared" si="7"/>
        <v>1.172415801</v>
      </c>
      <c r="X167" s="23">
        <f t="shared" si="8"/>
        <v>0.8878382257</v>
      </c>
      <c r="Y167" s="23">
        <f t="shared" si="9"/>
        <v>1</v>
      </c>
      <c r="Z167" s="23">
        <f t="shared" si="10"/>
        <v>1.024014258</v>
      </c>
      <c r="AA167" s="26">
        <f t="shared" si="11"/>
        <v>0</v>
      </c>
      <c r="AB167" s="25">
        <v>0.0</v>
      </c>
      <c r="AC167" s="26" t="str">
        <f t="shared" si="40"/>
        <v>{
$name$: $LEROS-4$,
$config$: $LEROS4$,
$cost$: 19
},</v>
      </c>
      <c r="AD167" s="26" t="str">
        <f t="shared" si="41"/>
        <v/>
      </c>
      <c r="AE167" s="26" t="str">
        <f t="shared" si="56"/>
        <v/>
      </c>
      <c r="AF167" s="26" t="str">
        <f t="shared" si="54"/>
        <v/>
      </c>
      <c r="AG167" s="26" t="str">
        <f t="shared" si="55"/>
        <v/>
      </c>
    </row>
    <row r="168" ht="15.75" customHeight="1">
      <c r="A168" s="7" t="s">
        <v>252</v>
      </c>
      <c r="B168" s="7" t="s">
        <v>252</v>
      </c>
      <c r="C168" s="8">
        <f t="shared" si="1"/>
        <v>63</v>
      </c>
      <c r="D168" s="7">
        <v>1969.0</v>
      </c>
      <c r="E168" s="7"/>
      <c r="F168" s="7" t="b">
        <v>0</v>
      </c>
      <c r="G168" s="7" t="b">
        <v>0</v>
      </c>
      <c r="H168" s="7" t="b">
        <v>1</v>
      </c>
      <c r="I168" s="7" t="b">
        <v>0</v>
      </c>
      <c r="J168" s="9" t="b">
        <v>0</v>
      </c>
      <c r="K168" s="7">
        <v>79.42</v>
      </c>
      <c r="L168" s="7">
        <v>15.57</v>
      </c>
      <c r="M168" s="7">
        <v>311.0</v>
      </c>
      <c r="N168" s="7">
        <v>0.83</v>
      </c>
      <c r="O168" s="7">
        <v>0.998889</v>
      </c>
      <c r="P168" s="7">
        <v>0.997778</v>
      </c>
      <c r="Q168" s="10">
        <f t="shared" si="2"/>
        <v>19.99116267</v>
      </c>
      <c r="R168" s="11">
        <f t="shared" si="3"/>
        <v>4.046242775</v>
      </c>
      <c r="S168" s="12">
        <f t="shared" si="4"/>
        <v>1.75</v>
      </c>
      <c r="T168" s="8">
        <f t="shared" si="61"/>
        <v>63</v>
      </c>
      <c r="U168" s="13">
        <f>T168/vlookup(A168,Max!$A$2:$AP$700,column(Max!$AP$2),false)</f>
        <v>2.423076923</v>
      </c>
      <c r="V168" s="8">
        <f t="shared" si="6"/>
        <v>66.36992987</v>
      </c>
      <c r="W168" s="14">
        <f t="shared" si="7"/>
        <v>1.066630493</v>
      </c>
      <c r="X168" s="14">
        <f t="shared" si="8"/>
        <v>0.8712736401</v>
      </c>
      <c r="Y168" s="14">
        <f t="shared" si="9"/>
        <v>1</v>
      </c>
      <c r="Z168" s="14">
        <f t="shared" si="10"/>
        <v>1.016927285</v>
      </c>
      <c r="AA168" s="15">
        <f t="shared" si="11"/>
        <v>0</v>
      </c>
      <c r="AB168" s="29">
        <v>0.0</v>
      </c>
      <c r="AC168" s="15" t="str">
        <f t="shared" si="40"/>
        <v>{
$name$: $LMAE$,
$config$: $LMAE$,
$cost$: 63
},</v>
      </c>
      <c r="AD168" s="15" t="str">
        <f t="shared" si="41"/>
        <v/>
      </c>
      <c r="AE168" s="15" t="str">
        <f t="shared" si="56"/>
        <v/>
      </c>
      <c r="AF168" s="15" t="str">
        <f t="shared" si="54"/>
        <v/>
      </c>
      <c r="AG168" s="15" t="str">
        <f t="shared" si="55"/>
        <v/>
      </c>
    </row>
    <row r="169" ht="15.75" customHeight="1">
      <c r="A169" s="16" t="s">
        <v>253</v>
      </c>
      <c r="B169" s="16" t="s">
        <v>252</v>
      </c>
      <c r="C169" s="17">
        <f t="shared" si="1"/>
        <v>46</v>
      </c>
      <c r="D169" s="16">
        <v>2020.0</v>
      </c>
      <c r="E169" s="16"/>
      <c r="F169" s="16" t="b">
        <v>0</v>
      </c>
      <c r="G169" s="16" t="b">
        <v>0</v>
      </c>
      <c r="H169" s="16" t="b">
        <v>1</v>
      </c>
      <c r="I169" s="16" t="b">
        <v>0</v>
      </c>
      <c r="J169" s="18" t="b">
        <v>0</v>
      </c>
      <c r="K169" s="16">
        <v>95.0</v>
      </c>
      <c r="L169" s="16">
        <v>24.5</v>
      </c>
      <c r="M169" s="16">
        <v>356.0</v>
      </c>
      <c r="N169" s="16">
        <v>1.33</v>
      </c>
      <c r="O169" s="16">
        <v>0.998889</v>
      </c>
      <c r="P169" s="16">
        <v>0.997778</v>
      </c>
      <c r="Q169" s="19">
        <f t="shared" si="2"/>
        <v>26.29794436</v>
      </c>
      <c r="R169" s="20">
        <f t="shared" si="3"/>
        <v>4.448979592</v>
      </c>
      <c r="S169" s="21">
        <f t="shared" si="4"/>
        <v>1.75</v>
      </c>
      <c r="T169" s="17">
        <f t="shared" si="61"/>
        <v>109</v>
      </c>
      <c r="U169" s="22">
        <f>T169/vlookup(A169,Max!$A$2:$AP$700,column(Max!$AP$2),false)</f>
        <v>2.868421053</v>
      </c>
      <c r="V169" s="17">
        <f t="shared" si="6"/>
        <v>73.92836225</v>
      </c>
      <c r="W169" s="23">
        <f t="shared" si="7"/>
        <v>1.501090526</v>
      </c>
      <c r="X169" s="23">
        <f t="shared" si="8"/>
        <v>0.9687877158</v>
      </c>
      <c r="Y169" s="23">
        <f t="shared" si="9"/>
        <v>1</v>
      </c>
      <c r="Z169" s="23">
        <f t="shared" si="10"/>
        <v>1.016927285</v>
      </c>
      <c r="AA169" s="24">
        <f t="shared" si="11"/>
        <v>46</v>
      </c>
      <c r="AB169" s="26">
        <f>if(iserror(find("$",A169)),1,2)</f>
        <v>1</v>
      </c>
      <c r="AC169" s="26" t="str">
        <f t="shared" si="40"/>
        <v/>
      </c>
      <c r="AD169" s="26" t="str">
        <f t="shared" si="41"/>
        <v>$RS-18$: 46,</v>
      </c>
      <c r="AE169" s="26" t="str">
        <f t="shared" si="56"/>
        <v/>
      </c>
      <c r="AF169" s="26" t="str">
        <f t="shared" si="54"/>
        <v/>
      </c>
      <c r="AG169" s="26" t="str">
        <f t="shared" si="55"/>
        <v/>
      </c>
    </row>
    <row r="170" ht="15.75" customHeight="1">
      <c r="A170" s="7" t="s">
        <v>254</v>
      </c>
      <c r="B170" s="7" t="s">
        <v>255</v>
      </c>
      <c r="C170" s="8">
        <f t="shared" si="1"/>
        <v>142</v>
      </c>
      <c r="D170" s="7">
        <v>1969.0</v>
      </c>
      <c r="E170" s="7"/>
      <c r="F170" s="7" t="b">
        <v>0</v>
      </c>
      <c r="G170" s="7" t="b">
        <v>0</v>
      </c>
      <c r="H170" s="7" t="b">
        <v>1</v>
      </c>
      <c r="I170" s="7" t="b">
        <v>1</v>
      </c>
      <c r="J170" s="9" t="b">
        <v>0</v>
      </c>
      <c r="K170" s="7">
        <v>158.0</v>
      </c>
      <c r="L170" s="7">
        <v>46.71</v>
      </c>
      <c r="M170" s="7">
        <v>305.0</v>
      </c>
      <c r="N170" s="7">
        <v>0.71</v>
      </c>
      <c r="O170" s="7">
        <v>0.997826</v>
      </c>
      <c r="P170" s="7">
        <v>0.996721</v>
      </c>
      <c r="Q170" s="10">
        <f t="shared" si="2"/>
        <v>30.1461672</v>
      </c>
      <c r="R170" s="11">
        <f t="shared" si="3"/>
        <v>3.040034254</v>
      </c>
      <c r="S170" s="12">
        <f t="shared" si="4"/>
        <v>1.75</v>
      </c>
      <c r="T170" s="28">
        <v>142.0</v>
      </c>
      <c r="U170" s="13">
        <f>T170/vlookup(A170,Max!$A$2:$AP$700,column(Max!$AP$2),false)</f>
        <v>1.352380952</v>
      </c>
      <c r="V170" s="8">
        <f t="shared" si="6"/>
        <v>100.5384527</v>
      </c>
      <c r="W170" s="14">
        <f t="shared" si="7"/>
        <v>1.021881862</v>
      </c>
      <c r="X170" s="14">
        <f t="shared" si="8"/>
        <v>0.8411919977</v>
      </c>
      <c r="Y170" s="14">
        <f t="shared" si="9"/>
        <v>1.5</v>
      </c>
      <c r="Z170" s="14">
        <f t="shared" si="10"/>
        <v>1.011540032</v>
      </c>
      <c r="AA170" s="15">
        <f t="shared" si="11"/>
        <v>0</v>
      </c>
      <c r="AB170" s="29">
        <v>0.0</v>
      </c>
      <c r="AC170" s="15" t="str">
        <f t="shared" si="40"/>
        <v>{
$name$: $LMDE-H$,
$config$: $LMDE$,
$cost$: 142
},</v>
      </c>
      <c r="AD170" s="15" t="str">
        <f t="shared" si="41"/>
        <v/>
      </c>
      <c r="AE170" s="15" t="str">
        <f t="shared" si="56"/>
        <v/>
      </c>
      <c r="AF170" s="15" t="str">
        <f t="shared" si="54"/>
        <v/>
      </c>
      <c r="AG170" s="15" t="str">
        <f t="shared" si="55"/>
        <v/>
      </c>
    </row>
    <row r="171" ht="15.75" customHeight="1">
      <c r="A171" s="16" t="s">
        <v>256</v>
      </c>
      <c r="B171" s="16" t="s">
        <v>255</v>
      </c>
      <c r="C171" s="17">
        <f t="shared" si="1"/>
        <v>2</v>
      </c>
      <c r="D171" s="16">
        <v>1971.0</v>
      </c>
      <c r="E171" s="16"/>
      <c r="F171" s="16" t="b">
        <v>0</v>
      </c>
      <c r="G171" s="16" t="b">
        <v>0</v>
      </c>
      <c r="H171" s="16" t="b">
        <v>1</v>
      </c>
      <c r="I171" s="16" t="b">
        <v>1</v>
      </c>
      <c r="J171" s="18" t="b">
        <v>0</v>
      </c>
      <c r="K171" s="16">
        <v>158.0</v>
      </c>
      <c r="L171" s="16">
        <v>46.92</v>
      </c>
      <c r="M171" s="16">
        <v>306.4</v>
      </c>
      <c r="N171" s="16">
        <v>0.71</v>
      </c>
      <c r="O171" s="16">
        <v>0.997826</v>
      </c>
      <c r="P171" s="16">
        <v>0.996721</v>
      </c>
      <c r="Q171" s="19">
        <f t="shared" si="2"/>
        <v>30.2816991</v>
      </c>
      <c r="R171" s="20">
        <f t="shared" si="3"/>
        <v>3.069053708</v>
      </c>
      <c r="S171" s="21">
        <f t="shared" si="4"/>
        <v>1.75</v>
      </c>
      <c r="T171" s="32">
        <v>144.0</v>
      </c>
      <c r="U171" s="22">
        <f>T171/vlookup(A171,Max!$A$2:$AP$700,column(Max!$AP$2),false)</f>
        <v>1.454545455</v>
      </c>
      <c r="V171" s="17">
        <f t="shared" si="6"/>
        <v>100.5384527</v>
      </c>
      <c r="W171" s="23">
        <f t="shared" si="7"/>
        <v>1.030501844</v>
      </c>
      <c r="X171" s="23">
        <f t="shared" si="8"/>
        <v>0.8411919977</v>
      </c>
      <c r="Y171" s="23">
        <f t="shared" si="9"/>
        <v>1.5</v>
      </c>
      <c r="Z171" s="23">
        <f t="shared" si="10"/>
        <v>1.011540032</v>
      </c>
      <c r="AA171" s="24">
        <f t="shared" si="11"/>
        <v>2</v>
      </c>
      <c r="AB171" s="26">
        <f t="shared" ref="AB171:AB172" si="65">if(iserror(find("$",A171)),1,2)</f>
        <v>1</v>
      </c>
      <c r="AC171" s="26" t="str">
        <f t="shared" si="40"/>
        <v/>
      </c>
      <c r="AD171" s="26" t="str">
        <f t="shared" si="41"/>
        <v>$LMDE-J$: 2,</v>
      </c>
      <c r="AE171" s="26" t="str">
        <f t="shared" si="56"/>
        <v/>
      </c>
      <c r="AF171" s="26" t="str">
        <f t="shared" si="54"/>
        <v/>
      </c>
      <c r="AG171" s="26" t="str">
        <f t="shared" si="55"/>
        <v/>
      </c>
    </row>
    <row r="172" ht="15.75" customHeight="1">
      <c r="A172" s="7" t="s">
        <v>257</v>
      </c>
      <c r="B172" s="7" t="s">
        <v>255</v>
      </c>
      <c r="C172" s="8">
        <f t="shared" si="1"/>
        <v>-72</v>
      </c>
      <c r="D172" s="7">
        <v>1972.0</v>
      </c>
      <c r="E172" s="7"/>
      <c r="F172" s="7" t="b">
        <v>0</v>
      </c>
      <c r="G172" s="7" t="b">
        <v>0</v>
      </c>
      <c r="H172" s="7" t="b">
        <v>1</v>
      </c>
      <c r="I172" s="7" t="b">
        <v>0</v>
      </c>
      <c r="J172" s="9" t="b">
        <v>0</v>
      </c>
      <c r="K172" s="7">
        <v>113.0</v>
      </c>
      <c r="L172" s="7">
        <v>43.5</v>
      </c>
      <c r="M172" s="7">
        <v>303.0</v>
      </c>
      <c r="N172" s="7">
        <v>0.71</v>
      </c>
      <c r="O172" s="7">
        <v>0.99837</v>
      </c>
      <c r="P172" s="7">
        <v>0.994355</v>
      </c>
      <c r="Q172" s="10">
        <f t="shared" si="2"/>
        <v>39.25456207</v>
      </c>
      <c r="R172" s="11">
        <f t="shared" si="3"/>
        <v>1.609195402</v>
      </c>
      <c r="S172" s="12">
        <f t="shared" si="4"/>
        <v>1.75</v>
      </c>
      <c r="T172" s="8">
        <f t="shared" ref="T172:T280" si="66">round(V172*W172*X172*Y172*Z172,0)</f>
        <v>70</v>
      </c>
      <c r="U172" s="13">
        <f>T172/vlookup(A172,Max!$A$2:$AP$700,column(Max!$AP$2),false)</f>
        <v>1.794871795</v>
      </c>
      <c r="V172" s="8">
        <f t="shared" si="6"/>
        <v>82.08620133</v>
      </c>
      <c r="W172" s="14">
        <f t="shared" si="7"/>
        <v>1.011468879</v>
      </c>
      <c r="X172" s="14">
        <f t="shared" si="8"/>
        <v>0.8411919977</v>
      </c>
      <c r="Y172" s="14">
        <f t="shared" si="9"/>
        <v>1</v>
      </c>
      <c r="Z172" s="14">
        <f t="shared" si="10"/>
        <v>1.006918857</v>
      </c>
      <c r="AA172" s="27">
        <f t="shared" si="11"/>
        <v>-72</v>
      </c>
      <c r="AB172" s="15">
        <f t="shared" si="65"/>
        <v>1</v>
      </c>
      <c r="AC172" s="15" t="str">
        <f t="shared" si="40"/>
        <v/>
      </c>
      <c r="AD172" s="15" t="str">
        <f t="shared" si="41"/>
        <v>$TR-201$: -72,</v>
      </c>
      <c r="AE172" s="15" t="str">
        <f t="shared" si="56"/>
        <v/>
      </c>
      <c r="AF172" s="15" t="str">
        <f t="shared" si="54"/>
        <v/>
      </c>
      <c r="AG172" s="15" t="str">
        <f t="shared" si="55"/>
        <v/>
      </c>
    </row>
    <row r="173" ht="15.75" customHeight="1">
      <c r="A173" s="18" t="s">
        <v>258</v>
      </c>
      <c r="B173" s="16" t="s">
        <v>259</v>
      </c>
      <c r="C173" s="17">
        <f t="shared" si="1"/>
        <v>1485</v>
      </c>
      <c r="D173" s="16"/>
      <c r="E173" s="16" t="b">
        <v>1</v>
      </c>
      <c r="F173" s="16" t="b">
        <v>0</v>
      </c>
      <c r="G173" s="16" t="b">
        <v>0</v>
      </c>
      <c r="H173" s="16" t="b">
        <v>1</v>
      </c>
      <c r="I173" s="16" t="b">
        <v>0</v>
      </c>
      <c r="J173" s="18" t="b">
        <v>1</v>
      </c>
      <c r="K173" s="16">
        <v>2277.0</v>
      </c>
      <c r="L173" s="16">
        <v>47.596</v>
      </c>
      <c r="M173" s="16">
        <v>1037.0</v>
      </c>
      <c r="N173" s="16">
        <v>0.103</v>
      </c>
      <c r="O173" s="16">
        <v>1.0</v>
      </c>
      <c r="P173" s="16">
        <v>1.0</v>
      </c>
      <c r="Q173" s="19">
        <f t="shared" si="2"/>
        <v>2.131506927</v>
      </c>
      <c r="R173" s="20">
        <f t="shared" si="3"/>
        <v>31.20010085</v>
      </c>
      <c r="S173" s="21">
        <f t="shared" si="4"/>
        <v>1.75</v>
      </c>
      <c r="T173" s="17">
        <f t="shared" si="66"/>
        <v>1485</v>
      </c>
      <c r="U173" s="22" t="str">
        <f>T173/vlookup(A173,Max!$A$2:$AP$700,column(Max!$AP$2),false)</f>
        <v>#N/A</v>
      </c>
      <c r="V173" s="17">
        <f t="shared" si="6"/>
        <v>567.0204888</v>
      </c>
      <c r="W173" s="23">
        <f t="shared" si="7"/>
        <v>2.403068056</v>
      </c>
      <c r="X173" s="23">
        <f t="shared" si="8"/>
        <v>0.5448166603</v>
      </c>
      <c r="Y173" s="23">
        <f t="shared" si="9"/>
        <v>2</v>
      </c>
      <c r="Z173" s="23">
        <f t="shared" si="10"/>
        <v>1</v>
      </c>
      <c r="AA173" s="26">
        <f t="shared" si="11"/>
        <v>0</v>
      </c>
      <c r="AB173" s="25">
        <v>0.0</v>
      </c>
      <c r="AC173" s="26" t="str">
        <f t="shared" si="40"/>
        <v>{
$name$: $LPNTR-3200HP$,
$config$: $LPNTR$,
$cost$: 1485
},</v>
      </c>
      <c r="AD173" s="26" t="str">
        <f t="shared" si="41"/>
        <v/>
      </c>
      <c r="AE173" s="26" t="str">
        <f t="shared" si="56"/>
        <v/>
      </c>
      <c r="AF173" s="26" t="str">
        <f t="shared" si="54"/>
        <v/>
      </c>
      <c r="AG173" s="26" t="str">
        <f t="shared" si="55"/>
        <v/>
      </c>
    </row>
    <row r="174" ht="15.75" customHeight="1">
      <c r="A174" s="9" t="s">
        <v>260</v>
      </c>
      <c r="B174" s="7" t="s">
        <v>259</v>
      </c>
      <c r="C174" s="8">
        <f t="shared" si="1"/>
        <v>447</v>
      </c>
      <c r="D174" s="7"/>
      <c r="E174" s="7" t="b">
        <v>1</v>
      </c>
      <c r="F174" s="7" t="b">
        <v>0</v>
      </c>
      <c r="G174" s="7" t="b">
        <v>0</v>
      </c>
      <c r="H174" s="7" t="b">
        <v>1</v>
      </c>
      <c r="I174" s="7" t="b">
        <v>0</v>
      </c>
      <c r="J174" s="9" t="b">
        <v>1</v>
      </c>
      <c r="K174" s="7">
        <v>2277.0</v>
      </c>
      <c r="L174" s="7">
        <v>47.596</v>
      </c>
      <c r="M174" s="7">
        <v>1183.0</v>
      </c>
      <c r="N174" s="7">
        <v>0.103</v>
      </c>
      <c r="O174" s="7">
        <v>1.0</v>
      </c>
      <c r="P174" s="7">
        <v>1.0</v>
      </c>
      <c r="Q174" s="10">
        <f t="shared" si="2"/>
        <v>2.131506927</v>
      </c>
      <c r="R174" s="11">
        <f t="shared" si="3"/>
        <v>40.59164636</v>
      </c>
      <c r="S174" s="12">
        <f t="shared" si="4"/>
        <v>1.75</v>
      </c>
      <c r="T174" s="8">
        <f t="shared" si="66"/>
        <v>1932</v>
      </c>
      <c r="U174" s="13" t="str">
        <f>T174/vlookup(A174,Max!$A$2:$AP$700,column(Max!$AP$2),false)</f>
        <v>#N/A</v>
      </c>
      <c r="V174" s="8">
        <f t="shared" si="6"/>
        <v>567.0204888</v>
      </c>
      <c r="W174" s="14">
        <f t="shared" si="7"/>
        <v>3.127361222</v>
      </c>
      <c r="X174" s="14">
        <f t="shared" si="8"/>
        <v>0.5448166603</v>
      </c>
      <c r="Y174" s="14">
        <f t="shared" si="9"/>
        <v>2</v>
      </c>
      <c r="Z174" s="14">
        <f t="shared" si="10"/>
        <v>1</v>
      </c>
      <c r="AA174" s="27">
        <f t="shared" si="11"/>
        <v>447</v>
      </c>
      <c r="AB174" s="15">
        <f>if(iserror(find("$",A174)),1,2)</f>
        <v>1</v>
      </c>
      <c r="AC174" s="15" t="str">
        <f t="shared" si="40"/>
        <v/>
      </c>
      <c r="AD174" s="15" t="str">
        <f t="shared" si="41"/>
        <v>$LPNTR-3600HP$: 447,</v>
      </c>
      <c r="AE174" s="15" t="str">
        <f t="shared" si="56"/>
        <v/>
      </c>
      <c r="AF174" s="15" t="str">
        <f t="shared" si="54"/>
        <v/>
      </c>
      <c r="AG174" s="15" t="str">
        <f t="shared" si="55"/>
        <v/>
      </c>
    </row>
    <row r="175" ht="15.75" customHeight="1">
      <c r="A175" s="16" t="s">
        <v>261</v>
      </c>
      <c r="B175" s="16" t="s">
        <v>262</v>
      </c>
      <c r="C175" s="17">
        <f t="shared" si="1"/>
        <v>38</v>
      </c>
      <c r="D175" s="16">
        <v>1956.0</v>
      </c>
      <c r="E175" s="16"/>
      <c r="F175" s="16" t="b">
        <v>1</v>
      </c>
      <c r="G175" s="16" t="b">
        <v>0</v>
      </c>
      <c r="H175" s="16" t="b">
        <v>0</v>
      </c>
      <c r="I175" s="16" t="b">
        <v>0</v>
      </c>
      <c r="J175" s="18" t="b">
        <v>0</v>
      </c>
      <c r="K175" s="16">
        <v>24.0</v>
      </c>
      <c r="L175" s="16">
        <v>5.114</v>
      </c>
      <c r="M175" s="16">
        <v>238.0</v>
      </c>
      <c r="N175" s="16">
        <v>2.48</v>
      </c>
      <c r="O175" s="16">
        <v>0.995</v>
      </c>
      <c r="P175" s="16">
        <v>0.998</v>
      </c>
      <c r="Q175" s="19">
        <f t="shared" si="2"/>
        <v>21.72845291</v>
      </c>
      <c r="R175" s="20">
        <f t="shared" si="3"/>
        <v>7.430582714</v>
      </c>
      <c r="S175" s="21">
        <f t="shared" si="4"/>
        <v>4</v>
      </c>
      <c r="T175" s="17">
        <f t="shared" si="66"/>
        <v>38</v>
      </c>
      <c r="U175" s="22">
        <f>T175/vlookup(A175,Max!$A$2:$AP$700,column(Max!$AP$2),false)</f>
        <v>2.451612903</v>
      </c>
      <c r="V175" s="17">
        <f t="shared" si="6"/>
        <v>32.47326914</v>
      </c>
      <c r="W175" s="23">
        <f t="shared" si="7"/>
        <v>0.892669057</v>
      </c>
      <c r="X175" s="23">
        <f t="shared" si="8"/>
        <v>1.155628321</v>
      </c>
      <c r="Y175" s="23">
        <f t="shared" si="9"/>
        <v>1</v>
      </c>
      <c r="Z175" s="23">
        <f t="shared" si="10"/>
        <v>1.128038955</v>
      </c>
      <c r="AA175" s="26">
        <f t="shared" si="11"/>
        <v>0</v>
      </c>
      <c r="AB175" s="25">
        <v>0.0</v>
      </c>
      <c r="AC175" s="26" t="str">
        <f t="shared" si="40"/>
        <v>{
$name$: $LR101-NA-3$,
$config$: $LR101$,
$cost$: 38
},</v>
      </c>
      <c r="AD175" s="26" t="str">
        <f t="shared" si="41"/>
        <v/>
      </c>
      <c r="AE175" s="26" t="str">
        <f t="shared" si="56"/>
        <v/>
      </c>
      <c r="AF175" s="26" t="str">
        <f t="shared" si="54"/>
        <v/>
      </c>
      <c r="AG175" s="26" t="str">
        <f t="shared" si="55"/>
        <v/>
      </c>
    </row>
    <row r="176" ht="15.75" customHeight="1">
      <c r="A176" s="7" t="s">
        <v>263</v>
      </c>
      <c r="B176" s="7" t="s">
        <v>262</v>
      </c>
      <c r="C176" s="8">
        <f t="shared" si="1"/>
        <v>-5</v>
      </c>
      <c r="D176" s="7">
        <v>1962.0</v>
      </c>
      <c r="E176" s="7"/>
      <c r="F176" s="7" t="b">
        <v>1</v>
      </c>
      <c r="G176" s="7" t="b">
        <v>0</v>
      </c>
      <c r="H176" s="7" t="b">
        <v>0</v>
      </c>
      <c r="I176" s="7" t="b">
        <v>0</v>
      </c>
      <c r="J176" s="9" t="b">
        <v>0</v>
      </c>
      <c r="K176" s="7">
        <v>21.8</v>
      </c>
      <c r="L176" s="7">
        <v>4.524</v>
      </c>
      <c r="M176" s="7">
        <v>246.0</v>
      </c>
      <c r="N176" s="7">
        <v>2.5</v>
      </c>
      <c r="O176" s="7">
        <v>0.995</v>
      </c>
      <c r="P176" s="7">
        <v>0.998</v>
      </c>
      <c r="Q176" s="10">
        <f t="shared" si="2"/>
        <v>21.16145016</v>
      </c>
      <c r="R176" s="11">
        <f t="shared" si="3"/>
        <v>7.294429708</v>
      </c>
      <c r="S176" s="12">
        <f t="shared" si="4"/>
        <v>4</v>
      </c>
      <c r="T176" s="8">
        <f t="shared" si="66"/>
        <v>33</v>
      </c>
      <c r="U176" s="13">
        <f>T176/vlookup(A176,Max!$A$2:$AP$700,column(Max!$AP$2),false)</f>
        <v>3.142857143</v>
      </c>
      <c r="V176" s="8">
        <f t="shared" si="6"/>
        <v>30.67465138</v>
      </c>
      <c r="W176" s="14">
        <f t="shared" si="7"/>
        <v>0.899898797</v>
      </c>
      <c r="X176" s="14">
        <f t="shared" si="8"/>
        <v>1.15841634</v>
      </c>
      <c r="Y176" s="14">
        <f t="shared" si="9"/>
        <v>1</v>
      </c>
      <c r="Z176" s="14">
        <f t="shared" si="10"/>
        <v>1.020324621</v>
      </c>
      <c r="AA176" s="27">
        <f t="shared" si="11"/>
        <v>-5</v>
      </c>
      <c r="AB176" s="15">
        <f t="shared" ref="AB176:AB177" si="67">if(iserror(find("$",A176)),1,2)</f>
        <v>1</v>
      </c>
      <c r="AC176" s="15" t="str">
        <f t="shared" si="40"/>
        <v/>
      </c>
      <c r="AD176" s="15" t="str">
        <f t="shared" si="41"/>
        <v>$LR101-NA-11$: -5,</v>
      </c>
      <c r="AE176" s="15" t="str">
        <f t="shared" si="56"/>
        <v/>
      </c>
      <c r="AF176" s="15" t="str">
        <f t="shared" si="54"/>
        <v/>
      </c>
      <c r="AG176" s="15" t="str">
        <f t="shared" si="55"/>
        <v/>
      </c>
    </row>
    <row r="177" ht="15.75" customHeight="1">
      <c r="A177" s="16" t="s">
        <v>264</v>
      </c>
      <c r="B177" s="16" t="s">
        <v>262</v>
      </c>
      <c r="C177" s="17">
        <f t="shared" si="1"/>
        <v>-11</v>
      </c>
      <c r="D177" s="16">
        <v>1990.0</v>
      </c>
      <c r="E177" s="16"/>
      <c r="F177" s="16" t="b">
        <v>1</v>
      </c>
      <c r="G177" s="16" t="b">
        <v>0</v>
      </c>
      <c r="H177" s="16" t="b">
        <v>0</v>
      </c>
      <c r="I177" s="16" t="b">
        <v>0</v>
      </c>
      <c r="J177" s="18" t="b">
        <v>0</v>
      </c>
      <c r="K177" s="16">
        <v>19.05</v>
      </c>
      <c r="L177" s="16">
        <v>2.976</v>
      </c>
      <c r="M177" s="16">
        <v>247.0</v>
      </c>
      <c r="N177" s="16">
        <v>1.77</v>
      </c>
      <c r="O177" s="16">
        <v>0.995</v>
      </c>
      <c r="P177" s="16">
        <v>0.998</v>
      </c>
      <c r="Q177" s="19">
        <f t="shared" si="2"/>
        <v>15.93005481</v>
      </c>
      <c r="R177" s="20">
        <f t="shared" si="3"/>
        <v>9.072580645</v>
      </c>
      <c r="S177" s="21">
        <f t="shared" si="4"/>
        <v>4</v>
      </c>
      <c r="T177" s="17">
        <f t="shared" si="66"/>
        <v>27</v>
      </c>
      <c r="U177" s="22">
        <f>T177/vlookup(A177,Max!$A$2:$AP$700,column(Max!$AP$2),false)</f>
        <v>9.310344828</v>
      </c>
      <c r="V177" s="17">
        <f t="shared" si="6"/>
        <v>28.32196246</v>
      </c>
      <c r="W177" s="23">
        <f t="shared" si="7"/>
        <v>0.9009067944</v>
      </c>
      <c r="X177" s="23">
        <f t="shared" si="8"/>
        <v>1.044418731</v>
      </c>
      <c r="Y177" s="23">
        <f t="shared" si="9"/>
        <v>1</v>
      </c>
      <c r="Z177" s="23">
        <f t="shared" si="10"/>
        <v>1.020324621</v>
      </c>
      <c r="AA177" s="24">
        <f t="shared" si="11"/>
        <v>-11</v>
      </c>
      <c r="AB177" s="26">
        <f t="shared" si="67"/>
        <v>1</v>
      </c>
      <c r="AC177" s="26" t="str">
        <f t="shared" si="40"/>
        <v/>
      </c>
      <c r="AD177" s="26" t="str">
        <f t="shared" si="41"/>
        <v>$LR101-NA-15$: -11,</v>
      </c>
      <c r="AE177" s="26" t="str">
        <f t="shared" si="56"/>
        <v/>
      </c>
      <c r="AF177" s="26" t="str">
        <f t="shared" si="54"/>
        <v/>
      </c>
      <c r="AG177" s="26" t="str">
        <f t="shared" si="55"/>
        <v/>
      </c>
    </row>
    <row r="178" ht="15.75" customHeight="1">
      <c r="A178" s="7" t="s">
        <v>265</v>
      </c>
      <c r="B178" s="7" t="s">
        <v>266</v>
      </c>
      <c r="C178" s="8">
        <f t="shared" si="1"/>
        <v>276</v>
      </c>
      <c r="D178" s="7">
        <v>1956.0</v>
      </c>
      <c r="E178" s="7"/>
      <c r="F178" s="7" t="b">
        <v>1</v>
      </c>
      <c r="G178" s="7" t="b">
        <v>0</v>
      </c>
      <c r="H178" s="7" t="b">
        <v>0</v>
      </c>
      <c r="I178" s="7" t="b">
        <v>0</v>
      </c>
      <c r="J178" s="9" t="b">
        <v>0</v>
      </c>
      <c r="K178" s="7">
        <v>460.0</v>
      </c>
      <c r="L178" s="7">
        <v>240.2</v>
      </c>
      <c r="M178" s="7">
        <v>301.0</v>
      </c>
      <c r="N178" s="7">
        <v>4.52</v>
      </c>
      <c r="O178" s="7">
        <v>0.962766</v>
      </c>
      <c r="P178" s="7">
        <v>0.962766</v>
      </c>
      <c r="Q178" s="10">
        <f t="shared" si="2"/>
        <v>53.24692036</v>
      </c>
      <c r="R178" s="11">
        <f t="shared" si="3"/>
        <v>1.149042465</v>
      </c>
      <c r="S178" s="12">
        <f t="shared" si="4"/>
        <v>4</v>
      </c>
      <c r="T178" s="8">
        <f t="shared" si="66"/>
        <v>276</v>
      </c>
      <c r="U178" s="13">
        <f>T178/vlookup(A178,Max!$A$2:$AP$700,column(Max!$AP$2),false)</f>
        <v>1.623529412</v>
      </c>
      <c r="V178" s="8">
        <f t="shared" si="6"/>
        <v>192.781727</v>
      </c>
      <c r="W178" s="14">
        <f t="shared" si="7"/>
        <v>1.003273336</v>
      </c>
      <c r="X178" s="14">
        <f t="shared" si="8"/>
        <v>1.383643485</v>
      </c>
      <c r="Y178" s="14">
        <f t="shared" si="9"/>
        <v>1</v>
      </c>
      <c r="Z178" s="14">
        <f t="shared" si="10"/>
        <v>1.031097197</v>
      </c>
      <c r="AA178" s="15">
        <f t="shared" si="11"/>
        <v>0</v>
      </c>
      <c r="AB178" s="29">
        <v>0.0</v>
      </c>
      <c r="AC178" s="15" t="str">
        <f t="shared" si="40"/>
        <v>{
$name$: $LR43-NA-5$,
$config$: $LR105$,
$cost$: 276
},</v>
      </c>
      <c r="AD178" s="15" t="str">
        <f t="shared" si="41"/>
        <v/>
      </c>
      <c r="AE178" s="15" t="str">
        <f t="shared" si="56"/>
        <v/>
      </c>
      <c r="AF178" s="15" t="str">
        <f t="shared" si="54"/>
        <v/>
      </c>
      <c r="AG178" s="15" t="str">
        <f t="shared" si="55"/>
        <v/>
      </c>
    </row>
    <row r="179" ht="15.75" customHeight="1">
      <c r="A179" s="16" t="s">
        <v>267</v>
      </c>
      <c r="B179" s="16" t="s">
        <v>266</v>
      </c>
      <c r="C179" s="17">
        <f t="shared" si="1"/>
        <v>0</v>
      </c>
      <c r="D179" s="16">
        <v>1958.0</v>
      </c>
      <c r="E179" s="16"/>
      <c r="F179" s="16" t="b">
        <v>1</v>
      </c>
      <c r="G179" s="16" t="b">
        <v>0</v>
      </c>
      <c r="H179" s="16" t="b">
        <v>0</v>
      </c>
      <c r="I179" s="16" t="b">
        <v>0</v>
      </c>
      <c r="J179" s="18" t="b">
        <v>0</v>
      </c>
      <c r="K179" s="16">
        <v>460.0</v>
      </c>
      <c r="L179" s="16">
        <v>352.0</v>
      </c>
      <c r="M179" s="16">
        <v>309.0</v>
      </c>
      <c r="N179" s="16">
        <v>4.52</v>
      </c>
      <c r="O179" s="16">
        <v>0.960526</v>
      </c>
      <c r="P179" s="16">
        <v>0.960526</v>
      </c>
      <c r="Q179" s="19">
        <f t="shared" si="2"/>
        <v>78.03045781</v>
      </c>
      <c r="R179" s="20">
        <f t="shared" si="3"/>
        <v>0.7840909091</v>
      </c>
      <c r="S179" s="21">
        <f t="shared" si="4"/>
        <v>4</v>
      </c>
      <c r="T179" s="17">
        <f t="shared" si="66"/>
        <v>276</v>
      </c>
      <c r="U179" s="22">
        <f>T179/vlookup(A179,Max!$A$2:$AP$700,column(Max!$AP$2),false)</f>
        <v>1.15</v>
      </c>
      <c r="V179" s="17">
        <f t="shared" si="6"/>
        <v>192.781727</v>
      </c>
      <c r="W179" s="23">
        <f t="shared" si="7"/>
        <v>1.049443963</v>
      </c>
      <c r="X179" s="23">
        <f t="shared" si="8"/>
        <v>1.383643485</v>
      </c>
      <c r="Y179" s="23">
        <f t="shared" si="9"/>
        <v>1</v>
      </c>
      <c r="Z179" s="23">
        <f t="shared" si="10"/>
        <v>0.9867912605</v>
      </c>
      <c r="AA179" s="24">
        <f t="shared" si="11"/>
        <v>0</v>
      </c>
      <c r="AB179" s="26">
        <f t="shared" ref="AB179:AB184" si="68">if(iserror(find("$",A179)),1,2)</f>
        <v>1</v>
      </c>
      <c r="AC179" s="26" t="str">
        <f t="shared" si="40"/>
        <v/>
      </c>
      <c r="AD179" s="26" t="str">
        <f t="shared" si="41"/>
        <v>$LR105-NA-3$: 0,</v>
      </c>
      <c r="AE179" s="26" t="str">
        <f t="shared" si="56"/>
        <v/>
      </c>
      <c r="AF179" s="26" t="str">
        <f t="shared" si="54"/>
        <v/>
      </c>
      <c r="AG179" s="26" t="str">
        <f t="shared" si="55"/>
        <v/>
      </c>
    </row>
    <row r="180" ht="15.75" customHeight="1">
      <c r="A180" s="7" t="s">
        <v>268</v>
      </c>
      <c r="B180" s="7" t="s">
        <v>266</v>
      </c>
      <c r="C180" s="8">
        <f t="shared" si="1"/>
        <v>2</v>
      </c>
      <c r="D180" s="7">
        <v>1960.0</v>
      </c>
      <c r="E180" s="7"/>
      <c r="F180" s="7" t="b">
        <v>1</v>
      </c>
      <c r="G180" s="7" t="b">
        <v>0</v>
      </c>
      <c r="H180" s="7" t="b">
        <v>0</v>
      </c>
      <c r="I180" s="7" t="b">
        <v>0</v>
      </c>
      <c r="J180" s="9" t="b">
        <v>0</v>
      </c>
      <c r="K180" s="7">
        <v>413.0</v>
      </c>
      <c r="L180" s="7">
        <v>366.1</v>
      </c>
      <c r="M180" s="7">
        <v>313.0</v>
      </c>
      <c r="N180" s="7">
        <v>4.52</v>
      </c>
      <c r="O180" s="7">
        <v>0.991189</v>
      </c>
      <c r="P180" s="7">
        <v>0.991189</v>
      </c>
      <c r="Q180" s="10">
        <f t="shared" si="2"/>
        <v>90.39179285</v>
      </c>
      <c r="R180" s="11">
        <f t="shared" si="3"/>
        <v>0.7593553674</v>
      </c>
      <c r="S180" s="12">
        <f t="shared" si="4"/>
        <v>4</v>
      </c>
      <c r="T180" s="8">
        <f t="shared" si="66"/>
        <v>278</v>
      </c>
      <c r="U180" s="13">
        <f>T180/vlookup(A180,Max!$A$2:$AP$700,column(Max!$AP$2),false)</f>
        <v>0.9586206897</v>
      </c>
      <c r="V180" s="8">
        <f t="shared" si="6"/>
        <v>180.475747</v>
      </c>
      <c r="W180" s="14">
        <f t="shared" si="7"/>
        <v>1.086108856</v>
      </c>
      <c r="X180" s="14">
        <f t="shared" si="8"/>
        <v>1.383643485</v>
      </c>
      <c r="Y180" s="14">
        <f t="shared" si="9"/>
        <v>1</v>
      </c>
      <c r="Z180" s="14">
        <f t="shared" si="10"/>
        <v>1.024642835</v>
      </c>
      <c r="AA180" s="27">
        <f t="shared" si="11"/>
        <v>2</v>
      </c>
      <c r="AB180" s="15">
        <f t="shared" si="68"/>
        <v>1</v>
      </c>
      <c r="AC180" s="15" t="str">
        <f t="shared" si="40"/>
        <v/>
      </c>
      <c r="AD180" s="15" t="str">
        <f t="shared" si="41"/>
        <v>$LR105-NA-5$: 2,</v>
      </c>
      <c r="AE180" s="15" t="str">
        <f t="shared" si="56"/>
        <v/>
      </c>
      <c r="AF180" s="15" t="str">
        <f t="shared" si="54"/>
        <v/>
      </c>
      <c r="AG180" s="15" t="str">
        <f t="shared" si="55"/>
        <v/>
      </c>
    </row>
    <row r="181" ht="15.75" customHeight="1">
      <c r="A181" s="16" t="s">
        <v>269</v>
      </c>
      <c r="B181" s="16" t="s">
        <v>266</v>
      </c>
      <c r="C181" s="17">
        <f t="shared" si="1"/>
        <v>-3</v>
      </c>
      <c r="D181" s="16">
        <v>1962.0</v>
      </c>
      <c r="E181" s="16"/>
      <c r="F181" s="16" t="b">
        <v>1</v>
      </c>
      <c r="G181" s="16" t="b">
        <v>0</v>
      </c>
      <c r="H181" s="16" t="b">
        <v>0</v>
      </c>
      <c r="I181" s="16" t="b">
        <v>0</v>
      </c>
      <c r="J181" s="18" t="b">
        <v>0</v>
      </c>
      <c r="K181" s="16">
        <v>413.0</v>
      </c>
      <c r="L181" s="16">
        <v>373.2</v>
      </c>
      <c r="M181" s="16">
        <v>313.0</v>
      </c>
      <c r="N181" s="16">
        <v>4.71</v>
      </c>
      <c r="O181" s="16">
        <v>0.987581</v>
      </c>
      <c r="P181" s="16">
        <v>0.987581</v>
      </c>
      <c r="Q181" s="19">
        <f t="shared" si="2"/>
        <v>92.14481588</v>
      </c>
      <c r="R181" s="20">
        <f t="shared" si="3"/>
        <v>0.731511254</v>
      </c>
      <c r="S181" s="21">
        <f t="shared" si="4"/>
        <v>4</v>
      </c>
      <c r="T181" s="17">
        <f t="shared" si="66"/>
        <v>273</v>
      </c>
      <c r="U181" s="22">
        <f>T181/vlookup(A181,Max!$A$2:$AP$700,column(Max!$AP$2),false)</f>
        <v>1.05</v>
      </c>
      <c r="V181" s="17">
        <f t="shared" si="6"/>
        <v>180.475747</v>
      </c>
      <c r="W181" s="23">
        <f t="shared" si="7"/>
        <v>1.086108856</v>
      </c>
      <c r="X181" s="23">
        <f t="shared" si="8"/>
        <v>1.400841323</v>
      </c>
      <c r="Y181" s="23">
        <f t="shared" si="9"/>
        <v>1</v>
      </c>
      <c r="Z181" s="23">
        <f t="shared" si="10"/>
        <v>0.993902604</v>
      </c>
      <c r="AA181" s="24">
        <f t="shared" si="11"/>
        <v>-3</v>
      </c>
      <c r="AB181" s="26">
        <f t="shared" si="68"/>
        <v>1</v>
      </c>
      <c r="AC181" s="26" t="str">
        <f t="shared" si="40"/>
        <v/>
      </c>
      <c r="AD181" s="26" t="str">
        <f t="shared" si="41"/>
        <v>$LR105-NA-6$: -3,</v>
      </c>
      <c r="AE181" s="26" t="str">
        <f t="shared" si="56"/>
        <v/>
      </c>
      <c r="AF181" s="26" t="str">
        <f t="shared" si="54"/>
        <v/>
      </c>
      <c r="AG181" s="26" t="str">
        <f t="shared" si="55"/>
        <v/>
      </c>
    </row>
    <row r="182" ht="15.75" customHeight="1">
      <c r="A182" s="7" t="s">
        <v>270</v>
      </c>
      <c r="B182" s="7" t="s">
        <v>266</v>
      </c>
      <c r="C182" s="8">
        <f t="shared" si="1"/>
        <v>34</v>
      </c>
      <c r="D182" s="7">
        <v>1965.0</v>
      </c>
      <c r="E182" s="7"/>
      <c r="F182" s="7" t="b">
        <v>1</v>
      </c>
      <c r="G182" s="7" t="b">
        <v>0</v>
      </c>
      <c r="H182" s="7" t="b">
        <v>0</v>
      </c>
      <c r="I182" s="7" t="b">
        <v>0</v>
      </c>
      <c r="J182" s="9" t="b">
        <v>0</v>
      </c>
      <c r="K182" s="7">
        <v>470.0</v>
      </c>
      <c r="L182" s="7">
        <v>385.2</v>
      </c>
      <c r="M182" s="7">
        <v>316.0</v>
      </c>
      <c r="N182" s="7">
        <v>4.8</v>
      </c>
      <c r="O182" s="7">
        <v>0.993636</v>
      </c>
      <c r="P182" s="7">
        <v>0.993636</v>
      </c>
      <c r="Q182" s="10">
        <f t="shared" si="2"/>
        <v>83.57333704</v>
      </c>
      <c r="R182" s="11">
        <f t="shared" si="3"/>
        <v>0.8047767394</v>
      </c>
      <c r="S182" s="12">
        <f t="shared" si="4"/>
        <v>4</v>
      </c>
      <c r="T182" s="8">
        <f t="shared" si="66"/>
        <v>310</v>
      </c>
      <c r="U182" s="13">
        <f>T182/vlookup(A182,Max!$A$2:$AP$700,column(Max!$AP$2),false)</f>
        <v>1.24</v>
      </c>
      <c r="V182" s="8">
        <f t="shared" si="6"/>
        <v>195.337434</v>
      </c>
      <c r="W182" s="14">
        <f t="shared" si="7"/>
        <v>1.115677507</v>
      </c>
      <c r="X182" s="14">
        <f t="shared" si="8"/>
        <v>1.408818492</v>
      </c>
      <c r="Y182" s="14">
        <f t="shared" si="9"/>
        <v>1</v>
      </c>
      <c r="Z182" s="14">
        <f t="shared" si="10"/>
        <v>1.009207125</v>
      </c>
      <c r="AA182" s="27">
        <f t="shared" si="11"/>
        <v>34</v>
      </c>
      <c r="AB182" s="15">
        <f t="shared" si="68"/>
        <v>1</v>
      </c>
      <c r="AC182" s="15" t="str">
        <f t="shared" si="40"/>
        <v/>
      </c>
      <c r="AD182" s="15" t="str">
        <f t="shared" si="41"/>
        <v>$LR105-NA-7.1$: 34,</v>
      </c>
      <c r="AE182" s="15" t="str">
        <f t="shared" si="56"/>
        <v/>
      </c>
      <c r="AF182" s="15" t="str">
        <f t="shared" si="54"/>
        <v/>
      </c>
      <c r="AG182" s="15" t="str">
        <f t="shared" si="55"/>
        <v/>
      </c>
    </row>
    <row r="183" ht="15.75" customHeight="1">
      <c r="A183" s="16" t="s">
        <v>271</v>
      </c>
      <c r="B183" s="16" t="s">
        <v>266</v>
      </c>
      <c r="C183" s="17">
        <f t="shared" si="1"/>
        <v>34</v>
      </c>
      <c r="D183" s="16">
        <v>1967.0</v>
      </c>
      <c r="E183" s="16"/>
      <c r="F183" s="16" t="b">
        <v>1</v>
      </c>
      <c r="G183" s="16" t="b">
        <v>0</v>
      </c>
      <c r="H183" s="16" t="b">
        <v>0</v>
      </c>
      <c r="I183" s="16" t="b">
        <v>0</v>
      </c>
      <c r="J183" s="18" t="b">
        <v>0</v>
      </c>
      <c r="K183" s="16">
        <v>470.0</v>
      </c>
      <c r="L183" s="16">
        <v>386.4</v>
      </c>
      <c r="M183" s="16">
        <v>316.0</v>
      </c>
      <c r="N183" s="16">
        <v>4.8</v>
      </c>
      <c r="O183" s="16">
        <v>0.993636</v>
      </c>
      <c r="P183" s="16">
        <v>0.993636</v>
      </c>
      <c r="Q183" s="19">
        <f t="shared" si="2"/>
        <v>83.83369012</v>
      </c>
      <c r="R183" s="20">
        <f t="shared" si="3"/>
        <v>0.8022774327</v>
      </c>
      <c r="S183" s="21">
        <f t="shared" si="4"/>
        <v>4</v>
      </c>
      <c r="T183" s="17">
        <f t="shared" si="66"/>
        <v>310</v>
      </c>
      <c r="U183" s="22">
        <f>T183/vlookup(A183,Max!$A$2:$AP$700,column(Max!$AP$2),false)</f>
        <v>1.347826087</v>
      </c>
      <c r="V183" s="17">
        <f t="shared" si="6"/>
        <v>195.337434</v>
      </c>
      <c r="W183" s="23">
        <f t="shared" si="7"/>
        <v>1.115677507</v>
      </c>
      <c r="X183" s="23">
        <f t="shared" si="8"/>
        <v>1.408818492</v>
      </c>
      <c r="Y183" s="23">
        <f t="shared" si="9"/>
        <v>1</v>
      </c>
      <c r="Z183" s="23">
        <f t="shared" si="10"/>
        <v>1.009207125</v>
      </c>
      <c r="AA183" s="24">
        <f t="shared" si="11"/>
        <v>34</v>
      </c>
      <c r="AB183" s="26">
        <f t="shared" si="68"/>
        <v>1</v>
      </c>
      <c r="AC183" s="26" t="str">
        <f t="shared" si="40"/>
        <v/>
      </c>
      <c r="AD183" s="26" t="str">
        <f t="shared" si="41"/>
        <v>$LR105-NA-7.2$: 34,</v>
      </c>
      <c r="AE183" s="26" t="str">
        <f t="shared" si="56"/>
        <v/>
      </c>
      <c r="AF183" s="26" t="str">
        <f t="shared" si="54"/>
        <v/>
      </c>
      <c r="AG183" s="26" t="str">
        <f t="shared" si="55"/>
        <v/>
      </c>
    </row>
    <row r="184" ht="15.75" customHeight="1">
      <c r="A184" s="7" t="s">
        <v>272</v>
      </c>
      <c r="B184" s="7" t="s">
        <v>266</v>
      </c>
      <c r="C184" s="8">
        <f t="shared" si="1"/>
        <v>39</v>
      </c>
      <c r="D184" s="7">
        <v>1990.0</v>
      </c>
      <c r="E184" s="7"/>
      <c r="F184" s="7" t="b">
        <v>1</v>
      </c>
      <c r="G184" s="7" t="b">
        <v>0</v>
      </c>
      <c r="H184" s="7" t="b">
        <v>0</v>
      </c>
      <c r="I184" s="7" t="b">
        <v>0</v>
      </c>
      <c r="J184" s="9" t="b">
        <v>0</v>
      </c>
      <c r="K184" s="7">
        <v>460.0</v>
      </c>
      <c r="L184" s="7">
        <v>386.4</v>
      </c>
      <c r="M184" s="7">
        <v>316.0</v>
      </c>
      <c r="N184" s="7">
        <v>5.07</v>
      </c>
      <c r="O184" s="7">
        <v>0.999211</v>
      </c>
      <c r="P184" s="7">
        <v>0.999211</v>
      </c>
      <c r="Q184" s="10">
        <f t="shared" si="2"/>
        <v>85.65616164</v>
      </c>
      <c r="R184" s="11">
        <f t="shared" si="3"/>
        <v>0.8152173913</v>
      </c>
      <c r="S184" s="12">
        <f t="shared" si="4"/>
        <v>4</v>
      </c>
      <c r="T184" s="8">
        <f t="shared" si="66"/>
        <v>315</v>
      </c>
      <c r="U184" s="13">
        <f>T184/vlookup(A184,Max!$A$2:$AP$700,column(Max!$AP$2),false)</f>
        <v>2.1</v>
      </c>
      <c r="V184" s="8">
        <f t="shared" si="6"/>
        <v>192.781727</v>
      </c>
      <c r="W184" s="14">
        <f t="shared" si="7"/>
        <v>1.115677507</v>
      </c>
      <c r="X184" s="14">
        <f t="shared" si="8"/>
        <v>1.432138632</v>
      </c>
      <c r="Y184" s="14">
        <f t="shared" si="9"/>
        <v>1</v>
      </c>
      <c r="Z184" s="14">
        <f t="shared" si="10"/>
        <v>1.023422662</v>
      </c>
      <c r="AA184" s="27">
        <f t="shared" si="11"/>
        <v>39</v>
      </c>
      <c r="AB184" s="15">
        <f t="shared" si="68"/>
        <v>1</v>
      </c>
      <c r="AC184" s="15" t="str">
        <f t="shared" si="40"/>
        <v/>
      </c>
      <c r="AD184" s="15" t="str">
        <f t="shared" si="41"/>
        <v>$RS-56-OSA$: 39,</v>
      </c>
      <c r="AE184" s="15" t="str">
        <f t="shared" si="56"/>
        <v/>
      </c>
      <c r="AF184" s="15" t="str">
        <f t="shared" si="54"/>
        <v/>
      </c>
      <c r="AG184" s="15" t="str">
        <f t="shared" si="55"/>
        <v/>
      </c>
    </row>
    <row r="185" ht="15.75" customHeight="1">
      <c r="A185" s="16" t="s">
        <v>273</v>
      </c>
      <c r="B185" s="16" t="s">
        <v>274</v>
      </c>
      <c r="C185" s="17">
        <f t="shared" si="1"/>
        <v>3263</v>
      </c>
      <c r="D185" s="16">
        <v>1974.0</v>
      </c>
      <c r="E185" s="16" t="b">
        <v>1</v>
      </c>
      <c r="F185" s="16" t="b">
        <v>1</v>
      </c>
      <c r="G185" s="16" t="b">
        <v>0</v>
      </c>
      <c r="H185" s="16" t="b">
        <v>0</v>
      </c>
      <c r="I185" s="16" t="b">
        <v>0</v>
      </c>
      <c r="J185" s="18" t="b">
        <v>0</v>
      </c>
      <c r="K185" s="16">
        <v>1596.6</v>
      </c>
      <c r="L185" s="16">
        <v>1085.4</v>
      </c>
      <c r="M185" s="16">
        <v>450.0</v>
      </c>
      <c r="N185" s="16">
        <v>18.89</v>
      </c>
      <c r="O185" s="16">
        <v>0.97381</v>
      </c>
      <c r="P185" s="16">
        <v>0.983333</v>
      </c>
      <c r="Q185" s="19">
        <f t="shared" si="2"/>
        <v>69.3223083</v>
      </c>
      <c r="R185" s="20">
        <f t="shared" si="3"/>
        <v>3.006264971</v>
      </c>
      <c r="S185" s="21">
        <f t="shared" si="4"/>
        <v>4</v>
      </c>
      <c r="T185" s="17">
        <f t="shared" si="66"/>
        <v>3263</v>
      </c>
      <c r="U185" s="22">
        <f>T185/vlookup(A185,Max!$A$2:$AP$700,column(Max!$AP$2),false)</f>
        <v>1.6315</v>
      </c>
      <c r="V185" s="17">
        <f t="shared" si="6"/>
        <v>462.6803251</v>
      </c>
      <c r="W185" s="23">
        <f t="shared" si="7"/>
        <v>3.375</v>
      </c>
      <c r="X185" s="23">
        <f t="shared" si="8"/>
        <v>2.12496734</v>
      </c>
      <c r="Y185" s="23">
        <f t="shared" si="9"/>
        <v>1</v>
      </c>
      <c r="Z185" s="23">
        <f t="shared" si="10"/>
        <v>0.9832490797</v>
      </c>
      <c r="AA185" s="26">
        <f t="shared" si="11"/>
        <v>0</v>
      </c>
      <c r="AB185" s="25">
        <v>0.0</v>
      </c>
      <c r="AC185" s="26" t="str">
        <f t="shared" si="40"/>
        <v>{
$name$: $XLR129-P-1$,
$config$: $LR129$,
$cost$: 3263
},</v>
      </c>
      <c r="AD185" s="26" t="str">
        <f t="shared" si="41"/>
        <v/>
      </c>
      <c r="AE185" s="26" t="str">
        <f t="shared" si="56"/>
        <v/>
      </c>
      <c r="AF185" s="26" t="str">
        <f t="shared" si="54"/>
        <v/>
      </c>
      <c r="AG185" s="26" t="str">
        <f t="shared" si="55"/>
        <v/>
      </c>
    </row>
    <row r="186" ht="15.75" customHeight="1">
      <c r="A186" s="7" t="s">
        <v>275</v>
      </c>
      <c r="B186" s="7" t="s">
        <v>274</v>
      </c>
      <c r="C186" s="8">
        <f t="shared" si="1"/>
        <v>177</v>
      </c>
      <c r="D186" s="7">
        <v>1976.0</v>
      </c>
      <c r="E186" s="7" t="b">
        <v>1</v>
      </c>
      <c r="F186" s="7" t="b">
        <v>1</v>
      </c>
      <c r="G186" s="7" t="b">
        <v>0</v>
      </c>
      <c r="H186" s="7" t="b">
        <v>0</v>
      </c>
      <c r="I186" s="7" t="b">
        <v>0</v>
      </c>
      <c r="J186" s="9" t="b">
        <v>0</v>
      </c>
      <c r="K186" s="7">
        <v>1260.9</v>
      </c>
      <c r="L186" s="7">
        <v>1112.0</v>
      </c>
      <c r="M186" s="7">
        <v>463.0</v>
      </c>
      <c r="N186" s="7">
        <v>20.68</v>
      </c>
      <c r="O186" s="7">
        <v>0.988281</v>
      </c>
      <c r="P186" s="7">
        <v>0.997656</v>
      </c>
      <c r="Q186" s="10">
        <f t="shared" si="2"/>
        <v>89.92976648</v>
      </c>
      <c r="R186" s="11">
        <f t="shared" si="3"/>
        <v>3.09352518</v>
      </c>
      <c r="S186" s="12">
        <f t="shared" si="4"/>
        <v>4</v>
      </c>
      <c r="T186" s="8">
        <f t="shared" si="66"/>
        <v>3440</v>
      </c>
      <c r="U186" s="13">
        <f>T186/vlookup(A186,Max!$A$2:$AP$700,column(Max!$AP$2),false)</f>
        <v>1.011764706</v>
      </c>
      <c r="V186" s="8">
        <f t="shared" si="6"/>
        <v>404.8330327</v>
      </c>
      <c r="W186" s="14">
        <f t="shared" si="7"/>
        <v>3.816914098</v>
      </c>
      <c r="X186" s="14">
        <f t="shared" si="8"/>
        <v>2.183473033</v>
      </c>
      <c r="Y186" s="14">
        <f t="shared" si="9"/>
        <v>1</v>
      </c>
      <c r="Z186" s="14">
        <f t="shared" si="10"/>
        <v>1.019445611</v>
      </c>
      <c r="AA186" s="27">
        <f t="shared" si="11"/>
        <v>177</v>
      </c>
      <c r="AB186" s="15">
        <f t="shared" ref="AB186:AB188" si="69">if(iserror(find("$",A186)),1,2)</f>
        <v>1</v>
      </c>
      <c r="AC186" s="15" t="str">
        <f t="shared" si="40"/>
        <v/>
      </c>
      <c r="AD186" s="15" t="str">
        <f t="shared" si="41"/>
        <v>$LR129-P-1$: 177,</v>
      </c>
      <c r="AE186" s="15" t="str">
        <f t="shared" si="56"/>
        <v/>
      </c>
      <c r="AF186" s="15" t="str">
        <f t="shared" si="54"/>
        <v/>
      </c>
      <c r="AG186" s="15" t="str">
        <f t="shared" si="55"/>
        <v/>
      </c>
    </row>
    <row r="187" ht="15.75" customHeight="1">
      <c r="A187" s="16" t="s">
        <v>276</v>
      </c>
      <c r="B187" s="16" t="s">
        <v>274</v>
      </c>
      <c r="C187" s="17">
        <f t="shared" si="1"/>
        <v>649</v>
      </c>
      <c r="D187" s="16">
        <v>1981.0</v>
      </c>
      <c r="E187" s="16" t="b">
        <v>1</v>
      </c>
      <c r="F187" s="16" t="b">
        <v>1</v>
      </c>
      <c r="G187" s="16" t="b">
        <v>0</v>
      </c>
      <c r="H187" s="16" t="b">
        <v>0</v>
      </c>
      <c r="I187" s="16" t="b">
        <v>0</v>
      </c>
      <c r="J187" s="18" t="b">
        <v>0</v>
      </c>
      <c r="K187" s="16">
        <v>1632.9</v>
      </c>
      <c r="L187" s="16">
        <v>1556.9</v>
      </c>
      <c r="M187" s="16">
        <v>463.0</v>
      </c>
      <c r="N187" s="16">
        <v>22.75</v>
      </c>
      <c r="O187" s="16">
        <v>0.991176</v>
      </c>
      <c r="P187" s="16">
        <v>0.979412</v>
      </c>
      <c r="Q187" s="19">
        <f t="shared" si="2"/>
        <v>97.22555988</v>
      </c>
      <c r="R187" s="20">
        <f t="shared" si="3"/>
        <v>2.512685465</v>
      </c>
      <c r="S187" s="21">
        <f t="shared" si="4"/>
        <v>4</v>
      </c>
      <c r="T187" s="17">
        <f t="shared" si="66"/>
        <v>3912</v>
      </c>
      <c r="U187" s="22">
        <f>T187/vlookup(A187,Max!$A$2:$AP$700,column(Max!$AP$2),false)</f>
        <v>1.086666667</v>
      </c>
      <c r="V187" s="17">
        <f t="shared" si="6"/>
        <v>468.6366293</v>
      </c>
      <c r="W187" s="23">
        <f t="shared" si="7"/>
        <v>3.816914098</v>
      </c>
      <c r="X187" s="23">
        <f t="shared" si="8"/>
        <v>2.246865586</v>
      </c>
      <c r="Y187" s="23">
        <f t="shared" si="9"/>
        <v>1</v>
      </c>
      <c r="Z187" s="23">
        <f t="shared" si="10"/>
        <v>0.9734767096</v>
      </c>
      <c r="AA187" s="24">
        <f t="shared" si="11"/>
        <v>649</v>
      </c>
      <c r="AB187" s="26">
        <f t="shared" si="69"/>
        <v>1</v>
      </c>
      <c r="AC187" s="26" t="str">
        <f t="shared" si="40"/>
        <v/>
      </c>
      <c r="AD187" s="26" t="str">
        <f t="shared" si="41"/>
        <v>$LR129-P-2$: 649,</v>
      </c>
      <c r="AE187" s="26" t="str">
        <f t="shared" si="56"/>
        <v/>
      </c>
      <c r="AF187" s="26" t="str">
        <f t="shared" si="54"/>
        <v/>
      </c>
      <c r="AG187" s="26" t="str">
        <f t="shared" si="55"/>
        <v/>
      </c>
    </row>
    <row r="188" ht="15.75" customHeight="1">
      <c r="A188" s="7" t="s">
        <v>277</v>
      </c>
      <c r="B188" s="7" t="s">
        <v>274</v>
      </c>
      <c r="C188" s="8">
        <f t="shared" si="1"/>
        <v>853</v>
      </c>
      <c r="D188" s="7">
        <v>1995.0</v>
      </c>
      <c r="E188" s="7" t="b">
        <v>1</v>
      </c>
      <c r="F188" s="7" t="b">
        <v>1</v>
      </c>
      <c r="G188" s="7" t="b">
        <v>0</v>
      </c>
      <c r="H188" s="7" t="b">
        <v>0</v>
      </c>
      <c r="I188" s="7" t="b">
        <v>0</v>
      </c>
      <c r="J188" s="9" t="b">
        <v>0</v>
      </c>
      <c r="K188" s="7">
        <v>1632.9</v>
      </c>
      <c r="L188" s="7">
        <v>1619.2</v>
      </c>
      <c r="M188" s="7">
        <v>463.0</v>
      </c>
      <c r="N188" s="7">
        <v>22.75</v>
      </c>
      <c r="O188" s="7">
        <v>0.9995</v>
      </c>
      <c r="P188" s="7">
        <v>0.9995</v>
      </c>
      <c r="Q188" s="10">
        <f t="shared" si="2"/>
        <v>101.116081</v>
      </c>
      <c r="R188" s="11">
        <f t="shared" si="3"/>
        <v>2.541996047</v>
      </c>
      <c r="S188" s="12">
        <f t="shared" si="4"/>
        <v>4</v>
      </c>
      <c r="T188" s="8">
        <f t="shared" si="66"/>
        <v>4116</v>
      </c>
      <c r="U188" s="13">
        <f>T188/vlookup(A188,Max!$A$2:$AP$700,column(Max!$AP$2),false)</f>
        <v>0.8575</v>
      </c>
      <c r="V188" s="8">
        <f t="shared" si="6"/>
        <v>468.6366293</v>
      </c>
      <c r="W188" s="14">
        <f t="shared" si="7"/>
        <v>3.816914098</v>
      </c>
      <c r="X188" s="14">
        <f t="shared" si="8"/>
        <v>2.246865586</v>
      </c>
      <c r="Y188" s="14">
        <f t="shared" si="9"/>
        <v>1</v>
      </c>
      <c r="Z188" s="14">
        <f t="shared" si="10"/>
        <v>1.024162829</v>
      </c>
      <c r="AA188" s="27">
        <f t="shared" si="11"/>
        <v>853</v>
      </c>
      <c r="AB188" s="15">
        <f t="shared" si="69"/>
        <v>1</v>
      </c>
      <c r="AC188" s="15" t="str">
        <f t="shared" si="40"/>
        <v/>
      </c>
      <c r="AD188" s="15" t="str">
        <f t="shared" si="41"/>
        <v>$LR129-P-3$: 853,</v>
      </c>
      <c r="AE188" s="15" t="str">
        <f t="shared" si="56"/>
        <v/>
      </c>
      <c r="AF188" s="15" t="str">
        <f t="shared" si="54"/>
        <v/>
      </c>
      <c r="AG188" s="15" t="str">
        <f t="shared" si="55"/>
        <v/>
      </c>
    </row>
    <row r="189" ht="15.75" customHeight="1">
      <c r="A189" s="16" t="s">
        <v>278</v>
      </c>
      <c r="B189" s="16" t="s">
        <v>279</v>
      </c>
      <c r="C189" s="17">
        <f t="shared" si="1"/>
        <v>387</v>
      </c>
      <c r="D189" s="16">
        <v>1956.0</v>
      </c>
      <c r="E189" s="16"/>
      <c r="F189" s="16" t="b">
        <v>1</v>
      </c>
      <c r="G189" s="16" t="b">
        <v>0</v>
      </c>
      <c r="H189" s="16" t="b">
        <v>0</v>
      </c>
      <c r="I189" s="16" t="b">
        <v>0</v>
      </c>
      <c r="J189" s="18" t="b">
        <v>0</v>
      </c>
      <c r="K189" s="16">
        <v>945.3</v>
      </c>
      <c r="L189" s="16">
        <v>696.6</v>
      </c>
      <c r="M189" s="16">
        <v>288.0</v>
      </c>
      <c r="N189" s="16">
        <v>3.61</v>
      </c>
      <c r="O189" s="16">
        <v>0.962903</v>
      </c>
      <c r="P189" s="16">
        <v>0.962903</v>
      </c>
      <c r="Q189" s="19">
        <f t="shared" si="2"/>
        <v>75.14379688</v>
      </c>
      <c r="R189" s="20">
        <f t="shared" si="3"/>
        <v>0.5555555556</v>
      </c>
      <c r="S189" s="21">
        <f t="shared" si="4"/>
        <v>4</v>
      </c>
      <c r="T189" s="17">
        <f t="shared" si="66"/>
        <v>387</v>
      </c>
      <c r="U189" s="22">
        <f>T189/vlookup(A189,Max!$A$2:$AP$700,column(Max!$AP$2),false)</f>
        <v>0.9214285714</v>
      </c>
      <c r="V189" s="17">
        <f t="shared" si="6"/>
        <v>300.0666555</v>
      </c>
      <c r="W189" s="23">
        <f t="shared" si="7"/>
        <v>0.9678038641</v>
      </c>
      <c r="X189" s="23">
        <f t="shared" si="8"/>
        <v>1.293405885</v>
      </c>
      <c r="Y189" s="23">
        <f t="shared" si="9"/>
        <v>1</v>
      </c>
      <c r="Z189" s="23">
        <f t="shared" si="10"/>
        <v>1.031464045</v>
      </c>
      <c r="AA189" s="26">
        <f t="shared" si="11"/>
        <v>0</v>
      </c>
      <c r="AB189" s="25">
        <v>0.0</v>
      </c>
      <c r="AC189" s="26" t="str">
        <f t="shared" si="40"/>
        <v>{
$name$: $S-3$,
$config$: $LR79$,
$cost$: 387
},</v>
      </c>
      <c r="AD189" s="26" t="str">
        <f t="shared" si="41"/>
        <v/>
      </c>
      <c r="AE189" s="26" t="str">
        <f t="shared" si="56"/>
        <v/>
      </c>
      <c r="AF189" s="26" t="str">
        <f t="shared" si="54"/>
        <v/>
      </c>
      <c r="AG189" s="26" t="str">
        <f t="shared" si="55"/>
        <v/>
      </c>
    </row>
    <row r="190" ht="15.75" customHeight="1">
      <c r="A190" s="7" t="s">
        <v>280</v>
      </c>
      <c r="B190" s="7" t="s">
        <v>279</v>
      </c>
      <c r="C190" s="8">
        <f t="shared" si="1"/>
        <v>-8</v>
      </c>
      <c r="D190" s="7">
        <v>1958.0</v>
      </c>
      <c r="E190" s="7"/>
      <c r="F190" s="7" t="b">
        <v>1</v>
      </c>
      <c r="G190" s="7" t="b">
        <v>0</v>
      </c>
      <c r="H190" s="7" t="b">
        <v>0</v>
      </c>
      <c r="I190" s="7" t="b">
        <v>0</v>
      </c>
      <c r="J190" s="9" t="b">
        <v>0</v>
      </c>
      <c r="K190" s="7">
        <v>945.3</v>
      </c>
      <c r="L190" s="7">
        <v>766.345</v>
      </c>
      <c r="M190" s="7">
        <v>288.0</v>
      </c>
      <c r="N190" s="7">
        <v>3.61</v>
      </c>
      <c r="O190" s="7">
        <v>0.969444</v>
      </c>
      <c r="P190" s="7">
        <v>0.969444</v>
      </c>
      <c r="Q190" s="10">
        <f t="shared" si="2"/>
        <v>82.66734571</v>
      </c>
      <c r="R190" s="11">
        <f t="shared" si="3"/>
        <v>0.4945553243</v>
      </c>
      <c r="S190" s="12">
        <f t="shared" si="4"/>
        <v>4</v>
      </c>
      <c r="T190" s="8">
        <f t="shared" si="66"/>
        <v>379</v>
      </c>
      <c r="U190" s="13">
        <f>T190/vlookup(A190,Max!$A$2:$AP$700,column(Max!$AP$2),false)</f>
        <v>0.9023809524</v>
      </c>
      <c r="V190" s="8">
        <f t="shared" si="6"/>
        <v>300.0666555</v>
      </c>
      <c r="W190" s="14">
        <f t="shared" si="7"/>
        <v>0.9678038641</v>
      </c>
      <c r="X190" s="14">
        <f t="shared" si="8"/>
        <v>1.293405885</v>
      </c>
      <c r="Y190" s="14">
        <f t="shared" si="9"/>
        <v>1</v>
      </c>
      <c r="Z190" s="14">
        <f t="shared" si="10"/>
        <v>1.00985565</v>
      </c>
      <c r="AA190" s="27">
        <f t="shared" si="11"/>
        <v>-8</v>
      </c>
      <c r="AB190" s="15">
        <f t="shared" ref="AB190:AB194" si="70">if(iserror(find("$",A190)),1,2)</f>
        <v>1</v>
      </c>
      <c r="AC190" s="15" t="str">
        <f t="shared" si="40"/>
        <v/>
      </c>
      <c r="AD190" s="15" t="str">
        <f t="shared" si="41"/>
        <v>$S-3D$: -8,</v>
      </c>
      <c r="AE190" s="15" t="str">
        <f t="shared" si="56"/>
        <v/>
      </c>
      <c r="AF190" s="15" t="str">
        <f t="shared" si="54"/>
        <v/>
      </c>
      <c r="AG190" s="15" t="str">
        <f t="shared" si="55"/>
        <v/>
      </c>
    </row>
    <row r="191" ht="15.75" customHeight="1">
      <c r="A191" s="16" t="s">
        <v>281</v>
      </c>
      <c r="B191" s="16" t="s">
        <v>279</v>
      </c>
      <c r="C191" s="17">
        <f t="shared" si="1"/>
        <v>-15</v>
      </c>
      <c r="D191" s="16">
        <v>1959.0</v>
      </c>
      <c r="E191" s="16"/>
      <c r="F191" s="16" t="b">
        <v>1</v>
      </c>
      <c r="G191" s="16" t="b">
        <v>0</v>
      </c>
      <c r="H191" s="16" t="b">
        <v>0</v>
      </c>
      <c r="I191" s="16" t="b">
        <v>0</v>
      </c>
      <c r="J191" s="18" t="b">
        <v>0</v>
      </c>
      <c r="K191" s="16">
        <v>933.66</v>
      </c>
      <c r="L191" s="16">
        <v>782.886</v>
      </c>
      <c r="M191" s="16">
        <v>284.0</v>
      </c>
      <c r="N191" s="16">
        <v>3.65</v>
      </c>
      <c r="O191" s="16">
        <v>0.975</v>
      </c>
      <c r="P191" s="16">
        <v>0.975</v>
      </c>
      <c r="Q191" s="19">
        <f t="shared" si="2"/>
        <v>85.50452464</v>
      </c>
      <c r="R191" s="20">
        <f t="shared" si="3"/>
        <v>0.4751649665</v>
      </c>
      <c r="S191" s="21">
        <f t="shared" si="4"/>
        <v>4</v>
      </c>
      <c r="T191" s="17">
        <f t="shared" si="66"/>
        <v>372</v>
      </c>
      <c r="U191" s="22">
        <f>T191/vlookup(A191,Max!$A$2:$AP$700,column(Max!$AP$2),false)</f>
        <v>0.9538461538</v>
      </c>
      <c r="V191" s="17">
        <f t="shared" si="6"/>
        <v>297.7846678</v>
      </c>
      <c r="W191" s="23">
        <f t="shared" si="7"/>
        <v>0.9586088047</v>
      </c>
      <c r="X191" s="23">
        <f t="shared" si="8"/>
        <v>1.297688726</v>
      </c>
      <c r="Y191" s="23">
        <f t="shared" si="9"/>
        <v>1</v>
      </c>
      <c r="Z191" s="23">
        <f t="shared" si="10"/>
        <v>1.003986242</v>
      </c>
      <c r="AA191" s="24">
        <f t="shared" si="11"/>
        <v>-15</v>
      </c>
      <c r="AB191" s="26">
        <f t="shared" si="70"/>
        <v>1</v>
      </c>
      <c r="AC191" s="26" t="str">
        <f t="shared" si="40"/>
        <v/>
      </c>
      <c r="AD191" s="26" t="str">
        <f t="shared" si="41"/>
        <v>$LR79-NA-9$: -15,</v>
      </c>
      <c r="AE191" s="26" t="str">
        <f t="shared" si="56"/>
        <v/>
      </c>
      <c r="AF191" s="26" t="str">
        <f t="shared" si="54"/>
        <v/>
      </c>
      <c r="AG191" s="26" t="str">
        <f t="shared" si="55"/>
        <v/>
      </c>
    </row>
    <row r="192" ht="15.75" customHeight="1">
      <c r="A192" s="7" t="s">
        <v>282</v>
      </c>
      <c r="B192" s="7" t="s">
        <v>279</v>
      </c>
      <c r="C192" s="8">
        <f t="shared" si="1"/>
        <v>-12</v>
      </c>
      <c r="D192" s="7">
        <v>1960.0</v>
      </c>
      <c r="E192" s="7"/>
      <c r="F192" s="7" t="b">
        <v>1</v>
      </c>
      <c r="G192" s="7" t="b">
        <v>0</v>
      </c>
      <c r="H192" s="7" t="b">
        <v>0</v>
      </c>
      <c r="I192" s="7" t="b">
        <v>0</v>
      </c>
      <c r="J192" s="9" t="b">
        <v>0</v>
      </c>
      <c r="K192" s="7">
        <f>923.56</f>
        <v>923.56</v>
      </c>
      <c r="L192" s="7">
        <v>849.6</v>
      </c>
      <c r="M192" s="7">
        <v>286.2</v>
      </c>
      <c r="N192" s="7">
        <v>3.69</v>
      </c>
      <c r="O192" s="7">
        <v>0.986036</v>
      </c>
      <c r="P192" s="7">
        <v>0.986036</v>
      </c>
      <c r="Q192" s="10">
        <f t="shared" si="2"/>
        <v>93.80558838</v>
      </c>
      <c r="R192" s="11">
        <f t="shared" si="3"/>
        <v>0.4413841808</v>
      </c>
      <c r="S192" s="12">
        <f t="shared" si="4"/>
        <v>4</v>
      </c>
      <c r="T192" s="8">
        <f t="shared" si="66"/>
        <v>375</v>
      </c>
      <c r="U192" s="13">
        <f>T192/vlookup(A192,Max!$A$2:$AP$700,column(Max!$AP$2),false)</f>
        <v>0.8333333333</v>
      </c>
      <c r="V192" s="8">
        <f t="shared" si="6"/>
        <v>295.7959211</v>
      </c>
      <c r="W192" s="14">
        <f t="shared" si="7"/>
        <v>0.9635785524</v>
      </c>
      <c r="X192" s="14">
        <f t="shared" si="8"/>
        <v>1.301938836</v>
      </c>
      <c r="Y192" s="14">
        <f t="shared" si="9"/>
        <v>1</v>
      </c>
      <c r="Z192" s="14">
        <f t="shared" si="10"/>
        <v>1.011377415</v>
      </c>
      <c r="AA192" s="27">
        <f t="shared" si="11"/>
        <v>-12</v>
      </c>
      <c r="AB192" s="15">
        <f t="shared" si="70"/>
        <v>1</v>
      </c>
      <c r="AC192" s="15" t="str">
        <f t="shared" si="40"/>
        <v/>
      </c>
      <c r="AD192" s="15" t="str">
        <f t="shared" si="41"/>
        <v>$LR79-NA-11$: -12,</v>
      </c>
      <c r="AE192" s="15" t="str">
        <f t="shared" si="56"/>
        <v/>
      </c>
      <c r="AF192" s="15" t="str">
        <f t="shared" si="54"/>
        <v/>
      </c>
      <c r="AG192" s="15" t="str">
        <f t="shared" si="55"/>
        <v/>
      </c>
    </row>
    <row r="193" ht="15.75" customHeight="1">
      <c r="A193" s="16" t="s">
        <v>283</v>
      </c>
      <c r="B193" s="16" t="s">
        <v>279</v>
      </c>
      <c r="C193" s="17">
        <f t="shared" si="1"/>
        <v>4</v>
      </c>
      <c r="D193" s="16">
        <v>1962.0</v>
      </c>
      <c r="E193" s="16"/>
      <c r="F193" s="16" t="b">
        <v>1</v>
      </c>
      <c r="G193" s="16" t="b">
        <v>0</v>
      </c>
      <c r="H193" s="16" t="b">
        <v>0</v>
      </c>
      <c r="I193" s="16" t="b">
        <v>0</v>
      </c>
      <c r="J193" s="18" t="b">
        <v>0</v>
      </c>
      <c r="K193" s="16">
        <v>923.56</v>
      </c>
      <c r="L193" s="16">
        <v>849.6</v>
      </c>
      <c r="M193" s="16">
        <v>305.5</v>
      </c>
      <c r="N193" s="16">
        <v>3.69</v>
      </c>
      <c r="O193" s="16">
        <v>0.986036</v>
      </c>
      <c r="P193" s="16">
        <v>0.986036</v>
      </c>
      <c r="Q193" s="19">
        <f t="shared" si="2"/>
        <v>93.80558838</v>
      </c>
      <c r="R193" s="20">
        <f t="shared" si="3"/>
        <v>0.4602165725</v>
      </c>
      <c r="S193" s="21">
        <f t="shared" si="4"/>
        <v>4</v>
      </c>
      <c r="T193" s="17">
        <f t="shared" si="66"/>
        <v>391</v>
      </c>
      <c r="U193" s="22">
        <f>T193/vlookup(A193,Max!$A$2:$AP$700,column(Max!$AP$2),false)</f>
        <v>0.7979591837</v>
      </c>
      <c r="V193" s="17">
        <f t="shared" si="6"/>
        <v>295.7959211</v>
      </c>
      <c r="W193" s="23">
        <f t="shared" si="7"/>
        <v>1.024834125</v>
      </c>
      <c r="X193" s="23">
        <f t="shared" si="8"/>
        <v>1.301938836</v>
      </c>
      <c r="Y193" s="23">
        <f t="shared" si="9"/>
        <v>1</v>
      </c>
      <c r="Z193" s="23">
        <f t="shared" si="10"/>
        <v>0.9900199396</v>
      </c>
      <c r="AA193" s="24">
        <f t="shared" si="11"/>
        <v>4</v>
      </c>
      <c r="AB193" s="26">
        <f t="shared" si="70"/>
        <v>1</v>
      </c>
      <c r="AC193" s="26" t="str">
        <f t="shared" si="40"/>
        <v/>
      </c>
      <c r="AD193" s="26" t="str">
        <f t="shared" si="41"/>
        <v>$S-3FH$: 4,</v>
      </c>
      <c r="AE193" s="26" t="str">
        <f t="shared" si="56"/>
        <v/>
      </c>
      <c r="AF193" s="26" t="str">
        <f t="shared" si="54"/>
        <v/>
      </c>
      <c r="AG193" s="26" t="str">
        <f t="shared" si="55"/>
        <v/>
      </c>
    </row>
    <row r="194" ht="15.75" customHeight="1">
      <c r="A194" s="7" t="s">
        <v>284</v>
      </c>
      <c r="B194" s="7" t="s">
        <v>279</v>
      </c>
      <c r="C194" s="8">
        <f t="shared" si="1"/>
        <v>-9</v>
      </c>
      <c r="D194" s="7">
        <v>1963.0</v>
      </c>
      <c r="E194" s="7"/>
      <c r="F194" s="7" t="b">
        <v>1</v>
      </c>
      <c r="G194" s="7" t="b">
        <v>0</v>
      </c>
      <c r="H194" s="7" t="b">
        <v>0</v>
      </c>
      <c r="I194" s="7" t="b">
        <v>0</v>
      </c>
      <c r="J194" s="9" t="b">
        <v>0</v>
      </c>
      <c r="K194" s="7">
        <v>912.17</v>
      </c>
      <c r="L194" s="7">
        <v>872.95983</v>
      </c>
      <c r="M194" s="7">
        <v>290.93</v>
      </c>
      <c r="N194" s="7">
        <v>3.79</v>
      </c>
      <c r="O194" s="7">
        <v>0.992211</v>
      </c>
      <c r="P194" s="7">
        <v>0.992211</v>
      </c>
      <c r="Q194" s="10">
        <f t="shared" si="2"/>
        <v>97.58831022</v>
      </c>
      <c r="R194" s="11">
        <f t="shared" si="3"/>
        <v>0.4330096151</v>
      </c>
      <c r="S194" s="12">
        <f t="shared" si="4"/>
        <v>4</v>
      </c>
      <c r="T194" s="8">
        <f t="shared" si="66"/>
        <v>378</v>
      </c>
      <c r="U194" s="13">
        <f>T194/vlookup(A194,Max!$A$2:$AP$700,column(Max!$AP$2),false)</f>
        <v>0.7269230769</v>
      </c>
      <c r="V194" s="8">
        <f t="shared" si="6"/>
        <v>293.5433388</v>
      </c>
      <c r="W194" s="14">
        <f t="shared" si="7"/>
        <v>0.9750006815</v>
      </c>
      <c r="X194" s="14">
        <f t="shared" si="8"/>
        <v>1.31242482</v>
      </c>
      <c r="Y194" s="14">
        <f t="shared" si="9"/>
        <v>1</v>
      </c>
      <c r="Z194" s="14">
        <f t="shared" si="10"/>
        <v>1.005592689</v>
      </c>
      <c r="AA194" s="27">
        <f t="shared" si="11"/>
        <v>-9</v>
      </c>
      <c r="AB194" s="15">
        <f t="shared" si="70"/>
        <v>1</v>
      </c>
      <c r="AC194" s="15" t="str">
        <f t="shared" si="40"/>
        <v/>
      </c>
      <c r="AD194" s="15" t="str">
        <f t="shared" si="41"/>
        <v>$LR79-NA-13$: -9,</v>
      </c>
      <c r="AE194" s="15" t="str">
        <f t="shared" ref="AE194:AE207" si="71">if(AB194=2,if(AF188&lt;&gt;AF194,char(9)&amp;char(9)&amp;"@CONFIG["&amp;AF194&amp;"]"&amp;char(10)&amp;char(9)&amp;char(9)&amp;"{"&amp;char(10),"")&amp;char(9)&amp;char(9)&amp;char(9)&amp;"@SUBCONFIG["&amp;AG194&amp;"] { %cost = "&amp;AA194&amp;" }"&amp;if(AF205&lt;&gt;AF194,char(10)&amp;char(9)&amp;char(9)&amp;"}",""),"")</f>
        <v/>
      </c>
      <c r="AF194" s="15" t="str">
        <f t="shared" si="54"/>
        <v/>
      </c>
      <c r="AG194" s="15" t="str">
        <f t="shared" si="55"/>
        <v/>
      </c>
    </row>
    <row r="195" ht="15.75" customHeight="1">
      <c r="A195" s="16" t="s">
        <v>285</v>
      </c>
      <c r="B195" s="16" t="s">
        <v>286</v>
      </c>
      <c r="C195" s="17">
        <f t="shared" si="1"/>
        <v>530</v>
      </c>
      <c r="D195" s="16">
        <v>1958.0</v>
      </c>
      <c r="E195" s="16"/>
      <c r="F195" s="16" t="b">
        <v>1</v>
      </c>
      <c r="G195" s="16" t="b">
        <v>0</v>
      </c>
      <c r="H195" s="16" t="b">
        <v>0</v>
      </c>
      <c r="I195" s="16" t="b">
        <v>0</v>
      </c>
      <c r="J195" s="18" t="b">
        <v>0</v>
      </c>
      <c r="K195" s="16">
        <v>1670.0</v>
      </c>
      <c r="L195" s="16">
        <v>1801.5</v>
      </c>
      <c r="M195" s="16">
        <v>282.0</v>
      </c>
      <c r="N195" s="16">
        <v>3.92</v>
      </c>
      <c r="O195" s="16">
        <v>0.958696</v>
      </c>
      <c r="P195" s="16">
        <v>0.958696</v>
      </c>
      <c r="Q195" s="19">
        <f t="shared" si="2"/>
        <v>110.0011229</v>
      </c>
      <c r="R195" s="20">
        <f t="shared" si="3"/>
        <v>0.2941992784</v>
      </c>
      <c r="S195" s="21">
        <f t="shared" si="4"/>
        <v>4</v>
      </c>
      <c r="T195" s="17">
        <f t="shared" si="66"/>
        <v>530</v>
      </c>
      <c r="U195" s="22">
        <f>T195/vlookup(A195,Max!$A$2:$AP$700,column(Max!$AP$2),false)</f>
        <v>0.7794117647</v>
      </c>
      <c r="V195" s="17">
        <f t="shared" si="6"/>
        <v>426.4374991</v>
      </c>
      <c r="W195" s="23">
        <f t="shared" si="7"/>
        <v>0.9542702479</v>
      </c>
      <c r="X195" s="23">
        <f t="shared" si="8"/>
        <v>1.325770931</v>
      </c>
      <c r="Y195" s="23">
        <f t="shared" si="9"/>
        <v>1</v>
      </c>
      <c r="Z195" s="23">
        <f t="shared" si="10"/>
        <v>0.9820978725</v>
      </c>
      <c r="AA195" s="26">
        <f t="shared" si="11"/>
        <v>0</v>
      </c>
      <c r="AB195" s="25">
        <v>0.0</v>
      </c>
      <c r="AC195" s="26" t="str">
        <f t="shared" si="40"/>
        <v>{
$name$: $LR83-NA-1$,
$config$: $LR83$,
$cost$: 530
},</v>
      </c>
      <c r="AD195" s="26" t="str">
        <f t="shared" si="41"/>
        <v/>
      </c>
      <c r="AE195" s="26" t="str">
        <f t="shared" si="71"/>
        <v/>
      </c>
      <c r="AF195" s="26" t="str">
        <f t="shared" si="54"/>
        <v/>
      </c>
      <c r="AG195" s="26" t="str">
        <f t="shared" si="55"/>
        <v/>
      </c>
    </row>
    <row r="196" ht="15.75" customHeight="1">
      <c r="A196" s="9" t="s">
        <v>287</v>
      </c>
      <c r="B196" s="9" t="s">
        <v>288</v>
      </c>
      <c r="C196" s="8">
        <f t="shared" si="1"/>
        <v>392</v>
      </c>
      <c r="D196" s="9">
        <v>1959.0</v>
      </c>
      <c r="E196" s="7"/>
      <c r="F196" s="7" t="b">
        <v>1</v>
      </c>
      <c r="G196" s="7" t="b">
        <v>0</v>
      </c>
      <c r="H196" s="7" t="b">
        <v>0</v>
      </c>
      <c r="I196" s="7" t="b">
        <v>0</v>
      </c>
      <c r="J196" s="9" t="b">
        <v>0</v>
      </c>
      <c r="K196" s="9">
        <v>932.0</v>
      </c>
      <c r="L196" s="9">
        <v>765.95</v>
      </c>
      <c r="M196" s="9">
        <v>289.1</v>
      </c>
      <c r="N196" s="9">
        <v>4.05</v>
      </c>
      <c r="O196" s="9">
        <v>0.978571</v>
      </c>
      <c r="P196" s="9">
        <v>0.978571</v>
      </c>
      <c r="Q196" s="10">
        <f t="shared" si="2"/>
        <v>83.80382307</v>
      </c>
      <c r="R196" s="11">
        <f t="shared" si="3"/>
        <v>0.5117827534</v>
      </c>
      <c r="S196" s="12">
        <f t="shared" si="4"/>
        <v>4</v>
      </c>
      <c r="T196" s="8">
        <f t="shared" si="66"/>
        <v>392</v>
      </c>
      <c r="U196" s="13" t="str">
        <f>T196/vlookup(A196,Max!$A$2:$AP$700,column(Max!$AP$2),false)</f>
        <v>#N/A</v>
      </c>
      <c r="V196" s="8">
        <f t="shared" si="6"/>
        <v>297.4583614</v>
      </c>
      <c r="W196" s="14">
        <f t="shared" si="7"/>
        <v>0.9704586254</v>
      </c>
      <c r="X196" s="14">
        <f t="shared" si="8"/>
        <v>1.338810714</v>
      </c>
      <c r="Y196" s="14">
        <f t="shared" si="9"/>
        <v>1</v>
      </c>
      <c r="Z196" s="14">
        <f t="shared" si="10"/>
        <v>1.013204419</v>
      </c>
      <c r="AA196" s="15">
        <f t="shared" si="11"/>
        <v>0</v>
      </c>
      <c r="AB196" s="29">
        <v>0.0</v>
      </c>
      <c r="AC196" s="15" t="str">
        <f t="shared" si="40"/>
        <v>{
$name$: $LR87-AJ-1$,
$config$: $LR87$,
$cost$: 392
},</v>
      </c>
      <c r="AD196" s="15" t="str">
        <f t="shared" si="41"/>
        <v/>
      </c>
      <c r="AE196" s="15" t="str">
        <f t="shared" si="71"/>
        <v/>
      </c>
      <c r="AF196" s="15"/>
      <c r="AG196" s="15"/>
    </row>
    <row r="197" ht="15.75" customHeight="1">
      <c r="A197" s="18" t="s">
        <v>289</v>
      </c>
      <c r="B197" s="18" t="s">
        <v>288</v>
      </c>
      <c r="C197" s="17">
        <f t="shared" si="1"/>
        <v>140</v>
      </c>
      <c r="D197" s="18">
        <v>1959.0</v>
      </c>
      <c r="E197" s="16"/>
      <c r="F197" s="16" t="b">
        <v>1</v>
      </c>
      <c r="G197" s="16" t="b">
        <v>0</v>
      </c>
      <c r="H197" s="16" t="b">
        <v>0</v>
      </c>
      <c r="I197" s="16" t="b">
        <v>0</v>
      </c>
      <c r="J197" s="18" t="b">
        <v>0</v>
      </c>
      <c r="K197" s="18">
        <v>1300.0</v>
      </c>
      <c r="L197" s="18">
        <v>825.8</v>
      </c>
      <c r="M197" s="18">
        <v>311.7</v>
      </c>
      <c r="N197" s="18">
        <v>4.05</v>
      </c>
      <c r="O197" s="18">
        <v>0.978571</v>
      </c>
      <c r="P197" s="18">
        <v>0.978571</v>
      </c>
      <c r="Q197" s="19">
        <f t="shared" si="2"/>
        <v>64.77551125</v>
      </c>
      <c r="R197" s="20">
        <f t="shared" si="3"/>
        <v>0.644223783</v>
      </c>
      <c r="S197" s="21">
        <f t="shared" si="4"/>
        <v>4</v>
      </c>
      <c r="T197" s="17">
        <f t="shared" si="66"/>
        <v>532</v>
      </c>
      <c r="U197" s="22" t="str">
        <f>T197/vlookup(A197,Max!$A$2:$AP$700,column(Max!$AP$2),false)</f>
        <v>#N/A</v>
      </c>
      <c r="V197" s="17">
        <f t="shared" si="6"/>
        <v>365.2511487</v>
      </c>
      <c r="W197" s="23">
        <f t="shared" si="7"/>
        <v>1.073186495</v>
      </c>
      <c r="X197" s="23">
        <f t="shared" si="8"/>
        <v>1.338810714</v>
      </c>
      <c r="Y197" s="23">
        <f t="shared" si="9"/>
        <v>1</v>
      </c>
      <c r="Z197" s="23">
        <f t="shared" si="10"/>
        <v>1.013204419</v>
      </c>
      <c r="AA197" s="24">
        <f t="shared" si="11"/>
        <v>140</v>
      </c>
      <c r="AB197" s="25">
        <v>2.0</v>
      </c>
      <c r="AC197" s="26" t="str">
        <f t="shared" si="40"/>
        <v/>
      </c>
      <c r="AD197" s="26" t="str">
        <f t="shared" si="41"/>
        <v/>
      </c>
      <c r="AE197" s="26" t="str">
        <f t="shared" si="71"/>
        <v>			@SUBCONFIG[] { %cost = 140 }</v>
      </c>
      <c r="AF197" s="26"/>
      <c r="AG197" s="26"/>
    </row>
    <row r="198" ht="15.75" customHeight="1">
      <c r="A198" s="7" t="s">
        <v>290</v>
      </c>
      <c r="B198" s="7" t="s">
        <v>288</v>
      </c>
      <c r="C198" s="8">
        <f t="shared" si="1"/>
        <v>-33</v>
      </c>
      <c r="D198" s="9">
        <v>1960.0</v>
      </c>
      <c r="E198" s="7"/>
      <c r="F198" s="7" t="b">
        <v>1</v>
      </c>
      <c r="G198" s="7" t="b">
        <v>0</v>
      </c>
      <c r="H198" s="7" t="b">
        <v>0</v>
      </c>
      <c r="I198" s="7" t="b">
        <v>0</v>
      </c>
      <c r="J198" s="9" t="b">
        <v>0</v>
      </c>
      <c r="K198" s="7">
        <v>839.0</v>
      </c>
      <c r="L198" s="7">
        <v>765.95</v>
      </c>
      <c r="M198" s="9">
        <v>289.1</v>
      </c>
      <c r="N198" s="7">
        <v>4.05</v>
      </c>
      <c r="O198" s="7">
        <v>0.978571</v>
      </c>
      <c r="P198" s="7">
        <v>0.978571</v>
      </c>
      <c r="Q198" s="10">
        <f t="shared" si="2"/>
        <v>93.09316222</v>
      </c>
      <c r="R198" s="11">
        <f t="shared" si="3"/>
        <v>0.4686990012</v>
      </c>
      <c r="S198" s="12">
        <f t="shared" si="4"/>
        <v>4</v>
      </c>
      <c r="T198" s="8">
        <f t="shared" si="66"/>
        <v>359</v>
      </c>
      <c r="U198" s="13">
        <f>T198/vlookup(A198,Max!$A$2:$AP$700,column(Max!$AP$2),false)</f>
        <v>0.9205128205</v>
      </c>
      <c r="V198" s="8">
        <f t="shared" si="6"/>
        <v>278.8117574</v>
      </c>
      <c r="W198" s="14">
        <f t="shared" si="7"/>
        <v>0.9704586254</v>
      </c>
      <c r="X198" s="14">
        <f t="shared" si="8"/>
        <v>1.338810714</v>
      </c>
      <c r="Y198" s="14">
        <f t="shared" si="9"/>
        <v>1</v>
      </c>
      <c r="Z198" s="14">
        <f t="shared" si="10"/>
        <v>0.9923438361</v>
      </c>
      <c r="AA198" s="27">
        <f t="shared" si="11"/>
        <v>-33</v>
      </c>
      <c r="AB198" s="29">
        <v>1.0</v>
      </c>
      <c r="AC198" s="15" t="str">
        <f t="shared" si="40"/>
        <v/>
      </c>
      <c r="AD198" s="15" t="str">
        <f t="shared" si="41"/>
        <v>$LR87-AJ-3$: -33,</v>
      </c>
      <c r="AE198" s="15" t="str">
        <f t="shared" si="71"/>
        <v/>
      </c>
      <c r="AF198" s="15" t="str">
        <f>if(AB198=2,left(A198,find("$",A198)-1),"")</f>
        <v/>
      </c>
      <c r="AG198" s="15" t="str">
        <f>if(AB198=2,mid(A198,find("$",A198)+1,len(A198)),"")</f>
        <v/>
      </c>
    </row>
    <row r="199" ht="15.75" customHeight="1">
      <c r="A199" s="18" t="s">
        <v>291</v>
      </c>
      <c r="B199" s="18" t="s">
        <v>288</v>
      </c>
      <c r="C199" s="17">
        <f t="shared" si="1"/>
        <v>104</v>
      </c>
      <c r="D199" s="18">
        <v>1960.0</v>
      </c>
      <c r="E199" s="16"/>
      <c r="F199" s="16" t="b">
        <v>1</v>
      </c>
      <c r="G199" s="16" t="b">
        <v>0</v>
      </c>
      <c r="H199" s="16" t="b">
        <v>0</v>
      </c>
      <c r="I199" s="16" t="b">
        <v>0</v>
      </c>
      <c r="J199" s="18" t="b">
        <v>0</v>
      </c>
      <c r="K199" s="18">
        <v>1200.0</v>
      </c>
      <c r="L199" s="18">
        <v>825.8</v>
      </c>
      <c r="M199" s="18">
        <v>311.7</v>
      </c>
      <c r="N199" s="18">
        <v>4.05</v>
      </c>
      <c r="O199" s="16">
        <v>0.978571</v>
      </c>
      <c r="P199" s="16">
        <v>0.978571</v>
      </c>
      <c r="Q199" s="19">
        <f t="shared" si="2"/>
        <v>70.17347052</v>
      </c>
      <c r="R199" s="20">
        <f t="shared" si="3"/>
        <v>0.6006296924</v>
      </c>
      <c r="S199" s="21">
        <f t="shared" si="4"/>
        <v>4</v>
      </c>
      <c r="T199" s="17">
        <f t="shared" si="66"/>
        <v>496</v>
      </c>
      <c r="U199" s="22" t="str">
        <f>T199/vlookup(A199,Max!$A$2:$AP$700,column(Max!$AP$2),false)</f>
        <v>#N/A</v>
      </c>
      <c r="V199" s="17">
        <f t="shared" si="6"/>
        <v>347.6348282</v>
      </c>
      <c r="W199" s="23">
        <f t="shared" si="7"/>
        <v>1.073186495</v>
      </c>
      <c r="X199" s="23">
        <f t="shared" si="8"/>
        <v>1.338810714</v>
      </c>
      <c r="Y199" s="23">
        <f t="shared" si="9"/>
        <v>1</v>
      </c>
      <c r="Z199" s="23">
        <f t="shared" si="10"/>
        <v>0.9923438361</v>
      </c>
      <c r="AA199" s="24">
        <f t="shared" si="11"/>
        <v>104</v>
      </c>
      <c r="AB199" s="25">
        <v>2.0</v>
      </c>
      <c r="AC199" s="26" t="str">
        <f t="shared" si="40"/>
        <v/>
      </c>
      <c r="AD199" s="26" t="str">
        <f t="shared" si="41"/>
        <v/>
      </c>
      <c r="AE199" s="26" t="str">
        <f t="shared" si="71"/>
        <v>			@SUBCONFIG[] { %cost = 104 }</v>
      </c>
      <c r="AF199" s="26"/>
      <c r="AG199" s="26"/>
    </row>
    <row r="200" ht="15.75" customHeight="1">
      <c r="A200" s="7" t="s">
        <v>292</v>
      </c>
      <c r="B200" s="7" t="s">
        <v>288</v>
      </c>
      <c r="C200" s="8">
        <f t="shared" si="1"/>
        <v>-27</v>
      </c>
      <c r="D200" s="7">
        <v>1962.0</v>
      </c>
      <c r="E200" s="7"/>
      <c r="F200" s="7" t="b">
        <v>1</v>
      </c>
      <c r="G200" s="7" t="b">
        <v>0</v>
      </c>
      <c r="H200" s="7" t="b">
        <v>0</v>
      </c>
      <c r="I200" s="7" t="b">
        <v>0</v>
      </c>
      <c r="J200" s="9" t="b">
        <v>0</v>
      </c>
      <c r="K200" s="7">
        <v>739.0</v>
      </c>
      <c r="L200" s="9">
        <v>1053.9</v>
      </c>
      <c r="M200" s="7">
        <v>285.2</v>
      </c>
      <c r="N200" s="7">
        <v>5.48</v>
      </c>
      <c r="O200" s="7">
        <v>0.991799</v>
      </c>
      <c r="P200" s="7">
        <v>0.991799</v>
      </c>
      <c r="Q200" s="10">
        <f t="shared" si="2"/>
        <v>145.4233983</v>
      </c>
      <c r="R200" s="11">
        <f t="shared" si="3"/>
        <v>0.3463326691</v>
      </c>
      <c r="S200" s="12">
        <f t="shared" si="4"/>
        <v>4</v>
      </c>
      <c r="T200" s="8">
        <f t="shared" si="66"/>
        <v>365</v>
      </c>
      <c r="U200" s="13">
        <f>T200/vlookup(A200,Max!$A$2:$AP$700,column(Max!$AP$2),false)</f>
        <v>0.5983606557</v>
      </c>
      <c r="V200" s="8">
        <f t="shared" si="6"/>
        <v>257.8703002</v>
      </c>
      <c r="W200" s="14">
        <f t="shared" si="7"/>
        <v>0.961293477</v>
      </c>
      <c r="X200" s="14">
        <f t="shared" si="8"/>
        <v>1.465942175</v>
      </c>
      <c r="Y200" s="14">
        <f t="shared" si="9"/>
        <v>1</v>
      </c>
      <c r="Z200" s="14">
        <f t="shared" si="10"/>
        <v>1.004549123</v>
      </c>
      <c r="AA200" s="27">
        <f t="shared" si="11"/>
        <v>-27</v>
      </c>
      <c r="AB200" s="15">
        <f t="shared" ref="AB200:AB209" si="72">if(iserror(find("$",A200)),1,2)</f>
        <v>1</v>
      </c>
      <c r="AC200" s="15" t="str">
        <f t="shared" si="40"/>
        <v/>
      </c>
      <c r="AD200" s="15" t="str">
        <f t="shared" si="41"/>
        <v>$LR87-AJ-5$: -27,</v>
      </c>
      <c r="AE200" s="15" t="str">
        <f t="shared" si="71"/>
        <v/>
      </c>
      <c r="AF200" s="15" t="str">
        <f>if(AB200=2,left(A200,find("$",A200)-1),"")</f>
        <v/>
      </c>
      <c r="AG200" s="15" t="str">
        <f>if(AB200=2,mid(A200,find("$",A200)+1,len(A200)),"")</f>
        <v/>
      </c>
    </row>
    <row r="201" ht="15.75" customHeight="1">
      <c r="A201" s="18" t="s">
        <v>293</v>
      </c>
      <c r="B201" s="18" t="s">
        <v>288</v>
      </c>
      <c r="C201" s="17">
        <f t="shared" si="1"/>
        <v>1</v>
      </c>
      <c r="D201" s="16">
        <v>1962.0</v>
      </c>
      <c r="E201" s="16"/>
      <c r="F201" s="16" t="b">
        <v>1</v>
      </c>
      <c r="G201" s="16" t="b">
        <v>0</v>
      </c>
      <c r="H201" s="16" t="b">
        <v>0</v>
      </c>
      <c r="I201" s="16" t="b">
        <v>0</v>
      </c>
      <c r="J201" s="18" t="b">
        <v>0</v>
      </c>
      <c r="K201" s="18">
        <v>786.0</v>
      </c>
      <c r="L201" s="18">
        <v>1102.7</v>
      </c>
      <c r="M201" s="18">
        <v>298.4</v>
      </c>
      <c r="N201" s="16">
        <v>5.48</v>
      </c>
      <c r="O201" s="16">
        <v>0.991799</v>
      </c>
      <c r="P201" s="16">
        <v>0.991799</v>
      </c>
      <c r="Q201" s="19">
        <f t="shared" si="2"/>
        <v>143.0586596</v>
      </c>
      <c r="R201" s="20">
        <f t="shared" si="3"/>
        <v>0.3563979323</v>
      </c>
      <c r="S201" s="21">
        <f t="shared" si="4"/>
        <v>4</v>
      </c>
      <c r="T201" s="17">
        <f t="shared" si="66"/>
        <v>393</v>
      </c>
      <c r="U201" s="22" t="str">
        <f>T201/vlookup(A201,Max!$A$2:$AP$700,column(Max!$AP$2),false)</f>
        <v>#N/A</v>
      </c>
      <c r="V201" s="17">
        <f t="shared" si="6"/>
        <v>267.8374771</v>
      </c>
      <c r="W201" s="23">
        <f t="shared" si="7"/>
        <v>0.9952719607</v>
      </c>
      <c r="X201" s="23">
        <f t="shared" si="8"/>
        <v>1.465942175</v>
      </c>
      <c r="Y201" s="23">
        <f t="shared" si="9"/>
        <v>1</v>
      </c>
      <c r="Z201" s="23">
        <f t="shared" si="10"/>
        <v>1.004549123</v>
      </c>
      <c r="AA201" s="24">
        <f t="shared" si="11"/>
        <v>1</v>
      </c>
      <c r="AB201" s="26">
        <f t="shared" si="72"/>
        <v>2</v>
      </c>
      <c r="AC201" s="26" t="str">
        <f t="shared" si="40"/>
        <v/>
      </c>
      <c r="AD201" s="26" t="str">
        <f t="shared" si="41"/>
        <v/>
      </c>
      <c r="AE201" s="26" t="str">
        <f t="shared" si="71"/>
        <v>			@SUBCONFIG[] { %cost = 1 }</v>
      </c>
      <c r="AF201" s="26"/>
      <c r="AG201" s="26"/>
    </row>
    <row r="202" ht="15.75" customHeight="1">
      <c r="A202" s="9" t="s">
        <v>294</v>
      </c>
      <c r="B202" s="9" t="s">
        <v>288</v>
      </c>
      <c r="C202" s="8">
        <f t="shared" si="1"/>
        <v>155</v>
      </c>
      <c r="D202" s="7">
        <v>1962.0</v>
      </c>
      <c r="E202" s="7"/>
      <c r="F202" s="7" t="b">
        <v>1</v>
      </c>
      <c r="G202" s="7" t="b">
        <v>0</v>
      </c>
      <c r="H202" s="7" t="b">
        <v>0</v>
      </c>
      <c r="I202" s="7" t="b">
        <v>0</v>
      </c>
      <c r="J202" s="9" t="b">
        <v>0</v>
      </c>
      <c r="K202" s="9">
        <v>1105.0</v>
      </c>
      <c r="L202" s="9">
        <v>1171.4</v>
      </c>
      <c r="M202" s="9">
        <v>317.0</v>
      </c>
      <c r="N202" s="7">
        <v>5.48</v>
      </c>
      <c r="O202" s="7">
        <v>0.991799</v>
      </c>
      <c r="P202" s="7">
        <v>0.991799</v>
      </c>
      <c r="Q202" s="10">
        <f t="shared" si="2"/>
        <v>108.0991465</v>
      </c>
      <c r="R202" s="11">
        <f t="shared" si="3"/>
        <v>0.4669626088</v>
      </c>
      <c r="S202" s="12">
        <f t="shared" si="4"/>
        <v>4</v>
      </c>
      <c r="T202" s="8">
        <f t="shared" si="66"/>
        <v>547</v>
      </c>
      <c r="U202" s="13" t="str">
        <f>T202/vlookup(A202,Max!$A$2:$AP$700,column(Max!$AP$2),false)</f>
        <v>#N/A</v>
      </c>
      <c r="V202" s="8">
        <f t="shared" si="6"/>
        <v>330.3822918</v>
      </c>
      <c r="W202" s="14">
        <f t="shared" si="7"/>
        <v>1.123541165</v>
      </c>
      <c r="X202" s="14">
        <f t="shared" si="8"/>
        <v>1.465942175</v>
      </c>
      <c r="Y202" s="14">
        <f t="shared" si="9"/>
        <v>1</v>
      </c>
      <c r="Z202" s="14">
        <f t="shared" si="10"/>
        <v>1.004549123</v>
      </c>
      <c r="AA202" s="27">
        <f t="shared" si="11"/>
        <v>155</v>
      </c>
      <c r="AB202" s="15">
        <f t="shared" si="72"/>
        <v>2</v>
      </c>
      <c r="AC202" s="15" t="str">
        <f t="shared" si="40"/>
        <v/>
      </c>
      <c r="AD202" s="15" t="str">
        <f t="shared" si="41"/>
        <v/>
      </c>
      <c r="AE202" s="15" t="str">
        <f t="shared" si="71"/>
        <v>			@SUBCONFIG[] { %cost = 155 }</v>
      </c>
      <c r="AF202" s="15"/>
      <c r="AG202" s="15"/>
    </row>
    <row r="203" ht="15.75" customHeight="1">
      <c r="A203" s="18" t="s">
        <v>295</v>
      </c>
      <c r="B203" s="18" t="s">
        <v>288</v>
      </c>
      <c r="C203" s="17">
        <f t="shared" si="1"/>
        <v>-18</v>
      </c>
      <c r="D203" s="16">
        <v>1962.0</v>
      </c>
      <c r="E203" s="16"/>
      <c r="F203" s="16" t="b">
        <v>1</v>
      </c>
      <c r="G203" s="16" t="b">
        <v>0</v>
      </c>
      <c r="H203" s="16" t="b">
        <v>0</v>
      </c>
      <c r="I203" s="16" t="b">
        <v>0</v>
      </c>
      <c r="J203" s="18" t="b">
        <v>0</v>
      </c>
      <c r="K203" s="18">
        <v>755.0</v>
      </c>
      <c r="L203" s="18">
        <v>913.5</v>
      </c>
      <c r="M203" s="18">
        <v>290.1</v>
      </c>
      <c r="N203" s="16">
        <v>5.48</v>
      </c>
      <c r="O203" s="16">
        <v>0.991799</v>
      </c>
      <c r="P203" s="16">
        <v>0.991799</v>
      </c>
      <c r="Q203" s="19">
        <f t="shared" si="2"/>
        <v>123.3789083</v>
      </c>
      <c r="R203" s="20">
        <f t="shared" si="3"/>
        <v>0.4094143404</v>
      </c>
      <c r="S203" s="21">
        <f t="shared" si="4"/>
        <v>4</v>
      </c>
      <c r="T203" s="17">
        <f t="shared" si="66"/>
        <v>374</v>
      </c>
      <c r="U203" s="22" t="str">
        <f>T203/vlookup(A203,Max!$A$2:$AP$700,column(Max!$AP$2),false)</f>
        <v>#N/A</v>
      </c>
      <c r="V203" s="17">
        <f t="shared" si="6"/>
        <v>261.2894661</v>
      </c>
      <c r="W203" s="23">
        <f t="shared" si="7"/>
        <v>0.9729209559</v>
      </c>
      <c r="X203" s="23">
        <f t="shared" si="8"/>
        <v>1.465942175</v>
      </c>
      <c r="Y203" s="23">
        <f t="shared" si="9"/>
        <v>1</v>
      </c>
      <c r="Z203" s="23">
        <f t="shared" si="10"/>
        <v>1.004549123</v>
      </c>
      <c r="AA203" s="24">
        <f t="shared" si="11"/>
        <v>-18</v>
      </c>
      <c r="AB203" s="26">
        <f t="shared" si="72"/>
        <v>1</v>
      </c>
      <c r="AC203" s="26" t="str">
        <f t="shared" si="40"/>
        <v/>
      </c>
      <c r="AD203" s="26" t="str">
        <f t="shared" si="41"/>
        <v>$LR87-AJ-5-Kero$: -18,</v>
      </c>
      <c r="AE203" s="26" t="str">
        <f t="shared" si="71"/>
        <v/>
      </c>
      <c r="AF203" s="26"/>
      <c r="AG203" s="26"/>
    </row>
    <row r="204" ht="15.75" customHeight="1">
      <c r="A204" s="9" t="s">
        <v>296</v>
      </c>
      <c r="B204" s="9" t="s">
        <v>288</v>
      </c>
      <c r="C204" s="8">
        <f t="shared" si="1"/>
        <v>13</v>
      </c>
      <c r="D204" s="7">
        <v>1962.0</v>
      </c>
      <c r="E204" s="7"/>
      <c r="F204" s="7" t="b">
        <v>1</v>
      </c>
      <c r="G204" s="7" t="b">
        <v>0</v>
      </c>
      <c r="H204" s="7" t="b">
        <v>0</v>
      </c>
      <c r="I204" s="7" t="b">
        <v>0</v>
      </c>
      <c r="J204" s="9" t="b">
        <v>0</v>
      </c>
      <c r="K204" s="28">
        <f>755*1.0631</f>
        <v>802.6405</v>
      </c>
      <c r="L204" s="9">
        <v>952.3</v>
      </c>
      <c r="M204" s="9">
        <v>303.5</v>
      </c>
      <c r="N204" s="7">
        <v>5.48</v>
      </c>
      <c r="O204" s="7">
        <v>0.991799</v>
      </c>
      <c r="P204" s="7">
        <v>0.991799</v>
      </c>
      <c r="Q204" s="10">
        <f t="shared" si="2"/>
        <v>120.9851418</v>
      </c>
      <c r="R204" s="11">
        <f t="shared" si="3"/>
        <v>0.4252861493</v>
      </c>
      <c r="S204" s="12">
        <f t="shared" si="4"/>
        <v>4</v>
      </c>
      <c r="T204" s="8">
        <f t="shared" si="66"/>
        <v>405</v>
      </c>
      <c r="U204" s="13" t="str">
        <f>T204/vlookup(A204,Max!$A$2:$AP$700,column(Max!$AP$2),false)</f>
        <v>#N/A</v>
      </c>
      <c r="V204" s="8">
        <f t="shared" si="6"/>
        <v>271.3122578</v>
      </c>
      <c r="W204" s="14">
        <f t="shared" si="7"/>
        <v>1.013863377</v>
      </c>
      <c r="X204" s="14">
        <f t="shared" si="8"/>
        <v>1.465942175</v>
      </c>
      <c r="Y204" s="14">
        <f t="shared" si="9"/>
        <v>1</v>
      </c>
      <c r="Z204" s="14">
        <f t="shared" si="10"/>
        <v>1.004549123</v>
      </c>
      <c r="AA204" s="27">
        <f t="shared" si="11"/>
        <v>13</v>
      </c>
      <c r="AB204" s="15">
        <f t="shared" si="72"/>
        <v>2</v>
      </c>
      <c r="AC204" s="15" t="str">
        <f t="shared" si="40"/>
        <v/>
      </c>
      <c r="AD204" s="15" t="str">
        <f t="shared" si="41"/>
        <v/>
      </c>
      <c r="AE204" s="15" t="str">
        <f t="shared" si="71"/>
        <v>			@SUBCONFIG[] { %cost = 13 }</v>
      </c>
      <c r="AF204" s="15"/>
      <c r="AG204" s="15"/>
    </row>
    <row r="205" ht="15.75" customHeight="1">
      <c r="A205" s="18" t="s">
        <v>297</v>
      </c>
      <c r="B205" s="18" t="s">
        <v>288</v>
      </c>
      <c r="C205" s="17">
        <f t="shared" si="1"/>
        <v>184</v>
      </c>
      <c r="D205" s="16">
        <v>1962.0</v>
      </c>
      <c r="E205" s="16"/>
      <c r="F205" s="16" t="b">
        <v>1</v>
      </c>
      <c r="G205" s="16" t="b">
        <v>0</v>
      </c>
      <c r="H205" s="16" t="b">
        <v>0</v>
      </c>
      <c r="I205" s="16" t="b">
        <v>0</v>
      </c>
      <c r="J205" s="18" t="b">
        <v>0</v>
      </c>
      <c r="K205" s="32">
        <f>755*1.4954</f>
        <v>1129.027</v>
      </c>
      <c r="L205" s="18">
        <v>998.3</v>
      </c>
      <c r="M205" s="18">
        <v>322.5</v>
      </c>
      <c r="N205" s="16">
        <v>5.48</v>
      </c>
      <c r="O205" s="16">
        <v>0.991799</v>
      </c>
      <c r="P205" s="16">
        <v>0.991799</v>
      </c>
      <c r="Q205" s="19">
        <f t="shared" si="2"/>
        <v>90.16460124</v>
      </c>
      <c r="R205" s="20">
        <f t="shared" si="3"/>
        <v>0.5769808675</v>
      </c>
      <c r="S205" s="21">
        <f t="shared" si="4"/>
        <v>4</v>
      </c>
      <c r="T205" s="17">
        <f t="shared" si="66"/>
        <v>576</v>
      </c>
      <c r="U205" s="22" t="str">
        <f>T205/vlookup(A205,Max!$A$2:$AP$700,column(Max!$AP$2),false)</f>
        <v>#N/A</v>
      </c>
      <c r="V205" s="17">
        <f t="shared" si="6"/>
        <v>334.7965713</v>
      </c>
      <c r="W205" s="23">
        <f t="shared" si="7"/>
        <v>1.168229579</v>
      </c>
      <c r="X205" s="23">
        <f t="shared" si="8"/>
        <v>1.465942175</v>
      </c>
      <c r="Y205" s="23">
        <f t="shared" si="9"/>
        <v>1</v>
      </c>
      <c r="Z205" s="23">
        <f t="shared" si="10"/>
        <v>1.004549123</v>
      </c>
      <c r="AA205" s="24">
        <f t="shared" si="11"/>
        <v>184</v>
      </c>
      <c r="AB205" s="26">
        <f t="shared" si="72"/>
        <v>2</v>
      </c>
      <c r="AC205" s="26" t="str">
        <f t="shared" si="40"/>
        <v/>
      </c>
      <c r="AD205" s="26" t="str">
        <f t="shared" si="41"/>
        <v/>
      </c>
      <c r="AE205" s="26" t="str">
        <f t="shared" si="71"/>
        <v>			@SUBCONFIG[] { %cost = 184 }</v>
      </c>
      <c r="AF205" s="26"/>
      <c r="AG205" s="26"/>
    </row>
    <row r="206" ht="15.75" customHeight="1">
      <c r="A206" s="7" t="s">
        <v>298</v>
      </c>
      <c r="B206" s="7" t="s">
        <v>288</v>
      </c>
      <c r="C206" s="8">
        <f t="shared" si="1"/>
        <v>-25</v>
      </c>
      <c r="D206" s="9">
        <v>1964.0</v>
      </c>
      <c r="E206" s="7"/>
      <c r="F206" s="7" t="b">
        <v>1</v>
      </c>
      <c r="G206" s="7" t="b">
        <v>0</v>
      </c>
      <c r="H206" s="7" t="b">
        <v>0</v>
      </c>
      <c r="I206" s="7" t="b">
        <v>0</v>
      </c>
      <c r="J206" s="9" t="b">
        <v>0</v>
      </c>
      <c r="K206" s="7">
        <v>739.0</v>
      </c>
      <c r="L206" s="9">
        <v>1053.9</v>
      </c>
      <c r="M206" s="9">
        <v>285.2</v>
      </c>
      <c r="N206" s="9">
        <v>5.48</v>
      </c>
      <c r="O206" s="7">
        <v>0.994</v>
      </c>
      <c r="P206" s="7">
        <v>0.994</v>
      </c>
      <c r="Q206" s="10">
        <f t="shared" si="2"/>
        <v>145.4233983</v>
      </c>
      <c r="R206" s="11">
        <f t="shared" si="3"/>
        <v>0.3482303824</v>
      </c>
      <c r="S206" s="12">
        <f t="shared" si="4"/>
        <v>4</v>
      </c>
      <c r="T206" s="8">
        <f t="shared" si="66"/>
        <v>367</v>
      </c>
      <c r="U206" s="13">
        <f>T206/vlookup(A206,Max!$A$2:$AP$700,column(Max!$AP$2),false)</f>
        <v>0.5825396825</v>
      </c>
      <c r="V206" s="8">
        <f t="shared" si="6"/>
        <v>257.8703002</v>
      </c>
      <c r="W206" s="14">
        <f t="shared" si="7"/>
        <v>0.961293477</v>
      </c>
      <c r="X206" s="14">
        <f t="shared" si="8"/>
        <v>1.465942175</v>
      </c>
      <c r="Y206" s="14">
        <f t="shared" si="9"/>
        <v>1</v>
      </c>
      <c r="Z206" s="14">
        <f t="shared" si="10"/>
        <v>1.01013164</v>
      </c>
      <c r="AA206" s="27">
        <f t="shared" si="11"/>
        <v>-25</v>
      </c>
      <c r="AB206" s="15">
        <f t="shared" si="72"/>
        <v>1</v>
      </c>
      <c r="AC206" s="15" t="str">
        <f t="shared" si="40"/>
        <v/>
      </c>
      <c r="AD206" s="15" t="str">
        <f t="shared" si="41"/>
        <v>$LR87-AJ-7$: -25,</v>
      </c>
      <c r="AE206" s="15" t="str">
        <f t="shared" si="71"/>
        <v/>
      </c>
      <c r="AF206" s="15" t="str">
        <f>if(AB206=2,left(A206,find("$",A206)-1),"")</f>
        <v/>
      </c>
      <c r="AG206" s="15" t="str">
        <f>if(AB206=2,mid(A206,find("$",A206)+1,len(A206)),"")</f>
        <v/>
      </c>
    </row>
    <row r="207" ht="15.75" customHeight="1">
      <c r="A207" s="18" t="s">
        <v>299</v>
      </c>
      <c r="B207" s="18" t="s">
        <v>288</v>
      </c>
      <c r="C207" s="17">
        <f t="shared" si="1"/>
        <v>3</v>
      </c>
      <c r="D207" s="16">
        <v>1964.0</v>
      </c>
      <c r="E207" s="16"/>
      <c r="F207" s="16" t="b">
        <v>1</v>
      </c>
      <c r="G207" s="16" t="b">
        <v>0</v>
      </c>
      <c r="H207" s="16" t="b">
        <v>0</v>
      </c>
      <c r="I207" s="16" t="b">
        <v>0</v>
      </c>
      <c r="J207" s="18" t="b">
        <v>0</v>
      </c>
      <c r="K207" s="18">
        <v>786.0</v>
      </c>
      <c r="L207" s="18">
        <v>1102.7</v>
      </c>
      <c r="M207" s="18">
        <v>298.4</v>
      </c>
      <c r="N207" s="18">
        <v>5.48</v>
      </c>
      <c r="O207" s="16">
        <v>0.994</v>
      </c>
      <c r="P207" s="16">
        <v>0.994</v>
      </c>
      <c r="Q207" s="19">
        <f t="shared" si="2"/>
        <v>143.0586596</v>
      </c>
      <c r="R207" s="20">
        <f t="shared" si="3"/>
        <v>0.3582116623</v>
      </c>
      <c r="S207" s="21">
        <f t="shared" si="4"/>
        <v>4</v>
      </c>
      <c r="T207" s="17">
        <f t="shared" si="66"/>
        <v>395</v>
      </c>
      <c r="U207" s="22" t="str">
        <f>T207/vlookup(A207,Max!$A$2:$AP$700,column(Max!$AP$2),false)</f>
        <v>#N/A</v>
      </c>
      <c r="V207" s="17">
        <f t="shared" si="6"/>
        <v>267.8374771</v>
      </c>
      <c r="W207" s="23">
        <f t="shared" si="7"/>
        <v>0.9952719607</v>
      </c>
      <c r="X207" s="23">
        <f t="shared" si="8"/>
        <v>1.465942175</v>
      </c>
      <c r="Y207" s="23">
        <f t="shared" si="9"/>
        <v>1</v>
      </c>
      <c r="Z207" s="23">
        <f t="shared" si="10"/>
        <v>1.01013164</v>
      </c>
      <c r="AA207" s="24">
        <f t="shared" si="11"/>
        <v>3</v>
      </c>
      <c r="AB207" s="26">
        <f t="shared" si="72"/>
        <v>2</v>
      </c>
      <c r="AC207" s="26" t="str">
        <f t="shared" si="40"/>
        <v/>
      </c>
      <c r="AD207" s="26" t="str">
        <f t="shared" si="41"/>
        <v/>
      </c>
      <c r="AE207" s="26" t="str">
        <f t="shared" si="71"/>
        <v>			@SUBCONFIG[] { %cost = 3 }</v>
      </c>
      <c r="AF207" s="26"/>
      <c r="AG207" s="26"/>
    </row>
    <row r="208" ht="15.75" customHeight="1">
      <c r="A208" s="9" t="s">
        <v>300</v>
      </c>
      <c r="B208" s="9" t="s">
        <v>288</v>
      </c>
      <c r="C208" s="8">
        <f t="shared" si="1"/>
        <v>207</v>
      </c>
      <c r="D208" s="7">
        <v>1964.0</v>
      </c>
      <c r="E208" s="7"/>
      <c r="F208" s="7" t="b">
        <v>1</v>
      </c>
      <c r="G208" s="7" t="b">
        <v>0</v>
      </c>
      <c r="H208" s="7" t="b">
        <v>0</v>
      </c>
      <c r="I208" s="7" t="b">
        <v>0</v>
      </c>
      <c r="J208" s="9" t="b">
        <v>0</v>
      </c>
      <c r="K208" s="9">
        <v>1105.0</v>
      </c>
      <c r="L208" s="9">
        <v>1219.2</v>
      </c>
      <c r="M208" s="9">
        <v>328.9</v>
      </c>
      <c r="N208" s="9">
        <v>5.48</v>
      </c>
      <c r="O208" s="7">
        <v>0.994</v>
      </c>
      <c r="P208" s="7">
        <v>0.994</v>
      </c>
      <c r="Q208" s="10">
        <f t="shared" si="2"/>
        <v>112.5102265</v>
      </c>
      <c r="R208" s="11">
        <f t="shared" si="3"/>
        <v>0.4913057743</v>
      </c>
      <c r="S208" s="12">
        <f t="shared" si="4"/>
        <v>4</v>
      </c>
      <c r="T208" s="8">
        <f t="shared" si="66"/>
        <v>599</v>
      </c>
      <c r="U208" s="13" t="str">
        <f>T208/vlookup(A208,Max!$A$2:$AP$700,column(Max!$AP$2),false)</f>
        <v>#N/A</v>
      </c>
      <c r="V208" s="8">
        <f t="shared" si="6"/>
        <v>330.3822918</v>
      </c>
      <c r="W208" s="14">
        <f t="shared" si="7"/>
        <v>1.223434854</v>
      </c>
      <c r="X208" s="14">
        <f t="shared" si="8"/>
        <v>1.465942175</v>
      </c>
      <c r="Y208" s="14">
        <f t="shared" si="9"/>
        <v>1</v>
      </c>
      <c r="Z208" s="14">
        <f t="shared" si="10"/>
        <v>1.01013164</v>
      </c>
      <c r="AA208" s="27">
        <f t="shared" si="11"/>
        <v>207</v>
      </c>
      <c r="AB208" s="15">
        <f t="shared" si="72"/>
        <v>2</v>
      </c>
      <c r="AC208" s="15" t="str">
        <f t="shared" si="40"/>
        <v/>
      </c>
      <c r="AD208" s="15" t="str">
        <f t="shared" si="41"/>
        <v/>
      </c>
      <c r="AE208" s="15" t="str">
        <f>if(AB208=2,if(AF202&lt;&gt;AF208,char(9)&amp;char(9)&amp;"@CONFIG["&amp;AF208&amp;"]"&amp;char(10)&amp;char(9)&amp;char(9)&amp;"{"&amp;char(10),"")&amp;char(9)&amp;char(9)&amp;char(9)&amp;"@SUBCONFIG["&amp;AG208&amp;"] { %cost = "&amp;AA208&amp;" }"&amp;if(AF226&lt;&gt;AF208,char(10)&amp;char(9)&amp;char(9)&amp;"}",""),"")</f>
        <v>			@SUBCONFIG[] { %cost = 207 }</v>
      </c>
      <c r="AF208" s="15"/>
      <c r="AG208" s="15"/>
    </row>
    <row r="209" ht="15.75" customHeight="1">
      <c r="A209" s="18" t="s">
        <v>301</v>
      </c>
      <c r="B209" s="16" t="s">
        <v>288</v>
      </c>
      <c r="C209" s="17">
        <f t="shared" si="1"/>
        <v>-16</v>
      </c>
      <c r="D209" s="16">
        <v>1964.0</v>
      </c>
      <c r="E209" s="16"/>
      <c r="F209" s="16" t="b">
        <v>1</v>
      </c>
      <c r="G209" s="16" t="b">
        <v>0</v>
      </c>
      <c r="H209" s="16" t="b">
        <v>0</v>
      </c>
      <c r="I209" s="16" t="b">
        <v>0</v>
      </c>
      <c r="J209" s="18" t="b">
        <v>0</v>
      </c>
      <c r="K209" s="18">
        <v>755.0</v>
      </c>
      <c r="L209" s="18">
        <v>913.5</v>
      </c>
      <c r="M209" s="18">
        <v>290.1</v>
      </c>
      <c r="N209" s="16">
        <v>5.48</v>
      </c>
      <c r="O209" s="16">
        <v>0.994</v>
      </c>
      <c r="P209" s="16">
        <v>0.994</v>
      </c>
      <c r="Q209" s="19">
        <f t="shared" si="2"/>
        <v>123.3789083</v>
      </c>
      <c r="R209" s="20">
        <f t="shared" si="3"/>
        <v>0.4116037219</v>
      </c>
      <c r="S209" s="21">
        <f t="shared" si="4"/>
        <v>4</v>
      </c>
      <c r="T209" s="17">
        <f t="shared" si="66"/>
        <v>376</v>
      </c>
      <c r="U209" s="22" t="str">
        <f>T209/vlookup(A209,Max!$A$2:$AP$700,column(Max!$AP$2),false)</f>
        <v>#N/A</v>
      </c>
      <c r="V209" s="17">
        <f t="shared" si="6"/>
        <v>261.2894661</v>
      </c>
      <c r="W209" s="23">
        <f t="shared" si="7"/>
        <v>0.9729209559</v>
      </c>
      <c r="X209" s="23">
        <f t="shared" si="8"/>
        <v>1.465942175</v>
      </c>
      <c r="Y209" s="23">
        <f t="shared" si="9"/>
        <v>1</v>
      </c>
      <c r="Z209" s="23">
        <f t="shared" si="10"/>
        <v>1.01013164</v>
      </c>
      <c r="AA209" s="24">
        <f t="shared" si="11"/>
        <v>-16</v>
      </c>
      <c r="AB209" s="26">
        <f t="shared" si="72"/>
        <v>1</v>
      </c>
      <c r="AC209" s="26" t="str">
        <f t="shared" si="40"/>
        <v/>
      </c>
      <c r="AD209" s="26" t="str">
        <f t="shared" si="41"/>
        <v>$LR87-AJ-7-Kero$: -16,</v>
      </c>
      <c r="AE209" s="26" t="str">
        <f t="shared" ref="AE209:AE210" si="73">if(AB209=2,if(AF203&lt;&gt;AF209,char(9)&amp;char(9)&amp;"@CONFIG["&amp;AF209&amp;"]"&amp;char(10)&amp;char(9)&amp;char(9)&amp;"{"&amp;char(10),"")&amp;char(9)&amp;char(9)&amp;char(9)&amp;"@SUBCONFIG["&amp;AG209&amp;"] { %cost = "&amp;AA209&amp;" }"&amp;if(AF232&lt;&gt;AF209,char(10)&amp;char(9)&amp;char(9)&amp;"}",""),"")</f>
        <v/>
      </c>
      <c r="AF209" s="26" t="str">
        <f>if(AB209=2,left(A209,find("$",A209)-1),"")</f>
        <v/>
      </c>
      <c r="AG209" s="26"/>
    </row>
    <row r="210" ht="15.75" customHeight="1">
      <c r="A210" s="9" t="s">
        <v>302</v>
      </c>
      <c r="B210" s="9" t="s">
        <v>288</v>
      </c>
      <c r="C210" s="8">
        <f t="shared" si="1"/>
        <v>15</v>
      </c>
      <c r="D210" s="7">
        <v>1964.0</v>
      </c>
      <c r="E210" s="7"/>
      <c r="F210" s="7" t="b">
        <v>1</v>
      </c>
      <c r="G210" s="7" t="b">
        <v>0</v>
      </c>
      <c r="H210" s="7" t="b">
        <v>0</v>
      </c>
      <c r="I210" s="7" t="b">
        <v>0</v>
      </c>
      <c r="J210" s="9" t="b">
        <v>0</v>
      </c>
      <c r="K210" s="28">
        <f>755*1.0631</f>
        <v>802.6405</v>
      </c>
      <c r="L210" s="9">
        <v>952.3</v>
      </c>
      <c r="M210" s="9">
        <v>303.5</v>
      </c>
      <c r="N210" s="7">
        <v>5.48</v>
      </c>
      <c r="O210" s="7">
        <v>0.994</v>
      </c>
      <c r="P210" s="7">
        <v>0.994</v>
      </c>
      <c r="Q210" s="10">
        <f t="shared" si="2"/>
        <v>120.9851418</v>
      </c>
      <c r="R210" s="11">
        <f t="shared" si="3"/>
        <v>0.4273863278</v>
      </c>
      <c r="S210" s="12">
        <f t="shared" si="4"/>
        <v>4</v>
      </c>
      <c r="T210" s="8">
        <f t="shared" si="66"/>
        <v>407</v>
      </c>
      <c r="U210" s="13" t="str">
        <f>T210/vlookup(A210,Max!$A$2:$AP$700,column(Max!$AP$2),false)</f>
        <v>#N/A</v>
      </c>
      <c r="V210" s="8">
        <f t="shared" si="6"/>
        <v>271.3122578</v>
      </c>
      <c r="W210" s="14">
        <f t="shared" si="7"/>
        <v>1.013863377</v>
      </c>
      <c r="X210" s="14">
        <f t="shared" si="8"/>
        <v>1.465942175</v>
      </c>
      <c r="Y210" s="14">
        <f t="shared" si="9"/>
        <v>1</v>
      </c>
      <c r="Z210" s="14">
        <f t="shared" si="10"/>
        <v>1.01013164</v>
      </c>
      <c r="AA210" s="27">
        <f t="shared" si="11"/>
        <v>15</v>
      </c>
      <c r="AB210" s="29">
        <v>2.0</v>
      </c>
      <c r="AC210" s="15" t="str">
        <f t="shared" si="40"/>
        <v/>
      </c>
      <c r="AD210" s="15" t="str">
        <f t="shared" si="41"/>
        <v/>
      </c>
      <c r="AE210" s="15" t="str">
        <f t="shared" si="73"/>
        <v>			@SUBCONFIG[] { %cost = 15 }</v>
      </c>
      <c r="AF210" s="15"/>
      <c r="AG210" s="15"/>
    </row>
    <row r="211" ht="15.75" customHeight="1">
      <c r="A211" s="18" t="s">
        <v>303</v>
      </c>
      <c r="B211" s="18" t="s">
        <v>288</v>
      </c>
      <c r="C211" s="17">
        <f t="shared" si="1"/>
        <v>187</v>
      </c>
      <c r="D211" s="16">
        <v>1964.0</v>
      </c>
      <c r="E211" s="16"/>
      <c r="F211" s="16" t="b">
        <v>1</v>
      </c>
      <c r="G211" s="16" t="b">
        <v>0</v>
      </c>
      <c r="H211" s="16" t="b">
        <v>0</v>
      </c>
      <c r="I211" s="16" t="b">
        <v>0</v>
      </c>
      <c r="J211" s="18" t="b">
        <v>0</v>
      </c>
      <c r="K211" s="32">
        <f>755*1.4954</f>
        <v>1129.027</v>
      </c>
      <c r="L211" s="18">
        <v>998.3</v>
      </c>
      <c r="M211" s="18">
        <v>322.5</v>
      </c>
      <c r="N211" s="16">
        <v>5.48</v>
      </c>
      <c r="O211" s="16">
        <v>0.994</v>
      </c>
      <c r="P211" s="16">
        <v>0.994</v>
      </c>
      <c r="Q211" s="19">
        <f t="shared" si="2"/>
        <v>90.16460124</v>
      </c>
      <c r="R211" s="20">
        <f t="shared" si="3"/>
        <v>0.5799859762</v>
      </c>
      <c r="S211" s="21">
        <f t="shared" si="4"/>
        <v>4</v>
      </c>
      <c r="T211" s="17">
        <f t="shared" si="66"/>
        <v>579</v>
      </c>
      <c r="U211" s="22" t="str">
        <f>T211/vlookup(A211,Max!$A$2:$AP$700,column(Max!$AP$2),false)</f>
        <v>#N/A</v>
      </c>
      <c r="V211" s="17">
        <f t="shared" si="6"/>
        <v>334.7965713</v>
      </c>
      <c r="W211" s="23">
        <f t="shared" si="7"/>
        <v>1.168229579</v>
      </c>
      <c r="X211" s="23">
        <f t="shared" si="8"/>
        <v>1.465942175</v>
      </c>
      <c r="Y211" s="23">
        <f t="shared" si="9"/>
        <v>1</v>
      </c>
      <c r="Z211" s="23">
        <f t="shared" si="10"/>
        <v>1.01013164</v>
      </c>
      <c r="AA211" s="24">
        <f t="shared" si="11"/>
        <v>187</v>
      </c>
      <c r="AB211" s="25">
        <v>2.0</v>
      </c>
      <c r="AC211" s="26" t="str">
        <f t="shared" si="40"/>
        <v/>
      </c>
      <c r="AD211" s="26" t="str">
        <f t="shared" si="41"/>
        <v/>
      </c>
      <c r="AE211" s="26" t="str">
        <f>if(AB211=2,if(AF196&lt;&gt;AF211,char(9)&amp;char(9)&amp;"@CONFIG["&amp;AF211&amp;"]"&amp;char(10)&amp;char(9)&amp;char(9)&amp;"{"&amp;char(10),"")&amp;char(9)&amp;char(9)&amp;char(9)&amp;"@SUBCONFIG["&amp;AG211&amp;"] { %cost = "&amp;AA211&amp;" }"&amp;if(AF234&lt;&gt;AF211,char(10)&amp;char(9)&amp;char(9)&amp;"}",""),"")</f>
        <v>			@SUBCONFIG[] { %cost = 187 }</v>
      </c>
      <c r="AF211" s="26"/>
      <c r="AG211" s="26"/>
    </row>
    <row r="212" ht="15.75" customHeight="1">
      <c r="A212" s="7" t="s">
        <v>304</v>
      </c>
      <c r="B212" s="7" t="s">
        <v>288</v>
      </c>
      <c r="C212" s="8">
        <f t="shared" si="1"/>
        <v>-34</v>
      </c>
      <c r="D212" s="7">
        <v>1965.0</v>
      </c>
      <c r="E212" s="7"/>
      <c r="F212" s="7" t="b">
        <v>1</v>
      </c>
      <c r="G212" s="7" t="b">
        <v>0</v>
      </c>
      <c r="H212" s="7" t="b">
        <v>0</v>
      </c>
      <c r="I212" s="7" t="b">
        <v>0</v>
      </c>
      <c r="J212" s="9" t="b">
        <v>0</v>
      </c>
      <c r="K212" s="7">
        <f>839*0.8498212157</f>
        <v>713</v>
      </c>
      <c r="L212" s="9">
        <v>1053.9</v>
      </c>
      <c r="M212" s="9">
        <v>285.2</v>
      </c>
      <c r="N212" s="9">
        <v>5.48</v>
      </c>
      <c r="O212" s="7">
        <v>0.99321</v>
      </c>
      <c r="P212" s="7">
        <v>0.99321</v>
      </c>
      <c r="Q212" s="10">
        <f t="shared" si="2"/>
        <v>150.7263554</v>
      </c>
      <c r="R212" s="11">
        <f t="shared" si="3"/>
        <v>0.3396906727</v>
      </c>
      <c r="S212" s="12">
        <f t="shared" si="4"/>
        <v>4</v>
      </c>
      <c r="T212" s="8">
        <f t="shared" si="66"/>
        <v>358</v>
      </c>
      <c r="U212" s="13">
        <f>T212/vlookup(A212,Max!$A$2:$AP$700,column(Max!$AP$2),false)</f>
        <v>0.5774193548</v>
      </c>
      <c r="V212" s="8">
        <f t="shared" si="6"/>
        <v>252.2540783</v>
      </c>
      <c r="W212" s="14">
        <f t="shared" si="7"/>
        <v>0.961293477</v>
      </c>
      <c r="X212" s="14">
        <f t="shared" si="8"/>
        <v>1.465942175</v>
      </c>
      <c r="Y212" s="14">
        <f t="shared" si="9"/>
        <v>1</v>
      </c>
      <c r="Z212" s="14">
        <f t="shared" si="10"/>
        <v>1.008125784</v>
      </c>
      <c r="AA212" s="27">
        <f t="shared" si="11"/>
        <v>-34</v>
      </c>
      <c r="AB212" s="15">
        <f>if(iserror(find("$",A212)),1,2)</f>
        <v>1</v>
      </c>
      <c r="AC212" s="15" t="str">
        <f t="shared" si="40"/>
        <v/>
      </c>
      <c r="AD212" s="15" t="str">
        <f t="shared" si="41"/>
        <v>$LR87-AJ-9$: -34,</v>
      </c>
      <c r="AE212" s="15" t="str">
        <f>if(AB212=2,if(AF206&lt;&gt;AF212,char(9)&amp;char(9)&amp;"@CONFIG["&amp;AF212&amp;"]"&amp;char(10)&amp;char(9)&amp;char(9)&amp;"{"&amp;char(10),"")&amp;char(9)&amp;char(9)&amp;char(9)&amp;"@SUBCONFIG["&amp;AG212&amp;"] { %cost = "&amp;AA212&amp;" }"&amp;if(AF218&lt;&gt;AF212,char(10)&amp;char(9)&amp;char(9)&amp;"}",""),"")</f>
        <v/>
      </c>
      <c r="AF212" s="15" t="str">
        <f>if(AB212=2,left(A212,find("$",A212)-1),"")</f>
        <v/>
      </c>
      <c r="AG212" s="15" t="str">
        <f>if(AB212=2,mid(A212,find("$",A212)+1,len(A212)),"")</f>
        <v/>
      </c>
    </row>
    <row r="213" ht="15.75" customHeight="1">
      <c r="A213" s="18" t="s">
        <v>305</v>
      </c>
      <c r="B213" s="18" t="s">
        <v>288</v>
      </c>
      <c r="C213" s="17">
        <f t="shared" si="1"/>
        <v>-7</v>
      </c>
      <c r="D213" s="16">
        <v>1965.0</v>
      </c>
      <c r="E213" s="16"/>
      <c r="F213" s="16" t="b">
        <v>1</v>
      </c>
      <c r="G213" s="16" t="b">
        <v>0</v>
      </c>
      <c r="H213" s="16" t="b">
        <v>0</v>
      </c>
      <c r="I213" s="16" t="b">
        <v>0</v>
      </c>
      <c r="J213" s="18" t="b">
        <v>0</v>
      </c>
      <c r="K213" s="18">
        <v>758.0</v>
      </c>
      <c r="L213" s="18">
        <v>1102.7</v>
      </c>
      <c r="M213" s="18">
        <v>298.4</v>
      </c>
      <c r="N213" s="18">
        <v>5.48</v>
      </c>
      <c r="O213" s="16">
        <v>0.99321</v>
      </c>
      <c r="P213" s="16">
        <v>0.99321</v>
      </c>
      <c r="Q213" s="19">
        <f t="shared" si="2"/>
        <v>148.3431484</v>
      </c>
      <c r="R213" s="20">
        <f t="shared" si="3"/>
        <v>0.3491430126</v>
      </c>
      <c r="S213" s="21">
        <f t="shared" si="4"/>
        <v>4</v>
      </c>
      <c r="T213" s="17">
        <f t="shared" si="66"/>
        <v>385</v>
      </c>
      <c r="U213" s="22" t="str">
        <f>T213/vlookup(A213,Max!$A$2:$AP$700,column(Max!$AP$2),false)</f>
        <v>#N/A</v>
      </c>
      <c r="V213" s="17">
        <f t="shared" si="6"/>
        <v>261.9275109</v>
      </c>
      <c r="W213" s="23">
        <f t="shared" si="7"/>
        <v>0.9952719607</v>
      </c>
      <c r="X213" s="23">
        <f t="shared" si="8"/>
        <v>1.465942175</v>
      </c>
      <c r="Y213" s="23">
        <f t="shared" si="9"/>
        <v>1</v>
      </c>
      <c r="Z213" s="23">
        <f t="shared" si="10"/>
        <v>1.008125784</v>
      </c>
      <c r="AA213" s="24">
        <f t="shared" si="11"/>
        <v>-7</v>
      </c>
      <c r="AB213" s="25">
        <v>2.0</v>
      </c>
      <c r="AC213" s="26" t="str">
        <f t="shared" si="40"/>
        <v/>
      </c>
      <c r="AD213" s="26" t="str">
        <f t="shared" si="41"/>
        <v/>
      </c>
      <c r="AE213" s="26" t="str">
        <f>if(AB213=2,if(AF207&lt;&gt;AF213,char(9)&amp;char(9)&amp;"@CONFIG["&amp;AF213&amp;"]"&amp;char(10)&amp;char(9)&amp;char(9)&amp;"{"&amp;char(10),"")&amp;char(9)&amp;char(9)&amp;char(9)&amp;"@SUBCONFIG["&amp;AG213&amp;"] { %cost = "&amp;AA213&amp;" }"&amp;if(AF226&lt;&gt;AF213,char(10)&amp;char(9)&amp;char(9)&amp;"}",""),"")</f>
        <v>			@SUBCONFIG[] { %cost = -7 }</v>
      </c>
      <c r="AF213" s="26"/>
      <c r="AG213" s="26"/>
    </row>
    <row r="214" ht="15.75" customHeight="1">
      <c r="A214" s="9" t="s">
        <v>306</v>
      </c>
      <c r="B214" s="9" t="s">
        <v>288</v>
      </c>
      <c r="C214" s="8">
        <f t="shared" si="1"/>
        <v>192</v>
      </c>
      <c r="D214" s="7">
        <v>1965.0</v>
      </c>
      <c r="E214" s="7"/>
      <c r="F214" s="7" t="b">
        <v>1</v>
      </c>
      <c r="G214" s="7" t="b">
        <v>0</v>
      </c>
      <c r="H214" s="7" t="b">
        <v>0</v>
      </c>
      <c r="I214" s="7" t="b">
        <v>0</v>
      </c>
      <c r="J214" s="9" t="b">
        <v>0</v>
      </c>
      <c r="K214" s="9">
        <v>1066.0</v>
      </c>
      <c r="L214" s="9">
        <v>1219.2</v>
      </c>
      <c r="M214" s="9">
        <v>328.9</v>
      </c>
      <c r="N214" s="9">
        <v>5.48</v>
      </c>
      <c r="O214" s="7">
        <v>0.99321</v>
      </c>
      <c r="P214" s="7">
        <v>0.99321</v>
      </c>
      <c r="Q214" s="10">
        <f t="shared" si="2"/>
        <v>116.6264543</v>
      </c>
      <c r="R214" s="11">
        <f t="shared" si="3"/>
        <v>0.4790026247</v>
      </c>
      <c r="S214" s="12">
        <f t="shared" si="4"/>
        <v>4</v>
      </c>
      <c r="T214" s="8">
        <f t="shared" si="66"/>
        <v>584</v>
      </c>
      <c r="U214" s="13" t="str">
        <f>T214/vlookup(A214,Max!$A$2:$AP$700,column(Max!$AP$2),false)</f>
        <v>#N/A</v>
      </c>
      <c r="V214" s="8">
        <f t="shared" si="6"/>
        <v>323.1397315</v>
      </c>
      <c r="W214" s="14">
        <f t="shared" si="7"/>
        <v>1.223434854</v>
      </c>
      <c r="X214" s="14">
        <f t="shared" si="8"/>
        <v>1.465942175</v>
      </c>
      <c r="Y214" s="14">
        <f t="shared" si="9"/>
        <v>1</v>
      </c>
      <c r="Z214" s="14">
        <f t="shared" si="10"/>
        <v>1.008125784</v>
      </c>
      <c r="AA214" s="27">
        <f t="shared" si="11"/>
        <v>192</v>
      </c>
      <c r="AB214" s="15">
        <f t="shared" ref="AB214:AB218" si="74">if(iserror(find("$",A214)),1,2)</f>
        <v>2</v>
      </c>
      <c r="AC214" s="15" t="str">
        <f t="shared" si="40"/>
        <v/>
      </c>
      <c r="AD214" s="15" t="str">
        <f t="shared" si="41"/>
        <v/>
      </c>
      <c r="AE214" s="15" t="str">
        <f>if(AB214=2,if(AF208&lt;&gt;AF214,char(9)&amp;char(9)&amp;"@CONFIG["&amp;AF214&amp;"]"&amp;char(10)&amp;char(9)&amp;char(9)&amp;"{"&amp;char(10),"")&amp;char(9)&amp;char(9)&amp;char(9)&amp;"@SUBCONFIG["&amp;AG214&amp;"] { %cost = "&amp;AA214&amp;" }"&amp;if(AF232&lt;&gt;AF214,char(10)&amp;char(9)&amp;char(9)&amp;"}",""),"")</f>
        <v>			@SUBCONFIG[] { %cost = 192 }</v>
      </c>
      <c r="AF214" s="15"/>
      <c r="AG214" s="15"/>
    </row>
    <row r="215" ht="15.75" customHeight="1">
      <c r="A215" s="18" t="s">
        <v>307</v>
      </c>
      <c r="B215" s="16" t="s">
        <v>288</v>
      </c>
      <c r="C215" s="17">
        <f t="shared" si="1"/>
        <v>-24</v>
      </c>
      <c r="D215" s="16">
        <v>1965.0</v>
      </c>
      <c r="E215" s="16"/>
      <c r="F215" s="16" t="b">
        <v>1</v>
      </c>
      <c r="G215" s="16" t="b">
        <v>0</v>
      </c>
      <c r="H215" s="16" t="b">
        <v>0</v>
      </c>
      <c r="I215" s="16" t="b">
        <v>0</v>
      </c>
      <c r="J215" s="18" t="b">
        <v>0</v>
      </c>
      <c r="K215" s="18">
        <v>729.0</v>
      </c>
      <c r="L215" s="18">
        <v>913.5</v>
      </c>
      <c r="M215" s="18">
        <v>290.1</v>
      </c>
      <c r="N215" s="18">
        <v>5.48</v>
      </c>
      <c r="O215" s="16">
        <v>0.99321</v>
      </c>
      <c r="P215" s="16">
        <v>0.99321</v>
      </c>
      <c r="Q215" s="19">
        <f t="shared" si="2"/>
        <v>127.7792535</v>
      </c>
      <c r="R215" s="20">
        <f t="shared" si="3"/>
        <v>0.4028461959</v>
      </c>
      <c r="S215" s="21">
        <f t="shared" si="4"/>
        <v>4</v>
      </c>
      <c r="T215" s="17">
        <f t="shared" si="66"/>
        <v>368</v>
      </c>
      <c r="U215" s="22" t="str">
        <f>T215/vlookup(A215,Max!$A$2:$AP$700,column(Max!$AP$2),false)</f>
        <v>#N/A</v>
      </c>
      <c r="V215" s="17">
        <f t="shared" si="6"/>
        <v>255.7191621</v>
      </c>
      <c r="W215" s="23">
        <f t="shared" si="7"/>
        <v>0.9729209559</v>
      </c>
      <c r="X215" s="23">
        <f t="shared" si="8"/>
        <v>1.465942175</v>
      </c>
      <c r="Y215" s="23">
        <f t="shared" si="9"/>
        <v>1</v>
      </c>
      <c r="Z215" s="23">
        <f t="shared" si="10"/>
        <v>1.008125784</v>
      </c>
      <c r="AA215" s="24">
        <f t="shared" si="11"/>
        <v>-24</v>
      </c>
      <c r="AB215" s="26">
        <f t="shared" si="74"/>
        <v>1</v>
      </c>
      <c r="AC215" s="26" t="str">
        <f t="shared" si="40"/>
        <v/>
      </c>
      <c r="AD215" s="26" t="str">
        <f t="shared" si="41"/>
        <v>$LR87-AJ-9-Kero$: -24,</v>
      </c>
      <c r="AE215" s="26"/>
      <c r="AF215" s="26"/>
      <c r="AG215" s="26"/>
    </row>
    <row r="216" ht="15.75" customHeight="1">
      <c r="A216" s="9" t="s">
        <v>308</v>
      </c>
      <c r="B216" s="9" t="s">
        <v>288</v>
      </c>
      <c r="C216" s="8">
        <f t="shared" si="1"/>
        <v>6</v>
      </c>
      <c r="D216" s="7">
        <v>1965.0</v>
      </c>
      <c r="E216" s="7"/>
      <c r="F216" s="7" t="b">
        <v>1</v>
      </c>
      <c r="G216" s="7" t="b">
        <v>0</v>
      </c>
      <c r="H216" s="7" t="b">
        <v>0</v>
      </c>
      <c r="I216" s="7" t="b">
        <v>0</v>
      </c>
      <c r="J216" s="9" t="b">
        <v>0</v>
      </c>
      <c r="K216" s="9">
        <v>774.0</v>
      </c>
      <c r="L216" s="9">
        <v>952.3</v>
      </c>
      <c r="M216" s="9">
        <v>303.5</v>
      </c>
      <c r="N216" s="9">
        <v>5.48</v>
      </c>
      <c r="O216" s="7">
        <v>0.99321</v>
      </c>
      <c r="P216" s="7">
        <v>0.99321</v>
      </c>
      <c r="Q216" s="10">
        <f t="shared" si="2"/>
        <v>125.4619828</v>
      </c>
      <c r="R216" s="11">
        <f t="shared" si="3"/>
        <v>0.4179355245</v>
      </c>
      <c r="S216" s="12">
        <f t="shared" si="4"/>
        <v>4</v>
      </c>
      <c r="T216" s="8">
        <f t="shared" si="66"/>
        <v>398</v>
      </c>
      <c r="U216" s="13" t="str">
        <f>T216/vlookup(A216,Max!$A$2:$AP$700,column(Max!$AP$2),false)</f>
        <v>#N/A</v>
      </c>
      <c r="V216" s="8">
        <f t="shared" si="6"/>
        <v>265.3145009</v>
      </c>
      <c r="W216" s="14">
        <f t="shared" si="7"/>
        <v>1.013863377</v>
      </c>
      <c r="X216" s="14">
        <f t="shared" si="8"/>
        <v>1.465942175</v>
      </c>
      <c r="Y216" s="14">
        <f t="shared" si="9"/>
        <v>1</v>
      </c>
      <c r="Z216" s="14">
        <f t="shared" si="10"/>
        <v>1.008125784</v>
      </c>
      <c r="AA216" s="27">
        <f t="shared" si="11"/>
        <v>6</v>
      </c>
      <c r="AB216" s="15">
        <f t="shared" si="74"/>
        <v>2</v>
      </c>
      <c r="AC216" s="15" t="str">
        <f t="shared" si="40"/>
        <v/>
      </c>
      <c r="AD216" s="15" t="str">
        <f t="shared" si="41"/>
        <v/>
      </c>
      <c r="AE216" s="15"/>
      <c r="AF216" s="15"/>
      <c r="AG216" s="15"/>
    </row>
    <row r="217" ht="15.75" customHeight="1">
      <c r="A217" s="18" t="s">
        <v>309</v>
      </c>
      <c r="B217" s="18" t="s">
        <v>288</v>
      </c>
      <c r="C217" s="17">
        <f t="shared" si="1"/>
        <v>173</v>
      </c>
      <c r="D217" s="16">
        <v>1965.0</v>
      </c>
      <c r="E217" s="16"/>
      <c r="F217" s="16" t="b">
        <v>1</v>
      </c>
      <c r="G217" s="16" t="b">
        <v>0</v>
      </c>
      <c r="H217" s="16" t="b">
        <v>0</v>
      </c>
      <c r="I217" s="16" t="b">
        <v>0</v>
      </c>
      <c r="J217" s="18" t="b">
        <v>0</v>
      </c>
      <c r="K217" s="18">
        <v>1089.0</v>
      </c>
      <c r="L217" s="18">
        <v>998.3</v>
      </c>
      <c r="M217" s="18">
        <v>322.5</v>
      </c>
      <c r="N217" s="18">
        <v>5.48</v>
      </c>
      <c r="O217" s="16">
        <v>0.99321</v>
      </c>
      <c r="P217" s="16">
        <v>0.99321</v>
      </c>
      <c r="Q217" s="19">
        <f t="shared" si="2"/>
        <v>93.47866781</v>
      </c>
      <c r="R217" s="20">
        <f t="shared" si="3"/>
        <v>0.5659621356</v>
      </c>
      <c r="S217" s="21">
        <f t="shared" si="4"/>
        <v>4</v>
      </c>
      <c r="T217" s="17">
        <f t="shared" si="66"/>
        <v>565</v>
      </c>
      <c r="U217" s="22" t="str">
        <f>T217/vlookup(A217,Max!$A$2:$AP$700,column(Max!$AP$2),false)</f>
        <v>#N/A</v>
      </c>
      <c r="V217" s="17">
        <f t="shared" si="6"/>
        <v>327.4227712</v>
      </c>
      <c r="W217" s="23">
        <f t="shared" si="7"/>
        <v>1.168229579</v>
      </c>
      <c r="X217" s="23">
        <f t="shared" si="8"/>
        <v>1.465942175</v>
      </c>
      <c r="Y217" s="23">
        <f t="shared" si="9"/>
        <v>1</v>
      </c>
      <c r="Z217" s="23">
        <f t="shared" si="10"/>
        <v>1.008125784</v>
      </c>
      <c r="AA217" s="24">
        <f t="shared" si="11"/>
        <v>173</v>
      </c>
      <c r="AB217" s="26">
        <f t="shared" si="74"/>
        <v>2</v>
      </c>
      <c r="AC217" s="26" t="str">
        <f t="shared" si="40"/>
        <v/>
      </c>
      <c r="AD217" s="26" t="str">
        <f t="shared" si="41"/>
        <v/>
      </c>
      <c r="AE217" s="26"/>
      <c r="AF217" s="26"/>
      <c r="AG217" s="26"/>
    </row>
    <row r="218" ht="15.75" customHeight="1">
      <c r="A218" s="7" t="s">
        <v>310</v>
      </c>
      <c r="B218" s="7" t="s">
        <v>288</v>
      </c>
      <c r="C218" s="8">
        <f t="shared" si="1"/>
        <v>2</v>
      </c>
      <c r="D218" s="7">
        <v>1970.0</v>
      </c>
      <c r="E218" s="7"/>
      <c r="F218" s="7" t="b">
        <v>1</v>
      </c>
      <c r="G218" s="7" t="b">
        <v>0</v>
      </c>
      <c r="H218" s="7" t="b">
        <v>0</v>
      </c>
      <c r="I218" s="7" t="b">
        <v>0</v>
      </c>
      <c r="J218" s="9" t="b">
        <v>0</v>
      </c>
      <c r="K218" s="7">
        <v>758.0</v>
      </c>
      <c r="L218" s="7">
        <v>1170.0</v>
      </c>
      <c r="M218" s="7">
        <v>302.0</v>
      </c>
      <c r="N218" s="9">
        <v>5.58</v>
      </c>
      <c r="O218" s="7">
        <v>0.995778</v>
      </c>
      <c r="P218" s="7">
        <v>0.995778</v>
      </c>
      <c r="Q218" s="10">
        <f t="shared" si="2"/>
        <v>157.3968292</v>
      </c>
      <c r="R218" s="11">
        <f t="shared" si="3"/>
        <v>0.3367521368</v>
      </c>
      <c r="S218" s="12">
        <f t="shared" si="4"/>
        <v>4</v>
      </c>
      <c r="T218" s="8">
        <f t="shared" si="66"/>
        <v>394</v>
      </c>
      <c r="U218" s="13">
        <f>T218/vlookup(A218,Max!$A$2:$AP$700,column(Max!$AP$2),false)</f>
        <v>0.7576923077</v>
      </c>
      <c r="V218" s="8">
        <f t="shared" si="6"/>
        <v>261.9275109</v>
      </c>
      <c r="W218" s="14">
        <f t="shared" si="7"/>
        <v>1.007095326</v>
      </c>
      <c r="X218" s="14">
        <f t="shared" si="8"/>
        <v>1.473916674</v>
      </c>
      <c r="Y218" s="14">
        <f t="shared" si="9"/>
        <v>1</v>
      </c>
      <c r="Z218" s="14">
        <f t="shared" si="10"/>
        <v>1.01465484</v>
      </c>
      <c r="AA218" s="27">
        <f t="shared" si="11"/>
        <v>2</v>
      </c>
      <c r="AB218" s="15">
        <f t="shared" si="74"/>
        <v>1</v>
      </c>
      <c r="AC218" s="15" t="str">
        <f t="shared" si="40"/>
        <v/>
      </c>
      <c r="AD218" s="15" t="str">
        <f t="shared" si="41"/>
        <v>$LR87-AJ-11$: 2,</v>
      </c>
      <c r="AE218" s="15" t="str">
        <f>if(AB218=2,if(AF212&lt;&gt;AF218,char(9)&amp;char(9)&amp;"@CONFIG["&amp;AF218&amp;"]"&amp;char(10)&amp;char(9)&amp;char(9)&amp;"{"&amp;char(10),"")&amp;char(9)&amp;char(9)&amp;char(9)&amp;"@SUBCONFIG["&amp;AG218&amp;"] { %cost = "&amp;AA218&amp;" }"&amp;if(AF226&lt;&gt;AF218,char(10)&amp;char(9)&amp;char(9)&amp;"}",""),"")</f>
        <v/>
      </c>
      <c r="AF218" s="15" t="str">
        <f>if(AB218=2,left(A218,find("$",A218)-1),"")</f>
        <v/>
      </c>
      <c r="AG218" s="15" t="str">
        <f>if(AB218=2,mid(A218,find("$",A218)+1,len(A218)),"")</f>
        <v/>
      </c>
    </row>
    <row r="219" ht="15.75" customHeight="1">
      <c r="A219" s="18" t="s">
        <v>311</v>
      </c>
      <c r="B219" s="18" t="s">
        <v>288</v>
      </c>
      <c r="C219" s="17">
        <f t="shared" si="1"/>
        <v>-26</v>
      </c>
      <c r="D219" s="16">
        <v>1970.0</v>
      </c>
      <c r="E219" s="16"/>
      <c r="F219" s="16" t="b">
        <v>1</v>
      </c>
      <c r="G219" s="16" t="b">
        <v>0</v>
      </c>
      <c r="H219" s="16" t="b">
        <v>0</v>
      </c>
      <c r="I219" s="16" t="b">
        <v>0</v>
      </c>
      <c r="J219" s="18" t="b">
        <v>0</v>
      </c>
      <c r="K219" s="18">
        <v>713.0</v>
      </c>
      <c r="L219" s="18">
        <v>1105.5</v>
      </c>
      <c r="M219" s="18">
        <v>288.9</v>
      </c>
      <c r="N219" s="18">
        <v>5.58</v>
      </c>
      <c r="O219" s="16">
        <v>0.995778</v>
      </c>
      <c r="P219" s="16">
        <v>0.995778</v>
      </c>
      <c r="Q219" s="19">
        <f t="shared" si="2"/>
        <v>158.1060687</v>
      </c>
      <c r="R219" s="20">
        <f t="shared" si="3"/>
        <v>0.3310719132</v>
      </c>
      <c r="S219" s="21">
        <f t="shared" si="4"/>
        <v>4</v>
      </c>
      <c r="T219" s="17">
        <f t="shared" si="66"/>
        <v>366</v>
      </c>
      <c r="U219" s="22" t="str">
        <f>T219/vlookup(A219,Max!$A$2:$AP$700,column(Max!$AP$2),false)</f>
        <v>#N/A</v>
      </c>
      <c r="V219" s="17">
        <f t="shared" si="6"/>
        <v>252.2540783</v>
      </c>
      <c r="W219" s="23">
        <f t="shared" si="7"/>
        <v>0.9699717786</v>
      </c>
      <c r="X219" s="23">
        <f t="shared" si="8"/>
        <v>1.473916674</v>
      </c>
      <c r="Y219" s="23">
        <f t="shared" si="9"/>
        <v>1</v>
      </c>
      <c r="Z219" s="23">
        <f t="shared" si="10"/>
        <v>1.01465484</v>
      </c>
      <c r="AA219" s="24">
        <f t="shared" si="11"/>
        <v>-26</v>
      </c>
      <c r="AB219" s="25">
        <v>2.0</v>
      </c>
      <c r="AC219" s="26" t="str">
        <f t="shared" si="40"/>
        <v/>
      </c>
      <c r="AD219" s="26" t="str">
        <f t="shared" si="41"/>
        <v/>
      </c>
      <c r="AE219" s="26" t="str">
        <f t="shared" ref="AE219:AE221" si="75">if(AB219=2,if(AF213&lt;&gt;AF219,char(9)&amp;char(9)&amp;"@CONFIG["&amp;AF219&amp;"]"&amp;char(10)&amp;char(9)&amp;char(9)&amp;"{"&amp;char(10),"")&amp;char(9)&amp;char(9)&amp;char(9)&amp;"@SUBCONFIG["&amp;AG219&amp;"] { %cost = "&amp;AA219&amp;" }"&amp;if(AF232&lt;&gt;AF219,char(10)&amp;char(9)&amp;char(9)&amp;"}",""),"")</f>
        <v>			@SUBCONFIG[] { %cost = -26 }</v>
      </c>
      <c r="AF219" s="26"/>
      <c r="AG219" s="26"/>
    </row>
    <row r="220" ht="15.75" customHeight="1">
      <c r="A220" s="9" t="s">
        <v>312</v>
      </c>
      <c r="B220" s="9" t="s">
        <v>288</v>
      </c>
      <c r="C220" s="8">
        <f t="shared" si="1"/>
        <v>-11</v>
      </c>
      <c r="D220" s="7">
        <v>1970.0</v>
      </c>
      <c r="E220" s="7"/>
      <c r="F220" s="7" t="b">
        <v>1</v>
      </c>
      <c r="G220" s="7" t="b">
        <v>0</v>
      </c>
      <c r="H220" s="7" t="b">
        <v>0</v>
      </c>
      <c r="I220" s="7" t="b">
        <v>0</v>
      </c>
      <c r="J220" s="9" t="b">
        <v>0</v>
      </c>
      <c r="K220" s="9">
        <v>733.0</v>
      </c>
      <c r="L220" s="9">
        <v>1139.1</v>
      </c>
      <c r="M220" s="9">
        <v>297.7</v>
      </c>
      <c r="N220" s="9">
        <v>5.58</v>
      </c>
      <c r="O220" s="7">
        <v>0.995778</v>
      </c>
      <c r="P220" s="7">
        <v>0.995778</v>
      </c>
      <c r="Q220" s="10">
        <f t="shared" si="2"/>
        <v>158.4664031</v>
      </c>
      <c r="R220" s="11">
        <f t="shared" si="3"/>
        <v>0.3344745852</v>
      </c>
      <c r="S220" s="12">
        <f t="shared" si="4"/>
        <v>4</v>
      </c>
      <c r="T220" s="8">
        <f t="shared" si="66"/>
        <v>381</v>
      </c>
      <c r="U220" s="13" t="str">
        <f>T220/vlookup(A220,Max!$A$2:$AP$700,column(Max!$AP$2),false)</f>
        <v>#N/A</v>
      </c>
      <c r="V220" s="8">
        <f t="shared" si="6"/>
        <v>256.5809424</v>
      </c>
      <c r="W220" s="14">
        <f t="shared" si="7"/>
        <v>0.9932480626</v>
      </c>
      <c r="X220" s="14">
        <f t="shared" si="8"/>
        <v>1.473916674</v>
      </c>
      <c r="Y220" s="14">
        <f t="shared" si="9"/>
        <v>1</v>
      </c>
      <c r="Z220" s="14">
        <f t="shared" si="10"/>
        <v>1.01465484</v>
      </c>
      <c r="AA220" s="27">
        <f t="shared" si="11"/>
        <v>-11</v>
      </c>
      <c r="AB220" s="29">
        <v>2.0</v>
      </c>
      <c r="AC220" s="15" t="str">
        <f t="shared" si="40"/>
        <v/>
      </c>
      <c r="AD220" s="15" t="str">
        <f t="shared" si="41"/>
        <v/>
      </c>
      <c r="AE220" s="15" t="str">
        <f t="shared" si="75"/>
        <v>			@SUBCONFIG[] { %cost = -11 }</v>
      </c>
      <c r="AF220" s="15"/>
      <c r="AG220" s="15"/>
    </row>
    <row r="221" ht="15.75" customHeight="1">
      <c r="A221" s="18" t="s">
        <v>313</v>
      </c>
      <c r="B221" s="18" t="s">
        <v>288</v>
      </c>
      <c r="C221" s="17">
        <f t="shared" si="1"/>
        <v>166</v>
      </c>
      <c r="D221" s="16">
        <v>1970.0</v>
      </c>
      <c r="E221" s="16"/>
      <c r="F221" s="16" t="b">
        <v>1</v>
      </c>
      <c r="G221" s="16" t="b">
        <v>0</v>
      </c>
      <c r="H221" s="16" t="b">
        <v>0</v>
      </c>
      <c r="I221" s="16" t="b">
        <v>0</v>
      </c>
      <c r="J221" s="18" t="b">
        <v>0</v>
      </c>
      <c r="K221" s="18">
        <v>1066.0</v>
      </c>
      <c r="L221" s="18">
        <v>1227.9</v>
      </c>
      <c r="M221" s="18">
        <v>320.9</v>
      </c>
      <c r="N221" s="18">
        <v>5.58</v>
      </c>
      <c r="O221" s="16">
        <v>0.995778</v>
      </c>
      <c r="P221" s="16">
        <v>0.995778</v>
      </c>
      <c r="Q221" s="19">
        <f t="shared" si="2"/>
        <v>117.4586805</v>
      </c>
      <c r="R221" s="20">
        <f t="shared" si="3"/>
        <v>0.4544344002</v>
      </c>
      <c r="S221" s="21">
        <f t="shared" si="4"/>
        <v>4</v>
      </c>
      <c r="T221" s="17">
        <f t="shared" si="66"/>
        <v>558</v>
      </c>
      <c r="U221" s="22" t="str">
        <f>T221/vlookup(A221,Max!$A$2:$AP$700,column(Max!$AP$2),false)</f>
        <v>#N/A</v>
      </c>
      <c r="V221" s="17">
        <f t="shared" si="6"/>
        <v>323.1397315</v>
      </c>
      <c r="W221" s="23">
        <f t="shared" si="7"/>
        <v>1.154974007</v>
      </c>
      <c r="X221" s="23">
        <f t="shared" si="8"/>
        <v>1.473916674</v>
      </c>
      <c r="Y221" s="23">
        <f t="shared" si="9"/>
        <v>1</v>
      </c>
      <c r="Z221" s="23">
        <f t="shared" si="10"/>
        <v>1.01465484</v>
      </c>
      <c r="AA221" s="24">
        <f t="shared" si="11"/>
        <v>166</v>
      </c>
      <c r="AB221" s="25">
        <v>2.0</v>
      </c>
      <c r="AC221" s="26" t="str">
        <f t="shared" si="40"/>
        <v/>
      </c>
      <c r="AD221" s="26" t="str">
        <f t="shared" si="41"/>
        <v/>
      </c>
      <c r="AE221" s="26" t="str">
        <f t="shared" si="75"/>
        <v>			@SUBCONFIG[] { %cost = 166 }</v>
      </c>
      <c r="AF221" s="26"/>
      <c r="AG221" s="26"/>
    </row>
    <row r="222" ht="15.75" customHeight="1">
      <c r="A222" s="9" t="s">
        <v>314</v>
      </c>
      <c r="B222" s="7" t="s">
        <v>288</v>
      </c>
      <c r="C222" s="8">
        <f t="shared" si="1"/>
        <v>17</v>
      </c>
      <c r="D222" s="7">
        <v>1970.0</v>
      </c>
      <c r="E222" s="7"/>
      <c r="F222" s="7" t="b">
        <v>1</v>
      </c>
      <c r="G222" s="7" t="b">
        <v>0</v>
      </c>
      <c r="H222" s="7" t="b">
        <v>0</v>
      </c>
      <c r="I222" s="7" t="b">
        <v>0</v>
      </c>
      <c r="J222" s="9" t="b">
        <v>0</v>
      </c>
      <c r="K222" s="9">
        <v>771.0</v>
      </c>
      <c r="L222" s="9">
        <v>1001.7</v>
      </c>
      <c r="M222" s="9">
        <v>306.9</v>
      </c>
      <c r="N222" s="9">
        <v>5.58</v>
      </c>
      <c r="O222" s="7">
        <v>0.995778</v>
      </c>
      <c r="P222" s="7">
        <v>0.995778</v>
      </c>
      <c r="Q222" s="10">
        <f t="shared" si="2"/>
        <v>132.483752</v>
      </c>
      <c r="R222" s="11">
        <f t="shared" si="3"/>
        <v>0.40830588</v>
      </c>
      <c r="S222" s="12">
        <f t="shared" si="4"/>
        <v>4</v>
      </c>
      <c r="T222" s="8">
        <f t="shared" si="66"/>
        <v>409</v>
      </c>
      <c r="U222" s="13" t="str">
        <f>T222/vlookup(A222,Max!$A$2:$AP$700,column(Max!$AP$2),false)</f>
        <v>#N/A</v>
      </c>
      <c r="V222" s="8">
        <f t="shared" si="6"/>
        <v>264.6814624</v>
      </c>
      <c r="W222" s="14">
        <f t="shared" si="7"/>
        <v>1.033847594</v>
      </c>
      <c r="X222" s="14">
        <f t="shared" si="8"/>
        <v>1.473916674</v>
      </c>
      <c r="Y222" s="14">
        <f t="shared" si="9"/>
        <v>1</v>
      </c>
      <c r="Z222" s="14">
        <f t="shared" si="10"/>
        <v>1.01465484</v>
      </c>
      <c r="AA222" s="27">
        <f t="shared" si="11"/>
        <v>17</v>
      </c>
      <c r="AB222" s="15">
        <f>if(iserror(find("$",A222)),1,2)</f>
        <v>1</v>
      </c>
      <c r="AC222" s="15" t="str">
        <f t="shared" si="40"/>
        <v/>
      </c>
      <c r="AD222" s="15" t="str">
        <f t="shared" si="41"/>
        <v>$LR87-AJ-11-Kero$: 17,</v>
      </c>
      <c r="AE222" s="15" t="str">
        <f>if(AB222=2,if(AF216&lt;&gt;AF222,char(9)&amp;char(9)&amp;"@CONFIG["&amp;AF222&amp;"]"&amp;char(10)&amp;char(9)&amp;char(9)&amp;"{"&amp;char(10),"")&amp;char(9)&amp;char(9)&amp;char(9)&amp;"@SUBCONFIG["&amp;AG222&amp;"] { %cost = "&amp;AA222&amp;" }"&amp;if(AF233&lt;&gt;AF222,char(10)&amp;char(9)&amp;char(9)&amp;"}",""),"")</f>
        <v/>
      </c>
      <c r="AF222" s="15" t="str">
        <f>if(AB222=2,left(A222,find("$",A222)-1),"")</f>
        <v/>
      </c>
      <c r="AG222" s="15" t="str">
        <f>if(AB222=2,mid(A222,find("$",A222)+1,len(A222)),"")</f>
        <v/>
      </c>
    </row>
    <row r="223" ht="15.75" customHeight="1">
      <c r="A223" s="18" t="s">
        <v>315</v>
      </c>
      <c r="B223" s="18" t="s">
        <v>288</v>
      </c>
      <c r="C223" s="17">
        <f t="shared" si="1"/>
        <v>-16</v>
      </c>
      <c r="D223" s="16">
        <v>1970.0</v>
      </c>
      <c r="E223" s="16"/>
      <c r="F223" s="16" t="b">
        <v>1</v>
      </c>
      <c r="G223" s="16" t="b">
        <v>0</v>
      </c>
      <c r="H223" s="16" t="b">
        <v>0</v>
      </c>
      <c r="I223" s="16" t="b">
        <v>0</v>
      </c>
      <c r="J223" s="18" t="b">
        <v>0</v>
      </c>
      <c r="K223" s="18">
        <v>729.0</v>
      </c>
      <c r="L223" s="18">
        <v>958.3</v>
      </c>
      <c r="M223" s="18">
        <v>293.6</v>
      </c>
      <c r="N223" s="18">
        <v>5.58</v>
      </c>
      <c r="O223" s="16">
        <v>0.995778</v>
      </c>
      <c r="P223" s="16">
        <v>0.995778</v>
      </c>
      <c r="Q223" s="19">
        <f t="shared" si="2"/>
        <v>134.0458222</v>
      </c>
      <c r="R223" s="20">
        <f t="shared" si="3"/>
        <v>0.3923614734</v>
      </c>
      <c r="S223" s="21">
        <f t="shared" si="4"/>
        <v>4</v>
      </c>
      <c r="T223" s="17">
        <f t="shared" si="66"/>
        <v>376</v>
      </c>
      <c r="U223" s="22" t="str">
        <f>T223/vlookup(A223,Max!$A$2:$AP$700,column(Max!$AP$2),false)</f>
        <v>#N/A</v>
      </c>
      <c r="V223" s="17">
        <f t="shared" si="6"/>
        <v>255.7191621</v>
      </c>
      <c r="W223" s="23">
        <f t="shared" si="7"/>
        <v>0.9819183163</v>
      </c>
      <c r="X223" s="23">
        <f t="shared" si="8"/>
        <v>1.473916674</v>
      </c>
      <c r="Y223" s="23">
        <f t="shared" si="9"/>
        <v>1</v>
      </c>
      <c r="Z223" s="23">
        <f t="shared" si="10"/>
        <v>1.01465484</v>
      </c>
      <c r="AA223" s="24">
        <f t="shared" si="11"/>
        <v>-16</v>
      </c>
      <c r="AB223" s="25">
        <v>2.0</v>
      </c>
      <c r="AC223" s="26" t="str">
        <f t="shared" si="40"/>
        <v/>
      </c>
      <c r="AD223" s="26" t="str">
        <f t="shared" si="41"/>
        <v/>
      </c>
      <c r="AE223" s="26" t="str">
        <f t="shared" ref="AE223:AE225" si="76">if(AB223=2,if(AF217&lt;&gt;AF223,char(9)&amp;char(9)&amp;"@CONFIG["&amp;AF223&amp;"]"&amp;char(10)&amp;char(9)&amp;char(9)&amp;"{"&amp;char(10),"")&amp;char(9)&amp;char(9)&amp;char(9)&amp;"@SUBCONFIG["&amp;AG223&amp;"] { %cost = "&amp;AA223&amp;" }"&amp;if(AF236&lt;&gt;AF223,char(10)&amp;char(9)&amp;char(9)&amp;"}",""),"")</f>
        <v>			@SUBCONFIG[] { %cost = -16 }</v>
      </c>
      <c r="AF223" s="26"/>
      <c r="AG223" s="26"/>
    </row>
    <row r="224" ht="15.75" customHeight="1">
      <c r="A224" s="9" t="s">
        <v>316</v>
      </c>
      <c r="B224" s="9" t="s">
        <v>288</v>
      </c>
      <c r="C224" s="8">
        <f t="shared" si="1"/>
        <v>0</v>
      </c>
      <c r="D224" s="7">
        <v>1970.0</v>
      </c>
      <c r="E224" s="7"/>
      <c r="F224" s="7" t="b">
        <v>1</v>
      </c>
      <c r="G224" s="7" t="b">
        <v>0</v>
      </c>
      <c r="H224" s="7" t="b">
        <v>0</v>
      </c>
      <c r="I224" s="7" t="b">
        <v>0</v>
      </c>
      <c r="J224" s="9" t="b">
        <v>0</v>
      </c>
      <c r="K224" s="9">
        <v>747.0</v>
      </c>
      <c r="L224" s="9">
        <v>987.0</v>
      </c>
      <c r="M224" s="9">
        <v>302.4</v>
      </c>
      <c r="N224" s="9">
        <v>5.58</v>
      </c>
      <c r="O224" s="7">
        <v>0.995778</v>
      </c>
      <c r="P224" s="7">
        <v>0.995778</v>
      </c>
      <c r="Q224" s="10">
        <f t="shared" si="2"/>
        <v>134.7335876</v>
      </c>
      <c r="R224" s="11">
        <f t="shared" si="3"/>
        <v>0.3971631206</v>
      </c>
      <c r="S224" s="12">
        <f t="shared" si="4"/>
        <v>4</v>
      </c>
      <c r="T224" s="8">
        <f t="shared" si="66"/>
        <v>392</v>
      </c>
      <c r="U224" s="13" t="str">
        <f>T224/vlookup(A224,Max!$A$2:$AP$700,column(Max!$AP$2),false)</f>
        <v>#N/A</v>
      </c>
      <c r="V224" s="8">
        <f t="shared" si="6"/>
        <v>259.5833296</v>
      </c>
      <c r="W224" s="14">
        <f t="shared" si="7"/>
        <v>1.008778399</v>
      </c>
      <c r="X224" s="14">
        <f t="shared" si="8"/>
        <v>1.473916674</v>
      </c>
      <c r="Y224" s="14">
        <f t="shared" si="9"/>
        <v>1</v>
      </c>
      <c r="Z224" s="14">
        <f t="shared" si="10"/>
        <v>1.01465484</v>
      </c>
      <c r="AA224" s="27">
        <f t="shared" si="11"/>
        <v>0</v>
      </c>
      <c r="AB224" s="29">
        <v>2.0</v>
      </c>
      <c r="AC224" s="15" t="str">
        <f t="shared" si="40"/>
        <v/>
      </c>
      <c r="AD224" s="15" t="str">
        <f t="shared" si="41"/>
        <v/>
      </c>
      <c r="AE224" s="15" t="str">
        <f t="shared" si="76"/>
        <v>			@SUBCONFIG[] { %cost = 0 }</v>
      </c>
      <c r="AF224" s="15"/>
      <c r="AG224" s="15"/>
    </row>
    <row r="225" ht="15.75" customHeight="1">
      <c r="A225" s="18" t="s">
        <v>317</v>
      </c>
      <c r="B225" s="18" t="s">
        <v>288</v>
      </c>
      <c r="C225" s="17">
        <f t="shared" si="1"/>
        <v>195</v>
      </c>
      <c r="D225" s="16">
        <v>1970.0</v>
      </c>
      <c r="E225" s="16"/>
      <c r="F225" s="16" t="b">
        <v>1</v>
      </c>
      <c r="G225" s="16" t="b">
        <v>0</v>
      </c>
      <c r="H225" s="16" t="b">
        <v>0</v>
      </c>
      <c r="I225" s="16" t="b">
        <v>0</v>
      </c>
      <c r="J225" s="18" t="b">
        <v>0</v>
      </c>
      <c r="K225" s="18">
        <v>1089.0</v>
      </c>
      <c r="L225" s="18">
        <v>1064.4</v>
      </c>
      <c r="M225" s="18">
        <v>326.1</v>
      </c>
      <c r="N225" s="18">
        <v>5.58</v>
      </c>
      <c r="O225" s="16">
        <v>0.995778</v>
      </c>
      <c r="P225" s="16">
        <v>0.995778</v>
      </c>
      <c r="Q225" s="19">
        <f t="shared" si="2"/>
        <v>99.66812984</v>
      </c>
      <c r="R225" s="20">
        <f t="shared" si="3"/>
        <v>0.5514844044</v>
      </c>
      <c r="S225" s="21">
        <f t="shared" si="4"/>
        <v>4</v>
      </c>
      <c r="T225" s="17">
        <f t="shared" si="66"/>
        <v>587</v>
      </c>
      <c r="U225" s="22" t="str">
        <f>T225/vlookup(A225,Max!$A$2:$AP$700,column(Max!$AP$2),false)</f>
        <v>#N/A</v>
      </c>
      <c r="V225" s="17">
        <f t="shared" si="6"/>
        <v>327.4227712</v>
      </c>
      <c r="W225" s="23">
        <f t="shared" si="7"/>
        <v>1.198844979</v>
      </c>
      <c r="X225" s="23">
        <f t="shared" si="8"/>
        <v>1.473916674</v>
      </c>
      <c r="Y225" s="23">
        <f t="shared" si="9"/>
        <v>1</v>
      </c>
      <c r="Z225" s="23">
        <f t="shared" si="10"/>
        <v>1.01465484</v>
      </c>
      <c r="AA225" s="24">
        <f t="shared" si="11"/>
        <v>195</v>
      </c>
      <c r="AB225" s="25">
        <v>2.0</v>
      </c>
      <c r="AC225" s="26" t="str">
        <f t="shared" si="40"/>
        <v/>
      </c>
      <c r="AD225" s="26" t="str">
        <f t="shared" si="41"/>
        <v/>
      </c>
      <c r="AE225" s="26" t="str">
        <f t="shared" si="76"/>
        <v>			@SUBCONFIG[] { %cost = 195 }</v>
      </c>
      <c r="AF225" s="26"/>
      <c r="AG225" s="26"/>
    </row>
    <row r="226" ht="15.75" customHeight="1">
      <c r="A226" s="7" t="s">
        <v>318</v>
      </c>
      <c r="B226" s="7" t="s">
        <v>288</v>
      </c>
      <c r="C226" s="8">
        <f t="shared" si="1"/>
        <v>12</v>
      </c>
      <c r="D226" s="9">
        <v>1989.0</v>
      </c>
      <c r="E226" s="7"/>
      <c r="F226" s="7" t="b">
        <v>1</v>
      </c>
      <c r="G226" s="7" t="b">
        <v>0</v>
      </c>
      <c r="H226" s="7" t="b">
        <v>0</v>
      </c>
      <c r="I226" s="7" t="b">
        <v>0</v>
      </c>
      <c r="J226" s="9" t="b">
        <v>0</v>
      </c>
      <c r="K226" s="7">
        <v>758.0</v>
      </c>
      <c r="L226" s="9">
        <v>1210.8</v>
      </c>
      <c r="M226" s="7">
        <v>303.5</v>
      </c>
      <c r="N226" s="9">
        <v>5.89</v>
      </c>
      <c r="O226" s="7">
        <v>0.995977</v>
      </c>
      <c r="P226" s="7">
        <v>0.995977</v>
      </c>
      <c r="Q226" s="10">
        <f t="shared" si="2"/>
        <v>162.8855392</v>
      </c>
      <c r="R226" s="11">
        <f t="shared" si="3"/>
        <v>0.3336636934</v>
      </c>
      <c r="S226" s="12">
        <f t="shared" si="4"/>
        <v>4</v>
      </c>
      <c r="T226" s="8">
        <f t="shared" si="66"/>
        <v>404</v>
      </c>
      <c r="U226" s="13">
        <f>T226/vlookup(A226,Max!$A$2:$AP$700,column(Max!$AP$2),false)</f>
        <v>0.7087719298</v>
      </c>
      <c r="V226" s="8">
        <f t="shared" si="6"/>
        <v>261.9275109</v>
      </c>
      <c r="W226" s="14">
        <f t="shared" si="7"/>
        <v>1.013863377</v>
      </c>
      <c r="X226" s="14">
        <f t="shared" si="8"/>
        <v>1.498018789</v>
      </c>
      <c r="Y226" s="14">
        <f t="shared" si="9"/>
        <v>1</v>
      </c>
      <c r="Z226" s="14">
        <f t="shared" si="10"/>
        <v>1.015161847</v>
      </c>
      <c r="AA226" s="27">
        <f t="shared" si="11"/>
        <v>12</v>
      </c>
      <c r="AB226" s="15">
        <f>if(iserror(find("$",A226)),1,2)</f>
        <v>1</v>
      </c>
      <c r="AC226" s="15" t="str">
        <f t="shared" si="40"/>
        <v/>
      </c>
      <c r="AD226" s="15" t="str">
        <f t="shared" si="41"/>
        <v>$LR87-AJ-11A$: 12,</v>
      </c>
      <c r="AE226" s="15" t="str">
        <f t="shared" ref="AE226:AE231" si="77">if(AB226=2,if(AF218&lt;&gt;AF226,char(9)&amp;char(9)&amp;"@CONFIG["&amp;AF226&amp;"]"&amp;char(10)&amp;char(9)&amp;char(9)&amp;"{"&amp;char(10),"")&amp;char(9)&amp;char(9)&amp;char(9)&amp;"@SUBCONFIG["&amp;AG226&amp;"] { %cost = "&amp;AA226&amp;" }"&amp;if(AF232&lt;&gt;AF226,char(10)&amp;char(9)&amp;char(9)&amp;"}",""),"")</f>
        <v/>
      </c>
      <c r="AF226" s="15" t="str">
        <f t="shared" ref="AF226:AF505" si="78">if(AB226=2,left(A226,find("$",A226)-1),"")</f>
        <v/>
      </c>
      <c r="AG226" s="15" t="str">
        <f t="shared" ref="AG226:AG505" si="79">if(AB226=2,mid(A226,find("$",A226)+1,len(A226)),"")</f>
        <v/>
      </c>
    </row>
    <row r="227" ht="15.75" customHeight="1">
      <c r="A227" s="18" t="s">
        <v>319</v>
      </c>
      <c r="B227" s="18" t="s">
        <v>288</v>
      </c>
      <c r="C227" s="17">
        <f t="shared" si="1"/>
        <v>-4</v>
      </c>
      <c r="D227" s="18">
        <v>1989.0</v>
      </c>
      <c r="E227" s="16"/>
      <c r="F227" s="16" t="b">
        <v>1</v>
      </c>
      <c r="G227" s="16" t="b">
        <v>0</v>
      </c>
      <c r="H227" s="16" t="b">
        <v>0</v>
      </c>
      <c r="I227" s="16" t="b">
        <v>0</v>
      </c>
      <c r="J227" s="18" t="b">
        <v>0</v>
      </c>
      <c r="K227" s="18">
        <v>733.0</v>
      </c>
      <c r="L227" s="18">
        <v>1188.5</v>
      </c>
      <c r="M227" s="18">
        <v>297.9</v>
      </c>
      <c r="N227" s="18">
        <v>5.89</v>
      </c>
      <c r="O227" s="16">
        <v>0.995977</v>
      </c>
      <c r="P227" s="16">
        <v>0.995977</v>
      </c>
      <c r="Q227" s="19">
        <f t="shared" si="2"/>
        <v>165.3387061</v>
      </c>
      <c r="R227" s="20">
        <f t="shared" si="3"/>
        <v>0.3264619268</v>
      </c>
      <c r="S227" s="21">
        <f t="shared" si="4"/>
        <v>4</v>
      </c>
      <c r="T227" s="17">
        <f t="shared" si="66"/>
        <v>388</v>
      </c>
      <c r="U227" s="22" t="str">
        <f>T227/vlookup(A227,Max!$A$2:$AP$700,column(Max!$AP$2),false)</f>
        <v>#N/A</v>
      </c>
      <c r="V227" s="17">
        <f t="shared" si="6"/>
        <v>256.5809424</v>
      </c>
      <c r="W227" s="23">
        <f t="shared" si="7"/>
        <v>0.9938235835</v>
      </c>
      <c r="X227" s="23">
        <f t="shared" si="8"/>
        <v>1.498018789</v>
      </c>
      <c r="Y227" s="23">
        <f t="shared" si="9"/>
        <v>1</v>
      </c>
      <c r="Z227" s="23">
        <f t="shared" si="10"/>
        <v>1.015161847</v>
      </c>
      <c r="AA227" s="24">
        <f t="shared" si="11"/>
        <v>-4</v>
      </c>
      <c r="AB227" s="25">
        <v>2.0</v>
      </c>
      <c r="AC227" s="26" t="str">
        <f t="shared" si="40"/>
        <v/>
      </c>
      <c r="AD227" s="26" t="str">
        <f t="shared" si="41"/>
        <v/>
      </c>
      <c r="AE227" s="26" t="str">
        <f t="shared" si="77"/>
        <v>		@CONFIG[LR87-AJ-11A]
		{
			@SUBCONFIG[12AR] { %cost = -4 }
		}</v>
      </c>
      <c r="AF227" s="26" t="str">
        <f t="shared" si="78"/>
        <v>LR87-AJ-11A</v>
      </c>
      <c r="AG227" s="26" t="str">
        <f t="shared" si="79"/>
        <v>12AR</v>
      </c>
    </row>
    <row r="228" ht="15.75" customHeight="1">
      <c r="A228" s="9" t="s">
        <v>320</v>
      </c>
      <c r="B228" s="9" t="s">
        <v>288</v>
      </c>
      <c r="C228" s="8">
        <f t="shared" si="1"/>
        <v>176</v>
      </c>
      <c r="D228" s="9">
        <v>1989.0</v>
      </c>
      <c r="E228" s="7"/>
      <c r="F228" s="7" t="b">
        <v>1</v>
      </c>
      <c r="G228" s="7" t="b">
        <v>0</v>
      </c>
      <c r="H228" s="7" t="b">
        <v>0</v>
      </c>
      <c r="I228" s="7" t="b">
        <v>0</v>
      </c>
      <c r="J228" s="9" t="b">
        <v>0</v>
      </c>
      <c r="K228" s="9">
        <v>1066.0</v>
      </c>
      <c r="L228" s="9">
        <v>1281.0</v>
      </c>
      <c r="M228" s="9">
        <v>321.1</v>
      </c>
      <c r="N228" s="9">
        <v>5.89</v>
      </c>
      <c r="O228" s="7">
        <v>0.995977</v>
      </c>
      <c r="P228" s="7">
        <v>0.995977</v>
      </c>
      <c r="Q228" s="10">
        <f t="shared" si="2"/>
        <v>122.5381299</v>
      </c>
      <c r="R228" s="11">
        <f t="shared" si="3"/>
        <v>0.4434035909</v>
      </c>
      <c r="S228" s="12">
        <f t="shared" si="4"/>
        <v>4</v>
      </c>
      <c r="T228" s="8">
        <f t="shared" si="66"/>
        <v>568</v>
      </c>
      <c r="U228" s="13" t="str">
        <f>T228/vlookup(A228,Max!$A$2:$AP$700,column(Max!$AP$2),false)</f>
        <v>#N/A</v>
      </c>
      <c r="V228" s="8">
        <f t="shared" si="6"/>
        <v>323.1397315</v>
      </c>
      <c r="W228" s="14">
        <f t="shared" si="7"/>
        <v>1.156619335</v>
      </c>
      <c r="X228" s="14">
        <f t="shared" si="8"/>
        <v>1.498018789</v>
      </c>
      <c r="Y228" s="14">
        <f t="shared" si="9"/>
        <v>1</v>
      </c>
      <c r="Z228" s="14">
        <f t="shared" si="10"/>
        <v>1.015161847</v>
      </c>
      <c r="AA228" s="27">
        <f t="shared" si="11"/>
        <v>176</v>
      </c>
      <c r="AB228" s="29">
        <v>2.0</v>
      </c>
      <c r="AC228" s="15" t="str">
        <f t="shared" si="40"/>
        <v/>
      </c>
      <c r="AD228" s="15" t="str">
        <f t="shared" si="41"/>
        <v/>
      </c>
      <c r="AE228" s="15" t="str">
        <f t="shared" si="77"/>
        <v>		@CONFIG[LR87-AJ-11A]
		{
			@SUBCONFIG[49AR] { %cost = 176 }
		}</v>
      </c>
      <c r="AF228" s="15" t="str">
        <f t="shared" si="78"/>
        <v>LR87-AJ-11A</v>
      </c>
      <c r="AG228" s="15" t="str">
        <f t="shared" si="79"/>
        <v>49AR</v>
      </c>
    </row>
    <row r="229" ht="15.75" customHeight="1">
      <c r="A229" s="18" t="s">
        <v>321</v>
      </c>
      <c r="B229" s="16" t="s">
        <v>288</v>
      </c>
      <c r="C229" s="17">
        <f t="shared" si="1"/>
        <v>29</v>
      </c>
      <c r="D229" s="18">
        <v>1989.0</v>
      </c>
      <c r="E229" s="16"/>
      <c r="F229" s="16" t="b">
        <v>1</v>
      </c>
      <c r="G229" s="16" t="b">
        <v>0</v>
      </c>
      <c r="H229" s="16" t="b">
        <v>0</v>
      </c>
      <c r="I229" s="16" t="b">
        <v>0</v>
      </c>
      <c r="J229" s="18" t="b">
        <v>0</v>
      </c>
      <c r="K229" s="18">
        <v>771.0</v>
      </c>
      <c r="L229" s="18">
        <v>1049.5</v>
      </c>
      <c r="M229" s="18">
        <v>308.4</v>
      </c>
      <c r="N229" s="18">
        <v>5.89</v>
      </c>
      <c r="O229" s="16">
        <v>0.995977</v>
      </c>
      <c r="P229" s="16">
        <v>0.995977</v>
      </c>
      <c r="Q229" s="19">
        <f t="shared" si="2"/>
        <v>138.8057279</v>
      </c>
      <c r="R229" s="20">
        <f t="shared" si="3"/>
        <v>0.4011434016</v>
      </c>
      <c r="S229" s="21">
        <f t="shared" si="4"/>
        <v>4</v>
      </c>
      <c r="T229" s="17">
        <f t="shared" si="66"/>
        <v>421</v>
      </c>
      <c r="U229" s="22" t="str">
        <f>T229/vlookup(A229,Max!$A$2:$AP$700,column(Max!$AP$2),false)</f>
        <v>#N/A</v>
      </c>
      <c r="V229" s="17">
        <f t="shared" si="6"/>
        <v>264.6814624</v>
      </c>
      <c r="W229" s="23">
        <f t="shared" si="7"/>
        <v>1.044732638</v>
      </c>
      <c r="X229" s="23">
        <f t="shared" si="8"/>
        <v>1.498018789</v>
      </c>
      <c r="Y229" s="23">
        <f t="shared" si="9"/>
        <v>1</v>
      </c>
      <c r="Z229" s="23">
        <f t="shared" si="10"/>
        <v>1.015161847</v>
      </c>
      <c r="AA229" s="24">
        <f t="shared" si="11"/>
        <v>29</v>
      </c>
      <c r="AB229" s="26">
        <f>if(iserror(find("$",A229)),1,2)</f>
        <v>1</v>
      </c>
      <c r="AC229" s="26" t="str">
        <f t="shared" si="40"/>
        <v/>
      </c>
      <c r="AD229" s="26" t="str">
        <f t="shared" si="41"/>
        <v>$LR87-AJ-11A-Kero$: 29,</v>
      </c>
      <c r="AE229" s="26" t="str">
        <f t="shared" si="77"/>
        <v/>
      </c>
      <c r="AF229" s="26" t="str">
        <f t="shared" si="78"/>
        <v/>
      </c>
      <c r="AG229" s="26" t="str">
        <f t="shared" si="79"/>
        <v/>
      </c>
    </row>
    <row r="230" ht="15.75" customHeight="1">
      <c r="A230" s="9" t="s">
        <v>322</v>
      </c>
      <c r="B230" s="9" t="s">
        <v>288</v>
      </c>
      <c r="C230" s="8">
        <f t="shared" si="1"/>
        <v>7</v>
      </c>
      <c r="D230" s="9">
        <v>1989.0</v>
      </c>
      <c r="E230" s="7"/>
      <c r="F230" s="7" t="b">
        <v>1</v>
      </c>
      <c r="G230" s="7" t="b">
        <v>0</v>
      </c>
      <c r="H230" s="7" t="b">
        <v>0</v>
      </c>
      <c r="I230" s="7" t="b">
        <v>0</v>
      </c>
      <c r="J230" s="9" t="b">
        <v>0</v>
      </c>
      <c r="K230" s="9">
        <v>747.0</v>
      </c>
      <c r="L230" s="9">
        <v>1029.8</v>
      </c>
      <c r="M230" s="9">
        <v>302.6</v>
      </c>
      <c r="N230" s="9">
        <v>5.89</v>
      </c>
      <c r="O230" s="7">
        <v>0.995977</v>
      </c>
      <c r="P230" s="7">
        <v>0.995977</v>
      </c>
      <c r="Q230" s="10">
        <f t="shared" si="2"/>
        <v>140.5761383</v>
      </c>
      <c r="R230" s="11">
        <f t="shared" si="3"/>
        <v>0.3874538745</v>
      </c>
      <c r="S230" s="12">
        <f t="shared" si="4"/>
        <v>4</v>
      </c>
      <c r="T230" s="8">
        <f t="shared" si="66"/>
        <v>399</v>
      </c>
      <c r="U230" s="13" t="str">
        <f>T230/vlookup(A230,Max!$A$2:$AP$700,column(Max!$AP$2),false)</f>
        <v>#N/A</v>
      </c>
      <c r="V230" s="8">
        <f t="shared" si="6"/>
        <v>259.5833296</v>
      </c>
      <c r="W230" s="14">
        <f t="shared" si="7"/>
        <v>1.009653088</v>
      </c>
      <c r="X230" s="14">
        <f t="shared" si="8"/>
        <v>1.498018789</v>
      </c>
      <c r="Y230" s="14">
        <f t="shared" si="9"/>
        <v>1</v>
      </c>
      <c r="Z230" s="14">
        <f t="shared" si="10"/>
        <v>1.015161847</v>
      </c>
      <c r="AA230" s="27">
        <f t="shared" si="11"/>
        <v>7</v>
      </c>
      <c r="AB230" s="29">
        <v>2.0</v>
      </c>
      <c r="AC230" s="15" t="str">
        <f t="shared" si="40"/>
        <v/>
      </c>
      <c r="AD230" s="15" t="str">
        <f t="shared" si="41"/>
        <v/>
      </c>
      <c r="AE230" s="15" t="str">
        <f t="shared" si="77"/>
        <v>		@CONFIG[LR87-AJ-11A-Kero]
		{
			@SUBCONFIG[12AR] { %cost = 7 }
		}</v>
      </c>
      <c r="AF230" s="15" t="str">
        <f t="shared" si="78"/>
        <v>LR87-AJ-11A-Kero</v>
      </c>
      <c r="AG230" s="15" t="str">
        <f t="shared" si="79"/>
        <v>12AR</v>
      </c>
    </row>
    <row r="231" ht="15.75" customHeight="1">
      <c r="A231" s="18" t="s">
        <v>323</v>
      </c>
      <c r="B231" s="18" t="s">
        <v>288</v>
      </c>
      <c r="C231" s="17">
        <f t="shared" si="1"/>
        <v>206</v>
      </c>
      <c r="D231" s="18">
        <v>1989.0</v>
      </c>
      <c r="E231" s="16"/>
      <c r="F231" s="16" t="b">
        <v>1</v>
      </c>
      <c r="G231" s="16" t="b">
        <v>0</v>
      </c>
      <c r="H231" s="16" t="b">
        <v>0</v>
      </c>
      <c r="I231" s="16" t="b">
        <v>0</v>
      </c>
      <c r="J231" s="18" t="b">
        <v>0</v>
      </c>
      <c r="K231" s="18">
        <v>1089.0</v>
      </c>
      <c r="L231" s="18">
        <v>1110.4</v>
      </c>
      <c r="M231" s="18">
        <v>326.3</v>
      </c>
      <c r="N231" s="18">
        <v>5.89</v>
      </c>
      <c r="O231" s="16">
        <v>0.995977</v>
      </c>
      <c r="P231" s="16">
        <v>0.995977</v>
      </c>
      <c r="Q231" s="19">
        <f t="shared" si="2"/>
        <v>103.975471</v>
      </c>
      <c r="R231" s="20">
        <f t="shared" si="3"/>
        <v>0.5385446686</v>
      </c>
      <c r="S231" s="21">
        <f t="shared" si="4"/>
        <v>4</v>
      </c>
      <c r="T231" s="17">
        <f t="shared" si="66"/>
        <v>598</v>
      </c>
      <c r="U231" s="22" t="str">
        <f>T231/vlookup(A231,Max!$A$2:$AP$700,column(Max!$AP$2),false)</f>
        <v>#N/A</v>
      </c>
      <c r="V231" s="17">
        <f t="shared" si="6"/>
        <v>327.4227712</v>
      </c>
      <c r="W231" s="23">
        <f t="shared" si="7"/>
        <v>1.200578528</v>
      </c>
      <c r="X231" s="23">
        <f t="shared" si="8"/>
        <v>1.498018789</v>
      </c>
      <c r="Y231" s="23">
        <f t="shared" si="9"/>
        <v>1</v>
      </c>
      <c r="Z231" s="23">
        <f t="shared" si="10"/>
        <v>1.015161847</v>
      </c>
      <c r="AA231" s="24">
        <f t="shared" si="11"/>
        <v>206</v>
      </c>
      <c r="AB231" s="25">
        <v>2.0</v>
      </c>
      <c r="AC231" s="26" t="str">
        <f t="shared" si="40"/>
        <v/>
      </c>
      <c r="AD231" s="26" t="str">
        <f t="shared" si="41"/>
        <v/>
      </c>
      <c r="AE231" s="26" t="str">
        <f t="shared" si="77"/>
        <v>		@CONFIG[LR87-AJ-11A-Kero]
		{
			@SUBCONFIG[49AR] { %cost = 206 }
		}</v>
      </c>
      <c r="AF231" s="26" t="str">
        <f t="shared" si="78"/>
        <v>LR87-AJ-11A-Kero</v>
      </c>
      <c r="AG231" s="26" t="str">
        <f t="shared" si="79"/>
        <v>49AR</v>
      </c>
    </row>
    <row r="232" ht="15.75" customHeight="1">
      <c r="A232" s="7" t="s">
        <v>324</v>
      </c>
      <c r="B232" s="7" t="s">
        <v>325</v>
      </c>
      <c r="C232" s="8">
        <f t="shared" si="1"/>
        <v>974</v>
      </c>
      <c r="D232" s="7">
        <v>1963.0</v>
      </c>
      <c r="E232" s="7" t="b">
        <v>1</v>
      </c>
      <c r="F232" s="7" t="b">
        <v>1</v>
      </c>
      <c r="G232" s="7" t="b">
        <v>0</v>
      </c>
      <c r="H232" s="7" t="b">
        <v>0</v>
      </c>
      <c r="I232" s="7" t="b">
        <v>0</v>
      </c>
      <c r="J232" s="9" t="b">
        <v>0</v>
      </c>
      <c r="K232" s="7">
        <v>839.0</v>
      </c>
      <c r="L232" s="7">
        <v>667.0</v>
      </c>
      <c r="M232" s="7">
        <v>403.0</v>
      </c>
      <c r="N232" s="7">
        <v>5.0</v>
      </c>
      <c r="O232" s="7">
        <v>0.95</v>
      </c>
      <c r="P232" s="7">
        <v>0.973</v>
      </c>
      <c r="Q232" s="10">
        <f t="shared" si="2"/>
        <v>81.066831</v>
      </c>
      <c r="R232" s="11">
        <f t="shared" si="3"/>
        <v>1.460269865</v>
      </c>
      <c r="S232" s="12">
        <f t="shared" si="4"/>
        <v>4</v>
      </c>
      <c r="T232" s="8">
        <f t="shared" si="66"/>
        <v>974</v>
      </c>
      <c r="U232" s="13">
        <f>T232/vlookup(A232,Max!$A$2:$AP$700,column(Max!$AP$2),false)</f>
        <v>0.8854545455</v>
      </c>
      <c r="V232" s="8">
        <f t="shared" si="6"/>
        <v>322.571127</v>
      </c>
      <c r="W232" s="14">
        <f t="shared" si="7"/>
        <v>2.209973773</v>
      </c>
      <c r="X232" s="14">
        <f t="shared" si="8"/>
        <v>1.426177805</v>
      </c>
      <c r="Y232" s="14">
        <f t="shared" si="9"/>
        <v>1</v>
      </c>
      <c r="Z232" s="14">
        <f t="shared" si="10"/>
        <v>0.9576219986</v>
      </c>
      <c r="AA232" s="15">
        <f t="shared" si="11"/>
        <v>0</v>
      </c>
      <c r="AB232" s="29">
        <v>0.0</v>
      </c>
      <c r="AC232" s="15" t="str">
        <f t="shared" si="40"/>
        <v>{
$name$: $LR87-LH2-TitanC$,
$config$: $LR87LH2$,
$cost$: 974
},</v>
      </c>
      <c r="AD232" s="15" t="str">
        <f t="shared" si="41"/>
        <v/>
      </c>
      <c r="AE232" s="15" t="str">
        <f>if(AB232=2,if(AF226&lt;&gt;AF232,char(9)&amp;char(9)&amp;"@CONFIG["&amp;AF232&amp;"]"&amp;char(10)&amp;char(9)&amp;char(9)&amp;"{"&amp;char(10),"")&amp;char(9)&amp;char(9)&amp;char(9)&amp;"@SUBCONFIG["&amp;AG232&amp;"] { %cost = "&amp;AA232&amp;" }"&amp;if(AF233&lt;&gt;AF232,char(10)&amp;char(9)&amp;char(9)&amp;"}",""),"")</f>
        <v/>
      </c>
      <c r="AF232" s="15" t="str">
        <f t="shared" si="78"/>
        <v/>
      </c>
      <c r="AG232" s="15" t="str">
        <f t="shared" si="79"/>
        <v/>
      </c>
    </row>
    <row r="233" ht="15.75" customHeight="1">
      <c r="A233" s="16" t="s">
        <v>326</v>
      </c>
      <c r="B233" s="16" t="s">
        <v>325</v>
      </c>
      <c r="C233" s="17">
        <f t="shared" si="1"/>
        <v>179</v>
      </c>
      <c r="D233" s="16">
        <v>1966.0</v>
      </c>
      <c r="E233" s="16" t="b">
        <v>1</v>
      </c>
      <c r="F233" s="16" t="b">
        <v>1</v>
      </c>
      <c r="G233" s="16" t="b">
        <v>0</v>
      </c>
      <c r="H233" s="16" t="b">
        <v>1</v>
      </c>
      <c r="I233" s="16" t="b">
        <v>0</v>
      </c>
      <c r="J233" s="18" t="b">
        <v>0</v>
      </c>
      <c r="K233" s="16">
        <v>1050.0</v>
      </c>
      <c r="L233" s="16">
        <v>778.0</v>
      </c>
      <c r="M233" s="16">
        <v>421.0</v>
      </c>
      <c r="N233" s="16">
        <v>5.48</v>
      </c>
      <c r="O233" s="16">
        <v>0.975</v>
      </c>
      <c r="P233" s="16">
        <v>0.98</v>
      </c>
      <c r="Q233" s="19">
        <f t="shared" si="2"/>
        <v>75.55611537</v>
      </c>
      <c r="R233" s="20">
        <f t="shared" si="3"/>
        <v>1.482005141</v>
      </c>
      <c r="S233" s="21">
        <f t="shared" si="4"/>
        <v>4</v>
      </c>
      <c r="T233" s="17">
        <f t="shared" si="66"/>
        <v>1153</v>
      </c>
      <c r="U233" s="22">
        <f>T233/vlookup(A233,Max!$A$2:$AP$700,column(Max!$AP$2),false)</f>
        <v>0.720625</v>
      </c>
      <c r="V233" s="17">
        <f t="shared" si="6"/>
        <v>365.3573089</v>
      </c>
      <c r="W233" s="23">
        <f t="shared" si="7"/>
        <v>2.588400216</v>
      </c>
      <c r="X233" s="23">
        <f t="shared" si="8"/>
        <v>1.332255831</v>
      </c>
      <c r="Y233" s="23">
        <f t="shared" si="9"/>
        <v>1</v>
      </c>
      <c r="Z233" s="23">
        <f t="shared" si="10"/>
        <v>0.9151425362</v>
      </c>
      <c r="AA233" s="24">
        <f t="shared" si="11"/>
        <v>179</v>
      </c>
      <c r="AB233" s="26">
        <f t="shared" ref="AB233:AB235" si="80">if(iserror(find("$",A233)),1,2)</f>
        <v>1</v>
      </c>
      <c r="AC233" s="26" t="str">
        <f t="shared" si="40"/>
        <v/>
      </c>
      <c r="AD233" s="26" t="str">
        <f t="shared" si="41"/>
        <v>$LR87-LH2-Vacuum$: 179,</v>
      </c>
      <c r="AE233" s="26" t="str">
        <f t="shared" ref="AE233:AE242" si="81">if(AB233=2,if(AF232&lt;&gt;AF233,char(9)&amp;char(9)&amp;"@CONFIG["&amp;AF233&amp;"]"&amp;char(10)&amp;char(9)&amp;char(9)&amp;"{"&amp;char(10),"")&amp;char(9)&amp;char(9)&amp;char(9)&amp;"@SUBCONFIG["&amp;AG233&amp;"] { %cost = "&amp;AA233&amp;" }"&amp;if(AF234&lt;&gt;AF233,char(10)&amp;char(9)&amp;char(9)&amp;"}",""),"")</f>
        <v/>
      </c>
      <c r="AF233" s="26" t="str">
        <f t="shared" si="78"/>
        <v/>
      </c>
      <c r="AG233" s="26" t="str">
        <f t="shared" si="79"/>
        <v/>
      </c>
    </row>
    <row r="234" ht="15.75" customHeight="1">
      <c r="A234" s="7" t="s">
        <v>327</v>
      </c>
      <c r="B234" s="7" t="s">
        <v>325</v>
      </c>
      <c r="C234" s="8">
        <f t="shared" si="1"/>
        <v>225</v>
      </c>
      <c r="D234" s="7">
        <v>1968.0</v>
      </c>
      <c r="E234" s="7" t="b">
        <v>1</v>
      </c>
      <c r="F234" s="7" t="b">
        <v>1</v>
      </c>
      <c r="G234" s="7" t="b">
        <v>0</v>
      </c>
      <c r="H234" s="7" t="b">
        <v>0</v>
      </c>
      <c r="I234" s="7" t="b">
        <v>0</v>
      </c>
      <c r="J234" s="9" t="b">
        <v>0</v>
      </c>
      <c r="K234" s="7">
        <v>939.0</v>
      </c>
      <c r="L234" s="7">
        <v>801.0</v>
      </c>
      <c r="M234" s="7">
        <v>409.0</v>
      </c>
      <c r="N234" s="7">
        <v>5.67</v>
      </c>
      <c r="O234" s="7">
        <v>0.99</v>
      </c>
      <c r="P234" s="7">
        <v>0.995</v>
      </c>
      <c r="Q234" s="10">
        <f t="shared" si="2"/>
        <v>86.98537638</v>
      </c>
      <c r="R234" s="11">
        <f t="shared" si="3"/>
        <v>1.496878901</v>
      </c>
      <c r="S234" s="12">
        <f t="shared" si="4"/>
        <v>4</v>
      </c>
      <c r="T234" s="8">
        <f t="shared" si="66"/>
        <v>1199</v>
      </c>
      <c r="U234" s="13">
        <f>T234/vlookup(A234,Max!$A$2:$AP$700,column(Max!$AP$2),false)</f>
        <v>0.6661111111</v>
      </c>
      <c r="V234" s="8">
        <f t="shared" si="6"/>
        <v>343.3241781</v>
      </c>
      <c r="W234" s="14">
        <f t="shared" si="7"/>
        <v>2.328171304</v>
      </c>
      <c r="X234" s="14">
        <f t="shared" si="8"/>
        <v>1.481008632</v>
      </c>
      <c r="Y234" s="14">
        <f t="shared" si="9"/>
        <v>1</v>
      </c>
      <c r="Z234" s="14">
        <f t="shared" si="10"/>
        <v>1.01267413</v>
      </c>
      <c r="AA234" s="27">
        <f t="shared" si="11"/>
        <v>225</v>
      </c>
      <c r="AB234" s="15">
        <f t="shared" si="80"/>
        <v>1</v>
      </c>
      <c r="AC234" s="15" t="str">
        <f t="shared" si="40"/>
        <v/>
      </c>
      <c r="AD234" s="15" t="str">
        <f t="shared" si="41"/>
        <v>$LR87-LH2-SustainerUpgrade$: 225,</v>
      </c>
      <c r="AE234" s="15" t="str">
        <f t="shared" si="81"/>
        <v/>
      </c>
      <c r="AF234" s="15" t="str">
        <f t="shared" si="78"/>
        <v/>
      </c>
      <c r="AG234" s="15" t="str">
        <f t="shared" si="79"/>
        <v/>
      </c>
    </row>
    <row r="235" ht="15.75" customHeight="1">
      <c r="A235" s="16" t="s">
        <v>328</v>
      </c>
      <c r="B235" s="16" t="s">
        <v>325</v>
      </c>
      <c r="C235" s="17">
        <f t="shared" si="1"/>
        <v>447</v>
      </c>
      <c r="D235" s="16">
        <v>1970.0</v>
      </c>
      <c r="E235" s="16" t="b">
        <v>1</v>
      </c>
      <c r="F235" s="16" t="b">
        <v>1</v>
      </c>
      <c r="G235" s="16" t="b">
        <v>0</v>
      </c>
      <c r="H235" s="16" t="b">
        <v>1</v>
      </c>
      <c r="I235" s="16" t="b">
        <v>0</v>
      </c>
      <c r="J235" s="18" t="b">
        <v>0</v>
      </c>
      <c r="K235" s="16">
        <v>1050.0</v>
      </c>
      <c r="L235" s="16">
        <v>889.0</v>
      </c>
      <c r="M235" s="16">
        <v>434.0</v>
      </c>
      <c r="N235" s="16">
        <v>5.67</v>
      </c>
      <c r="O235" s="16">
        <v>0.99</v>
      </c>
      <c r="P235" s="16">
        <v>0.998</v>
      </c>
      <c r="Q235" s="19">
        <f t="shared" si="2"/>
        <v>86.33597245</v>
      </c>
      <c r="R235" s="20">
        <f t="shared" si="3"/>
        <v>1.598425197</v>
      </c>
      <c r="S235" s="21">
        <f t="shared" si="4"/>
        <v>4</v>
      </c>
      <c r="T235" s="17">
        <f t="shared" si="66"/>
        <v>1421</v>
      </c>
      <c r="U235" s="22">
        <f>T235/vlookup(A235,Max!$A$2:$AP$700,column(Max!$AP$2),false)</f>
        <v>0.7894444444</v>
      </c>
      <c r="V235" s="17">
        <f t="shared" si="6"/>
        <v>365.3573089</v>
      </c>
      <c r="W235" s="23">
        <f t="shared" si="7"/>
        <v>2.910713457</v>
      </c>
      <c r="X235" s="23">
        <f t="shared" si="8"/>
        <v>1.34251205</v>
      </c>
      <c r="Y235" s="23">
        <f t="shared" si="9"/>
        <v>1</v>
      </c>
      <c r="Z235" s="23">
        <f t="shared" si="10"/>
        <v>0.9950074975</v>
      </c>
      <c r="AA235" s="24">
        <f t="shared" si="11"/>
        <v>447</v>
      </c>
      <c r="AB235" s="26">
        <f t="shared" si="80"/>
        <v>1</v>
      </c>
      <c r="AC235" s="26" t="str">
        <f t="shared" si="40"/>
        <v/>
      </c>
      <c r="AD235" s="26" t="str">
        <f t="shared" si="41"/>
        <v>$LR87-LH2-VacuumUpgrade$: 447,</v>
      </c>
      <c r="AE235" s="26" t="str">
        <f t="shared" si="81"/>
        <v/>
      </c>
      <c r="AF235" s="26" t="str">
        <f t="shared" si="78"/>
        <v/>
      </c>
      <c r="AG235" s="26" t="str">
        <f t="shared" si="79"/>
        <v/>
      </c>
    </row>
    <row r="236" ht="15.75" customHeight="1">
      <c r="A236" s="7" t="s">
        <v>329</v>
      </c>
      <c r="B236" s="7" t="s">
        <v>330</v>
      </c>
      <c r="C236" s="8">
        <f t="shared" si="1"/>
        <v>248</v>
      </c>
      <c r="D236" s="7">
        <v>1955.0</v>
      </c>
      <c r="E236" s="7"/>
      <c r="F236" s="7" t="b">
        <v>1</v>
      </c>
      <c r="G236" s="7" t="b">
        <v>0</v>
      </c>
      <c r="H236" s="7" t="b">
        <v>0</v>
      </c>
      <c r="I236" s="7" t="b">
        <v>0</v>
      </c>
      <c r="J236" s="9" t="b">
        <v>0</v>
      </c>
      <c r="K236" s="7">
        <v>489.0</v>
      </c>
      <c r="L236" s="7">
        <v>617.4</v>
      </c>
      <c r="M236" s="7">
        <v>265.0</v>
      </c>
      <c r="N236" s="7">
        <v>3.61</v>
      </c>
      <c r="O236" s="7">
        <v>0.958696</v>
      </c>
      <c r="P236" s="7">
        <v>0.958696</v>
      </c>
      <c r="Q236" s="10">
        <f t="shared" si="2"/>
        <v>128.7469914</v>
      </c>
      <c r="R236" s="11">
        <f t="shared" si="3"/>
        <v>0.4016844833</v>
      </c>
      <c r="S236" s="12">
        <f t="shared" si="4"/>
        <v>4</v>
      </c>
      <c r="T236" s="8">
        <f t="shared" si="66"/>
        <v>248</v>
      </c>
      <c r="U236" s="13">
        <f>T236/vlookup(A236,Max!$A$2:$AP$700,column(Max!$AP$2),false)</f>
        <v>1.033333333</v>
      </c>
      <c r="V236" s="8">
        <f t="shared" si="6"/>
        <v>200.1372924</v>
      </c>
      <c r="W236" s="14">
        <f t="shared" si="7"/>
        <v>0.9235379953</v>
      </c>
      <c r="X236" s="14">
        <f t="shared" si="8"/>
        <v>1.293405885</v>
      </c>
      <c r="Y236" s="14">
        <f t="shared" si="9"/>
        <v>1</v>
      </c>
      <c r="Z236" s="14">
        <f t="shared" si="10"/>
        <v>1.038708573</v>
      </c>
      <c r="AA236" s="15">
        <f t="shared" si="11"/>
        <v>0</v>
      </c>
      <c r="AB236" s="29">
        <v>0.0</v>
      </c>
      <c r="AC236" s="15" t="str">
        <f t="shared" si="40"/>
        <v>{
$name$: $XLR43-NA-3$,
$config$: $LR89$,
$cost$: 248
},</v>
      </c>
      <c r="AD236" s="15" t="str">
        <f t="shared" si="41"/>
        <v/>
      </c>
      <c r="AE236" s="15" t="str">
        <f t="shared" si="81"/>
        <v/>
      </c>
      <c r="AF236" s="15" t="str">
        <f t="shared" si="78"/>
        <v/>
      </c>
      <c r="AG236" s="15" t="str">
        <f t="shared" si="79"/>
        <v/>
      </c>
    </row>
    <row r="237" ht="15.75" customHeight="1">
      <c r="A237" s="16" t="s">
        <v>331</v>
      </c>
      <c r="B237" s="16" t="s">
        <v>330</v>
      </c>
      <c r="C237" s="17">
        <f t="shared" si="1"/>
        <v>121</v>
      </c>
      <c r="D237" s="16">
        <v>1956.0</v>
      </c>
      <c r="E237" s="16"/>
      <c r="F237" s="16" t="b">
        <v>1</v>
      </c>
      <c r="G237" s="16" t="b">
        <v>0</v>
      </c>
      <c r="H237" s="16" t="b">
        <v>0</v>
      </c>
      <c r="I237" s="16" t="b">
        <v>0</v>
      </c>
      <c r="J237" s="18" t="b">
        <v>0</v>
      </c>
      <c r="K237" s="34">
        <f>720+150</f>
        <v>870</v>
      </c>
      <c r="L237" s="16">
        <v>756.8</v>
      </c>
      <c r="M237" s="16">
        <v>278.0</v>
      </c>
      <c r="N237" s="16">
        <v>3.92</v>
      </c>
      <c r="O237" s="16">
        <v>0.962766</v>
      </c>
      <c r="P237" s="16">
        <v>0.962766</v>
      </c>
      <c r="Q237" s="19">
        <f t="shared" si="2"/>
        <v>88.70358939</v>
      </c>
      <c r="R237" s="20">
        <f t="shared" si="3"/>
        <v>0.4875792812</v>
      </c>
      <c r="S237" s="21">
        <f t="shared" si="4"/>
        <v>4</v>
      </c>
      <c r="T237" s="17">
        <f t="shared" si="66"/>
        <v>369</v>
      </c>
      <c r="U237" s="22">
        <f>T237/vlookup(A237,Max!$A$2:$AP$700,column(Max!$AP$2),false)</f>
        <v>0.8581395349</v>
      </c>
      <c r="V237" s="17">
        <f t="shared" si="6"/>
        <v>285.1097702</v>
      </c>
      <c r="W237" s="23">
        <f t="shared" si="7"/>
        <v>0.9460824974</v>
      </c>
      <c r="X237" s="23">
        <f t="shared" si="8"/>
        <v>1.325770931</v>
      </c>
      <c r="Y237" s="23">
        <f t="shared" si="9"/>
        <v>1</v>
      </c>
      <c r="Z237" s="23">
        <f t="shared" si="10"/>
        <v>1.031097197</v>
      </c>
      <c r="AA237" s="24">
        <f t="shared" si="11"/>
        <v>121</v>
      </c>
      <c r="AB237" s="26">
        <f t="shared" ref="AB237:AB243" si="82">if(iserror(find("$",A237)),1,2)</f>
        <v>1</v>
      </c>
      <c r="AC237" s="26" t="str">
        <f t="shared" si="40"/>
        <v/>
      </c>
      <c r="AD237" s="26" t="str">
        <f t="shared" si="41"/>
        <v>$LR43-NA-3$: 121,</v>
      </c>
      <c r="AE237" s="26" t="str">
        <f t="shared" si="81"/>
        <v/>
      </c>
      <c r="AF237" s="26" t="str">
        <f t="shared" si="78"/>
        <v/>
      </c>
      <c r="AG237" s="26" t="str">
        <f t="shared" si="79"/>
        <v/>
      </c>
    </row>
    <row r="238" ht="15.75" customHeight="1">
      <c r="A238" s="7" t="s">
        <v>332</v>
      </c>
      <c r="B238" s="7" t="s">
        <v>330</v>
      </c>
      <c r="C238" s="8">
        <f t="shared" si="1"/>
        <v>95</v>
      </c>
      <c r="D238" s="7">
        <v>1958.0</v>
      </c>
      <c r="E238" s="7"/>
      <c r="F238" s="7" t="b">
        <v>1</v>
      </c>
      <c r="G238" s="7" t="b">
        <v>0</v>
      </c>
      <c r="H238" s="7" t="b">
        <v>0</v>
      </c>
      <c r="I238" s="7" t="b">
        <v>0</v>
      </c>
      <c r="J238" s="9" t="b">
        <v>0</v>
      </c>
      <c r="K238" s="35">
        <f>820</f>
        <v>820</v>
      </c>
      <c r="L238" s="7">
        <v>758.7</v>
      </c>
      <c r="M238" s="7">
        <v>282.0</v>
      </c>
      <c r="N238" s="7">
        <v>3.92</v>
      </c>
      <c r="O238" s="7">
        <v>0.960526</v>
      </c>
      <c r="P238" s="7">
        <v>0.960526</v>
      </c>
      <c r="Q238" s="10">
        <f t="shared" si="2"/>
        <v>94.34862055</v>
      </c>
      <c r="R238" s="11">
        <f t="shared" si="3"/>
        <v>0.4520890998</v>
      </c>
      <c r="S238" s="12">
        <f t="shared" si="4"/>
        <v>4</v>
      </c>
      <c r="T238" s="8">
        <f t="shared" si="66"/>
        <v>343</v>
      </c>
      <c r="U238" s="13">
        <f>T238/vlookup(A238,Max!$A$2:$AP$700,column(Max!$AP$2),false)</f>
        <v>0.8794871795</v>
      </c>
      <c r="V238" s="8">
        <f t="shared" si="6"/>
        <v>274.9084168</v>
      </c>
      <c r="W238" s="14">
        <f t="shared" si="7"/>
        <v>0.9542702479</v>
      </c>
      <c r="X238" s="14">
        <f t="shared" si="8"/>
        <v>1.325770931</v>
      </c>
      <c r="Y238" s="14">
        <f t="shared" si="9"/>
        <v>1</v>
      </c>
      <c r="Z238" s="14">
        <f t="shared" si="10"/>
        <v>0.9867912605</v>
      </c>
      <c r="AA238" s="27">
        <f t="shared" si="11"/>
        <v>95</v>
      </c>
      <c r="AB238" s="15">
        <f t="shared" si="82"/>
        <v>1</v>
      </c>
      <c r="AC238" s="15" t="str">
        <f t="shared" si="40"/>
        <v/>
      </c>
      <c r="AD238" s="15" t="str">
        <f t="shared" si="41"/>
        <v>$LR89-NA-3$: 95,</v>
      </c>
      <c r="AE238" s="15" t="str">
        <f t="shared" si="81"/>
        <v/>
      </c>
      <c r="AF238" s="15" t="str">
        <f t="shared" si="78"/>
        <v/>
      </c>
      <c r="AG238" s="15" t="str">
        <f t="shared" si="79"/>
        <v/>
      </c>
    </row>
    <row r="239" ht="15.75" customHeight="1">
      <c r="A239" s="16" t="s">
        <v>333</v>
      </c>
      <c r="B239" s="16" t="s">
        <v>330</v>
      </c>
      <c r="C239" s="17">
        <f t="shared" si="1"/>
        <v>129</v>
      </c>
      <c r="D239" s="16">
        <v>1960.0</v>
      </c>
      <c r="E239" s="16"/>
      <c r="F239" s="16" t="b">
        <v>1</v>
      </c>
      <c r="G239" s="16" t="b">
        <v>0</v>
      </c>
      <c r="H239" s="16" t="b">
        <v>0</v>
      </c>
      <c r="I239" s="16" t="b">
        <v>0</v>
      </c>
      <c r="J239" s="18" t="b">
        <v>0</v>
      </c>
      <c r="K239" s="34">
        <f>828+30</f>
        <v>858</v>
      </c>
      <c r="L239" s="16">
        <v>831.4</v>
      </c>
      <c r="M239" s="16">
        <v>290.0</v>
      </c>
      <c r="N239" s="16">
        <v>4.04</v>
      </c>
      <c r="O239" s="16">
        <v>0.991189</v>
      </c>
      <c r="P239" s="16">
        <v>0.991189</v>
      </c>
      <c r="Q239" s="19">
        <f t="shared" si="2"/>
        <v>98.81026305</v>
      </c>
      <c r="R239" s="20">
        <f t="shared" si="3"/>
        <v>0.4534520087</v>
      </c>
      <c r="S239" s="21">
        <f t="shared" si="4"/>
        <v>4</v>
      </c>
      <c r="T239" s="17">
        <f t="shared" si="66"/>
        <v>377</v>
      </c>
      <c r="U239" s="22">
        <f>T239/vlookup(A239,Max!$A$2:$AP$700,column(Max!$AP$2),false)</f>
        <v>0.7854166667</v>
      </c>
      <c r="V239" s="17">
        <f t="shared" si="6"/>
        <v>282.682</v>
      </c>
      <c r="W239" s="23">
        <f t="shared" si="7"/>
        <v>0.9726726019</v>
      </c>
      <c r="X239" s="23">
        <f t="shared" si="8"/>
        <v>1.337818144</v>
      </c>
      <c r="Y239" s="23">
        <f t="shared" si="9"/>
        <v>1</v>
      </c>
      <c r="Z239" s="23">
        <f t="shared" si="10"/>
        <v>1.024642835</v>
      </c>
      <c r="AA239" s="24">
        <f t="shared" si="11"/>
        <v>129</v>
      </c>
      <c r="AB239" s="26">
        <f t="shared" si="82"/>
        <v>1</v>
      </c>
      <c r="AC239" s="26" t="str">
        <f t="shared" si="40"/>
        <v/>
      </c>
      <c r="AD239" s="26" t="str">
        <f t="shared" si="41"/>
        <v>$LR89-NA-5$: 129,</v>
      </c>
      <c r="AE239" s="26" t="str">
        <f t="shared" si="81"/>
        <v/>
      </c>
      <c r="AF239" s="26" t="str">
        <f t="shared" si="78"/>
        <v/>
      </c>
      <c r="AG239" s="26" t="str">
        <f t="shared" si="79"/>
        <v/>
      </c>
    </row>
    <row r="240" ht="15.75" customHeight="1">
      <c r="A240" s="7" t="s">
        <v>334</v>
      </c>
      <c r="B240" s="7" t="s">
        <v>330</v>
      </c>
      <c r="C240" s="8">
        <f t="shared" si="1"/>
        <v>124</v>
      </c>
      <c r="D240" s="7">
        <v>1962.0</v>
      </c>
      <c r="E240" s="7"/>
      <c r="F240" s="7" t="b">
        <v>1</v>
      </c>
      <c r="G240" s="7" t="b">
        <v>0</v>
      </c>
      <c r="H240" s="7" t="b">
        <v>0</v>
      </c>
      <c r="I240" s="7" t="b">
        <v>0</v>
      </c>
      <c r="J240" s="9" t="b">
        <v>0</v>
      </c>
      <c r="K240" s="7">
        <v>883.0</v>
      </c>
      <c r="L240" s="7">
        <v>846.6</v>
      </c>
      <c r="M240" s="7">
        <v>290.0</v>
      </c>
      <c r="N240" s="7">
        <v>4.04</v>
      </c>
      <c r="O240" s="7">
        <v>0.987581</v>
      </c>
      <c r="P240" s="7">
        <v>0.987581</v>
      </c>
      <c r="Q240" s="10">
        <f t="shared" si="2"/>
        <v>97.76803436</v>
      </c>
      <c r="R240" s="11">
        <f t="shared" si="3"/>
        <v>0.4394046775</v>
      </c>
      <c r="S240" s="12">
        <f t="shared" si="4"/>
        <v>4</v>
      </c>
      <c r="T240" s="8">
        <f t="shared" si="66"/>
        <v>372</v>
      </c>
      <c r="U240" s="13">
        <f>T240/vlookup(A240,Max!$A$2:$AP$700,column(Max!$AP$2),false)</f>
        <v>0.8454545455</v>
      </c>
      <c r="V240" s="8">
        <f t="shared" si="6"/>
        <v>287.7256957</v>
      </c>
      <c r="W240" s="14">
        <f t="shared" si="7"/>
        <v>0.9726726019</v>
      </c>
      <c r="X240" s="14">
        <f t="shared" si="8"/>
        <v>1.337818144</v>
      </c>
      <c r="Y240" s="14">
        <f t="shared" si="9"/>
        <v>1</v>
      </c>
      <c r="Z240" s="14">
        <f t="shared" si="10"/>
        <v>0.993902604</v>
      </c>
      <c r="AA240" s="27">
        <f t="shared" si="11"/>
        <v>124</v>
      </c>
      <c r="AB240" s="15">
        <f t="shared" si="82"/>
        <v>1</v>
      </c>
      <c r="AC240" s="15" t="str">
        <f t="shared" si="40"/>
        <v/>
      </c>
      <c r="AD240" s="15" t="str">
        <f t="shared" si="41"/>
        <v>$LR89-NA-6$: 124,</v>
      </c>
      <c r="AE240" s="15" t="str">
        <f t="shared" si="81"/>
        <v/>
      </c>
      <c r="AF240" s="15" t="str">
        <f t="shared" si="78"/>
        <v/>
      </c>
      <c r="AG240" s="15" t="str">
        <f t="shared" si="79"/>
        <v/>
      </c>
    </row>
    <row r="241" ht="15.75" customHeight="1">
      <c r="A241" s="16" t="s">
        <v>335</v>
      </c>
      <c r="B241" s="16" t="s">
        <v>330</v>
      </c>
      <c r="C241" s="17">
        <f t="shared" si="1"/>
        <v>163</v>
      </c>
      <c r="D241" s="16">
        <v>1965.0</v>
      </c>
      <c r="E241" s="16"/>
      <c r="F241" s="16" t="b">
        <v>1</v>
      </c>
      <c r="G241" s="16" t="b">
        <v>0</v>
      </c>
      <c r="H241" s="16" t="b">
        <v>0</v>
      </c>
      <c r="I241" s="16" t="b">
        <v>0</v>
      </c>
      <c r="J241" s="18" t="b">
        <v>0</v>
      </c>
      <c r="K241" s="16">
        <v>1018.0</v>
      </c>
      <c r="L241" s="16">
        <v>931.7</v>
      </c>
      <c r="M241" s="16">
        <v>292.2</v>
      </c>
      <c r="N241" s="16">
        <v>3.92</v>
      </c>
      <c r="O241" s="16">
        <v>0.993636</v>
      </c>
      <c r="P241" s="16">
        <v>0.993636</v>
      </c>
      <c r="Q241" s="19">
        <f t="shared" si="2"/>
        <v>93.32707199</v>
      </c>
      <c r="R241" s="20">
        <f t="shared" si="3"/>
        <v>0.4411291188</v>
      </c>
      <c r="S241" s="21">
        <f t="shared" si="4"/>
        <v>4</v>
      </c>
      <c r="T241" s="17">
        <f t="shared" si="66"/>
        <v>411</v>
      </c>
      <c r="U241" s="22">
        <f>T241/vlookup(A241,Max!$A$2:$AP$700,column(Max!$AP$2),false)</f>
        <v>0.9133333333</v>
      </c>
      <c r="V241" s="17">
        <f t="shared" si="6"/>
        <v>314.0878682</v>
      </c>
      <c r="W241" s="23">
        <f t="shared" si="7"/>
        <v>0.9782472781</v>
      </c>
      <c r="X241" s="23">
        <f t="shared" si="8"/>
        <v>1.325770931</v>
      </c>
      <c r="Y241" s="23">
        <f t="shared" si="9"/>
        <v>1</v>
      </c>
      <c r="Z241" s="23">
        <f t="shared" si="10"/>
        <v>1.009207125</v>
      </c>
      <c r="AA241" s="24">
        <f t="shared" si="11"/>
        <v>163</v>
      </c>
      <c r="AB241" s="26">
        <f t="shared" si="82"/>
        <v>1</v>
      </c>
      <c r="AC241" s="26" t="str">
        <f t="shared" si="40"/>
        <v/>
      </c>
      <c r="AD241" s="26" t="str">
        <f t="shared" si="41"/>
        <v>$LR89-NA-7.1$: 163,</v>
      </c>
      <c r="AE241" s="26" t="str">
        <f t="shared" si="81"/>
        <v/>
      </c>
      <c r="AF241" s="26" t="str">
        <f t="shared" si="78"/>
        <v/>
      </c>
      <c r="AG241" s="26" t="str">
        <f t="shared" si="79"/>
        <v/>
      </c>
    </row>
    <row r="242" ht="15.75" customHeight="1">
      <c r="A242" s="7" t="s">
        <v>336</v>
      </c>
      <c r="B242" s="7" t="s">
        <v>330</v>
      </c>
      <c r="C242" s="8">
        <f t="shared" si="1"/>
        <v>171</v>
      </c>
      <c r="D242" s="7">
        <v>1967.0</v>
      </c>
      <c r="E242" s="7"/>
      <c r="F242" s="7" t="b">
        <v>1</v>
      </c>
      <c r="G242" s="7" t="b">
        <v>0</v>
      </c>
      <c r="H242" s="7" t="b">
        <v>0</v>
      </c>
      <c r="I242" s="7" t="b">
        <v>0</v>
      </c>
      <c r="J242" s="9" t="b">
        <v>0</v>
      </c>
      <c r="K242" s="7">
        <v>1018.0</v>
      </c>
      <c r="L242" s="7">
        <v>950.8</v>
      </c>
      <c r="M242" s="7">
        <v>293.4</v>
      </c>
      <c r="N242" s="7">
        <v>4.12</v>
      </c>
      <c r="O242" s="7">
        <v>0.993636</v>
      </c>
      <c r="P242" s="7">
        <v>0.993636</v>
      </c>
      <c r="Q242" s="10">
        <f t="shared" si="2"/>
        <v>95.24029199</v>
      </c>
      <c r="R242" s="11">
        <f t="shared" si="3"/>
        <v>0.4406815313</v>
      </c>
      <c r="S242" s="12">
        <f t="shared" si="4"/>
        <v>4</v>
      </c>
      <c r="T242" s="8">
        <f t="shared" si="66"/>
        <v>419</v>
      </c>
      <c r="U242" s="13">
        <f>T242/vlookup(A242,Max!$A$2:$AP$700,column(Max!$AP$2),false)</f>
        <v>1.02195122</v>
      </c>
      <c r="V242" s="8">
        <f t="shared" si="6"/>
        <v>314.0878682</v>
      </c>
      <c r="W242" s="14">
        <f t="shared" si="7"/>
        <v>0.9813878804</v>
      </c>
      <c r="X242" s="14">
        <f t="shared" si="8"/>
        <v>1.345711107</v>
      </c>
      <c r="Y242" s="14">
        <f t="shared" si="9"/>
        <v>1</v>
      </c>
      <c r="Z242" s="14">
        <f t="shared" si="10"/>
        <v>1.009207125</v>
      </c>
      <c r="AA242" s="27">
        <f t="shared" si="11"/>
        <v>171</v>
      </c>
      <c r="AB242" s="15">
        <f t="shared" si="82"/>
        <v>1</v>
      </c>
      <c r="AC242" s="15" t="str">
        <f t="shared" si="40"/>
        <v/>
      </c>
      <c r="AD242" s="15" t="str">
        <f t="shared" si="41"/>
        <v>$LR89-NA-7.2$: 171,</v>
      </c>
      <c r="AE242" s="15" t="str">
        <f t="shared" si="81"/>
        <v/>
      </c>
      <c r="AF242" s="15" t="str">
        <f t="shared" si="78"/>
        <v/>
      </c>
      <c r="AG242" s="15" t="str">
        <f t="shared" si="79"/>
        <v/>
      </c>
    </row>
    <row r="243" ht="15.75" customHeight="1">
      <c r="A243" s="16" t="s">
        <v>337</v>
      </c>
      <c r="B243" s="16" t="s">
        <v>330</v>
      </c>
      <c r="C243" s="17">
        <f t="shared" si="1"/>
        <v>327</v>
      </c>
      <c r="D243" s="16">
        <v>1990.0</v>
      </c>
      <c r="E243" s="16"/>
      <c r="F243" s="16" t="b">
        <v>1</v>
      </c>
      <c r="G243" s="16" t="b">
        <v>0</v>
      </c>
      <c r="H243" s="16" t="b">
        <v>0</v>
      </c>
      <c r="I243" s="16" t="b">
        <v>0</v>
      </c>
      <c r="J243" s="18" t="b">
        <v>0</v>
      </c>
      <c r="K243" s="16">
        <v>1513.2</v>
      </c>
      <c r="L243" s="16">
        <v>1067.5</v>
      </c>
      <c r="M243" s="16">
        <v>295.0</v>
      </c>
      <c r="N243" s="16">
        <v>4.95</v>
      </c>
      <c r="O243" s="16">
        <v>0.999211</v>
      </c>
      <c r="P243" s="16">
        <v>0.999211</v>
      </c>
      <c r="Q243" s="19">
        <f t="shared" si="2"/>
        <v>71.93676012</v>
      </c>
      <c r="R243" s="20">
        <f t="shared" si="3"/>
        <v>0.5386416862</v>
      </c>
      <c r="S243" s="21">
        <f t="shared" si="4"/>
        <v>4</v>
      </c>
      <c r="T243" s="17">
        <f t="shared" si="66"/>
        <v>575</v>
      </c>
      <c r="U243" s="22">
        <f>T243/vlookup(A243,Max!$A$2:$AP$700,column(Max!$AP$2),false)</f>
        <v>1.982758621</v>
      </c>
      <c r="V243" s="17">
        <f t="shared" si="6"/>
        <v>401.1993839</v>
      </c>
      <c r="W243" s="23">
        <f t="shared" si="7"/>
        <v>0.985688335</v>
      </c>
      <c r="X243" s="23">
        <f t="shared" si="8"/>
        <v>1.421884211</v>
      </c>
      <c r="Y243" s="23">
        <f t="shared" si="9"/>
        <v>1</v>
      </c>
      <c r="Z243" s="23">
        <f t="shared" si="10"/>
        <v>1.023422662</v>
      </c>
      <c r="AA243" s="24">
        <f t="shared" si="11"/>
        <v>327</v>
      </c>
      <c r="AB243" s="26">
        <f t="shared" si="82"/>
        <v>1</v>
      </c>
      <c r="AC243" s="26" t="str">
        <f t="shared" si="40"/>
        <v/>
      </c>
      <c r="AD243" s="26" t="str">
        <f t="shared" si="41"/>
        <v>$RS-56-OBA$: 327,</v>
      </c>
      <c r="AE243" s="26" t="str">
        <f t="shared" ref="AE243:AE244" si="83">if(AB243=2,if(AF242&lt;&gt;AF243,char(9)&amp;char(9)&amp;"@CONFIG["&amp;AF243&amp;"]"&amp;char(10)&amp;char(9)&amp;char(9)&amp;"{"&amp;char(10),"")&amp;char(9)&amp;char(9)&amp;char(9)&amp;"@SUBCONFIG["&amp;AG243&amp;"] { %cost = "&amp;AA243&amp;" }"&amp;if(AF245&lt;&gt;AF243,char(10)&amp;char(9)&amp;char(9)&amp;"}",""),"")</f>
        <v/>
      </c>
      <c r="AF243" s="26" t="str">
        <f t="shared" si="78"/>
        <v/>
      </c>
      <c r="AG243" s="26" t="str">
        <f t="shared" si="79"/>
        <v/>
      </c>
    </row>
    <row r="244" ht="15.75" customHeight="1">
      <c r="A244" s="9" t="s">
        <v>338</v>
      </c>
      <c r="B244" s="9" t="s">
        <v>339</v>
      </c>
      <c r="C244" s="8">
        <f t="shared" si="1"/>
        <v>370</v>
      </c>
      <c r="D244" s="9">
        <v>1959.0</v>
      </c>
      <c r="E244" s="7"/>
      <c r="F244" s="7" t="b">
        <v>1</v>
      </c>
      <c r="G244" s="7" t="b">
        <v>0</v>
      </c>
      <c r="H244" s="7" t="b">
        <v>0</v>
      </c>
      <c r="I244" s="7" t="b">
        <v>0</v>
      </c>
      <c r="J244" s="9" t="b">
        <v>0</v>
      </c>
      <c r="K244" s="9">
        <v>621.0</v>
      </c>
      <c r="L244" s="9">
        <v>358.54</v>
      </c>
      <c r="M244" s="9">
        <v>312.5</v>
      </c>
      <c r="N244" s="9">
        <v>4.72</v>
      </c>
      <c r="O244" s="9">
        <v>0.987705</v>
      </c>
      <c r="P244" s="9">
        <v>0.993966</v>
      </c>
      <c r="Q244" s="10">
        <f t="shared" si="2"/>
        <v>58.87424315</v>
      </c>
      <c r="R244" s="11">
        <f t="shared" si="3"/>
        <v>1.031962961</v>
      </c>
      <c r="S244" s="12">
        <f t="shared" si="4"/>
        <v>4</v>
      </c>
      <c r="T244" s="8">
        <f t="shared" si="66"/>
        <v>370</v>
      </c>
      <c r="U244" s="13" t="str">
        <f>T244/vlookup(A244,Max!$A$2:$AP$700,column(Max!$AP$2),false)</f>
        <v>#N/A</v>
      </c>
      <c r="V244" s="8">
        <f t="shared" si="6"/>
        <v>231.7284635</v>
      </c>
      <c r="W244" s="14">
        <f t="shared" si="7"/>
        <v>1.08102364</v>
      </c>
      <c r="X244" s="14">
        <f t="shared" si="8"/>
        <v>1.401732916</v>
      </c>
      <c r="Y244" s="14">
        <f t="shared" si="9"/>
        <v>1</v>
      </c>
      <c r="Z244" s="14">
        <f t="shared" si="10"/>
        <v>1.053525482</v>
      </c>
      <c r="AA244" s="15">
        <f t="shared" si="11"/>
        <v>0</v>
      </c>
      <c r="AB244" s="29">
        <v>0.0</v>
      </c>
      <c r="AC244" s="15" t="str">
        <f t="shared" si="40"/>
        <v>{
$name$: $LR91-AJ-1$,
$config$: $LR91$,
$cost$: 370
},</v>
      </c>
      <c r="AD244" s="15" t="str">
        <f t="shared" si="41"/>
        <v/>
      </c>
      <c r="AE244" s="15" t="str">
        <f t="shared" si="83"/>
        <v/>
      </c>
      <c r="AF244" s="15" t="str">
        <f t="shared" si="78"/>
        <v/>
      </c>
      <c r="AG244" s="15" t="str">
        <f t="shared" si="79"/>
        <v/>
      </c>
    </row>
    <row r="245" ht="15.75" customHeight="1">
      <c r="A245" s="16" t="s">
        <v>340</v>
      </c>
      <c r="B245" s="16" t="s">
        <v>339</v>
      </c>
      <c r="C245" s="17">
        <f t="shared" si="1"/>
        <v>-57</v>
      </c>
      <c r="D245" s="18">
        <v>1960.0</v>
      </c>
      <c r="E245" s="16"/>
      <c r="F245" s="16" t="b">
        <v>1</v>
      </c>
      <c r="G245" s="16" t="b">
        <v>0</v>
      </c>
      <c r="H245" s="16" t="b">
        <v>1</v>
      </c>
      <c r="I245" s="16" t="b">
        <v>0</v>
      </c>
      <c r="J245" s="18" t="b">
        <v>0</v>
      </c>
      <c r="K245" s="16">
        <f>500*1.18</f>
        <v>590</v>
      </c>
      <c r="L245" s="18">
        <v>358.54</v>
      </c>
      <c r="M245" s="18">
        <v>312.5</v>
      </c>
      <c r="N245" s="18">
        <v>4.72</v>
      </c>
      <c r="O245" s="16">
        <v>0.987705</v>
      </c>
      <c r="P245" s="16">
        <v>0.993966</v>
      </c>
      <c r="Q245" s="19">
        <f t="shared" si="2"/>
        <v>61.96763558</v>
      </c>
      <c r="R245" s="20">
        <f t="shared" si="3"/>
        <v>0.8729848831</v>
      </c>
      <c r="S245" s="21">
        <f t="shared" si="4"/>
        <v>4</v>
      </c>
      <c r="T245" s="17">
        <f t="shared" si="66"/>
        <v>313</v>
      </c>
      <c r="U245" s="22">
        <f>T245/vlookup(A245,Max!$A$2:$AP$700,column(Max!$AP$2),false)</f>
        <v>1.360869565</v>
      </c>
      <c r="V245" s="17">
        <f t="shared" si="6"/>
        <v>224.557802</v>
      </c>
      <c r="W245" s="23">
        <f t="shared" si="7"/>
        <v>1.08102364</v>
      </c>
      <c r="X245" s="23">
        <f t="shared" si="8"/>
        <v>1.288246448</v>
      </c>
      <c r="Y245" s="23">
        <f t="shared" si="9"/>
        <v>1</v>
      </c>
      <c r="Z245" s="23">
        <f t="shared" si="10"/>
        <v>1.000410581</v>
      </c>
      <c r="AA245" s="24">
        <f t="shared" si="11"/>
        <v>-57</v>
      </c>
      <c r="AB245" s="25">
        <v>1.0</v>
      </c>
      <c r="AC245" s="26" t="str">
        <f t="shared" si="40"/>
        <v/>
      </c>
      <c r="AD245" s="26" t="str">
        <f t="shared" si="41"/>
        <v>$LR91-AJ-3$: -57,</v>
      </c>
      <c r="AE245" s="26" t="str">
        <f>if(AB245=2,if(AF243&lt;&gt;AF245,char(9)&amp;char(9)&amp;"@CONFIG["&amp;AF245&amp;"]"&amp;char(10)&amp;char(9)&amp;char(9)&amp;"{"&amp;char(10),"")&amp;char(9)&amp;char(9)&amp;char(9)&amp;"@SUBCONFIG["&amp;AG245&amp;"] { %cost = "&amp;AA245&amp;" }"&amp;if(AF246&lt;&gt;AF245,char(10)&amp;char(9)&amp;char(9)&amp;"}",""),"")</f>
        <v/>
      </c>
      <c r="AF245" s="26" t="str">
        <f t="shared" si="78"/>
        <v/>
      </c>
      <c r="AG245" s="26" t="str">
        <f t="shared" si="79"/>
        <v/>
      </c>
    </row>
    <row r="246" ht="15.75" customHeight="1">
      <c r="A246" s="7" t="s">
        <v>341</v>
      </c>
      <c r="B246" s="7" t="s">
        <v>339</v>
      </c>
      <c r="C246" s="8">
        <f t="shared" si="1"/>
        <v>-83</v>
      </c>
      <c r="D246" s="7">
        <v>1962.0</v>
      </c>
      <c r="E246" s="7"/>
      <c r="F246" s="7" t="b">
        <v>1</v>
      </c>
      <c r="G246" s="7" t="b">
        <v>0</v>
      </c>
      <c r="H246" s="7" t="b">
        <v>1</v>
      </c>
      <c r="I246" s="7" t="b">
        <v>0</v>
      </c>
      <c r="J246" s="9" t="b">
        <v>0</v>
      </c>
      <c r="K246" s="7">
        <f>500*1</f>
        <v>500</v>
      </c>
      <c r="L246" s="9">
        <v>448.7</v>
      </c>
      <c r="M246" s="9">
        <v>309.2</v>
      </c>
      <c r="N246" s="7">
        <v>5.7</v>
      </c>
      <c r="O246" s="7">
        <v>0.99837</v>
      </c>
      <c r="P246" s="7">
        <v>0.991848</v>
      </c>
      <c r="Q246" s="10">
        <f t="shared" si="2"/>
        <v>91.50933269</v>
      </c>
      <c r="R246" s="11">
        <f t="shared" si="3"/>
        <v>0.639625585</v>
      </c>
      <c r="S246" s="12">
        <f t="shared" si="4"/>
        <v>4</v>
      </c>
      <c r="T246" s="8">
        <f t="shared" si="66"/>
        <v>287</v>
      </c>
      <c r="U246" s="13">
        <f>T246/vlookup(A246,Max!$A$2:$AP$700,column(Max!$AP$2),false)</f>
        <v>1.025</v>
      </c>
      <c r="V246" s="8">
        <f t="shared" si="6"/>
        <v>202.8838987</v>
      </c>
      <c r="W246" s="14">
        <f t="shared" si="7"/>
        <v>1.05105991</v>
      </c>
      <c r="X246" s="14">
        <f t="shared" si="8"/>
        <v>1.344107012</v>
      </c>
      <c r="Y246" s="14">
        <f t="shared" si="9"/>
        <v>1</v>
      </c>
      <c r="Z246" s="14">
        <f t="shared" si="10"/>
        <v>1.000584162</v>
      </c>
      <c r="AA246" s="27">
        <f t="shared" si="11"/>
        <v>-83</v>
      </c>
      <c r="AB246" s="15">
        <f t="shared" ref="AB246:AB255" si="84">if(iserror(find("$",A246)),1,2)</f>
        <v>1</v>
      </c>
      <c r="AC246" s="15" t="str">
        <f t="shared" si="40"/>
        <v/>
      </c>
      <c r="AD246" s="15" t="str">
        <f t="shared" si="41"/>
        <v>$LR91-AJ-5$: -83,</v>
      </c>
      <c r="AE246" s="15" t="str">
        <f>if(AB246=2,if(AF245&lt;&gt;AF246,char(9)&amp;char(9)&amp;"@CONFIG["&amp;AF246&amp;"]"&amp;char(10)&amp;char(9)&amp;char(9)&amp;"{"&amp;char(10),"")&amp;char(9)&amp;char(9)&amp;char(9)&amp;"@SUBCONFIG["&amp;AG246&amp;"] { %cost = "&amp;AA246&amp;" }"&amp;if(AF248&lt;&gt;AF246,char(10)&amp;char(9)&amp;char(9)&amp;"}",""),"")</f>
        <v/>
      </c>
      <c r="AF246" s="15" t="str">
        <f t="shared" si="78"/>
        <v/>
      </c>
      <c r="AG246" s="15" t="str">
        <f t="shared" si="79"/>
        <v/>
      </c>
    </row>
    <row r="247" ht="15.75" customHeight="1">
      <c r="A247" s="18" t="s">
        <v>342</v>
      </c>
      <c r="B247" s="18" t="s">
        <v>339</v>
      </c>
      <c r="C247" s="17">
        <f t="shared" si="1"/>
        <v>-55</v>
      </c>
      <c r="D247" s="16">
        <v>1962.0</v>
      </c>
      <c r="E247" s="16"/>
      <c r="F247" s="16" t="b">
        <v>1</v>
      </c>
      <c r="G247" s="16" t="b">
        <v>0</v>
      </c>
      <c r="H247" s="16" t="b">
        <v>1</v>
      </c>
      <c r="I247" s="16" t="b">
        <v>0</v>
      </c>
      <c r="J247" s="18" t="b">
        <v>0</v>
      </c>
      <c r="K247" s="18">
        <v>550.0</v>
      </c>
      <c r="L247" s="18">
        <v>391.8</v>
      </c>
      <c r="M247" s="18">
        <v>313.3</v>
      </c>
      <c r="N247" s="16">
        <v>5.7</v>
      </c>
      <c r="O247" s="16">
        <v>0.99837</v>
      </c>
      <c r="P247" s="16">
        <v>0.991848</v>
      </c>
      <c r="Q247" s="19">
        <f t="shared" si="2"/>
        <v>72.64087474</v>
      </c>
      <c r="R247" s="20">
        <f t="shared" si="3"/>
        <v>0.8039816233</v>
      </c>
      <c r="S247" s="21">
        <f t="shared" si="4"/>
        <v>4</v>
      </c>
      <c r="T247" s="17">
        <f t="shared" si="66"/>
        <v>315</v>
      </c>
      <c r="U247" s="22" t="str">
        <f>T247/vlookup(A247,Max!$A$2:$AP$700,column(Max!$AP$2),false)</f>
        <v>#N/A</v>
      </c>
      <c r="V247" s="17">
        <f t="shared" si="6"/>
        <v>215.091411</v>
      </c>
      <c r="W247" s="23">
        <f t="shared" si="7"/>
        <v>1.089229131</v>
      </c>
      <c r="X247" s="23">
        <f t="shared" si="8"/>
        <v>1.344107012</v>
      </c>
      <c r="Y247" s="23">
        <f t="shared" si="9"/>
        <v>1</v>
      </c>
      <c r="Z247" s="23">
        <f t="shared" si="10"/>
        <v>1.000584162</v>
      </c>
      <c r="AA247" s="24">
        <f t="shared" si="11"/>
        <v>-55</v>
      </c>
      <c r="AB247" s="26">
        <f t="shared" si="84"/>
        <v>1</v>
      </c>
      <c r="AC247" s="26" t="str">
        <f t="shared" si="40"/>
        <v/>
      </c>
      <c r="AD247" s="26" t="str">
        <f t="shared" si="41"/>
        <v>$LR91-AJ-5-Kero$: -55,</v>
      </c>
      <c r="AE247" s="26" t="str">
        <f>if(AB247=2,if(AF246&lt;&gt;AF247,char(9)&amp;char(9)&amp;"@CONFIG["&amp;AF247&amp;"]"&amp;char(10)&amp;char(9)&amp;char(9)&amp;"{"&amp;char(10),"")&amp;char(9)&amp;char(9)&amp;char(9)&amp;"@SUBCONFIG["&amp;AG247&amp;"] { %cost = "&amp;AA247&amp;" }"&amp;if(AF250&lt;&gt;AF247,char(10)&amp;char(9)&amp;char(9)&amp;"}",""),"")</f>
        <v/>
      </c>
      <c r="AF247" s="26" t="str">
        <f t="shared" si="78"/>
        <v/>
      </c>
      <c r="AG247" s="26" t="str">
        <f t="shared" si="79"/>
        <v/>
      </c>
    </row>
    <row r="248" ht="15.75" customHeight="1">
      <c r="A248" s="7" t="s">
        <v>343</v>
      </c>
      <c r="B248" s="7" t="s">
        <v>339</v>
      </c>
      <c r="C248" s="8">
        <f t="shared" si="1"/>
        <v>-82</v>
      </c>
      <c r="D248" s="7">
        <v>1964.0</v>
      </c>
      <c r="E248" s="7"/>
      <c r="F248" s="7" t="b">
        <v>1</v>
      </c>
      <c r="G248" s="7" t="b">
        <v>0</v>
      </c>
      <c r="H248" s="7" t="b">
        <v>1</v>
      </c>
      <c r="I248" s="7" t="b">
        <v>0</v>
      </c>
      <c r="J248" s="9" t="b">
        <v>0</v>
      </c>
      <c r="K248" s="9">
        <v>500.0</v>
      </c>
      <c r="L248" s="9">
        <v>448.7</v>
      </c>
      <c r="M248" s="9">
        <v>309.9</v>
      </c>
      <c r="N248" s="7">
        <v>5.7</v>
      </c>
      <c r="O248" s="7">
        <v>0.99837</v>
      </c>
      <c r="P248" s="7">
        <v>0.991848</v>
      </c>
      <c r="Q248" s="10">
        <f t="shared" si="2"/>
        <v>91.50933269</v>
      </c>
      <c r="R248" s="11">
        <f t="shared" si="3"/>
        <v>0.6418542456</v>
      </c>
      <c r="S248" s="12">
        <f t="shared" si="4"/>
        <v>4</v>
      </c>
      <c r="T248" s="8">
        <f t="shared" si="66"/>
        <v>288</v>
      </c>
      <c r="U248" s="13">
        <f>T248/vlookup(A248,Max!$A$2:$AP$700,column(Max!$AP$2),false)</f>
        <v>1.152</v>
      </c>
      <c r="V248" s="8">
        <f t="shared" si="6"/>
        <v>202.8838987</v>
      </c>
      <c r="W248" s="14">
        <f t="shared" si="7"/>
        <v>1.056895232</v>
      </c>
      <c r="X248" s="14">
        <f t="shared" si="8"/>
        <v>1.344107012</v>
      </c>
      <c r="Y248" s="14">
        <f t="shared" si="9"/>
        <v>1</v>
      </c>
      <c r="Z248" s="14">
        <f t="shared" si="10"/>
        <v>1.000584162</v>
      </c>
      <c r="AA248" s="27">
        <f t="shared" si="11"/>
        <v>-82</v>
      </c>
      <c r="AB248" s="15">
        <f t="shared" si="84"/>
        <v>1</v>
      </c>
      <c r="AC248" s="15" t="str">
        <f t="shared" si="40"/>
        <v/>
      </c>
      <c r="AD248" s="15" t="str">
        <f t="shared" si="41"/>
        <v>$LR91-AJ-7$: -82,</v>
      </c>
      <c r="AE248" s="15" t="str">
        <f>if(AB248=2,if(AF246&lt;&gt;AF248,char(9)&amp;char(9)&amp;"@CONFIG["&amp;AF248&amp;"]"&amp;char(10)&amp;char(9)&amp;char(9)&amp;"{"&amp;char(10),"")&amp;char(9)&amp;char(9)&amp;char(9)&amp;"@SUBCONFIG["&amp;AG248&amp;"] { %cost = "&amp;AA248&amp;" }"&amp;if(AF250&lt;&gt;AF248,char(10)&amp;char(9)&amp;char(9)&amp;"}",""),"")</f>
        <v/>
      </c>
      <c r="AF248" s="15" t="str">
        <f t="shared" si="78"/>
        <v/>
      </c>
      <c r="AG248" s="15" t="str">
        <f t="shared" si="79"/>
        <v/>
      </c>
    </row>
    <row r="249" ht="15.75" customHeight="1">
      <c r="A249" s="18" t="s">
        <v>344</v>
      </c>
      <c r="B249" s="18" t="s">
        <v>339</v>
      </c>
      <c r="C249" s="17">
        <f t="shared" si="1"/>
        <v>-55</v>
      </c>
      <c r="D249" s="16">
        <v>1964.0</v>
      </c>
      <c r="E249" s="16"/>
      <c r="F249" s="16" t="b">
        <v>1</v>
      </c>
      <c r="G249" s="16" t="b">
        <v>0</v>
      </c>
      <c r="H249" s="16" t="b">
        <v>1</v>
      </c>
      <c r="I249" s="16" t="b">
        <v>0</v>
      </c>
      <c r="J249" s="18" t="b">
        <v>0</v>
      </c>
      <c r="K249" s="18">
        <v>550.0</v>
      </c>
      <c r="L249" s="18">
        <v>391.8</v>
      </c>
      <c r="M249" s="18">
        <v>313.3</v>
      </c>
      <c r="N249" s="16">
        <v>5.7</v>
      </c>
      <c r="O249" s="16">
        <v>0.99837</v>
      </c>
      <c r="P249" s="16">
        <v>0.991848</v>
      </c>
      <c r="Q249" s="19">
        <f t="shared" si="2"/>
        <v>72.64087474</v>
      </c>
      <c r="R249" s="20">
        <f t="shared" si="3"/>
        <v>0.8039816233</v>
      </c>
      <c r="S249" s="21">
        <f t="shared" si="4"/>
        <v>4</v>
      </c>
      <c r="T249" s="17">
        <f t="shared" si="66"/>
        <v>315</v>
      </c>
      <c r="U249" s="22" t="str">
        <f>T249/vlookup(A249,Max!$A$2:$AP$700,column(Max!$AP$2),false)</f>
        <v>#N/A</v>
      </c>
      <c r="V249" s="17">
        <f t="shared" si="6"/>
        <v>215.091411</v>
      </c>
      <c r="W249" s="23">
        <f t="shared" si="7"/>
        <v>1.089229131</v>
      </c>
      <c r="X249" s="23">
        <f t="shared" si="8"/>
        <v>1.344107012</v>
      </c>
      <c r="Y249" s="23">
        <f t="shared" si="9"/>
        <v>1</v>
      </c>
      <c r="Z249" s="23">
        <f t="shared" si="10"/>
        <v>1.000584162</v>
      </c>
      <c r="AA249" s="24">
        <f t="shared" si="11"/>
        <v>-55</v>
      </c>
      <c r="AB249" s="26">
        <f t="shared" si="84"/>
        <v>1</v>
      </c>
      <c r="AC249" s="26" t="str">
        <f t="shared" si="40"/>
        <v/>
      </c>
      <c r="AD249" s="26" t="str">
        <f t="shared" si="41"/>
        <v>$LR91-AJ-7-Kero$: -55,</v>
      </c>
      <c r="AE249" s="26" t="str">
        <f>if(AB249=2,if(AF247&lt;&gt;AF249,char(9)&amp;char(9)&amp;"@CONFIG["&amp;AF249&amp;"]"&amp;char(10)&amp;char(9)&amp;char(9)&amp;"{"&amp;char(10),"")&amp;char(9)&amp;char(9)&amp;char(9)&amp;"@SUBCONFIG["&amp;AG249&amp;"] { %cost = "&amp;AA249&amp;" }"&amp;if(AF252&lt;&gt;AF249,char(10)&amp;char(9)&amp;char(9)&amp;"}",""),"")</f>
        <v/>
      </c>
      <c r="AF249" s="26" t="str">
        <f t="shared" si="78"/>
        <v/>
      </c>
      <c r="AG249" s="26" t="str">
        <f t="shared" si="79"/>
        <v/>
      </c>
    </row>
    <row r="250" ht="15.75" customHeight="1">
      <c r="A250" s="7" t="s">
        <v>345</v>
      </c>
      <c r="B250" s="7" t="s">
        <v>339</v>
      </c>
      <c r="C250" s="8">
        <f t="shared" si="1"/>
        <v>-85</v>
      </c>
      <c r="D250" s="7">
        <v>1965.0</v>
      </c>
      <c r="E250" s="7"/>
      <c r="F250" s="7" t="b">
        <v>1</v>
      </c>
      <c r="G250" s="7" t="b">
        <v>0</v>
      </c>
      <c r="H250" s="7" t="b">
        <v>1</v>
      </c>
      <c r="I250" s="7" t="b">
        <v>0</v>
      </c>
      <c r="J250" s="9" t="b">
        <v>0</v>
      </c>
      <c r="K250" s="9">
        <v>500.0</v>
      </c>
      <c r="L250" s="9">
        <v>448.7</v>
      </c>
      <c r="M250" s="9">
        <v>309.2</v>
      </c>
      <c r="N250" s="7">
        <v>5.7</v>
      </c>
      <c r="O250" s="7">
        <v>0.99625</v>
      </c>
      <c r="P250" s="7">
        <v>0.99125</v>
      </c>
      <c r="Q250" s="10">
        <f t="shared" si="2"/>
        <v>91.50933269</v>
      </c>
      <c r="R250" s="11">
        <f t="shared" si="3"/>
        <v>0.6351682639</v>
      </c>
      <c r="S250" s="12">
        <f t="shared" si="4"/>
        <v>4</v>
      </c>
      <c r="T250" s="8">
        <f t="shared" si="66"/>
        <v>285</v>
      </c>
      <c r="U250" s="13">
        <f>T250/vlookup(A250,Max!$A$2:$AP$700,column(Max!$AP$2),false)</f>
        <v>1.1875</v>
      </c>
      <c r="V250" s="8">
        <f t="shared" si="6"/>
        <v>202.8838987</v>
      </c>
      <c r="W250" s="14">
        <f t="shared" si="7"/>
        <v>1.05105991</v>
      </c>
      <c r="X250" s="14">
        <f t="shared" si="8"/>
        <v>1.344107012</v>
      </c>
      <c r="Y250" s="14">
        <f t="shared" si="9"/>
        <v>1</v>
      </c>
      <c r="Z250" s="14">
        <f t="shared" si="10"/>
        <v>0.9937813686</v>
      </c>
      <c r="AA250" s="27">
        <f t="shared" si="11"/>
        <v>-85</v>
      </c>
      <c r="AB250" s="15">
        <f t="shared" si="84"/>
        <v>1</v>
      </c>
      <c r="AC250" s="15" t="str">
        <f t="shared" si="40"/>
        <v/>
      </c>
      <c r="AD250" s="15" t="str">
        <f t="shared" si="41"/>
        <v>$LR91-AJ-9$: -85,</v>
      </c>
      <c r="AE250" s="15" t="str">
        <f>if(AB250=2,if(AF248&lt;&gt;AF250,char(9)&amp;char(9)&amp;"@CONFIG["&amp;AF250&amp;"]"&amp;char(10)&amp;char(9)&amp;char(9)&amp;"{"&amp;char(10),"")&amp;char(9)&amp;char(9)&amp;char(9)&amp;"@SUBCONFIG["&amp;AG250&amp;"] { %cost = "&amp;AA250&amp;" }"&amp;if(AF252&lt;&gt;AF250,char(10)&amp;char(9)&amp;char(9)&amp;"}",""),"")</f>
        <v/>
      </c>
      <c r="AF250" s="15" t="str">
        <f t="shared" si="78"/>
        <v/>
      </c>
      <c r="AG250" s="15" t="str">
        <f t="shared" si="79"/>
        <v/>
      </c>
    </row>
    <row r="251" ht="15.75" customHeight="1">
      <c r="A251" s="18" t="s">
        <v>346</v>
      </c>
      <c r="B251" s="18" t="s">
        <v>339</v>
      </c>
      <c r="C251" s="17">
        <f t="shared" si="1"/>
        <v>-57</v>
      </c>
      <c r="D251" s="16">
        <v>1965.0</v>
      </c>
      <c r="E251" s="16"/>
      <c r="F251" s="16" t="b">
        <v>1</v>
      </c>
      <c r="G251" s="16" t="b">
        <v>0</v>
      </c>
      <c r="H251" s="16" t="b">
        <v>1</v>
      </c>
      <c r="I251" s="16" t="b">
        <v>0</v>
      </c>
      <c r="J251" s="18" t="b">
        <v>0</v>
      </c>
      <c r="K251" s="18">
        <v>550.0</v>
      </c>
      <c r="L251" s="18">
        <v>391.8</v>
      </c>
      <c r="M251" s="18">
        <v>313.3</v>
      </c>
      <c r="N251" s="16">
        <v>5.7</v>
      </c>
      <c r="O251" s="16">
        <v>0.99625</v>
      </c>
      <c r="P251" s="16">
        <v>0.99125</v>
      </c>
      <c r="Q251" s="19">
        <f t="shared" si="2"/>
        <v>72.64087474</v>
      </c>
      <c r="R251" s="20">
        <f t="shared" si="3"/>
        <v>0.7988769781</v>
      </c>
      <c r="S251" s="21">
        <f t="shared" si="4"/>
        <v>4</v>
      </c>
      <c r="T251" s="17">
        <f t="shared" si="66"/>
        <v>313</v>
      </c>
      <c r="U251" s="22" t="str">
        <f>T251/vlookup(A251,Max!$A$2:$AP$700,column(Max!$AP$2),false)</f>
        <v>#N/A</v>
      </c>
      <c r="V251" s="17">
        <f t="shared" si="6"/>
        <v>215.091411</v>
      </c>
      <c r="W251" s="23">
        <f t="shared" si="7"/>
        <v>1.089229131</v>
      </c>
      <c r="X251" s="23">
        <f t="shared" si="8"/>
        <v>1.344107012</v>
      </c>
      <c r="Y251" s="23">
        <f t="shared" si="9"/>
        <v>1</v>
      </c>
      <c r="Z251" s="23">
        <f t="shared" si="10"/>
        <v>0.9937813686</v>
      </c>
      <c r="AA251" s="24">
        <f t="shared" si="11"/>
        <v>-57</v>
      </c>
      <c r="AB251" s="26">
        <f t="shared" si="84"/>
        <v>1</v>
      </c>
      <c r="AC251" s="26" t="str">
        <f t="shared" si="40"/>
        <v/>
      </c>
      <c r="AD251" s="26" t="str">
        <f t="shared" si="41"/>
        <v>$LR91-AJ-9-Kero$: -57,</v>
      </c>
      <c r="AE251" s="26" t="str">
        <f>if(AB251=2,if(AF249&lt;&gt;AF251,char(9)&amp;char(9)&amp;"@CONFIG["&amp;AF251&amp;"]"&amp;char(10)&amp;char(9)&amp;char(9)&amp;"{"&amp;char(10),"")&amp;char(9)&amp;char(9)&amp;char(9)&amp;"@SUBCONFIG["&amp;AG251&amp;"] { %cost = "&amp;AA251&amp;" }"&amp;if(AF254&lt;&gt;AF251,char(10)&amp;char(9)&amp;char(9)&amp;"}",""),"")</f>
        <v/>
      </c>
      <c r="AF251" s="26" t="str">
        <f t="shared" si="78"/>
        <v/>
      </c>
      <c r="AG251" s="26" t="str">
        <f t="shared" si="79"/>
        <v/>
      </c>
    </row>
    <row r="252" ht="15.75" customHeight="1">
      <c r="A252" s="7" t="s">
        <v>347</v>
      </c>
      <c r="B252" s="7" t="s">
        <v>339</v>
      </c>
      <c r="C252" s="8">
        <f t="shared" si="1"/>
        <v>-24</v>
      </c>
      <c r="D252" s="7">
        <v>1971.0</v>
      </c>
      <c r="E252" s="7"/>
      <c r="F252" s="7" t="b">
        <v>1</v>
      </c>
      <c r="G252" s="7" t="b">
        <v>0</v>
      </c>
      <c r="H252" s="7" t="b">
        <v>1</v>
      </c>
      <c r="I252" s="7" t="b">
        <v>0</v>
      </c>
      <c r="J252" s="9" t="b">
        <v>0</v>
      </c>
      <c r="K252" s="7">
        <f>500*1.178</f>
        <v>589</v>
      </c>
      <c r="L252" s="9">
        <v>448.7</v>
      </c>
      <c r="M252" s="7">
        <v>318.0</v>
      </c>
      <c r="N252" s="7">
        <v>5.7</v>
      </c>
      <c r="O252" s="7">
        <v>0.998649</v>
      </c>
      <c r="P252" s="7">
        <v>0.996847</v>
      </c>
      <c r="Q252" s="10">
        <f t="shared" si="2"/>
        <v>77.68194625</v>
      </c>
      <c r="R252" s="11">
        <f t="shared" si="3"/>
        <v>0.7711165589</v>
      </c>
      <c r="S252" s="12">
        <f t="shared" si="4"/>
        <v>4</v>
      </c>
      <c r="T252" s="8">
        <f t="shared" si="66"/>
        <v>346</v>
      </c>
      <c r="U252" s="13">
        <f>T252/vlookup(A252,Max!$A$2:$AP$700,column(Max!$AP$2),false)</f>
        <v>1.647619048</v>
      </c>
      <c r="V252" s="8">
        <f t="shared" si="6"/>
        <v>224.3241539</v>
      </c>
      <c r="W252" s="14">
        <f t="shared" si="7"/>
        <v>1.131484045</v>
      </c>
      <c r="X252" s="14">
        <f t="shared" si="8"/>
        <v>1.344107012</v>
      </c>
      <c r="Y252" s="14">
        <f t="shared" si="9"/>
        <v>1</v>
      </c>
      <c r="Z252" s="14">
        <f t="shared" si="10"/>
        <v>1.013947474</v>
      </c>
      <c r="AA252" s="27">
        <f t="shared" si="11"/>
        <v>-24</v>
      </c>
      <c r="AB252" s="15">
        <f t="shared" si="84"/>
        <v>1</v>
      </c>
      <c r="AC252" s="15" t="str">
        <f t="shared" si="40"/>
        <v/>
      </c>
      <c r="AD252" s="15" t="str">
        <f t="shared" si="41"/>
        <v>$LR91-AJ-11$: -24,</v>
      </c>
      <c r="AE252" s="15" t="str">
        <f>if(AB252=2,if(AF250&lt;&gt;AF252,char(9)&amp;char(9)&amp;"@CONFIG["&amp;AF252&amp;"]"&amp;char(10)&amp;char(9)&amp;char(9)&amp;"{"&amp;char(10),"")&amp;char(9)&amp;char(9)&amp;char(9)&amp;"@SUBCONFIG["&amp;AG252&amp;"] { %cost = "&amp;AA252&amp;" }"&amp;if(AF254&lt;&gt;AF252,char(10)&amp;char(9)&amp;char(9)&amp;"}",""),"")</f>
        <v/>
      </c>
      <c r="AF252" s="15" t="str">
        <f t="shared" si="78"/>
        <v/>
      </c>
      <c r="AG252" s="15" t="str">
        <f t="shared" si="79"/>
        <v/>
      </c>
    </row>
    <row r="253" ht="15.75" customHeight="1">
      <c r="A253" s="18" t="s">
        <v>348</v>
      </c>
      <c r="B253" s="18" t="s">
        <v>339</v>
      </c>
      <c r="C253" s="17">
        <f t="shared" si="1"/>
        <v>2</v>
      </c>
      <c r="D253" s="16">
        <v>1971.0</v>
      </c>
      <c r="E253" s="16"/>
      <c r="F253" s="16" t="b">
        <v>1</v>
      </c>
      <c r="G253" s="16" t="b">
        <v>0</v>
      </c>
      <c r="H253" s="16" t="b">
        <v>1</v>
      </c>
      <c r="I253" s="16" t="b">
        <v>0</v>
      </c>
      <c r="J253" s="18" t="b">
        <v>0</v>
      </c>
      <c r="K253" s="18">
        <v>648.0</v>
      </c>
      <c r="L253" s="18">
        <v>391.8</v>
      </c>
      <c r="M253" s="18">
        <v>319.9</v>
      </c>
      <c r="N253" s="16">
        <v>5.7</v>
      </c>
      <c r="O253" s="16">
        <v>0.998649</v>
      </c>
      <c r="P253" s="16">
        <v>0.996847</v>
      </c>
      <c r="Q253" s="19">
        <f t="shared" si="2"/>
        <v>61.65506344</v>
      </c>
      <c r="R253" s="20">
        <f t="shared" si="3"/>
        <v>0.9494640123</v>
      </c>
      <c r="S253" s="21">
        <f t="shared" si="4"/>
        <v>4</v>
      </c>
      <c r="T253" s="17">
        <f t="shared" si="66"/>
        <v>372</v>
      </c>
      <c r="U253" s="22" t="str">
        <f>T253/vlookup(A253,Max!$A$2:$AP$700,column(Max!$AP$2),false)</f>
        <v>#N/A</v>
      </c>
      <c r="V253" s="17">
        <f t="shared" si="6"/>
        <v>237.8645102</v>
      </c>
      <c r="W253" s="23">
        <f t="shared" si="7"/>
        <v>1.146796715</v>
      </c>
      <c r="X253" s="23">
        <f t="shared" si="8"/>
        <v>1.344107012</v>
      </c>
      <c r="Y253" s="23">
        <f t="shared" si="9"/>
        <v>1</v>
      </c>
      <c r="Z253" s="23">
        <f t="shared" si="10"/>
        <v>1.013947474</v>
      </c>
      <c r="AA253" s="24">
        <f t="shared" si="11"/>
        <v>2</v>
      </c>
      <c r="AB253" s="26">
        <f t="shared" si="84"/>
        <v>1</v>
      </c>
      <c r="AC253" s="26" t="str">
        <f t="shared" si="40"/>
        <v/>
      </c>
      <c r="AD253" s="26" t="str">
        <f t="shared" si="41"/>
        <v>$LR91-AJ-11-Kero$: 2,</v>
      </c>
      <c r="AE253" s="26" t="str">
        <f>if(AB253=2,if(AF251&lt;&gt;AF253,char(9)&amp;char(9)&amp;"@CONFIG["&amp;AF253&amp;"]"&amp;char(10)&amp;char(9)&amp;char(9)&amp;"{"&amp;char(10),"")&amp;char(9)&amp;char(9)&amp;char(9)&amp;"@SUBCONFIG["&amp;AG253&amp;"] { %cost = "&amp;AA253&amp;" }"&amp;if(AF256&lt;&gt;AF253,char(10)&amp;char(9)&amp;char(9)&amp;"}",""),"")</f>
        <v/>
      </c>
      <c r="AF253" s="26" t="str">
        <f t="shared" si="78"/>
        <v/>
      </c>
      <c r="AG253" s="26" t="str">
        <f t="shared" si="79"/>
        <v/>
      </c>
    </row>
    <row r="254" ht="15.75" customHeight="1">
      <c r="A254" s="7" t="s">
        <v>349</v>
      </c>
      <c r="B254" s="7" t="s">
        <v>339</v>
      </c>
      <c r="C254" s="8">
        <f t="shared" si="1"/>
        <v>-22</v>
      </c>
      <c r="D254" s="9">
        <v>1989.0</v>
      </c>
      <c r="E254" s="7"/>
      <c r="F254" s="7" t="b">
        <v>1</v>
      </c>
      <c r="G254" s="7" t="b">
        <v>0</v>
      </c>
      <c r="H254" s="7" t="b">
        <v>1</v>
      </c>
      <c r="I254" s="7" t="b">
        <v>0</v>
      </c>
      <c r="J254" s="9" t="b">
        <v>0</v>
      </c>
      <c r="K254" s="7">
        <f>500*1.178</f>
        <v>589</v>
      </c>
      <c r="L254" s="7">
        <v>474.6</v>
      </c>
      <c r="M254" s="9">
        <v>317.7</v>
      </c>
      <c r="N254" s="7">
        <v>6.06</v>
      </c>
      <c r="O254" s="7">
        <v>0.996341</v>
      </c>
      <c r="P254" s="7">
        <v>0.996341</v>
      </c>
      <c r="Q254" s="10">
        <f t="shared" si="2"/>
        <v>82.16592755</v>
      </c>
      <c r="R254" s="11">
        <f t="shared" si="3"/>
        <v>0.7332490518</v>
      </c>
      <c r="S254" s="12">
        <f t="shared" si="4"/>
        <v>4</v>
      </c>
      <c r="T254" s="8">
        <f t="shared" si="66"/>
        <v>348</v>
      </c>
      <c r="U254" s="13">
        <f>T254/vlookup(A254,Max!$A$2:$AP$700,column(Max!$AP$2),false)</f>
        <v>2.32</v>
      </c>
      <c r="V254" s="8">
        <f t="shared" si="6"/>
        <v>224.3241539</v>
      </c>
      <c r="W254" s="14">
        <f t="shared" si="7"/>
        <v>1.129092814</v>
      </c>
      <c r="X254" s="14">
        <f t="shared" si="8"/>
        <v>1.362756758</v>
      </c>
      <c r="Y254" s="14">
        <f t="shared" si="9"/>
        <v>1</v>
      </c>
      <c r="Z254" s="14">
        <f t="shared" si="10"/>
        <v>1.006820441</v>
      </c>
      <c r="AA254" s="27">
        <f t="shared" si="11"/>
        <v>-22</v>
      </c>
      <c r="AB254" s="15">
        <f t="shared" si="84"/>
        <v>1</v>
      </c>
      <c r="AC254" s="15" t="str">
        <f t="shared" si="40"/>
        <v/>
      </c>
      <c r="AD254" s="15" t="str">
        <f t="shared" si="41"/>
        <v>$LR91-AJ-11A$: -22,</v>
      </c>
      <c r="AE254" s="15" t="str">
        <f t="shared" ref="AE254:AE255" si="85">if(AB254=2,if(AF252&lt;&gt;AF254,char(9)&amp;char(9)&amp;"@CONFIG["&amp;AF254&amp;"]"&amp;char(10)&amp;char(9)&amp;char(9)&amp;"{"&amp;char(10),"")&amp;char(9)&amp;char(9)&amp;char(9)&amp;"@SUBCONFIG["&amp;AG254&amp;"] { %cost = "&amp;AA254&amp;" }"&amp;if(AF256&lt;&gt;AF254,char(10)&amp;char(9)&amp;char(9)&amp;"}",""),"")</f>
        <v/>
      </c>
      <c r="AF254" s="15" t="str">
        <f t="shared" si="78"/>
        <v/>
      </c>
      <c r="AG254" s="15" t="str">
        <f t="shared" si="79"/>
        <v/>
      </c>
    </row>
    <row r="255" ht="15.75" customHeight="1">
      <c r="A255" s="18" t="s">
        <v>350</v>
      </c>
      <c r="B255" s="18" t="s">
        <v>339</v>
      </c>
      <c r="C255" s="17">
        <f t="shared" si="1"/>
        <v>3</v>
      </c>
      <c r="D255" s="18">
        <v>1989.0</v>
      </c>
      <c r="E255" s="16"/>
      <c r="F255" s="16" t="b">
        <v>1</v>
      </c>
      <c r="G255" s="16" t="b">
        <v>0</v>
      </c>
      <c r="H255" s="16" t="b">
        <v>1</v>
      </c>
      <c r="I255" s="16" t="b">
        <v>0</v>
      </c>
      <c r="J255" s="18" t="b">
        <v>0</v>
      </c>
      <c r="K255" s="18">
        <v>648.0</v>
      </c>
      <c r="L255" s="18">
        <v>412.6</v>
      </c>
      <c r="M255" s="18">
        <v>319.3</v>
      </c>
      <c r="N255" s="16">
        <v>6.06</v>
      </c>
      <c r="O255" s="16">
        <v>0.996341</v>
      </c>
      <c r="P255" s="16">
        <v>0.996341</v>
      </c>
      <c r="Q255" s="19">
        <f t="shared" si="2"/>
        <v>64.92822658</v>
      </c>
      <c r="R255" s="20">
        <f t="shared" si="3"/>
        <v>0.9040232671</v>
      </c>
      <c r="S255" s="21">
        <f t="shared" si="4"/>
        <v>4</v>
      </c>
      <c r="T255" s="17">
        <f t="shared" si="66"/>
        <v>373</v>
      </c>
      <c r="U255" s="22" t="str">
        <f>T255/vlookup(A255,Max!$A$2:$AP$700,column(Max!$AP$2),false)</f>
        <v>#N/A</v>
      </c>
      <c r="V255" s="17">
        <f t="shared" si="6"/>
        <v>237.8645102</v>
      </c>
      <c r="W255" s="23">
        <f t="shared" si="7"/>
        <v>1.141929573</v>
      </c>
      <c r="X255" s="23">
        <f t="shared" si="8"/>
        <v>1.362756758</v>
      </c>
      <c r="Y255" s="23">
        <f t="shared" si="9"/>
        <v>1</v>
      </c>
      <c r="Z255" s="23">
        <f t="shared" si="10"/>
        <v>1.006820441</v>
      </c>
      <c r="AA255" s="24">
        <f t="shared" si="11"/>
        <v>3</v>
      </c>
      <c r="AB255" s="26">
        <f t="shared" si="84"/>
        <v>1</v>
      </c>
      <c r="AC255" s="26" t="str">
        <f t="shared" si="40"/>
        <v/>
      </c>
      <c r="AD255" s="26" t="str">
        <f t="shared" si="41"/>
        <v>$LR91-AJ-11A-Kero$: 3,</v>
      </c>
      <c r="AE255" s="26" t="str">
        <f t="shared" si="85"/>
        <v/>
      </c>
      <c r="AF255" s="26" t="str">
        <f t="shared" si="78"/>
        <v/>
      </c>
      <c r="AG255" s="26" t="str">
        <f t="shared" si="79"/>
        <v/>
      </c>
    </row>
    <row r="256" ht="15.75" customHeight="1">
      <c r="A256" s="7" t="s">
        <v>351</v>
      </c>
      <c r="B256" s="7" t="s">
        <v>351</v>
      </c>
      <c r="C256" s="8">
        <f t="shared" si="1"/>
        <v>2216</v>
      </c>
      <c r="D256" s="9">
        <v>1990.0</v>
      </c>
      <c r="E256" s="7"/>
      <c r="F256" s="7" t="b">
        <v>1</v>
      </c>
      <c r="G256" s="7" t="b">
        <v>0</v>
      </c>
      <c r="H256" s="7" t="b">
        <v>0</v>
      </c>
      <c r="I256" s="7" t="b">
        <v>0</v>
      </c>
      <c r="J256" s="9" t="b">
        <v>0</v>
      </c>
      <c r="K256" s="7">
        <v>3370.0</v>
      </c>
      <c r="L256" s="7">
        <v>2429.0</v>
      </c>
      <c r="M256" s="7">
        <v>355.0</v>
      </c>
      <c r="N256" s="7">
        <v>22.27</v>
      </c>
      <c r="O256" s="7">
        <v>0.990984</v>
      </c>
      <c r="P256" s="7">
        <v>0.994262</v>
      </c>
      <c r="Q256" s="10">
        <f t="shared" si="2"/>
        <v>73.49823959</v>
      </c>
      <c r="R256" s="11">
        <f t="shared" si="3"/>
        <v>0.9123095924</v>
      </c>
      <c r="S256" s="12">
        <f t="shared" si="4"/>
        <v>4</v>
      </c>
      <c r="T256" s="8">
        <f t="shared" si="66"/>
        <v>2216</v>
      </c>
      <c r="U256" s="13">
        <f>T256/vlookup(A256,Max!$A$2:$AP$700,column(Max!$AP$2),false)</f>
        <v>2.11047619</v>
      </c>
      <c r="V256" s="8">
        <f t="shared" si="6"/>
        <v>659.3093783</v>
      </c>
      <c r="W256" s="14">
        <f t="shared" si="7"/>
        <v>1.489430122</v>
      </c>
      <c r="X256" s="14">
        <f t="shared" si="8"/>
        <v>2.23253737</v>
      </c>
      <c r="Y256" s="14">
        <f t="shared" si="9"/>
        <v>1</v>
      </c>
      <c r="Z256" s="14">
        <f t="shared" si="10"/>
        <v>1.010797401</v>
      </c>
      <c r="AA256" s="15">
        <f t="shared" si="11"/>
        <v>0</v>
      </c>
      <c r="AB256" s="29">
        <v>0.0</v>
      </c>
      <c r="AC256" s="15" t="str">
        <f t="shared" si="40"/>
        <v>{
$name$: $LRBE$,
$config$: $LRBE$,
$cost$: 2216
},</v>
      </c>
      <c r="AD256" s="15" t="str">
        <f t="shared" si="41"/>
        <v/>
      </c>
      <c r="AE256" s="15" t="str">
        <f>if(AB256=2,if(AF254&lt;&gt;AF256,char(9)&amp;char(9)&amp;"@CONFIG["&amp;AF256&amp;"]"&amp;char(10)&amp;char(9)&amp;char(9)&amp;"{"&amp;char(10),"")&amp;char(9)&amp;char(9)&amp;char(9)&amp;"@SUBCONFIG["&amp;AG256&amp;"] { %cost = "&amp;AA256&amp;" }"&amp;if(AF257&lt;&gt;AF256,char(10)&amp;char(9)&amp;char(9)&amp;"}",""),"")</f>
        <v/>
      </c>
      <c r="AF256" s="15" t="str">
        <f t="shared" si="78"/>
        <v/>
      </c>
      <c r="AG256" s="15" t="str">
        <f t="shared" si="79"/>
        <v/>
      </c>
    </row>
    <row r="257" ht="15.75" customHeight="1">
      <c r="A257" s="16" t="s">
        <v>352</v>
      </c>
      <c r="B257" s="16" t="s">
        <v>351</v>
      </c>
      <c r="C257" s="17">
        <f t="shared" si="1"/>
        <v>31</v>
      </c>
      <c r="D257" s="18">
        <v>2000.0</v>
      </c>
      <c r="E257" s="16"/>
      <c r="F257" s="16" t="b">
        <v>1</v>
      </c>
      <c r="G257" s="16" t="b">
        <v>0</v>
      </c>
      <c r="H257" s="16" t="b">
        <v>0</v>
      </c>
      <c r="I257" s="16" t="b">
        <v>0</v>
      </c>
      <c r="J257" s="18" t="b">
        <v>0</v>
      </c>
      <c r="K257" s="16">
        <v>3586.0</v>
      </c>
      <c r="L257" s="16">
        <v>2473.5</v>
      </c>
      <c r="M257" s="16">
        <v>352.7</v>
      </c>
      <c r="N257" s="16">
        <v>21.02</v>
      </c>
      <c r="O257" s="16">
        <v>0.998404</v>
      </c>
      <c r="P257" s="16">
        <v>0.998404</v>
      </c>
      <c r="Q257" s="19">
        <f t="shared" si="2"/>
        <v>70.33653222</v>
      </c>
      <c r="R257" s="20">
        <f t="shared" si="3"/>
        <v>0.9084293511</v>
      </c>
      <c r="S257" s="21">
        <f t="shared" si="4"/>
        <v>4</v>
      </c>
      <c r="T257" s="17">
        <f t="shared" si="66"/>
        <v>2247</v>
      </c>
      <c r="U257" s="22">
        <f>T257/vlookup(A257,Max!$A$2:$AP$700,column(Max!$AP$2),false)</f>
        <v>1.728461538</v>
      </c>
      <c r="V257" s="17">
        <f t="shared" si="6"/>
        <v>685.2985682</v>
      </c>
      <c r="W257" s="23">
        <f t="shared" si="7"/>
        <v>1.463058171</v>
      </c>
      <c r="X257" s="23">
        <f t="shared" si="8"/>
        <v>2.19418118</v>
      </c>
      <c r="Y257" s="23">
        <f t="shared" si="9"/>
        <v>1</v>
      </c>
      <c r="Z257" s="23">
        <f t="shared" si="10"/>
        <v>1.021357528</v>
      </c>
      <c r="AA257" s="24">
        <f t="shared" si="11"/>
        <v>31</v>
      </c>
      <c r="AB257" s="26">
        <f>if(iserror(find("$",A257)),1,2)</f>
        <v>1</v>
      </c>
      <c r="AC257" s="26" t="str">
        <f t="shared" si="40"/>
        <v/>
      </c>
      <c r="AD257" s="26" t="str">
        <f t="shared" si="41"/>
        <v>$LRBE-BlockII$: 31,</v>
      </c>
      <c r="AE257" s="26" t="str">
        <f t="shared" ref="AE257:AE383" si="86">if(AB257=2,if(AF256&lt;&gt;AF257,char(9)&amp;char(9)&amp;"@CONFIG["&amp;AF257&amp;"]"&amp;char(10)&amp;char(9)&amp;char(9)&amp;"{"&amp;char(10),"")&amp;char(9)&amp;char(9)&amp;char(9)&amp;"@SUBCONFIG["&amp;AG257&amp;"] { %cost = "&amp;AA257&amp;" }"&amp;if(AF258&lt;&gt;AF257,char(10)&amp;char(9)&amp;char(9)&amp;"}",""),"")</f>
        <v/>
      </c>
      <c r="AF257" s="26" t="str">
        <f t="shared" si="78"/>
        <v/>
      </c>
      <c r="AG257" s="26" t="str">
        <f t="shared" si="79"/>
        <v/>
      </c>
    </row>
    <row r="258" ht="15.75" customHeight="1">
      <c r="A258" s="7" t="s">
        <v>353</v>
      </c>
      <c r="B258" s="7" t="s">
        <v>353</v>
      </c>
      <c r="C258" s="8">
        <f t="shared" si="1"/>
        <v>17200</v>
      </c>
      <c r="D258" s="7"/>
      <c r="E258" s="7" t="b">
        <v>1</v>
      </c>
      <c r="F258" s="7" t="b">
        <v>1</v>
      </c>
      <c r="G258" s="7" t="b">
        <v>0</v>
      </c>
      <c r="H258" s="7" t="b">
        <v>1</v>
      </c>
      <c r="I258" s="7" t="b">
        <v>0</v>
      </c>
      <c r="J258" s="9" t="b">
        <v>1</v>
      </c>
      <c r="K258" s="7">
        <v>7424.0</v>
      </c>
      <c r="L258" s="7">
        <v>145.6</v>
      </c>
      <c r="M258" s="7">
        <v>1400.0</v>
      </c>
      <c r="N258" s="7">
        <v>20.0</v>
      </c>
      <c r="O258" s="7">
        <v>1.0</v>
      </c>
      <c r="P258" s="7">
        <v>1.0</v>
      </c>
      <c r="Q258" s="10">
        <f t="shared" si="2"/>
        <v>1.999874464</v>
      </c>
      <c r="R258" s="11">
        <f t="shared" si="3"/>
        <v>118.1318681</v>
      </c>
      <c r="S258" s="12">
        <f t="shared" si="4"/>
        <v>4</v>
      </c>
      <c r="T258" s="8">
        <f t="shared" si="66"/>
        <v>17200</v>
      </c>
      <c r="U258" s="13">
        <f>T258/vlookup(A258,Max!$A$2:$AP$700,column(Max!$AP$2),false)</f>
        <v>1.228571429</v>
      </c>
      <c r="V258" s="8">
        <f t="shared" si="6"/>
        <v>1137.061391</v>
      </c>
      <c r="W258" s="14">
        <f t="shared" si="7"/>
        <v>4.242507534</v>
      </c>
      <c r="X258" s="14">
        <f t="shared" si="8"/>
        <v>1.782763579</v>
      </c>
      <c r="Y258" s="14">
        <f t="shared" si="9"/>
        <v>2</v>
      </c>
      <c r="Z258" s="14">
        <f t="shared" si="10"/>
        <v>1</v>
      </c>
      <c r="AA258" s="15">
        <f t="shared" si="11"/>
        <v>0</v>
      </c>
      <c r="AB258" s="29">
        <v>0.0</v>
      </c>
      <c r="AC258" s="15" t="str">
        <f t="shared" si="40"/>
        <v>{
$name$: $LRCLNTR$,
$config$: $LRCLNTR$,
$cost$: 17200
},</v>
      </c>
      <c r="AD258" s="15" t="str">
        <f t="shared" si="41"/>
        <v/>
      </c>
      <c r="AE258" s="15" t="str">
        <f t="shared" si="86"/>
        <v/>
      </c>
      <c r="AF258" s="15" t="str">
        <f t="shared" si="78"/>
        <v/>
      </c>
      <c r="AG258" s="15" t="str">
        <f t="shared" si="79"/>
        <v/>
      </c>
    </row>
    <row r="259" ht="15.75" customHeight="1">
      <c r="A259" s="16" t="s">
        <v>354</v>
      </c>
      <c r="B259" s="16" t="s">
        <v>355</v>
      </c>
      <c r="C259" s="17">
        <f t="shared" si="1"/>
        <v>4914</v>
      </c>
      <c r="D259" s="16">
        <v>1972.0</v>
      </c>
      <c r="E259" s="16" t="b">
        <v>1</v>
      </c>
      <c r="F259" s="16" t="b">
        <v>1</v>
      </c>
      <c r="G259" s="16" t="b">
        <v>0</v>
      </c>
      <c r="H259" s="16" t="b">
        <v>1</v>
      </c>
      <c r="I259" s="16" t="b">
        <v>0</v>
      </c>
      <c r="J259" s="18" t="b">
        <v>0</v>
      </c>
      <c r="K259" s="16">
        <v>9071.0</v>
      </c>
      <c r="L259" s="16">
        <v>5337.866</v>
      </c>
      <c r="M259" s="16">
        <v>428.0</v>
      </c>
      <c r="N259" s="16">
        <v>6.89</v>
      </c>
      <c r="O259" s="16">
        <v>0.9932</v>
      </c>
      <c r="P259" s="16">
        <v>0.9932</v>
      </c>
      <c r="Q259" s="19">
        <f t="shared" si="2"/>
        <v>60.00560563</v>
      </c>
      <c r="R259" s="20">
        <f t="shared" si="3"/>
        <v>0.9205926114</v>
      </c>
      <c r="S259" s="21">
        <f t="shared" si="4"/>
        <v>4</v>
      </c>
      <c r="T259" s="17">
        <f t="shared" si="66"/>
        <v>4914</v>
      </c>
      <c r="U259" s="22">
        <f>T259/vlookup(A259,Max!$A$2:$AP$700,column(Max!$AP$2),false)</f>
        <v>0.6066666667</v>
      </c>
      <c r="V259" s="17">
        <f t="shared" si="6"/>
        <v>1282.530679</v>
      </c>
      <c r="W259" s="23">
        <f t="shared" si="7"/>
        <v>2.756344992</v>
      </c>
      <c r="X259" s="23">
        <f t="shared" si="8"/>
        <v>1.402688799</v>
      </c>
      <c r="Y259" s="23">
        <f t="shared" si="9"/>
        <v>1</v>
      </c>
      <c r="Z259" s="23">
        <f t="shared" si="10"/>
        <v>0.9910500047</v>
      </c>
      <c r="AA259" s="26">
        <f t="shared" si="11"/>
        <v>0</v>
      </c>
      <c r="AB259" s="25">
        <v>0.0</v>
      </c>
      <c r="AC259" s="26" t="str">
        <f t="shared" si="40"/>
        <v>{
$name$: $M-1-Spec$,
$config$: $M1$,
$cost$: 4914
},</v>
      </c>
      <c r="AD259" s="26" t="str">
        <f t="shared" si="41"/>
        <v/>
      </c>
      <c r="AE259" s="26" t="str">
        <f t="shared" si="86"/>
        <v/>
      </c>
      <c r="AF259" s="26" t="str">
        <f t="shared" si="78"/>
        <v/>
      </c>
      <c r="AG259" s="26" t="str">
        <f t="shared" si="79"/>
        <v/>
      </c>
    </row>
    <row r="260" ht="15.75" customHeight="1">
      <c r="A260" s="7" t="s">
        <v>356</v>
      </c>
      <c r="B260" s="7" t="s">
        <v>355</v>
      </c>
      <c r="C260" s="8">
        <f t="shared" si="1"/>
        <v>108</v>
      </c>
      <c r="D260" s="7">
        <v>1976.0</v>
      </c>
      <c r="E260" s="7" t="b">
        <v>1</v>
      </c>
      <c r="F260" s="7" t="b">
        <v>1</v>
      </c>
      <c r="G260" s="7" t="b">
        <v>0</v>
      </c>
      <c r="H260" s="7" t="b">
        <v>0</v>
      </c>
      <c r="I260" s="7" t="b">
        <v>0</v>
      </c>
      <c r="J260" s="9" t="b">
        <v>0</v>
      </c>
      <c r="K260" s="7">
        <v>9071.0</v>
      </c>
      <c r="L260" s="7">
        <v>6948.122</v>
      </c>
      <c r="M260" s="7">
        <v>414.0</v>
      </c>
      <c r="N260" s="7">
        <v>6.89</v>
      </c>
      <c r="O260" s="7">
        <v>0.9999</v>
      </c>
      <c r="P260" s="7">
        <v>0.9999</v>
      </c>
      <c r="Q260" s="10">
        <f t="shared" si="2"/>
        <v>78.10729393</v>
      </c>
      <c r="R260" s="11">
        <f t="shared" si="3"/>
        <v>0.7227852361</v>
      </c>
      <c r="S260" s="12">
        <f t="shared" si="4"/>
        <v>4</v>
      </c>
      <c r="T260" s="8">
        <f t="shared" si="66"/>
        <v>5022</v>
      </c>
      <c r="U260" s="13">
        <f>T260/vlookup(A260,Max!$A$2:$AP$700,column(Max!$AP$2),false)</f>
        <v>0.4185</v>
      </c>
      <c r="V260" s="8">
        <f t="shared" si="6"/>
        <v>1282.530679</v>
      </c>
      <c r="W260" s="14">
        <f t="shared" si="7"/>
        <v>2.43257522</v>
      </c>
      <c r="X260" s="14">
        <f t="shared" si="8"/>
        <v>1.570176375</v>
      </c>
      <c r="Y260" s="14">
        <f t="shared" si="9"/>
        <v>1</v>
      </c>
      <c r="Z260" s="14">
        <f t="shared" si="10"/>
        <v>1.025187812</v>
      </c>
      <c r="AA260" s="27">
        <f t="shared" si="11"/>
        <v>108</v>
      </c>
      <c r="AB260" s="15">
        <f t="shared" ref="AB260:AB263" si="87">if(iserror(find("$",A260)),1,2)</f>
        <v>1</v>
      </c>
      <c r="AC260" s="15" t="str">
        <f t="shared" si="40"/>
        <v/>
      </c>
      <c r="AD260" s="15" t="str">
        <f t="shared" si="41"/>
        <v>$M-1SL$: 108,</v>
      </c>
      <c r="AE260" s="15" t="str">
        <f t="shared" si="86"/>
        <v/>
      </c>
      <c r="AF260" s="15" t="str">
        <f t="shared" si="78"/>
        <v/>
      </c>
      <c r="AG260" s="15" t="str">
        <f t="shared" si="79"/>
        <v/>
      </c>
    </row>
    <row r="261" ht="15.75" customHeight="1">
      <c r="A261" s="16" t="s">
        <v>357</v>
      </c>
      <c r="B261" s="16" t="s">
        <v>355</v>
      </c>
      <c r="C261" s="17">
        <f t="shared" si="1"/>
        <v>261</v>
      </c>
      <c r="D261" s="16">
        <v>1976.0</v>
      </c>
      <c r="E261" s="16" t="b">
        <v>1</v>
      </c>
      <c r="F261" s="16" t="b">
        <v>1</v>
      </c>
      <c r="G261" s="16" t="b">
        <v>0</v>
      </c>
      <c r="H261" s="16" t="b">
        <v>1</v>
      </c>
      <c r="I261" s="16" t="b">
        <v>0</v>
      </c>
      <c r="J261" s="18" t="b">
        <v>0</v>
      </c>
      <c r="K261" s="16">
        <v>9071.0</v>
      </c>
      <c r="L261" s="16">
        <v>6672.332</v>
      </c>
      <c r="M261" s="16">
        <v>430.0</v>
      </c>
      <c r="N261" s="16">
        <v>6.89</v>
      </c>
      <c r="O261" s="16">
        <v>0.9999</v>
      </c>
      <c r="P261" s="16">
        <v>0.9999</v>
      </c>
      <c r="Q261" s="19">
        <f t="shared" si="2"/>
        <v>75.00700142</v>
      </c>
      <c r="R261" s="20">
        <f t="shared" si="3"/>
        <v>0.7755909029</v>
      </c>
      <c r="S261" s="21">
        <f t="shared" si="4"/>
        <v>4</v>
      </c>
      <c r="T261" s="17">
        <f t="shared" si="66"/>
        <v>5175</v>
      </c>
      <c r="U261" s="22">
        <f>T261/vlookup(A261,Max!$A$2:$AP$700,column(Max!$AP$2),false)</f>
        <v>0.414</v>
      </c>
      <c r="V261" s="17">
        <f t="shared" si="6"/>
        <v>1282.530679</v>
      </c>
      <c r="W261" s="23">
        <f t="shared" si="7"/>
        <v>2.80669557</v>
      </c>
      <c r="X261" s="23">
        <f t="shared" si="8"/>
        <v>1.402688799</v>
      </c>
      <c r="Y261" s="23">
        <f t="shared" si="9"/>
        <v>1</v>
      </c>
      <c r="Z261" s="23">
        <f t="shared" si="10"/>
        <v>1.024931534</v>
      </c>
      <c r="AA261" s="24">
        <f t="shared" si="11"/>
        <v>261</v>
      </c>
      <c r="AB261" s="26">
        <f t="shared" si="87"/>
        <v>1</v>
      </c>
      <c r="AC261" s="26" t="str">
        <f t="shared" si="40"/>
        <v/>
      </c>
      <c r="AD261" s="26" t="str">
        <f t="shared" si="41"/>
        <v>$M-1$: 261,</v>
      </c>
      <c r="AE261" s="26" t="str">
        <f t="shared" si="86"/>
        <v/>
      </c>
      <c r="AF261" s="26" t="str">
        <f t="shared" si="78"/>
        <v/>
      </c>
      <c r="AG261" s="26" t="str">
        <f t="shared" si="79"/>
        <v/>
      </c>
    </row>
    <row r="262" ht="15.75" customHeight="1">
      <c r="A262" s="7" t="s">
        <v>358</v>
      </c>
      <c r="B262" s="7" t="s">
        <v>355</v>
      </c>
      <c r="C262" s="8">
        <f t="shared" si="1"/>
        <v>478</v>
      </c>
      <c r="D262" s="7">
        <v>1986.0</v>
      </c>
      <c r="E262" s="7" t="b">
        <v>1</v>
      </c>
      <c r="F262" s="7" t="b">
        <v>1</v>
      </c>
      <c r="G262" s="7" t="b">
        <v>0</v>
      </c>
      <c r="H262" s="7" t="b">
        <v>1</v>
      </c>
      <c r="I262" s="7" t="b">
        <v>0</v>
      </c>
      <c r="J262" s="9" t="b">
        <v>0</v>
      </c>
      <c r="K262" s="7">
        <v>9071.0</v>
      </c>
      <c r="L262" s="7">
        <v>8006.799</v>
      </c>
      <c r="M262" s="7">
        <v>430.0</v>
      </c>
      <c r="N262" s="7">
        <v>8.27</v>
      </c>
      <c r="O262" s="7">
        <v>0.9999</v>
      </c>
      <c r="P262" s="7">
        <v>0.9999</v>
      </c>
      <c r="Q262" s="10">
        <f t="shared" si="2"/>
        <v>90.00840845</v>
      </c>
      <c r="R262" s="11">
        <f t="shared" si="3"/>
        <v>0.6734276707</v>
      </c>
      <c r="S262" s="12">
        <f t="shared" si="4"/>
        <v>4</v>
      </c>
      <c r="T262" s="8">
        <f t="shared" si="66"/>
        <v>5392</v>
      </c>
      <c r="U262" s="13">
        <f>T262/vlookup(A262,Max!$A$2:$AP$700,column(Max!$AP$2),false)</f>
        <v>0.43136</v>
      </c>
      <c r="V262" s="8">
        <f t="shared" si="6"/>
        <v>1282.530679</v>
      </c>
      <c r="W262" s="14">
        <f t="shared" si="7"/>
        <v>2.80669557</v>
      </c>
      <c r="X262" s="14">
        <f t="shared" si="8"/>
        <v>1.461506475</v>
      </c>
      <c r="Y262" s="14">
        <f t="shared" si="9"/>
        <v>1</v>
      </c>
      <c r="Z262" s="14">
        <f t="shared" si="10"/>
        <v>1.024931534</v>
      </c>
      <c r="AA262" s="27">
        <f t="shared" si="11"/>
        <v>478</v>
      </c>
      <c r="AB262" s="15">
        <f t="shared" si="87"/>
        <v>1</v>
      </c>
      <c r="AC262" s="15" t="str">
        <f t="shared" si="40"/>
        <v/>
      </c>
      <c r="AD262" s="15" t="str">
        <f t="shared" si="41"/>
        <v>$M-1U$: 478,</v>
      </c>
      <c r="AE262" s="15" t="str">
        <f t="shared" si="86"/>
        <v/>
      </c>
      <c r="AF262" s="15" t="str">
        <f t="shared" si="78"/>
        <v/>
      </c>
      <c r="AG262" s="15" t="str">
        <f t="shared" si="79"/>
        <v/>
      </c>
    </row>
    <row r="263" ht="15.75" customHeight="1">
      <c r="A263" s="16" t="s">
        <v>359</v>
      </c>
      <c r="B263" s="16" t="s">
        <v>355</v>
      </c>
      <c r="C263" s="17">
        <f t="shared" si="1"/>
        <v>391</v>
      </c>
      <c r="D263" s="16">
        <v>1986.0</v>
      </c>
      <c r="E263" s="16" t="b">
        <v>1</v>
      </c>
      <c r="F263" s="16" t="b">
        <v>1</v>
      </c>
      <c r="G263" s="16" t="b">
        <v>0</v>
      </c>
      <c r="H263" s="16" t="b">
        <v>0</v>
      </c>
      <c r="I263" s="16" t="b">
        <v>0</v>
      </c>
      <c r="J263" s="18" t="b">
        <v>0</v>
      </c>
      <c r="K263" s="16">
        <v>9071.0</v>
      </c>
      <c r="L263" s="16">
        <v>7708.87</v>
      </c>
      <c r="M263" s="16">
        <v>414.0</v>
      </c>
      <c r="N263" s="16">
        <v>8.27</v>
      </c>
      <c r="O263" s="16">
        <v>0.9999</v>
      </c>
      <c r="P263" s="16">
        <v>0.9999</v>
      </c>
      <c r="Q263" s="19">
        <f t="shared" si="2"/>
        <v>86.65924043</v>
      </c>
      <c r="R263" s="20">
        <f t="shared" si="3"/>
        <v>0.6881683048</v>
      </c>
      <c r="S263" s="21">
        <f t="shared" si="4"/>
        <v>4</v>
      </c>
      <c r="T263" s="17">
        <f t="shared" si="66"/>
        <v>5305</v>
      </c>
      <c r="U263" s="22">
        <f>T263/vlookup(A263,Max!$A$2:$AP$700,column(Max!$AP$2),false)</f>
        <v>0.4822727273</v>
      </c>
      <c r="V263" s="17">
        <f t="shared" si="6"/>
        <v>1282.530679</v>
      </c>
      <c r="W263" s="23">
        <f t="shared" si="7"/>
        <v>2.43257522</v>
      </c>
      <c r="X263" s="23">
        <f t="shared" si="8"/>
        <v>1.658571983</v>
      </c>
      <c r="Y263" s="23">
        <f t="shared" si="9"/>
        <v>1</v>
      </c>
      <c r="Z263" s="23">
        <f t="shared" si="10"/>
        <v>1.025187812</v>
      </c>
      <c r="AA263" s="24">
        <f t="shared" si="11"/>
        <v>391</v>
      </c>
      <c r="AB263" s="26">
        <f t="shared" si="87"/>
        <v>1</v>
      </c>
      <c r="AC263" s="26" t="str">
        <f t="shared" si="40"/>
        <v/>
      </c>
      <c r="AD263" s="26" t="str">
        <f t="shared" si="41"/>
        <v>$M-1U-SL$: 391,</v>
      </c>
      <c r="AE263" s="26" t="str">
        <f t="shared" si="86"/>
        <v/>
      </c>
      <c r="AF263" s="26" t="str">
        <f t="shared" si="78"/>
        <v/>
      </c>
      <c r="AG263" s="26" t="str">
        <f t="shared" si="79"/>
        <v/>
      </c>
    </row>
    <row r="264" ht="15.75" customHeight="1">
      <c r="A264" s="7" t="s">
        <v>360</v>
      </c>
      <c r="B264" s="7" t="s">
        <v>360</v>
      </c>
      <c r="C264" s="8">
        <f t="shared" si="1"/>
        <v>293</v>
      </c>
      <c r="D264" s="7">
        <v>2026.0</v>
      </c>
      <c r="E264" s="7"/>
      <c r="F264" s="7" t="b">
        <v>1</v>
      </c>
      <c r="G264" s="7" t="b">
        <v>0</v>
      </c>
      <c r="H264" s="7" t="b">
        <v>1</v>
      </c>
      <c r="I264" s="7" t="b">
        <v>0</v>
      </c>
      <c r="J264" s="9" t="b">
        <v>0</v>
      </c>
      <c r="K264" s="7">
        <v>242.0</v>
      </c>
      <c r="L264" s="7">
        <v>98.1</v>
      </c>
      <c r="M264" s="7">
        <v>362.0</v>
      </c>
      <c r="N264" s="7">
        <v>7.92</v>
      </c>
      <c r="O264" s="7">
        <v>0.9995</v>
      </c>
      <c r="P264" s="7">
        <v>0.9852</v>
      </c>
      <c r="Q264" s="10">
        <f t="shared" si="2"/>
        <v>41.33642984</v>
      </c>
      <c r="R264" s="11">
        <f t="shared" si="3"/>
        <v>2.986748216</v>
      </c>
      <c r="S264" s="12">
        <f t="shared" si="4"/>
        <v>4</v>
      </c>
      <c r="T264" s="8">
        <f t="shared" si="66"/>
        <v>293</v>
      </c>
      <c r="U264" s="13">
        <f>T264/vlookup(A264,Max!$A$2:$AP$700,column(Max!$AP$2),false)</f>
        <v>4.373134328</v>
      </c>
      <c r="V264" s="8">
        <f t="shared" si="6"/>
        <v>130.2500134</v>
      </c>
      <c r="W264" s="14">
        <f t="shared" si="7"/>
        <v>1.573611022</v>
      </c>
      <c r="X264" s="14">
        <f t="shared" si="8"/>
        <v>1.447355347</v>
      </c>
      <c r="Y264" s="14">
        <f t="shared" si="9"/>
        <v>1</v>
      </c>
      <c r="Z264" s="14">
        <f t="shared" si="10"/>
        <v>0.9866883889</v>
      </c>
      <c r="AA264" s="15">
        <f t="shared" si="11"/>
        <v>0</v>
      </c>
      <c r="AB264" s="29">
        <v>0.0</v>
      </c>
      <c r="AC264" s="15" t="str">
        <f t="shared" si="40"/>
        <v>{
$name$: $M10$,
$config$: $M10$,
$cost$: 293
},</v>
      </c>
      <c r="AD264" s="15" t="str">
        <f t="shared" si="41"/>
        <v/>
      </c>
      <c r="AE264" s="15" t="str">
        <f t="shared" si="86"/>
        <v/>
      </c>
      <c r="AF264" s="15" t="str">
        <f t="shared" si="78"/>
        <v/>
      </c>
      <c r="AG264" s="15" t="str">
        <f t="shared" si="79"/>
        <v/>
      </c>
    </row>
    <row r="265" ht="15.75" customHeight="1">
      <c r="A265" s="16" t="s">
        <v>361</v>
      </c>
      <c r="B265" s="16" t="s">
        <v>362</v>
      </c>
      <c r="C265" s="17">
        <f t="shared" si="1"/>
        <v>1252</v>
      </c>
      <c r="D265" s="16">
        <v>2009.0</v>
      </c>
      <c r="E265" s="16" t="b">
        <v>1</v>
      </c>
      <c r="F265" s="16" t="b">
        <v>1</v>
      </c>
      <c r="G265" s="16" t="b">
        <v>0</v>
      </c>
      <c r="H265" s="16" t="b">
        <v>1</v>
      </c>
      <c r="I265" s="16" t="b">
        <v>0</v>
      </c>
      <c r="J265" s="18" t="b">
        <v>0</v>
      </c>
      <c r="K265" s="16">
        <v>345.0</v>
      </c>
      <c r="L265" s="16">
        <v>155.7</v>
      </c>
      <c r="M265" s="16">
        <v>468.0</v>
      </c>
      <c r="N265" s="16">
        <v>10.34</v>
      </c>
      <c r="O265" s="16">
        <v>0.9995</v>
      </c>
      <c r="P265" s="16">
        <v>0.9979</v>
      </c>
      <c r="Q265" s="19">
        <f t="shared" si="2"/>
        <v>46.02023591</v>
      </c>
      <c r="R265" s="20">
        <f t="shared" si="3"/>
        <v>8.041104689</v>
      </c>
      <c r="S265" s="21">
        <f t="shared" si="4"/>
        <v>4</v>
      </c>
      <c r="T265" s="17">
        <f t="shared" si="66"/>
        <v>1252</v>
      </c>
      <c r="U265" s="22">
        <f>T265/vlookup(A265,Max!$A$2:$AP$700,column(Max!$AP$2),false)</f>
        <v>1.814492754</v>
      </c>
      <c r="V265" s="17">
        <f t="shared" si="6"/>
        <v>199.6664113</v>
      </c>
      <c r="W265" s="23">
        <f t="shared" si="7"/>
        <v>4.004504139</v>
      </c>
      <c r="X265" s="23">
        <f t="shared" si="8"/>
        <v>1.536841662</v>
      </c>
      <c r="Y265" s="23">
        <f t="shared" si="9"/>
        <v>1</v>
      </c>
      <c r="Z265" s="23">
        <f t="shared" si="10"/>
        <v>1.01879444</v>
      </c>
      <c r="AA265" s="26">
        <f t="shared" si="11"/>
        <v>0</v>
      </c>
      <c r="AB265" s="25">
        <v>0.0</v>
      </c>
      <c r="AC265" s="26" t="str">
        <f t="shared" si="40"/>
        <v>{
$name$: $MB-35$,
$config$: $MB35$,
$cost$: 1252
},</v>
      </c>
      <c r="AD265" s="26" t="str">
        <f t="shared" si="41"/>
        <v/>
      </c>
      <c r="AE265" s="26" t="str">
        <f t="shared" si="86"/>
        <v/>
      </c>
      <c r="AF265" s="26" t="str">
        <f t="shared" si="78"/>
        <v/>
      </c>
      <c r="AG265" s="26" t="str">
        <f t="shared" si="79"/>
        <v/>
      </c>
    </row>
    <row r="266" ht="15.75" customHeight="1">
      <c r="A266" s="7" t="s">
        <v>363</v>
      </c>
      <c r="B266" s="7" t="s">
        <v>364</v>
      </c>
      <c r="C266" s="8">
        <f t="shared" si="1"/>
        <v>1410</v>
      </c>
      <c r="D266" s="7">
        <v>2004.0</v>
      </c>
      <c r="E266" s="7" t="b">
        <v>1</v>
      </c>
      <c r="F266" s="7" t="b">
        <v>1</v>
      </c>
      <c r="G266" s="7" t="b">
        <v>0</v>
      </c>
      <c r="H266" s="7" t="b">
        <v>1</v>
      </c>
      <c r="I266" s="7" t="b">
        <v>0</v>
      </c>
      <c r="J266" s="9" t="b">
        <v>0</v>
      </c>
      <c r="K266" s="7">
        <v>443.0</v>
      </c>
      <c r="L266" s="7">
        <v>177.9</v>
      </c>
      <c r="M266" s="7">
        <v>466.6</v>
      </c>
      <c r="N266" s="7">
        <v>10.34</v>
      </c>
      <c r="O266" s="7">
        <v>0.9995</v>
      </c>
      <c r="P266" s="7">
        <v>0.9979</v>
      </c>
      <c r="Q266" s="10">
        <f t="shared" si="2"/>
        <v>40.94977737</v>
      </c>
      <c r="R266" s="11">
        <f t="shared" si="3"/>
        <v>7.925801012</v>
      </c>
      <c r="S266" s="12">
        <f t="shared" si="4"/>
        <v>4</v>
      </c>
      <c r="T266" s="8">
        <f t="shared" si="66"/>
        <v>1410</v>
      </c>
      <c r="U266" s="13">
        <f>T266/vlookup(A266,Max!$A$2:$AP$700,column(Max!$AP$2),false)</f>
        <v>1.905405405</v>
      </c>
      <c r="V266" s="8">
        <f t="shared" si="6"/>
        <v>227.9964061</v>
      </c>
      <c r="W266" s="14">
        <f t="shared" si="7"/>
        <v>3.95092608</v>
      </c>
      <c r="X266" s="14">
        <f t="shared" si="8"/>
        <v>1.536841662</v>
      </c>
      <c r="Y266" s="14">
        <f t="shared" si="9"/>
        <v>1</v>
      </c>
      <c r="Z266" s="14">
        <f t="shared" si="10"/>
        <v>1.01879444</v>
      </c>
      <c r="AA266" s="15">
        <f t="shared" si="11"/>
        <v>0</v>
      </c>
      <c r="AB266" s="29">
        <v>0.0</v>
      </c>
      <c r="AC266" s="15" t="str">
        <f t="shared" si="40"/>
        <v>{
$name$: $MB-XX-Demo$,
$config$: $MB45$,
$cost$: 1410
},</v>
      </c>
      <c r="AD266" s="15" t="str">
        <f t="shared" si="41"/>
        <v/>
      </c>
      <c r="AE266" s="15" t="str">
        <f t="shared" si="86"/>
        <v/>
      </c>
      <c r="AF266" s="15" t="str">
        <f t="shared" si="78"/>
        <v/>
      </c>
      <c r="AG266" s="15" t="str">
        <f t="shared" si="79"/>
        <v/>
      </c>
    </row>
    <row r="267" ht="15.75" customHeight="1">
      <c r="A267" s="16" t="s">
        <v>365</v>
      </c>
      <c r="B267" s="16" t="s">
        <v>364</v>
      </c>
      <c r="C267" s="17">
        <f t="shared" si="1"/>
        <v>109</v>
      </c>
      <c r="D267" s="16">
        <v>2009.0</v>
      </c>
      <c r="E267" s="16" t="b">
        <v>1</v>
      </c>
      <c r="F267" s="16" t="b">
        <v>1</v>
      </c>
      <c r="G267" s="16" t="b">
        <v>0</v>
      </c>
      <c r="H267" s="16" t="b">
        <v>1</v>
      </c>
      <c r="I267" s="16" t="b">
        <v>0</v>
      </c>
      <c r="J267" s="18" t="b">
        <v>0</v>
      </c>
      <c r="K267" s="16">
        <v>443.0</v>
      </c>
      <c r="L267" s="16">
        <v>200.2</v>
      </c>
      <c r="M267" s="16">
        <v>467.5</v>
      </c>
      <c r="N267" s="16">
        <v>13.44</v>
      </c>
      <c r="O267" s="16">
        <v>0.99995</v>
      </c>
      <c r="P267" s="16">
        <v>0.99995</v>
      </c>
      <c r="Q267" s="19">
        <f t="shared" si="2"/>
        <v>46.08288606</v>
      </c>
      <c r="R267" s="20">
        <f t="shared" si="3"/>
        <v>7.587412587</v>
      </c>
      <c r="S267" s="21">
        <f t="shared" si="4"/>
        <v>4</v>
      </c>
      <c r="T267" s="17">
        <f t="shared" si="66"/>
        <v>1519</v>
      </c>
      <c r="U267" s="22">
        <f>T267/vlookup(A267,Max!$A$2:$AP$700,column(Max!$AP$2),false)</f>
        <v>1.651086957</v>
      </c>
      <c r="V267" s="17">
        <f t="shared" si="6"/>
        <v>227.9964061</v>
      </c>
      <c r="W267" s="23">
        <f t="shared" si="7"/>
        <v>3.985273428</v>
      </c>
      <c r="X267" s="23">
        <f t="shared" si="8"/>
        <v>1.630241106</v>
      </c>
      <c r="Y267" s="23">
        <f t="shared" si="9"/>
        <v>1</v>
      </c>
      <c r="Z267" s="23">
        <f t="shared" si="10"/>
        <v>1.025187819</v>
      </c>
      <c r="AA267" s="24">
        <f t="shared" si="11"/>
        <v>109</v>
      </c>
      <c r="AB267" s="26">
        <f>if(iserror(find("$",A267)),1,2)</f>
        <v>1</v>
      </c>
      <c r="AC267" s="26" t="str">
        <f t="shared" si="40"/>
        <v/>
      </c>
      <c r="AD267" s="26" t="str">
        <f t="shared" si="41"/>
        <v>$MB-45$: 109,</v>
      </c>
      <c r="AE267" s="26" t="str">
        <f t="shared" si="86"/>
        <v/>
      </c>
      <c r="AF267" s="26" t="str">
        <f t="shared" si="78"/>
        <v/>
      </c>
      <c r="AG267" s="26" t="str">
        <f t="shared" si="79"/>
        <v/>
      </c>
    </row>
    <row r="268" ht="15.75" customHeight="1">
      <c r="A268" s="7" t="s">
        <v>366</v>
      </c>
      <c r="B268" s="7" t="s">
        <v>367</v>
      </c>
      <c r="C268" s="8">
        <f t="shared" si="1"/>
        <v>1752</v>
      </c>
      <c r="D268" s="7">
        <v>2009.0</v>
      </c>
      <c r="E268" s="7" t="b">
        <v>1</v>
      </c>
      <c r="F268" s="7" t="b">
        <v>1</v>
      </c>
      <c r="G268" s="7" t="b">
        <v>0</v>
      </c>
      <c r="H268" s="7" t="b">
        <v>1</v>
      </c>
      <c r="I268" s="7" t="b">
        <v>0</v>
      </c>
      <c r="J268" s="9" t="b">
        <v>0</v>
      </c>
      <c r="K268" s="7">
        <v>590.0</v>
      </c>
      <c r="L268" s="7">
        <v>266.9</v>
      </c>
      <c r="M268" s="7">
        <v>467.0</v>
      </c>
      <c r="N268" s="7">
        <v>13.44</v>
      </c>
      <c r="O268" s="7">
        <v>0.9995</v>
      </c>
      <c r="P268" s="7">
        <v>0.9979</v>
      </c>
      <c r="Q268" s="10">
        <f t="shared" si="2"/>
        <v>46.12919601</v>
      </c>
      <c r="R268" s="11">
        <f t="shared" si="3"/>
        <v>6.564256276</v>
      </c>
      <c r="S268" s="12">
        <f t="shared" si="4"/>
        <v>4</v>
      </c>
      <c r="T268" s="8">
        <f t="shared" si="66"/>
        <v>1752</v>
      </c>
      <c r="U268" s="13">
        <f>T268/vlookup(A268,Max!$A$2:$AP$700,column(Max!$AP$2),false)</f>
        <v>1.752</v>
      </c>
      <c r="V268" s="8">
        <f t="shared" si="6"/>
        <v>266.0285984</v>
      </c>
      <c r="W268" s="14">
        <f t="shared" si="7"/>
        <v>3.966149208</v>
      </c>
      <c r="X268" s="14">
        <f t="shared" si="8"/>
        <v>1.630241106</v>
      </c>
      <c r="Y268" s="14">
        <f t="shared" si="9"/>
        <v>1</v>
      </c>
      <c r="Z268" s="14">
        <f t="shared" si="10"/>
        <v>1.01879444</v>
      </c>
      <c r="AA268" s="15">
        <f t="shared" si="11"/>
        <v>0</v>
      </c>
      <c r="AB268" s="29">
        <v>0.0</v>
      </c>
      <c r="AC268" s="15" t="str">
        <f t="shared" si="40"/>
        <v>{
$name$: $MB-60$,
$config$: $MB60$,
$cost$: 1752
},</v>
      </c>
      <c r="AD268" s="15" t="str">
        <f t="shared" si="41"/>
        <v/>
      </c>
      <c r="AE268" s="15" t="str">
        <f t="shared" si="86"/>
        <v/>
      </c>
      <c r="AF268" s="15" t="str">
        <f t="shared" si="78"/>
        <v/>
      </c>
      <c r="AG268" s="15" t="str">
        <f t="shared" si="79"/>
        <v/>
      </c>
    </row>
    <row r="269" ht="15.75" customHeight="1">
      <c r="A269" s="16" t="s">
        <v>368</v>
      </c>
      <c r="B269" s="16" t="s">
        <v>369</v>
      </c>
      <c r="C269" s="17">
        <f t="shared" si="1"/>
        <v>364</v>
      </c>
      <c r="D269" s="16">
        <v>2006.0</v>
      </c>
      <c r="E269" s="16"/>
      <c r="F269" s="16" t="b">
        <v>1</v>
      </c>
      <c r="G269" s="16" t="b">
        <v>0</v>
      </c>
      <c r="H269" s="16" t="b">
        <v>0</v>
      </c>
      <c r="I269" s="16" t="b">
        <v>0</v>
      </c>
      <c r="J269" s="18" t="b">
        <v>0</v>
      </c>
      <c r="K269" s="16">
        <v>630.0</v>
      </c>
      <c r="L269" s="16">
        <v>482.63</v>
      </c>
      <c r="M269" s="16">
        <v>304.8</v>
      </c>
      <c r="N269" s="16">
        <v>6.14</v>
      </c>
      <c r="O269" s="16">
        <v>0.992391</v>
      </c>
      <c r="P269" s="16">
        <v>0.992391</v>
      </c>
      <c r="Q269" s="19">
        <f t="shared" si="2"/>
        <v>78.11835467</v>
      </c>
      <c r="R269" s="20">
        <f t="shared" si="3"/>
        <v>0.7542009407</v>
      </c>
      <c r="S269" s="21">
        <f t="shared" si="4"/>
        <v>4</v>
      </c>
      <c r="T269" s="17">
        <f t="shared" si="66"/>
        <v>364</v>
      </c>
      <c r="U269" s="22">
        <f>T269/vlookup(A269,Max!$A$2:$AP$700,column(Max!$AP$2),false)</f>
        <v>2.912</v>
      </c>
      <c r="V269" s="17">
        <f t="shared" si="6"/>
        <v>233.7847915</v>
      </c>
      <c r="W269" s="23">
        <f t="shared" si="7"/>
        <v>1.020740157</v>
      </c>
      <c r="X269" s="23">
        <f t="shared" si="8"/>
        <v>1.516816986</v>
      </c>
      <c r="Y269" s="23">
        <f t="shared" si="9"/>
        <v>1</v>
      </c>
      <c r="Z269" s="23">
        <f t="shared" si="10"/>
        <v>1.00604882</v>
      </c>
      <c r="AA269" s="26">
        <f t="shared" si="11"/>
        <v>0</v>
      </c>
      <c r="AB269" s="26">
        <f t="shared" ref="AB269:AB270" si="88">if(iserror(find("$",A269)),1,2)</f>
        <v>1</v>
      </c>
      <c r="AC269" s="26" t="str">
        <f t="shared" si="40"/>
        <v/>
      </c>
      <c r="AD269" s="26" t="str">
        <f t="shared" si="41"/>
        <v>$Merlin1C$: 364,</v>
      </c>
      <c r="AE269" s="26" t="str">
        <f t="shared" si="86"/>
        <v/>
      </c>
      <c r="AF269" s="26" t="str">
        <f t="shared" si="78"/>
        <v/>
      </c>
      <c r="AG269" s="26" t="str">
        <f t="shared" si="79"/>
        <v/>
      </c>
    </row>
    <row r="270" ht="15.75" customHeight="1">
      <c r="A270" s="7" t="s">
        <v>370</v>
      </c>
      <c r="B270" s="7" t="s">
        <v>369</v>
      </c>
      <c r="C270" s="8">
        <f t="shared" si="1"/>
        <v>32</v>
      </c>
      <c r="D270" s="7">
        <v>2006.0</v>
      </c>
      <c r="E270" s="7"/>
      <c r="F270" s="7" t="b">
        <v>1</v>
      </c>
      <c r="G270" s="7" t="b">
        <v>0</v>
      </c>
      <c r="H270" s="7" t="b">
        <v>0</v>
      </c>
      <c r="I270" s="7" t="b">
        <v>0</v>
      </c>
      <c r="J270" s="9" t="b">
        <v>0</v>
      </c>
      <c r="K270" s="7">
        <v>760.0</v>
      </c>
      <c r="L270" s="7">
        <v>394.6</v>
      </c>
      <c r="M270" s="7">
        <v>299.2</v>
      </c>
      <c r="N270" s="7">
        <v>6.08</v>
      </c>
      <c r="O270" s="7">
        <v>0.99</v>
      </c>
      <c r="P270" s="7">
        <v>0.99</v>
      </c>
      <c r="Q270" s="10">
        <f t="shared" si="2"/>
        <v>52.94473901</v>
      </c>
      <c r="R270" s="11">
        <f t="shared" si="3"/>
        <v>1.003547897</v>
      </c>
      <c r="S270" s="12">
        <f t="shared" si="4"/>
        <v>4</v>
      </c>
      <c r="T270" s="8">
        <f t="shared" si="66"/>
        <v>396</v>
      </c>
      <c r="U270" s="13">
        <f>T270/vlookup(A270,Max!$A$2:$AP$700,column(Max!$AP$2),false)</f>
        <v>4.5</v>
      </c>
      <c r="V270" s="8">
        <f t="shared" si="6"/>
        <v>262.3523461</v>
      </c>
      <c r="W270" s="14">
        <f t="shared" si="7"/>
        <v>0.9976180791</v>
      </c>
      <c r="X270" s="14">
        <f t="shared" si="8"/>
        <v>1.512354998</v>
      </c>
      <c r="Y270" s="14">
        <f t="shared" si="9"/>
        <v>1</v>
      </c>
      <c r="Z270" s="14">
        <f t="shared" si="10"/>
        <v>1</v>
      </c>
      <c r="AA270" s="27">
        <f t="shared" si="11"/>
        <v>32</v>
      </c>
      <c r="AB270" s="15">
        <f t="shared" si="88"/>
        <v>1</v>
      </c>
      <c r="AC270" s="15" t="str">
        <f t="shared" si="40"/>
        <v/>
      </c>
      <c r="AD270" s="15" t="str">
        <f t="shared" si="41"/>
        <v>$Merlin1B$: 32,</v>
      </c>
      <c r="AE270" s="15" t="str">
        <f t="shared" si="86"/>
        <v/>
      </c>
      <c r="AF270" s="15" t="str">
        <f t="shared" si="78"/>
        <v/>
      </c>
      <c r="AG270" s="15" t="str">
        <f t="shared" si="79"/>
        <v/>
      </c>
    </row>
    <row r="271" ht="15.75" customHeight="1">
      <c r="A271" s="16" t="s">
        <v>371</v>
      </c>
      <c r="B271" s="16" t="s">
        <v>369</v>
      </c>
      <c r="C271" s="17">
        <f t="shared" si="1"/>
        <v>-37</v>
      </c>
      <c r="D271" s="16">
        <v>2006.0</v>
      </c>
      <c r="E271" s="16"/>
      <c r="F271" s="16" t="b">
        <v>1</v>
      </c>
      <c r="G271" s="16" t="b">
        <v>0</v>
      </c>
      <c r="H271" s="16" t="b">
        <v>0</v>
      </c>
      <c r="I271" s="16" t="b">
        <v>0</v>
      </c>
      <c r="J271" s="18" t="b">
        <v>0</v>
      </c>
      <c r="K271" s="16">
        <v>760.0</v>
      </c>
      <c r="L271" s="16">
        <v>369.2</v>
      </c>
      <c r="M271" s="16">
        <v>288.5</v>
      </c>
      <c r="N271" s="16">
        <v>5.39</v>
      </c>
      <c r="O271" s="16">
        <v>0.941667</v>
      </c>
      <c r="P271" s="16">
        <v>0.941667</v>
      </c>
      <c r="Q271" s="19">
        <f t="shared" si="2"/>
        <v>49.5367401</v>
      </c>
      <c r="R271" s="20">
        <f t="shared" si="3"/>
        <v>0.8856988082</v>
      </c>
      <c r="S271" s="21">
        <f t="shared" si="4"/>
        <v>4</v>
      </c>
      <c r="T271" s="17">
        <f t="shared" si="66"/>
        <v>327</v>
      </c>
      <c r="U271" s="22">
        <f>T271/vlookup(A271,Max!$A$2:$AP$700,column(Max!$AP$2),false)</f>
        <v>8.384615385</v>
      </c>
      <c r="V271" s="17">
        <f t="shared" si="6"/>
        <v>262.3523461</v>
      </c>
      <c r="W271" s="23">
        <f t="shared" si="7"/>
        <v>0.9690036518</v>
      </c>
      <c r="X271" s="23">
        <f t="shared" si="8"/>
        <v>1.458677559</v>
      </c>
      <c r="Y271" s="23">
        <f t="shared" si="9"/>
        <v>1</v>
      </c>
      <c r="Z271" s="23">
        <f t="shared" si="10"/>
        <v>0.8823794628</v>
      </c>
      <c r="AA271" s="24">
        <f t="shared" si="11"/>
        <v>-37</v>
      </c>
      <c r="AB271" s="25">
        <v>0.0</v>
      </c>
      <c r="AC271" s="26" t="str">
        <f t="shared" si="40"/>
        <v>{
$name$: $Merlin1A$,
$config$: $Merlin1$,
$cost$: -37
},</v>
      </c>
      <c r="AD271" s="26" t="str">
        <f t="shared" si="41"/>
        <v/>
      </c>
      <c r="AE271" s="26" t="str">
        <f t="shared" si="86"/>
        <v/>
      </c>
      <c r="AF271" s="26" t="str">
        <f t="shared" si="78"/>
        <v/>
      </c>
      <c r="AG271" s="26" t="str">
        <f t="shared" si="79"/>
        <v/>
      </c>
    </row>
    <row r="272" ht="15.75" customHeight="1">
      <c r="A272" s="7" t="s">
        <v>372</v>
      </c>
      <c r="B272" s="7" t="s">
        <v>369</v>
      </c>
      <c r="C272" s="8">
        <f t="shared" si="1"/>
        <v>125</v>
      </c>
      <c r="D272" s="7">
        <v>2006.0</v>
      </c>
      <c r="E272" s="7"/>
      <c r="F272" s="7" t="b">
        <v>1</v>
      </c>
      <c r="G272" s="7" t="b">
        <v>0</v>
      </c>
      <c r="H272" s="7" t="b">
        <v>1</v>
      </c>
      <c r="I272" s="7" t="b">
        <v>0</v>
      </c>
      <c r="J272" s="9" t="b">
        <v>0</v>
      </c>
      <c r="K272" s="7">
        <f>760*1.2</f>
        <v>912</v>
      </c>
      <c r="L272" s="7">
        <v>421.6</v>
      </c>
      <c r="M272" s="7">
        <v>332.1</v>
      </c>
      <c r="N272" s="7">
        <v>6.08</v>
      </c>
      <c r="O272" s="7">
        <v>0.99</v>
      </c>
      <c r="P272" s="7">
        <v>0.99</v>
      </c>
      <c r="Q272" s="10">
        <f t="shared" si="2"/>
        <v>47.13951251</v>
      </c>
      <c r="R272" s="11">
        <f t="shared" si="3"/>
        <v>1.159867173</v>
      </c>
      <c r="S272" s="12">
        <f t="shared" si="4"/>
        <v>4</v>
      </c>
      <c r="T272" s="8">
        <f t="shared" si="66"/>
        <v>489</v>
      </c>
      <c r="U272" s="13">
        <f>T272/vlookup(A272,Max!$A$2:$AP$700,column(Max!$AP$2),false)</f>
        <v>4.939393939</v>
      </c>
      <c r="V272" s="8">
        <f t="shared" si="6"/>
        <v>293.5096385</v>
      </c>
      <c r="W272" s="14">
        <f t="shared" si="7"/>
        <v>1.252399347</v>
      </c>
      <c r="X272" s="14">
        <f t="shared" si="8"/>
        <v>1.363767415</v>
      </c>
      <c r="Y272" s="14">
        <f t="shared" si="9"/>
        <v>1</v>
      </c>
      <c r="Z272" s="14">
        <f t="shared" si="10"/>
        <v>0.9751871871</v>
      </c>
      <c r="AA272" s="27">
        <f t="shared" si="11"/>
        <v>125</v>
      </c>
      <c r="AB272" s="15">
        <f t="shared" ref="AB272:AB278" si="89">if(iserror(find("$",A272)),1,2)</f>
        <v>1</v>
      </c>
      <c r="AC272" s="15" t="str">
        <f t="shared" si="40"/>
        <v/>
      </c>
      <c r="AD272" s="15" t="str">
        <f t="shared" si="41"/>
        <v>$Merlin1BVac$: 125,</v>
      </c>
      <c r="AE272" s="15" t="str">
        <f t="shared" si="86"/>
        <v/>
      </c>
      <c r="AF272" s="15" t="str">
        <f t="shared" si="78"/>
        <v/>
      </c>
      <c r="AG272" s="15" t="str">
        <f t="shared" si="79"/>
        <v/>
      </c>
    </row>
    <row r="273" ht="15.75" customHeight="1">
      <c r="A273" s="16" t="s">
        <v>373</v>
      </c>
      <c r="B273" s="16" t="s">
        <v>369</v>
      </c>
      <c r="C273" s="17">
        <f t="shared" si="1"/>
        <v>54</v>
      </c>
      <c r="D273" s="16">
        <v>2010.0</v>
      </c>
      <c r="E273" s="16"/>
      <c r="F273" s="16" t="b">
        <v>1</v>
      </c>
      <c r="G273" s="16" t="b">
        <v>0</v>
      </c>
      <c r="H273" s="16" t="b">
        <v>1</v>
      </c>
      <c r="I273" s="16" t="b">
        <v>0</v>
      </c>
      <c r="J273" s="18" t="b">
        <v>0</v>
      </c>
      <c r="K273" s="16">
        <v>760.0</v>
      </c>
      <c r="L273" s="16">
        <v>524.9</v>
      </c>
      <c r="M273" s="16">
        <v>336.0</v>
      </c>
      <c r="N273" s="16">
        <v>6.14</v>
      </c>
      <c r="O273" s="16">
        <v>0.975</v>
      </c>
      <c r="P273" s="16">
        <v>0.975</v>
      </c>
      <c r="Q273" s="19">
        <f t="shared" si="2"/>
        <v>70.42750508</v>
      </c>
      <c r="R273" s="20">
        <f t="shared" si="3"/>
        <v>0.7963421604</v>
      </c>
      <c r="S273" s="21">
        <f t="shared" si="4"/>
        <v>4</v>
      </c>
      <c r="T273" s="17">
        <f t="shared" si="66"/>
        <v>418</v>
      </c>
      <c r="U273" s="22">
        <f>T273/vlookup(A273,Max!$A$2:$AP$700,column(Max!$AP$2),false)</f>
        <v>2.985714286</v>
      </c>
      <c r="V273" s="17">
        <f t="shared" si="6"/>
        <v>262.3523461</v>
      </c>
      <c r="W273" s="23">
        <f t="shared" si="7"/>
        <v>1.288986506</v>
      </c>
      <c r="X273" s="23">
        <f t="shared" si="8"/>
        <v>1.366784005</v>
      </c>
      <c r="Y273" s="23">
        <f t="shared" si="9"/>
        <v>1</v>
      </c>
      <c r="Z273" s="23">
        <f t="shared" si="10"/>
        <v>0.9035144278</v>
      </c>
      <c r="AA273" s="24">
        <f t="shared" si="11"/>
        <v>54</v>
      </c>
      <c r="AB273" s="26">
        <f t="shared" si="89"/>
        <v>1</v>
      </c>
      <c r="AC273" s="26" t="str">
        <f t="shared" si="40"/>
        <v/>
      </c>
      <c r="AD273" s="26" t="str">
        <f t="shared" si="41"/>
        <v>$Merlin1CVac$: 54,</v>
      </c>
      <c r="AE273" s="26" t="str">
        <f t="shared" si="86"/>
        <v/>
      </c>
      <c r="AF273" s="26" t="str">
        <f t="shared" si="78"/>
        <v/>
      </c>
      <c r="AG273" s="26" t="str">
        <f t="shared" si="79"/>
        <v/>
      </c>
    </row>
    <row r="274" ht="15.75" customHeight="1">
      <c r="A274" s="7" t="s">
        <v>374</v>
      </c>
      <c r="B274" s="7" t="s">
        <v>369</v>
      </c>
      <c r="C274" s="8">
        <f t="shared" si="1"/>
        <v>49</v>
      </c>
      <c r="D274" s="7">
        <v>2013.0</v>
      </c>
      <c r="E274" s="7"/>
      <c r="F274" s="7" t="b">
        <v>1</v>
      </c>
      <c r="G274" s="7" t="b">
        <v>0</v>
      </c>
      <c r="H274" s="7" t="b">
        <v>1</v>
      </c>
      <c r="I274" s="7" t="b">
        <v>0</v>
      </c>
      <c r="J274" s="9" t="b">
        <v>0</v>
      </c>
      <c r="K274" s="7">
        <v>490.0</v>
      </c>
      <c r="L274" s="7">
        <v>805.0</v>
      </c>
      <c r="M274" s="7">
        <v>345.0</v>
      </c>
      <c r="N274" s="7">
        <v>9.72</v>
      </c>
      <c r="O274" s="7">
        <v>0.994828</v>
      </c>
      <c r="P274" s="7">
        <v>0.99</v>
      </c>
      <c r="Q274" s="10">
        <f t="shared" si="2"/>
        <v>167.5248059</v>
      </c>
      <c r="R274" s="11">
        <f t="shared" si="3"/>
        <v>0.5130434783</v>
      </c>
      <c r="S274" s="12">
        <f t="shared" si="4"/>
        <v>4</v>
      </c>
      <c r="T274" s="8">
        <f t="shared" si="66"/>
        <v>413</v>
      </c>
      <c r="U274" s="13">
        <f>T274/vlookup(A274,Max!$A$2:$AP$700,column(Max!$AP$2),false)</f>
        <v>1.116216216</v>
      </c>
      <c r="V274" s="8">
        <f t="shared" si="6"/>
        <v>200.3879429</v>
      </c>
      <c r="W274" s="14">
        <f t="shared" si="7"/>
        <v>1.379129451</v>
      </c>
      <c r="X274" s="14">
        <f t="shared" si="8"/>
        <v>1.515608086</v>
      </c>
      <c r="Y274" s="14">
        <f t="shared" si="9"/>
        <v>1</v>
      </c>
      <c r="Z274" s="14">
        <f t="shared" si="10"/>
        <v>0.9871201122</v>
      </c>
      <c r="AA274" s="27">
        <f t="shared" si="11"/>
        <v>49</v>
      </c>
      <c r="AB274" s="15">
        <f t="shared" si="89"/>
        <v>1</v>
      </c>
      <c r="AC274" s="15" t="str">
        <f t="shared" si="40"/>
        <v/>
      </c>
      <c r="AD274" s="15" t="str">
        <f t="shared" si="41"/>
        <v>$Merlin1DVac$: 49,</v>
      </c>
      <c r="AE274" s="15" t="str">
        <f t="shared" si="86"/>
        <v/>
      </c>
      <c r="AF274" s="15" t="str">
        <f t="shared" si="78"/>
        <v/>
      </c>
      <c r="AG274" s="15" t="str">
        <f t="shared" si="79"/>
        <v/>
      </c>
    </row>
    <row r="275" ht="15.75" customHeight="1">
      <c r="A275" s="16" t="s">
        <v>375</v>
      </c>
      <c r="B275" s="16" t="s">
        <v>369</v>
      </c>
      <c r="C275" s="17">
        <f t="shared" si="1"/>
        <v>6</v>
      </c>
      <c r="D275" s="16">
        <v>2013.0</v>
      </c>
      <c r="E275" s="16"/>
      <c r="F275" s="16" t="b">
        <v>1</v>
      </c>
      <c r="G275" s="16" t="b">
        <v>0</v>
      </c>
      <c r="H275" s="16" t="b">
        <v>0</v>
      </c>
      <c r="I275" s="16" t="b">
        <v>0</v>
      </c>
      <c r="J275" s="18" t="b">
        <v>0</v>
      </c>
      <c r="K275" s="16">
        <v>470.0</v>
      </c>
      <c r="L275" s="16">
        <v>742.4</v>
      </c>
      <c r="M275" s="16">
        <v>311.0</v>
      </c>
      <c r="N275" s="16">
        <v>9.72</v>
      </c>
      <c r="O275" s="16">
        <v>0.997813</v>
      </c>
      <c r="P275" s="16">
        <v>0.997426</v>
      </c>
      <c r="Q275" s="19">
        <f t="shared" si="2"/>
        <v>161.071769</v>
      </c>
      <c r="R275" s="20">
        <f t="shared" si="3"/>
        <v>0.4983836207</v>
      </c>
      <c r="S275" s="21">
        <f t="shared" si="4"/>
        <v>4</v>
      </c>
      <c r="T275" s="17">
        <f t="shared" si="66"/>
        <v>370</v>
      </c>
      <c r="U275" s="22">
        <f>T275/vlookup(A275,Max!$A$2:$AP$700,column(Max!$AP$2),false)</f>
        <v>1.15625</v>
      </c>
      <c r="V275" s="17">
        <f t="shared" si="6"/>
        <v>195.337434</v>
      </c>
      <c r="W275" s="23">
        <f t="shared" si="7"/>
        <v>1.066630493</v>
      </c>
      <c r="X275" s="23">
        <f t="shared" si="8"/>
        <v>1.740934981</v>
      </c>
      <c r="Y275" s="23">
        <f t="shared" si="9"/>
        <v>1</v>
      </c>
      <c r="Z275" s="23">
        <f t="shared" si="10"/>
        <v>1.018858154</v>
      </c>
      <c r="AA275" s="24">
        <f t="shared" si="11"/>
        <v>6</v>
      </c>
      <c r="AB275" s="26">
        <f t="shared" si="89"/>
        <v>1</v>
      </c>
      <c r="AC275" s="26" t="str">
        <f t="shared" si="40"/>
        <v/>
      </c>
      <c r="AD275" s="26" t="str">
        <f t="shared" si="41"/>
        <v>$Merlin1D$: 6,</v>
      </c>
      <c r="AE275" s="26" t="str">
        <f t="shared" si="86"/>
        <v/>
      </c>
      <c r="AF275" s="26" t="str">
        <f t="shared" si="78"/>
        <v/>
      </c>
      <c r="AG275" s="26" t="str">
        <f t="shared" si="79"/>
        <v/>
      </c>
    </row>
    <row r="276" ht="15.75" customHeight="1">
      <c r="A276" s="7" t="s">
        <v>376</v>
      </c>
      <c r="B276" s="7" t="s">
        <v>369</v>
      </c>
      <c r="C276" s="8">
        <f t="shared" si="1"/>
        <v>84</v>
      </c>
      <c r="D276" s="7">
        <v>2015.0</v>
      </c>
      <c r="E276" s="7"/>
      <c r="F276" s="7" t="b">
        <v>1</v>
      </c>
      <c r="G276" s="7" t="b">
        <v>0</v>
      </c>
      <c r="H276" s="7" t="b">
        <v>1</v>
      </c>
      <c r="I276" s="7" t="b">
        <v>0</v>
      </c>
      <c r="J276" s="9" t="b">
        <v>0</v>
      </c>
      <c r="K276" s="7">
        <v>490.0</v>
      </c>
      <c r="L276" s="7">
        <v>934.12</v>
      </c>
      <c r="M276" s="7">
        <v>348.0</v>
      </c>
      <c r="N276" s="7">
        <v>10.8</v>
      </c>
      <c r="O276" s="7">
        <v>0.999315</v>
      </c>
      <c r="P276" s="7">
        <v>0.998636</v>
      </c>
      <c r="Q276" s="10">
        <f t="shared" si="2"/>
        <v>194.3953686</v>
      </c>
      <c r="R276" s="11">
        <f t="shared" si="3"/>
        <v>0.4795957693</v>
      </c>
      <c r="S276" s="12">
        <f t="shared" si="4"/>
        <v>4</v>
      </c>
      <c r="T276" s="8">
        <f t="shared" si="66"/>
        <v>448</v>
      </c>
      <c r="U276" s="13">
        <f>T276/vlookup(A276,Max!$A$2:$AP$700,column(Max!$AP$2),false)</f>
        <v>0.7724137931</v>
      </c>
      <c r="V276" s="8">
        <f t="shared" si="6"/>
        <v>200.3879429</v>
      </c>
      <c r="W276" s="14">
        <f t="shared" si="7"/>
        <v>1.411050429</v>
      </c>
      <c r="X276" s="14">
        <f t="shared" si="8"/>
        <v>1.551966523</v>
      </c>
      <c r="Y276" s="14">
        <f t="shared" si="9"/>
        <v>1</v>
      </c>
      <c r="Z276" s="14">
        <f t="shared" si="10"/>
        <v>1.020201774</v>
      </c>
      <c r="AA276" s="27">
        <f t="shared" si="11"/>
        <v>84</v>
      </c>
      <c r="AB276" s="15">
        <f t="shared" si="89"/>
        <v>1</v>
      </c>
      <c r="AC276" s="15" t="str">
        <f t="shared" si="40"/>
        <v/>
      </c>
      <c r="AD276" s="15" t="str">
        <f t="shared" si="41"/>
        <v>$Merlin1DVac+$: 84,</v>
      </c>
      <c r="AE276" s="15" t="str">
        <f t="shared" si="86"/>
        <v/>
      </c>
      <c r="AF276" s="15" t="str">
        <f t="shared" si="78"/>
        <v/>
      </c>
      <c r="AG276" s="15" t="str">
        <f t="shared" si="79"/>
        <v/>
      </c>
    </row>
    <row r="277" ht="15.75" customHeight="1">
      <c r="A277" s="16" t="s">
        <v>377</v>
      </c>
      <c r="B277" s="16" t="s">
        <v>369</v>
      </c>
      <c r="C277" s="17">
        <f t="shared" si="1"/>
        <v>19</v>
      </c>
      <c r="D277" s="16">
        <v>2015.0</v>
      </c>
      <c r="E277" s="16"/>
      <c r="F277" s="16" t="b">
        <v>1</v>
      </c>
      <c r="G277" s="16" t="b">
        <v>0</v>
      </c>
      <c r="H277" s="16" t="b">
        <v>0</v>
      </c>
      <c r="I277" s="16" t="b">
        <v>0</v>
      </c>
      <c r="J277" s="18" t="b">
        <v>0</v>
      </c>
      <c r="K277" s="16">
        <v>470.0</v>
      </c>
      <c r="L277" s="16">
        <v>825.0</v>
      </c>
      <c r="M277" s="16">
        <v>311.0</v>
      </c>
      <c r="N277" s="16">
        <v>10.8</v>
      </c>
      <c r="O277" s="16">
        <v>0.999622</v>
      </c>
      <c r="P277" s="16">
        <v>0.999538</v>
      </c>
      <c r="Q277" s="19">
        <f t="shared" si="2"/>
        <v>178.992739</v>
      </c>
      <c r="R277" s="20">
        <f t="shared" si="3"/>
        <v>0.4642424242</v>
      </c>
      <c r="S277" s="21">
        <f t="shared" si="4"/>
        <v>4</v>
      </c>
      <c r="T277" s="17">
        <f t="shared" si="66"/>
        <v>383</v>
      </c>
      <c r="U277" s="22">
        <f>T277/vlookup(A277,Max!$A$2:$AP$700,column(Max!$AP$2),false)</f>
        <v>0.9119047619</v>
      </c>
      <c r="V277" s="17">
        <f t="shared" si="6"/>
        <v>195.337434</v>
      </c>
      <c r="W277" s="23">
        <f t="shared" si="7"/>
        <v>1.066630493</v>
      </c>
      <c r="X277" s="23">
        <f t="shared" si="8"/>
        <v>1.796841621</v>
      </c>
      <c r="Y277" s="23">
        <f t="shared" si="9"/>
        <v>1</v>
      </c>
      <c r="Z277" s="23">
        <f t="shared" si="10"/>
        <v>1.024260176</v>
      </c>
      <c r="AA277" s="24">
        <f t="shared" si="11"/>
        <v>19</v>
      </c>
      <c r="AB277" s="26">
        <f t="shared" si="89"/>
        <v>1</v>
      </c>
      <c r="AC277" s="26" t="str">
        <f t="shared" si="40"/>
        <v/>
      </c>
      <c r="AD277" s="26" t="str">
        <f t="shared" si="41"/>
        <v>$Merlin1D+$: 19,</v>
      </c>
      <c r="AE277" s="26" t="str">
        <f t="shared" si="86"/>
        <v/>
      </c>
      <c r="AF277" s="26" t="str">
        <f t="shared" si="78"/>
        <v/>
      </c>
      <c r="AG277" s="26" t="str">
        <f t="shared" si="79"/>
        <v/>
      </c>
    </row>
    <row r="278" ht="15.75" customHeight="1">
      <c r="A278" s="7" t="s">
        <v>378</v>
      </c>
      <c r="B278" s="7" t="s">
        <v>369</v>
      </c>
      <c r="C278" s="8">
        <f t="shared" si="1"/>
        <v>19</v>
      </c>
      <c r="D278" s="7">
        <v>2017.0</v>
      </c>
      <c r="E278" s="7"/>
      <c r="F278" s="7" t="b">
        <v>1</v>
      </c>
      <c r="G278" s="7" t="b">
        <v>0</v>
      </c>
      <c r="H278" s="7" t="b">
        <v>0</v>
      </c>
      <c r="I278" s="7" t="b">
        <v>0</v>
      </c>
      <c r="J278" s="9" t="b">
        <v>0</v>
      </c>
      <c r="K278" s="7">
        <v>470.0</v>
      </c>
      <c r="L278" s="7">
        <v>914.22</v>
      </c>
      <c r="M278" s="7">
        <v>311.0</v>
      </c>
      <c r="N278" s="7">
        <v>10.8</v>
      </c>
      <c r="O278" s="7">
        <v>0.99976</v>
      </c>
      <c r="P278" s="7">
        <v>0.999276</v>
      </c>
      <c r="Q278" s="10">
        <f t="shared" si="2"/>
        <v>198.3499901</v>
      </c>
      <c r="R278" s="11">
        <f t="shared" si="3"/>
        <v>0.4189363611</v>
      </c>
      <c r="S278" s="12">
        <f t="shared" si="4"/>
        <v>4</v>
      </c>
      <c r="T278" s="8">
        <f t="shared" si="66"/>
        <v>383</v>
      </c>
      <c r="U278" s="13">
        <f>T278/vlookup(A278,Max!$A$2:$AP$700,column(Max!$AP$2),false)</f>
        <v>0.8326086957</v>
      </c>
      <c r="V278" s="8">
        <f t="shared" si="6"/>
        <v>195.337434</v>
      </c>
      <c r="W278" s="14">
        <f t="shared" si="7"/>
        <v>1.066630493</v>
      </c>
      <c r="X278" s="14">
        <f t="shared" si="8"/>
        <v>1.796841621</v>
      </c>
      <c r="Y278" s="14">
        <f t="shared" si="9"/>
        <v>1</v>
      </c>
      <c r="Z278" s="14">
        <f t="shared" si="10"/>
        <v>1.023589108</v>
      </c>
      <c r="AA278" s="27">
        <f t="shared" si="11"/>
        <v>19</v>
      </c>
      <c r="AB278" s="15">
        <f t="shared" si="89"/>
        <v>1</v>
      </c>
      <c r="AC278" s="15" t="str">
        <f t="shared" si="40"/>
        <v/>
      </c>
      <c r="AD278" s="15" t="str">
        <f t="shared" si="41"/>
        <v>$Merlin1D++$: 19,</v>
      </c>
      <c r="AE278" s="15" t="str">
        <f t="shared" si="86"/>
        <v/>
      </c>
      <c r="AF278" s="15" t="str">
        <f t="shared" si="78"/>
        <v/>
      </c>
      <c r="AG278" s="15" t="str">
        <f t="shared" si="79"/>
        <v/>
      </c>
    </row>
    <row r="279" ht="15.75" customHeight="1">
      <c r="A279" s="16" t="s">
        <v>379</v>
      </c>
      <c r="B279" s="18" t="s">
        <v>379</v>
      </c>
      <c r="C279" s="17">
        <f t="shared" si="1"/>
        <v>27</v>
      </c>
      <c r="D279" s="16">
        <v>1970.0</v>
      </c>
      <c r="E279" s="16"/>
      <c r="F279" s="16" t="b">
        <v>0</v>
      </c>
      <c r="G279" s="16" t="b">
        <v>0</v>
      </c>
      <c r="H279" s="16" t="b">
        <v>1</v>
      </c>
      <c r="I279" s="16" t="b">
        <v>1</v>
      </c>
      <c r="J279" s="18" t="b">
        <v>0</v>
      </c>
      <c r="K279" s="16">
        <v>8.9</v>
      </c>
      <c r="L279" s="16">
        <v>2.811</v>
      </c>
      <c r="M279" s="16">
        <v>210.0</v>
      </c>
      <c r="N279" s="16">
        <v>2.4</v>
      </c>
      <c r="O279" s="16">
        <v>0.999</v>
      </c>
      <c r="P279" s="16">
        <v>0.999</v>
      </c>
      <c r="Q279" s="19">
        <f t="shared" si="2"/>
        <v>32.20699176</v>
      </c>
      <c r="R279" s="20">
        <f t="shared" si="3"/>
        <v>9.605122732</v>
      </c>
      <c r="S279" s="21">
        <f t="shared" si="4"/>
        <v>1.75</v>
      </c>
      <c r="T279" s="17">
        <f t="shared" si="66"/>
        <v>27</v>
      </c>
      <c r="U279" s="22">
        <f>T279/vlookup(A279,Max!$A$2:$AP$700,column(Max!$AP$2),false)</f>
        <v>2.7</v>
      </c>
      <c r="V279" s="17">
        <f t="shared" si="6"/>
        <v>18.09969746</v>
      </c>
      <c r="W279" s="23">
        <f t="shared" si="7"/>
        <v>0.8774529039</v>
      </c>
      <c r="X279" s="23">
        <f t="shared" si="8"/>
        <v>1.106393291</v>
      </c>
      <c r="Y279" s="23">
        <f t="shared" si="9"/>
        <v>1.5</v>
      </c>
      <c r="Z279" s="23">
        <f t="shared" si="10"/>
        <v>1.020327177</v>
      </c>
      <c r="AA279" s="26">
        <f t="shared" si="11"/>
        <v>0</v>
      </c>
      <c r="AB279" s="25">
        <v>0.0</v>
      </c>
      <c r="AC279" s="26" t="str">
        <f t="shared" si="40"/>
        <v>{
$name$: $MR-80-TDE$,
$config$: $MR-80-TDE$,
$cost$: 27
},</v>
      </c>
      <c r="AD279" s="26" t="str">
        <f t="shared" si="41"/>
        <v/>
      </c>
      <c r="AE279" s="26" t="str">
        <f t="shared" si="86"/>
        <v/>
      </c>
      <c r="AF279" s="26" t="str">
        <f t="shared" si="78"/>
        <v/>
      </c>
      <c r="AG279" s="26" t="str">
        <f t="shared" si="79"/>
        <v/>
      </c>
    </row>
    <row r="280" ht="15.75" customHeight="1">
      <c r="A280" s="7" t="s">
        <v>380</v>
      </c>
      <c r="B280" s="7" t="s">
        <v>380</v>
      </c>
      <c r="C280" s="8">
        <f t="shared" si="1"/>
        <v>26</v>
      </c>
      <c r="D280" s="7">
        <v>2007.0</v>
      </c>
      <c r="E280" s="7"/>
      <c r="F280" s="7" t="b">
        <v>0</v>
      </c>
      <c r="G280" s="7" t="b">
        <v>0</v>
      </c>
      <c r="H280" s="7" t="b">
        <v>1</v>
      </c>
      <c r="I280" s="7" t="b">
        <v>1</v>
      </c>
      <c r="J280" s="9" t="b">
        <v>0</v>
      </c>
      <c r="K280" s="7">
        <v>8.5</v>
      </c>
      <c r="L280" s="7">
        <v>3.603</v>
      </c>
      <c r="M280" s="7">
        <v>223.0</v>
      </c>
      <c r="N280" s="7">
        <v>2.4</v>
      </c>
      <c r="O280" s="7">
        <v>0.999</v>
      </c>
      <c r="P280" s="7">
        <v>0.999</v>
      </c>
      <c r="Q280" s="10">
        <f t="shared" si="2"/>
        <v>43.22397064</v>
      </c>
      <c r="R280" s="11">
        <f t="shared" si="3"/>
        <v>7.216208715</v>
      </c>
      <c r="S280" s="12">
        <f t="shared" si="4"/>
        <v>1.75</v>
      </c>
      <c r="T280" s="8">
        <f t="shared" si="66"/>
        <v>26</v>
      </c>
      <c r="U280" s="13">
        <f>T280/vlookup(A280,Max!$A$2:$AP$700,column(Max!$AP$2),false)</f>
        <v>3.13253012</v>
      </c>
      <c r="V280" s="8">
        <f t="shared" si="6"/>
        <v>17.61913864</v>
      </c>
      <c r="W280" s="14">
        <f t="shared" si="7"/>
        <v>0.8827345443</v>
      </c>
      <c r="X280" s="14">
        <f t="shared" si="8"/>
        <v>1.106393291</v>
      </c>
      <c r="Y280" s="14">
        <f t="shared" si="9"/>
        <v>1.5</v>
      </c>
      <c r="Z280" s="14">
        <f t="shared" si="10"/>
        <v>1.020327177</v>
      </c>
      <c r="AA280" s="15">
        <f t="shared" si="11"/>
        <v>0</v>
      </c>
      <c r="AB280" s="29">
        <v>0.0</v>
      </c>
      <c r="AC280" s="15" t="str">
        <f t="shared" si="40"/>
        <v>{
$name$: $MR-80B$,
$config$: $MR-80B$,
$cost$: 26
},</v>
      </c>
      <c r="AD280" s="15" t="str">
        <f t="shared" si="41"/>
        <v/>
      </c>
      <c r="AE280" s="15" t="str">
        <f t="shared" si="86"/>
        <v/>
      </c>
      <c r="AF280" s="15" t="str">
        <f t="shared" si="78"/>
        <v/>
      </c>
      <c r="AG280" s="15" t="str">
        <f t="shared" si="79"/>
        <v/>
      </c>
    </row>
    <row r="281" ht="15.75" customHeight="1">
      <c r="A281" s="16" t="s">
        <v>381</v>
      </c>
      <c r="B281" s="16" t="s">
        <v>382</v>
      </c>
      <c r="C281" s="17">
        <f t="shared" si="1"/>
        <v>270</v>
      </c>
      <c r="D281" s="16">
        <v>1951.0</v>
      </c>
      <c r="E281" s="16"/>
      <c r="F281" s="16" t="b">
        <v>1</v>
      </c>
      <c r="G281" s="16" t="b">
        <v>0</v>
      </c>
      <c r="H281" s="16" t="b">
        <v>0</v>
      </c>
      <c r="I281" s="16" t="b">
        <v>0</v>
      </c>
      <c r="J281" s="18" t="b">
        <v>0</v>
      </c>
      <c r="K281" s="16">
        <v>670.0</v>
      </c>
      <c r="L281" s="16">
        <v>383.0</v>
      </c>
      <c r="M281" s="16">
        <v>248.0</v>
      </c>
      <c r="N281" s="16">
        <v>2.06</v>
      </c>
      <c r="O281" s="16">
        <v>0.95</v>
      </c>
      <c r="P281" s="16">
        <v>0.93</v>
      </c>
      <c r="Q281" s="19">
        <f t="shared" si="2"/>
        <v>58.29124006</v>
      </c>
      <c r="R281" s="20">
        <f t="shared" si="3"/>
        <v>0.7049608355</v>
      </c>
      <c r="S281" s="21">
        <f t="shared" si="4"/>
        <v>4</v>
      </c>
      <c r="T281" s="32">
        <v>270.0</v>
      </c>
      <c r="U281" s="22">
        <f>T281/vlookup(A281,Max!$A$2:$AP$700,column(Max!$AP$2),false)</f>
        <v>1.6875</v>
      </c>
      <c r="V281" s="17">
        <f t="shared" si="6"/>
        <v>242.7932583</v>
      </c>
      <c r="W281" s="23">
        <f t="shared" si="7"/>
        <v>0.9019389987</v>
      </c>
      <c r="X281" s="23">
        <f t="shared" si="8"/>
        <v>1.093057072</v>
      </c>
      <c r="Y281" s="23">
        <f t="shared" si="9"/>
        <v>1</v>
      </c>
      <c r="Z281" s="23">
        <f t="shared" si="10"/>
        <v>1.026384525</v>
      </c>
      <c r="AA281" s="26">
        <f t="shared" si="11"/>
        <v>0</v>
      </c>
      <c r="AB281" s="25">
        <v>0.0</v>
      </c>
      <c r="AC281" s="26" t="str">
        <f t="shared" si="40"/>
        <v>{
$name$: $XLR43-NA-1$,
$config$: $NAA75_110$,
$cost$: 270
},</v>
      </c>
      <c r="AD281" s="26" t="str">
        <f t="shared" si="41"/>
        <v/>
      </c>
      <c r="AE281" s="26" t="str">
        <f t="shared" si="86"/>
        <v/>
      </c>
      <c r="AF281" s="26" t="str">
        <f t="shared" si="78"/>
        <v/>
      </c>
      <c r="AG281" s="26" t="str">
        <f t="shared" si="79"/>
        <v/>
      </c>
    </row>
    <row r="282" ht="15.75" customHeight="1">
      <c r="A282" s="7" t="s">
        <v>383</v>
      </c>
      <c r="B282" s="7" t="s">
        <v>382</v>
      </c>
      <c r="C282" s="8">
        <f t="shared" si="1"/>
        <v>24</v>
      </c>
      <c r="D282" s="7">
        <v>1952.0</v>
      </c>
      <c r="E282" s="7"/>
      <c r="F282" s="7" t="b">
        <v>1</v>
      </c>
      <c r="G282" s="7" t="b">
        <v>0</v>
      </c>
      <c r="H282" s="7" t="b">
        <v>0</v>
      </c>
      <c r="I282" s="7" t="b">
        <v>0</v>
      </c>
      <c r="J282" s="9" t="b">
        <v>0</v>
      </c>
      <c r="K282" s="7">
        <v>740.0</v>
      </c>
      <c r="L282" s="7">
        <v>383.0</v>
      </c>
      <c r="M282" s="7">
        <v>248.0</v>
      </c>
      <c r="N282" s="7">
        <v>2.19</v>
      </c>
      <c r="O282" s="7">
        <v>0.974342</v>
      </c>
      <c r="P282" s="7">
        <v>0.974342</v>
      </c>
      <c r="Q282" s="10">
        <f t="shared" si="2"/>
        <v>52.77720384</v>
      </c>
      <c r="R282" s="11">
        <f t="shared" si="3"/>
        <v>0.7676240209</v>
      </c>
      <c r="S282" s="12">
        <f t="shared" si="4"/>
        <v>4</v>
      </c>
      <c r="T282" s="8">
        <f t="shared" ref="T282:T315" si="90">round(V282*W282*X282*Y282*Z282,0)</f>
        <v>294</v>
      </c>
      <c r="U282" s="13">
        <f>T282/vlookup(A282,Max!$A$2:$AP$700,column(Max!$AP$2),false)</f>
        <v>1.225</v>
      </c>
      <c r="V282" s="8">
        <f t="shared" si="6"/>
        <v>258.0848094</v>
      </c>
      <c r="W282" s="14">
        <f t="shared" si="7"/>
        <v>0.9019389987</v>
      </c>
      <c r="X282" s="14">
        <f t="shared" si="8"/>
        <v>1.113309479</v>
      </c>
      <c r="Y282" s="14">
        <f t="shared" si="9"/>
        <v>1</v>
      </c>
      <c r="Z282" s="14">
        <f t="shared" si="10"/>
        <v>1.136179541</v>
      </c>
      <c r="AA282" s="27">
        <f t="shared" si="11"/>
        <v>24</v>
      </c>
      <c r="AB282" s="15">
        <f t="shared" ref="AB282:AB284" si="91">if(iserror(find("$",A282)),1,2)</f>
        <v>1</v>
      </c>
      <c r="AC282" s="15" t="str">
        <f t="shared" si="40"/>
        <v/>
      </c>
      <c r="AD282" s="15" t="str">
        <f t="shared" si="41"/>
        <v>$A-6$: 24,</v>
      </c>
      <c r="AE282" s="15" t="str">
        <f t="shared" si="86"/>
        <v/>
      </c>
      <c r="AF282" s="15" t="str">
        <f t="shared" si="78"/>
        <v/>
      </c>
      <c r="AG282" s="15" t="str">
        <f t="shared" si="79"/>
        <v/>
      </c>
    </row>
    <row r="283" ht="15.75" customHeight="1">
      <c r="A283" s="16" t="s">
        <v>384</v>
      </c>
      <c r="B283" s="16" t="s">
        <v>382</v>
      </c>
      <c r="C283" s="17">
        <f t="shared" si="1"/>
        <v>12</v>
      </c>
      <c r="D283" s="16">
        <v>1956.0</v>
      </c>
      <c r="E283" s="16"/>
      <c r="F283" s="16" t="b">
        <v>1</v>
      </c>
      <c r="G283" s="16" t="b">
        <v>0</v>
      </c>
      <c r="H283" s="16" t="b">
        <v>0</v>
      </c>
      <c r="I283" s="16" t="b">
        <v>0</v>
      </c>
      <c r="J283" s="18" t="b">
        <v>0</v>
      </c>
      <c r="K283" s="16">
        <v>740.0</v>
      </c>
      <c r="L283" s="16">
        <v>409.36</v>
      </c>
      <c r="M283" s="16">
        <v>265.0</v>
      </c>
      <c r="N283" s="16">
        <v>2.19</v>
      </c>
      <c r="O283" s="16">
        <v>0.974342</v>
      </c>
      <c r="P283" s="16">
        <v>0.974342</v>
      </c>
      <c r="Q283" s="19">
        <f t="shared" si="2"/>
        <v>56.40959834</v>
      </c>
      <c r="R283" s="20">
        <f t="shared" si="3"/>
        <v>0.6888802032</v>
      </c>
      <c r="S283" s="21">
        <f t="shared" si="4"/>
        <v>4</v>
      </c>
      <c r="T283" s="17">
        <f t="shared" si="90"/>
        <v>282</v>
      </c>
      <c r="U283" s="22">
        <f>T283/vlookup(A283,Max!$A$2:$AP$700,column(Max!$AP$2),false)</f>
        <v>1.175</v>
      </c>
      <c r="V283" s="17">
        <f t="shared" si="6"/>
        <v>258.0848094</v>
      </c>
      <c r="W283" s="23">
        <f t="shared" si="7"/>
        <v>0.9235379953</v>
      </c>
      <c r="X283" s="23">
        <f t="shared" si="8"/>
        <v>1.113309479</v>
      </c>
      <c r="Y283" s="23">
        <f t="shared" si="9"/>
        <v>1</v>
      </c>
      <c r="Z283" s="23">
        <f t="shared" si="10"/>
        <v>1.062371236</v>
      </c>
      <c r="AA283" s="24">
        <f t="shared" si="11"/>
        <v>12</v>
      </c>
      <c r="AB283" s="26">
        <f t="shared" si="91"/>
        <v>1</v>
      </c>
      <c r="AC283" s="26" t="str">
        <f t="shared" si="40"/>
        <v/>
      </c>
      <c r="AD283" s="26" t="str">
        <f t="shared" si="41"/>
        <v>$A-6H$: 12,</v>
      </c>
      <c r="AE283" s="26" t="str">
        <f t="shared" si="86"/>
        <v/>
      </c>
      <c r="AF283" s="26" t="str">
        <f t="shared" si="78"/>
        <v/>
      </c>
      <c r="AG283" s="26" t="str">
        <f t="shared" si="79"/>
        <v/>
      </c>
    </row>
    <row r="284" ht="15.75" customHeight="1">
      <c r="A284" s="7" t="s">
        <v>385</v>
      </c>
      <c r="B284" s="7" t="s">
        <v>382</v>
      </c>
      <c r="C284" s="8">
        <f t="shared" si="1"/>
        <v>6</v>
      </c>
      <c r="D284" s="7">
        <v>1956.0</v>
      </c>
      <c r="E284" s="7"/>
      <c r="F284" s="7" t="b">
        <v>1</v>
      </c>
      <c r="G284" s="7" t="b">
        <v>0</v>
      </c>
      <c r="H284" s="7" t="b">
        <v>0</v>
      </c>
      <c r="I284" s="7" t="b">
        <v>0</v>
      </c>
      <c r="J284" s="9" t="b">
        <v>0</v>
      </c>
      <c r="K284" s="7">
        <v>740.0</v>
      </c>
      <c r="L284" s="7">
        <v>395.5</v>
      </c>
      <c r="M284" s="7">
        <v>249.0</v>
      </c>
      <c r="N284" s="7">
        <v>2.19</v>
      </c>
      <c r="O284" s="7">
        <v>0.974342</v>
      </c>
      <c r="P284" s="7">
        <v>0.974342</v>
      </c>
      <c r="Q284" s="10">
        <f t="shared" si="2"/>
        <v>54.49969744</v>
      </c>
      <c r="R284" s="11">
        <f t="shared" si="3"/>
        <v>0.6978508217</v>
      </c>
      <c r="S284" s="12">
        <f t="shared" si="4"/>
        <v>4</v>
      </c>
      <c r="T284" s="8">
        <f t="shared" si="90"/>
        <v>276</v>
      </c>
      <c r="U284" s="13">
        <f>T284/vlookup(A284,Max!$A$2:$AP$700,column(Max!$AP$2),false)</f>
        <v>1.452631579</v>
      </c>
      <c r="V284" s="8">
        <f t="shared" si="6"/>
        <v>258.0848094</v>
      </c>
      <c r="W284" s="14">
        <f t="shared" si="7"/>
        <v>0.9029957385</v>
      </c>
      <c r="X284" s="14">
        <f t="shared" si="8"/>
        <v>1.113309479</v>
      </c>
      <c r="Y284" s="14">
        <f t="shared" si="9"/>
        <v>1</v>
      </c>
      <c r="Z284" s="14">
        <f t="shared" si="10"/>
        <v>1.062371236</v>
      </c>
      <c r="AA284" s="27">
        <f t="shared" si="11"/>
        <v>6</v>
      </c>
      <c r="AB284" s="15">
        <f t="shared" si="91"/>
        <v>1</v>
      </c>
      <c r="AC284" s="15" t="str">
        <f t="shared" si="40"/>
        <v/>
      </c>
      <c r="AD284" s="15" t="str">
        <f t="shared" si="41"/>
        <v>$A-7$: 6,</v>
      </c>
      <c r="AE284" s="15" t="str">
        <f t="shared" si="86"/>
        <v/>
      </c>
      <c r="AF284" s="15" t="str">
        <f t="shared" si="78"/>
        <v/>
      </c>
      <c r="AG284" s="15" t="str">
        <f t="shared" si="79"/>
        <v/>
      </c>
    </row>
    <row r="285" ht="15.75" customHeight="1">
      <c r="A285" s="16" t="s">
        <v>386</v>
      </c>
      <c r="B285" s="16" t="s">
        <v>387</v>
      </c>
      <c r="C285" s="17">
        <f t="shared" si="1"/>
        <v>7304</v>
      </c>
      <c r="D285" s="16"/>
      <c r="E285" s="16" t="b">
        <v>1</v>
      </c>
      <c r="F285" s="16" t="b">
        <v>1</v>
      </c>
      <c r="G285" s="16" t="b">
        <v>0</v>
      </c>
      <c r="H285" s="16" t="b">
        <v>1</v>
      </c>
      <c r="I285" s="16" t="b">
        <v>0</v>
      </c>
      <c r="J285" s="18" t="b">
        <v>1</v>
      </c>
      <c r="K285" s="16">
        <v>10117.0</v>
      </c>
      <c r="L285" s="16">
        <v>334.0</v>
      </c>
      <c r="M285" s="16">
        <v>900.0</v>
      </c>
      <c r="N285" s="16">
        <v>3.1</v>
      </c>
      <c r="O285" s="16">
        <v>1.0</v>
      </c>
      <c r="P285" s="16">
        <v>1.0</v>
      </c>
      <c r="Q285" s="19">
        <f t="shared" si="2"/>
        <v>3.366464507</v>
      </c>
      <c r="R285" s="20">
        <f t="shared" si="3"/>
        <v>21.86826347</v>
      </c>
      <c r="S285" s="21">
        <f t="shared" si="4"/>
        <v>4</v>
      </c>
      <c r="T285" s="17">
        <f t="shared" si="90"/>
        <v>7304</v>
      </c>
      <c r="U285" s="22">
        <f>T285/vlookup(A285,Max!$A$2:$AP$700,column(Max!$AP$2),false)</f>
        <v>0.83</v>
      </c>
      <c r="V285" s="17">
        <f t="shared" si="6"/>
        <v>1369.794632</v>
      </c>
      <c r="W285" s="23">
        <f t="shared" si="7"/>
        <v>2.274768587</v>
      </c>
      <c r="X285" s="23">
        <f t="shared" si="8"/>
        <v>1.171975101</v>
      </c>
      <c r="Y285" s="23">
        <f t="shared" si="9"/>
        <v>2</v>
      </c>
      <c r="Z285" s="23">
        <f t="shared" si="10"/>
        <v>1</v>
      </c>
      <c r="AA285" s="26">
        <f t="shared" si="11"/>
        <v>0</v>
      </c>
      <c r="AB285" s="25">
        <v>0.0</v>
      </c>
      <c r="AC285" s="26" t="str">
        <f t="shared" si="40"/>
        <v>{
$name$: $NERVA-I$,
$config$: $NERVA$,
$cost$: 7304
},</v>
      </c>
      <c r="AD285" s="26" t="str">
        <f t="shared" si="41"/>
        <v/>
      </c>
      <c r="AE285" s="26" t="str">
        <f t="shared" si="86"/>
        <v/>
      </c>
      <c r="AF285" s="26" t="str">
        <f t="shared" si="78"/>
        <v/>
      </c>
      <c r="AG285" s="26" t="str">
        <f t="shared" si="79"/>
        <v/>
      </c>
    </row>
    <row r="286" ht="15.75" customHeight="1">
      <c r="A286" s="7" t="s">
        <v>388</v>
      </c>
      <c r="B286" s="7" t="s">
        <v>388</v>
      </c>
      <c r="C286" s="8">
        <f t="shared" si="1"/>
        <v>5976</v>
      </c>
      <c r="D286" s="7"/>
      <c r="E286" s="7" t="b">
        <v>1</v>
      </c>
      <c r="F286" s="7" t="b">
        <v>1</v>
      </c>
      <c r="G286" s="7" t="b">
        <v>0</v>
      </c>
      <c r="H286" s="7" t="b">
        <v>1</v>
      </c>
      <c r="I286" s="7" t="b">
        <v>0</v>
      </c>
      <c r="J286" s="9" t="b">
        <v>1</v>
      </c>
      <c r="K286" s="7">
        <v>11330.0</v>
      </c>
      <c r="L286" s="7">
        <v>243.0</v>
      </c>
      <c r="M286" s="7">
        <v>848.0</v>
      </c>
      <c r="N286" s="7">
        <v>4.15</v>
      </c>
      <c r="O286" s="7">
        <v>1.0</v>
      </c>
      <c r="P286" s="7">
        <v>1.0</v>
      </c>
      <c r="Q286" s="10">
        <f t="shared" si="2"/>
        <v>2.187034766</v>
      </c>
      <c r="R286" s="11">
        <f t="shared" si="3"/>
        <v>24.59259259</v>
      </c>
      <c r="S286" s="12">
        <f t="shared" si="4"/>
        <v>4</v>
      </c>
      <c r="T286" s="8">
        <f t="shared" si="90"/>
        <v>5976</v>
      </c>
      <c r="U286" s="13">
        <f>T286/vlookup(A286,Max!$A$2:$AP$700,column(Max!$AP$2),false)</f>
        <v>1.067142857</v>
      </c>
      <c r="V286" s="8">
        <f t="shared" si="6"/>
        <v>1466.884173</v>
      </c>
      <c r="W286" s="14">
        <f t="shared" si="7"/>
        <v>1.627738858</v>
      </c>
      <c r="X286" s="14">
        <f t="shared" si="8"/>
        <v>1.251476866</v>
      </c>
      <c r="Y286" s="14">
        <f t="shared" si="9"/>
        <v>2</v>
      </c>
      <c r="Z286" s="14">
        <f t="shared" si="10"/>
        <v>1</v>
      </c>
      <c r="AA286" s="15">
        <f t="shared" si="11"/>
        <v>0</v>
      </c>
      <c r="AB286" s="29">
        <v>0.0</v>
      </c>
      <c r="AC286" s="15" t="str">
        <f t="shared" si="40"/>
        <v>{
$name$: $NERVA_NRX$,
$config$: $NERVA_NRX$,
$cost$: 5976
},</v>
      </c>
      <c r="AD286" s="15" t="str">
        <f t="shared" si="41"/>
        <v/>
      </c>
      <c r="AE286" s="15" t="str">
        <f t="shared" si="86"/>
        <v/>
      </c>
      <c r="AF286" s="15" t="str">
        <f t="shared" si="78"/>
        <v/>
      </c>
      <c r="AG286" s="15" t="str">
        <f t="shared" si="79"/>
        <v/>
      </c>
    </row>
    <row r="287" ht="15.75" customHeight="1">
      <c r="A287" s="16" t="s">
        <v>389</v>
      </c>
      <c r="B287" s="16" t="s">
        <v>389</v>
      </c>
      <c r="C287" s="17">
        <f t="shared" si="1"/>
        <v>5788</v>
      </c>
      <c r="D287" s="16"/>
      <c r="E287" s="16" t="b">
        <v>1</v>
      </c>
      <c r="F287" s="16" t="b">
        <v>1</v>
      </c>
      <c r="G287" s="16" t="b">
        <v>0</v>
      </c>
      <c r="H287" s="16" t="b">
        <v>1</v>
      </c>
      <c r="I287" s="16" t="b">
        <v>0</v>
      </c>
      <c r="J287" s="18" t="b">
        <v>1</v>
      </c>
      <c r="K287" s="16">
        <v>10380.0</v>
      </c>
      <c r="L287" s="16">
        <v>239.0</v>
      </c>
      <c r="M287" s="16">
        <v>850.0</v>
      </c>
      <c r="N287" s="16">
        <v>3.81</v>
      </c>
      <c r="O287" s="16">
        <v>1.0</v>
      </c>
      <c r="P287" s="16">
        <v>1.0</v>
      </c>
      <c r="Q287" s="19">
        <f t="shared" si="2"/>
        <v>2.347901485</v>
      </c>
      <c r="R287" s="20">
        <f t="shared" si="3"/>
        <v>24.21757322</v>
      </c>
      <c r="S287" s="21">
        <f t="shared" si="4"/>
        <v>4</v>
      </c>
      <c r="T287" s="17">
        <f t="shared" si="90"/>
        <v>5788</v>
      </c>
      <c r="U287" s="22">
        <f>T287/vlookup(A287,Max!$A$2:$AP$700,column(Max!$AP$2),false)</f>
        <v>0.9810169492</v>
      </c>
      <c r="V287" s="17">
        <f t="shared" si="6"/>
        <v>1391.197753</v>
      </c>
      <c r="W287" s="23">
        <f t="shared" si="7"/>
        <v>1.69450545</v>
      </c>
      <c r="X287" s="23">
        <f t="shared" si="8"/>
        <v>1.227637436</v>
      </c>
      <c r="Y287" s="23">
        <f t="shared" si="9"/>
        <v>2</v>
      </c>
      <c r="Z287" s="23">
        <f t="shared" si="10"/>
        <v>1</v>
      </c>
      <c r="AA287" s="26">
        <f t="shared" si="11"/>
        <v>0</v>
      </c>
      <c r="AB287" s="25">
        <v>0.0</v>
      </c>
      <c r="AC287" s="26" t="str">
        <f t="shared" si="40"/>
        <v>{
$name$: $NERVA_XE$,
$config$: $NERVA_XE$,
$cost$: 5788
},</v>
      </c>
      <c r="AD287" s="26" t="str">
        <f t="shared" si="41"/>
        <v/>
      </c>
      <c r="AE287" s="26" t="str">
        <f t="shared" si="86"/>
        <v/>
      </c>
      <c r="AF287" s="26" t="str">
        <f t="shared" si="78"/>
        <v/>
      </c>
      <c r="AG287" s="26" t="str">
        <f t="shared" si="79"/>
        <v/>
      </c>
    </row>
    <row r="288" ht="15.75" customHeight="1">
      <c r="A288" s="7" t="s">
        <v>390</v>
      </c>
      <c r="B288" s="7" t="s">
        <v>391</v>
      </c>
      <c r="C288" s="8">
        <f t="shared" si="1"/>
        <v>11596</v>
      </c>
      <c r="D288" s="7"/>
      <c r="E288" s="7" t="b">
        <v>1</v>
      </c>
      <c r="F288" s="7" t="b">
        <v>1</v>
      </c>
      <c r="G288" s="7" t="b">
        <v>0</v>
      </c>
      <c r="H288" s="7" t="b">
        <v>1</v>
      </c>
      <c r="I288" s="7" t="b">
        <v>0</v>
      </c>
      <c r="J288" s="9" t="b">
        <v>1</v>
      </c>
      <c r="K288" s="7">
        <v>12940.0</v>
      </c>
      <c r="L288" s="7">
        <v>867.0</v>
      </c>
      <c r="M288" s="7">
        <v>850.0</v>
      </c>
      <c r="N288" s="7">
        <v>4.3</v>
      </c>
      <c r="O288" s="7">
        <v>1.0</v>
      </c>
      <c r="P288" s="7">
        <v>1.0</v>
      </c>
      <c r="Q288" s="10">
        <f t="shared" si="2"/>
        <v>6.832256214</v>
      </c>
      <c r="R288" s="11">
        <f t="shared" si="3"/>
        <v>13.37485582</v>
      </c>
      <c r="S288" s="12">
        <f t="shared" si="4"/>
        <v>4</v>
      </c>
      <c r="T288" s="8">
        <f t="shared" si="90"/>
        <v>11596</v>
      </c>
      <c r="U288" s="13">
        <f>T288/vlookup(A288,Max!$A$2:$AP$700,column(Max!$AP$2),false)</f>
        <v>0.6442222222</v>
      </c>
      <c r="V288" s="8">
        <f t="shared" si="6"/>
        <v>1589.97353</v>
      </c>
      <c r="W288" s="14">
        <f t="shared" si="7"/>
        <v>2.890580755</v>
      </c>
      <c r="X288" s="14">
        <f t="shared" si="8"/>
        <v>1.261514964</v>
      </c>
      <c r="Y288" s="14">
        <f t="shared" si="9"/>
        <v>2</v>
      </c>
      <c r="Z288" s="14">
        <f t="shared" si="10"/>
        <v>1</v>
      </c>
      <c r="AA288" s="15">
        <f t="shared" si="11"/>
        <v>0</v>
      </c>
      <c r="AB288" s="29">
        <v>0.0</v>
      </c>
      <c r="AC288" s="15" t="str">
        <f t="shared" si="40"/>
        <v>{
$name$: $NERVA-II$,
$config$: $NERVAII$,
$cost$: 11596
},</v>
      </c>
      <c r="AD288" s="15" t="str">
        <f t="shared" si="41"/>
        <v/>
      </c>
      <c r="AE288" s="15" t="str">
        <f t="shared" si="86"/>
        <v/>
      </c>
      <c r="AF288" s="15" t="str">
        <f t="shared" si="78"/>
        <v/>
      </c>
      <c r="AG288" s="15" t="str">
        <f t="shared" si="79"/>
        <v/>
      </c>
    </row>
    <row r="289" ht="15.75" customHeight="1">
      <c r="A289" s="16" t="s">
        <v>392</v>
      </c>
      <c r="B289" s="16" t="s">
        <v>393</v>
      </c>
      <c r="C289" s="17">
        <f t="shared" si="1"/>
        <v>781</v>
      </c>
      <c r="D289" s="16">
        <v>1969.0</v>
      </c>
      <c r="E289" s="16"/>
      <c r="F289" s="16" t="b">
        <v>1</v>
      </c>
      <c r="G289" s="16" t="b">
        <v>0</v>
      </c>
      <c r="H289" s="16" t="b">
        <v>0</v>
      </c>
      <c r="I289" s="16" t="b">
        <v>0</v>
      </c>
      <c r="J289" s="18" t="b">
        <v>0</v>
      </c>
      <c r="K289" s="16">
        <v>1247.0</v>
      </c>
      <c r="L289" s="16">
        <v>1543.6</v>
      </c>
      <c r="M289" s="16">
        <v>318.0</v>
      </c>
      <c r="N289" s="16">
        <v>14.5</v>
      </c>
      <c r="O289" s="16">
        <v>0.985165</v>
      </c>
      <c r="P289" s="16">
        <v>0.985165</v>
      </c>
      <c r="Q289" s="19">
        <f t="shared" si="2"/>
        <v>126.2256569</v>
      </c>
      <c r="R289" s="20">
        <f t="shared" si="3"/>
        <v>0.5059600933</v>
      </c>
      <c r="S289" s="21">
        <f t="shared" si="4"/>
        <v>4</v>
      </c>
      <c r="T289" s="17">
        <f t="shared" si="90"/>
        <v>781</v>
      </c>
      <c r="U289" s="22">
        <f>T289/vlookup(A289,Max!$A$2:$AP$700,column(Max!$AP$2),false)</f>
        <v>1.115714286</v>
      </c>
      <c r="V289" s="17">
        <f t="shared" si="6"/>
        <v>355.98031</v>
      </c>
      <c r="W289" s="23">
        <f t="shared" si="7"/>
        <v>1.131484045</v>
      </c>
      <c r="X289" s="23">
        <f t="shared" si="8"/>
        <v>1.96287694</v>
      </c>
      <c r="Y289" s="23">
        <f t="shared" si="9"/>
        <v>1</v>
      </c>
      <c r="Z289" s="23">
        <f t="shared" si="10"/>
        <v>0.9878350899</v>
      </c>
      <c r="AA289" s="26">
        <f t="shared" si="11"/>
        <v>0</v>
      </c>
      <c r="AB289" s="25">
        <v>0.0</v>
      </c>
      <c r="AC289" s="26" t="str">
        <f t="shared" si="40"/>
        <v>{
$name$: $NK-15$,
$config$: $NK33$,
$cost$: 781
},</v>
      </c>
      <c r="AD289" s="26" t="str">
        <f t="shared" si="41"/>
        <v/>
      </c>
      <c r="AE289" s="26" t="str">
        <f t="shared" si="86"/>
        <v/>
      </c>
      <c r="AF289" s="26" t="str">
        <f t="shared" si="78"/>
        <v/>
      </c>
      <c r="AG289" s="26" t="str">
        <f t="shared" si="79"/>
        <v/>
      </c>
    </row>
    <row r="290" ht="15.75" customHeight="1">
      <c r="A290" s="7" t="s">
        <v>394</v>
      </c>
      <c r="B290" s="7" t="s">
        <v>393</v>
      </c>
      <c r="C290" s="8">
        <f t="shared" si="1"/>
        <v>69</v>
      </c>
      <c r="D290" s="7">
        <v>1975.0</v>
      </c>
      <c r="E290" s="7"/>
      <c r="F290" s="7" t="b">
        <v>1</v>
      </c>
      <c r="G290" s="7" t="b">
        <v>0</v>
      </c>
      <c r="H290" s="7" t="b">
        <v>0</v>
      </c>
      <c r="I290" s="7" t="b">
        <v>0</v>
      </c>
      <c r="J290" s="9" t="b">
        <v>0</v>
      </c>
      <c r="K290" s="7">
        <v>1240.0</v>
      </c>
      <c r="L290" s="7">
        <v>1765.7</v>
      </c>
      <c r="M290" s="7">
        <v>331.0</v>
      </c>
      <c r="N290" s="7">
        <v>14.83</v>
      </c>
      <c r="O290" s="7">
        <v>0.980556</v>
      </c>
      <c r="P290" s="7">
        <v>0.980556</v>
      </c>
      <c r="Q290" s="10">
        <f t="shared" si="2"/>
        <v>145.2026542</v>
      </c>
      <c r="R290" s="11">
        <f t="shared" si="3"/>
        <v>0.4813954805</v>
      </c>
      <c r="S290" s="12">
        <f t="shared" si="4"/>
        <v>4</v>
      </c>
      <c r="T290" s="8">
        <f t="shared" si="90"/>
        <v>850</v>
      </c>
      <c r="U290" s="13">
        <f>T290/vlookup(A290,Max!$A$2:$AP$700,column(Max!$AP$2),false)</f>
        <v>0.988372093</v>
      </c>
      <c r="V290" s="8">
        <f t="shared" si="6"/>
        <v>354.7449281</v>
      </c>
      <c r="W290" s="14">
        <f t="shared" si="7"/>
        <v>1.242337337</v>
      </c>
      <c r="X290" s="14">
        <f t="shared" si="8"/>
        <v>1.976173255</v>
      </c>
      <c r="Y290" s="14">
        <f t="shared" si="9"/>
        <v>1</v>
      </c>
      <c r="Z290" s="14">
        <f t="shared" si="10"/>
        <v>0.9763218686</v>
      </c>
      <c r="AA290" s="27">
        <f t="shared" si="11"/>
        <v>69</v>
      </c>
      <c r="AB290" s="15">
        <f t="shared" ref="AB290:AB293" si="92">if(iserror(find("$",A290)),1,2)</f>
        <v>1</v>
      </c>
      <c r="AC290" s="15" t="str">
        <f t="shared" si="40"/>
        <v/>
      </c>
      <c r="AD290" s="15" t="str">
        <f t="shared" si="41"/>
        <v>$NK-33$: 69,</v>
      </c>
      <c r="AE290" s="15" t="str">
        <f t="shared" si="86"/>
        <v/>
      </c>
      <c r="AF290" s="15" t="str">
        <f t="shared" si="78"/>
        <v/>
      </c>
      <c r="AG290" s="15" t="str">
        <f t="shared" si="79"/>
        <v/>
      </c>
    </row>
    <row r="291" ht="15.75" customHeight="1">
      <c r="A291" s="16" t="s">
        <v>395</v>
      </c>
      <c r="B291" s="16" t="s">
        <v>393</v>
      </c>
      <c r="C291" s="17">
        <f t="shared" si="1"/>
        <v>178</v>
      </c>
      <c r="D291" s="16">
        <v>2009.0</v>
      </c>
      <c r="E291" s="16" t="b">
        <v>0</v>
      </c>
      <c r="F291" s="16" t="b">
        <v>1</v>
      </c>
      <c r="G291" s="16" t="b">
        <v>0</v>
      </c>
      <c r="H291" s="16" t="b">
        <v>0</v>
      </c>
      <c r="I291" s="16" t="b">
        <v>0</v>
      </c>
      <c r="J291" s="18" t="b">
        <v>0</v>
      </c>
      <c r="K291" s="16">
        <v>1407.9</v>
      </c>
      <c r="L291" s="16">
        <v>1753.3</v>
      </c>
      <c r="M291" s="16">
        <v>331.0</v>
      </c>
      <c r="N291" s="16">
        <v>14.83</v>
      </c>
      <c r="O291" s="16">
        <v>0.997</v>
      </c>
      <c r="P291" s="16">
        <v>0.997</v>
      </c>
      <c r="Q291" s="19">
        <f t="shared" si="2"/>
        <v>126.988311</v>
      </c>
      <c r="R291" s="20">
        <f t="shared" si="3"/>
        <v>0.5469685735</v>
      </c>
      <c r="S291" s="21">
        <f t="shared" si="4"/>
        <v>4</v>
      </c>
      <c r="T291" s="17">
        <f t="shared" si="90"/>
        <v>959</v>
      </c>
      <c r="U291" s="22">
        <f>T291/vlookup(A291,Max!$A$2:$AP$700,column(Max!$AP$2),false)</f>
        <v>1.278666667</v>
      </c>
      <c r="V291" s="17">
        <f t="shared" si="6"/>
        <v>383.6992855</v>
      </c>
      <c r="W291" s="23">
        <f t="shared" si="7"/>
        <v>1.242337337</v>
      </c>
      <c r="X291" s="23">
        <f t="shared" si="8"/>
        <v>1.976173255</v>
      </c>
      <c r="Y291" s="23">
        <f t="shared" si="9"/>
        <v>1</v>
      </c>
      <c r="Z291" s="23">
        <f t="shared" si="10"/>
        <v>1.017770618</v>
      </c>
      <c r="AA291" s="24">
        <f t="shared" si="11"/>
        <v>178</v>
      </c>
      <c r="AB291" s="26">
        <f t="shared" si="92"/>
        <v>1</v>
      </c>
      <c r="AC291" s="26" t="str">
        <f t="shared" si="40"/>
        <v/>
      </c>
      <c r="AD291" s="26" t="str">
        <f t="shared" si="41"/>
        <v>$AJ26-58$: 178,</v>
      </c>
      <c r="AE291" s="26" t="str">
        <f t="shared" si="86"/>
        <v/>
      </c>
      <c r="AF291" s="26" t="str">
        <f t="shared" si="78"/>
        <v/>
      </c>
      <c r="AG291" s="26" t="str">
        <f t="shared" si="79"/>
        <v/>
      </c>
    </row>
    <row r="292" ht="15.75" customHeight="1">
      <c r="A292" s="7" t="s">
        <v>396</v>
      </c>
      <c r="B292" s="7" t="s">
        <v>393</v>
      </c>
      <c r="C292" s="8">
        <f t="shared" si="1"/>
        <v>199</v>
      </c>
      <c r="D292" s="7">
        <v>2009.0</v>
      </c>
      <c r="E292" s="7" t="b">
        <v>0</v>
      </c>
      <c r="F292" s="7" t="b">
        <v>1</v>
      </c>
      <c r="G292" s="7" t="b">
        <v>0</v>
      </c>
      <c r="H292" s="7" t="b">
        <v>0</v>
      </c>
      <c r="I292" s="7" t="b">
        <v>0</v>
      </c>
      <c r="J292" s="9" t="b">
        <v>0</v>
      </c>
      <c r="K292" s="7">
        <v>1458.8</v>
      </c>
      <c r="L292" s="7">
        <v>1753.3</v>
      </c>
      <c r="M292" s="7">
        <v>331.0</v>
      </c>
      <c r="N292" s="7">
        <v>14.83</v>
      </c>
      <c r="O292" s="7">
        <v>0.997</v>
      </c>
      <c r="P292" s="7">
        <v>0.997</v>
      </c>
      <c r="Q292" s="10">
        <f t="shared" si="2"/>
        <v>122.557474</v>
      </c>
      <c r="R292" s="11">
        <f t="shared" si="3"/>
        <v>0.5589459876</v>
      </c>
      <c r="S292" s="12">
        <f t="shared" si="4"/>
        <v>4</v>
      </c>
      <c r="T292" s="8">
        <f t="shared" si="90"/>
        <v>980</v>
      </c>
      <c r="U292" s="13">
        <f>T292/vlookup(A292,Max!$A$2:$AP$700,column(Max!$AP$2),false)</f>
        <v>1.209876543</v>
      </c>
      <c r="V292" s="8">
        <f t="shared" si="6"/>
        <v>392.2174325</v>
      </c>
      <c r="W292" s="14">
        <f t="shared" si="7"/>
        <v>1.242337337</v>
      </c>
      <c r="X292" s="14">
        <f t="shared" si="8"/>
        <v>1.976173255</v>
      </c>
      <c r="Y292" s="14">
        <f t="shared" si="9"/>
        <v>1</v>
      </c>
      <c r="Z292" s="14">
        <f t="shared" si="10"/>
        <v>1.017770618</v>
      </c>
      <c r="AA292" s="27">
        <f t="shared" si="11"/>
        <v>199</v>
      </c>
      <c r="AB292" s="15">
        <f t="shared" si="92"/>
        <v>1</v>
      </c>
      <c r="AC292" s="15" t="str">
        <f t="shared" si="40"/>
        <v/>
      </c>
      <c r="AD292" s="15" t="str">
        <f t="shared" si="41"/>
        <v>$AJ26-59$: 199,</v>
      </c>
      <c r="AE292" s="15" t="str">
        <f t="shared" si="86"/>
        <v/>
      </c>
      <c r="AF292" s="15" t="str">
        <f t="shared" si="78"/>
        <v/>
      </c>
      <c r="AG292" s="15" t="str">
        <f t="shared" si="79"/>
        <v/>
      </c>
    </row>
    <row r="293" ht="15.75" customHeight="1">
      <c r="A293" s="16" t="s">
        <v>397</v>
      </c>
      <c r="B293" s="16" t="s">
        <v>393</v>
      </c>
      <c r="C293" s="17">
        <f t="shared" si="1"/>
        <v>195</v>
      </c>
      <c r="D293" s="16">
        <v>2013.0</v>
      </c>
      <c r="E293" s="16"/>
      <c r="F293" s="16" t="b">
        <v>1</v>
      </c>
      <c r="G293" s="16" t="b">
        <v>0</v>
      </c>
      <c r="H293" s="16" t="b">
        <v>0</v>
      </c>
      <c r="I293" s="16" t="b">
        <v>0</v>
      </c>
      <c r="J293" s="18" t="b">
        <v>0</v>
      </c>
      <c r="K293" s="16">
        <v>1459.0</v>
      </c>
      <c r="L293" s="16">
        <v>1815.0</v>
      </c>
      <c r="M293" s="16">
        <v>331.9</v>
      </c>
      <c r="N293" s="16">
        <v>16.42</v>
      </c>
      <c r="O293" s="16">
        <v>0.980556</v>
      </c>
      <c r="P293" s="16">
        <v>0.980556</v>
      </c>
      <c r="Q293" s="19">
        <f t="shared" si="2"/>
        <v>126.8529761</v>
      </c>
      <c r="R293" s="20">
        <f t="shared" si="3"/>
        <v>0.5377410468</v>
      </c>
      <c r="S293" s="21">
        <f t="shared" si="4"/>
        <v>4</v>
      </c>
      <c r="T293" s="17">
        <f t="shared" si="90"/>
        <v>976</v>
      </c>
      <c r="U293" s="22">
        <f>T293/vlookup(A293,Max!$A$2:$AP$700,column(Max!$AP$2),false)</f>
        <v>1.991836735</v>
      </c>
      <c r="V293" s="17">
        <f t="shared" si="6"/>
        <v>392.2506814</v>
      </c>
      <c r="W293" s="23">
        <f t="shared" si="7"/>
        <v>1.250561586</v>
      </c>
      <c r="X293" s="23">
        <f t="shared" si="8"/>
        <v>2.037485928</v>
      </c>
      <c r="Y293" s="23">
        <f t="shared" si="9"/>
        <v>1</v>
      </c>
      <c r="Z293" s="23">
        <f t="shared" si="10"/>
        <v>0.9763218686</v>
      </c>
      <c r="AA293" s="24">
        <f t="shared" si="11"/>
        <v>195</v>
      </c>
      <c r="AB293" s="26">
        <f t="shared" si="92"/>
        <v>1</v>
      </c>
      <c r="AC293" s="26" t="str">
        <f t="shared" si="40"/>
        <v/>
      </c>
      <c r="AD293" s="26" t="str">
        <f t="shared" si="41"/>
        <v>$AJ26-62$: 195,</v>
      </c>
      <c r="AE293" s="26" t="str">
        <f t="shared" si="86"/>
        <v/>
      </c>
      <c r="AF293" s="26" t="str">
        <f t="shared" si="78"/>
        <v/>
      </c>
      <c r="AG293" s="26" t="str">
        <f t="shared" si="79"/>
        <v/>
      </c>
    </row>
    <row r="294" ht="15.75" customHeight="1">
      <c r="A294" s="7" t="s">
        <v>398</v>
      </c>
      <c r="B294" s="7" t="s">
        <v>399</v>
      </c>
      <c r="C294" s="8">
        <f t="shared" si="1"/>
        <v>653</v>
      </c>
      <c r="D294" s="7">
        <v>1969.0</v>
      </c>
      <c r="E294" s="7"/>
      <c r="F294" s="7" t="b">
        <v>1</v>
      </c>
      <c r="G294" s="7" t="b">
        <v>0</v>
      </c>
      <c r="H294" s="7" t="b">
        <v>1</v>
      </c>
      <c r="I294" s="7" t="b">
        <v>0</v>
      </c>
      <c r="J294" s="9" t="b">
        <v>0</v>
      </c>
      <c r="K294" s="7">
        <v>1396.0</v>
      </c>
      <c r="L294" s="7">
        <v>1647.5</v>
      </c>
      <c r="M294" s="7">
        <v>325.0</v>
      </c>
      <c r="N294" s="7">
        <v>14.5</v>
      </c>
      <c r="O294" s="7">
        <v>0.974</v>
      </c>
      <c r="P294" s="7">
        <v>0.96</v>
      </c>
      <c r="Q294" s="10">
        <f t="shared" si="2"/>
        <v>120.3425828</v>
      </c>
      <c r="R294" s="11">
        <f t="shared" si="3"/>
        <v>0.3963581184</v>
      </c>
      <c r="S294" s="12">
        <f t="shared" si="4"/>
        <v>4</v>
      </c>
      <c r="T294" s="8">
        <f t="shared" si="90"/>
        <v>653</v>
      </c>
      <c r="U294" s="13">
        <f>T294/vlookup(A294,Max!$A$2:$AP$700,column(Max!$AP$2),false)</f>
        <v>1.053225806</v>
      </c>
      <c r="V294" s="8">
        <f t="shared" si="6"/>
        <v>381.6913019</v>
      </c>
      <c r="W294" s="14">
        <f t="shared" si="7"/>
        <v>1.189372511</v>
      </c>
      <c r="X294" s="14">
        <f t="shared" si="8"/>
        <v>1.658325598</v>
      </c>
      <c r="Y294" s="14">
        <f t="shared" si="9"/>
        <v>1</v>
      </c>
      <c r="Z294" s="14">
        <f t="shared" si="10"/>
        <v>0.8669368996</v>
      </c>
      <c r="AA294" s="15">
        <f t="shared" si="11"/>
        <v>0</v>
      </c>
      <c r="AB294" s="29">
        <v>0.0</v>
      </c>
      <c r="AC294" s="15" t="str">
        <f t="shared" si="40"/>
        <v>{
$name$: $NK-15V$,
$config$: $NK43$,
$cost$: 653
},</v>
      </c>
      <c r="AD294" s="15" t="str">
        <f t="shared" si="41"/>
        <v/>
      </c>
      <c r="AE294" s="15" t="str">
        <f t="shared" si="86"/>
        <v/>
      </c>
      <c r="AF294" s="15" t="str">
        <f t="shared" si="78"/>
        <v/>
      </c>
      <c r="AG294" s="15" t="str">
        <f t="shared" si="79"/>
        <v/>
      </c>
    </row>
    <row r="295" ht="15.75" customHeight="1">
      <c r="A295" s="16" t="s">
        <v>400</v>
      </c>
      <c r="B295" s="16" t="s">
        <v>399</v>
      </c>
      <c r="C295" s="17">
        <f t="shared" si="1"/>
        <v>232</v>
      </c>
      <c r="D295" s="16">
        <v>1975.0</v>
      </c>
      <c r="E295" s="16"/>
      <c r="F295" s="16" t="b">
        <v>1</v>
      </c>
      <c r="G295" s="16" t="b">
        <v>0</v>
      </c>
      <c r="H295" s="16" t="b">
        <v>1</v>
      </c>
      <c r="I295" s="16" t="b">
        <v>0</v>
      </c>
      <c r="J295" s="18" t="b">
        <v>0</v>
      </c>
      <c r="K295" s="16">
        <v>1396.0</v>
      </c>
      <c r="L295" s="16">
        <v>1757.4</v>
      </c>
      <c r="M295" s="16">
        <v>346.0</v>
      </c>
      <c r="N295" s="16">
        <v>14.57</v>
      </c>
      <c r="O295" s="16">
        <v>0.996</v>
      </c>
      <c r="P295" s="16">
        <v>0.996</v>
      </c>
      <c r="Q295" s="19">
        <f t="shared" si="2"/>
        <v>128.3702914</v>
      </c>
      <c r="R295" s="20">
        <f t="shared" si="3"/>
        <v>0.5035848412</v>
      </c>
      <c r="S295" s="21">
        <f t="shared" si="4"/>
        <v>4</v>
      </c>
      <c r="T295" s="17">
        <f t="shared" si="90"/>
        <v>885</v>
      </c>
      <c r="U295" s="22">
        <f>T295/vlookup(A295,Max!$A$2:$AP$700,column(Max!$AP$2),false)</f>
        <v>0.7695652174</v>
      </c>
      <c r="V295" s="17">
        <f t="shared" si="6"/>
        <v>381.6913019</v>
      </c>
      <c r="W295" s="23">
        <f t="shared" si="7"/>
        <v>1.389661973</v>
      </c>
      <c r="X295" s="23">
        <f t="shared" si="8"/>
        <v>1.660123523</v>
      </c>
      <c r="Y295" s="23">
        <f t="shared" si="9"/>
        <v>1</v>
      </c>
      <c r="Z295" s="23">
        <f t="shared" si="10"/>
        <v>1.005098687</v>
      </c>
      <c r="AA295" s="24">
        <f t="shared" si="11"/>
        <v>232</v>
      </c>
      <c r="AB295" s="26">
        <f t="shared" ref="AB295:AB296" si="93">if(iserror(find("$",A295)),1,2)</f>
        <v>1</v>
      </c>
      <c r="AC295" s="26" t="str">
        <f t="shared" si="40"/>
        <v/>
      </c>
      <c r="AD295" s="26" t="str">
        <f t="shared" si="41"/>
        <v>$NK-43$: 232,</v>
      </c>
      <c r="AE295" s="26" t="str">
        <f t="shared" si="86"/>
        <v/>
      </c>
      <c r="AF295" s="26" t="str">
        <f t="shared" si="78"/>
        <v/>
      </c>
      <c r="AG295" s="26" t="str">
        <f t="shared" si="79"/>
        <v/>
      </c>
    </row>
    <row r="296" ht="15.75" customHeight="1">
      <c r="A296" s="7" t="s">
        <v>401</v>
      </c>
      <c r="B296" s="7" t="s">
        <v>399</v>
      </c>
      <c r="C296" s="8">
        <f t="shared" si="1"/>
        <v>139</v>
      </c>
      <c r="D296" s="7">
        <v>2009.0</v>
      </c>
      <c r="E296" s="7" t="b">
        <v>0</v>
      </c>
      <c r="F296" s="7" t="b">
        <v>1</v>
      </c>
      <c r="G296" s="7" t="b">
        <v>0</v>
      </c>
      <c r="H296" s="7" t="b">
        <v>1</v>
      </c>
      <c r="I296" s="7" t="b">
        <v>0</v>
      </c>
      <c r="J296" s="9" t="b">
        <v>0</v>
      </c>
      <c r="K296" s="7">
        <v>1473.0</v>
      </c>
      <c r="L296" s="7">
        <v>1823.9</v>
      </c>
      <c r="M296" s="7">
        <v>326.0</v>
      </c>
      <c r="N296" s="7">
        <v>14.54</v>
      </c>
      <c r="O296" s="7">
        <v>0.997</v>
      </c>
      <c r="P296" s="7">
        <v>0.997</v>
      </c>
      <c r="Q296" s="10">
        <f t="shared" si="2"/>
        <v>126.2634349</v>
      </c>
      <c r="R296" s="11">
        <f t="shared" si="3"/>
        <v>0.434234333</v>
      </c>
      <c r="S296" s="12">
        <f t="shared" si="4"/>
        <v>4</v>
      </c>
      <c r="T296" s="8">
        <f t="shared" si="90"/>
        <v>792</v>
      </c>
      <c r="U296" s="13">
        <f>T296/vlookup(A296,Max!$A$2:$AP$700,column(Max!$AP$2),false)</f>
        <v>1.32</v>
      </c>
      <c r="V296" s="8">
        <f t="shared" si="6"/>
        <v>394.5738872</v>
      </c>
      <c r="W296" s="14">
        <f t="shared" si="7"/>
        <v>1.197979511</v>
      </c>
      <c r="X296" s="14">
        <f t="shared" si="8"/>
        <v>1.659353805</v>
      </c>
      <c r="Y296" s="14">
        <f t="shared" si="9"/>
        <v>1</v>
      </c>
      <c r="Z296" s="14">
        <f t="shared" si="10"/>
        <v>1.010154505</v>
      </c>
      <c r="AA296" s="27">
        <f t="shared" si="11"/>
        <v>139</v>
      </c>
      <c r="AB296" s="15">
        <f t="shared" si="93"/>
        <v>1</v>
      </c>
      <c r="AC296" s="15" t="str">
        <f t="shared" si="40"/>
        <v/>
      </c>
      <c r="AD296" s="15" t="str">
        <f t="shared" si="41"/>
        <v>$AJ26-60$: 139,</v>
      </c>
      <c r="AE296" s="15" t="str">
        <f t="shared" si="86"/>
        <v/>
      </c>
      <c r="AF296" s="15" t="str">
        <f t="shared" si="78"/>
        <v/>
      </c>
      <c r="AG296" s="15" t="str">
        <f t="shared" si="79"/>
        <v/>
      </c>
    </row>
    <row r="297" ht="15.75" customHeight="1">
      <c r="A297" s="16" t="s">
        <v>402</v>
      </c>
      <c r="B297" s="16" t="s">
        <v>403</v>
      </c>
      <c r="C297" s="17">
        <f t="shared" si="1"/>
        <v>401</v>
      </c>
      <c r="D297" s="16">
        <v>1964.0</v>
      </c>
      <c r="E297" s="16"/>
      <c r="F297" s="16" t="b">
        <v>1</v>
      </c>
      <c r="G297" s="16" t="b">
        <v>0</v>
      </c>
      <c r="H297" s="16" t="b">
        <v>0</v>
      </c>
      <c r="I297" s="16" t="b">
        <v>0</v>
      </c>
      <c r="J297" s="18" t="b">
        <v>0</v>
      </c>
      <c r="K297" s="16">
        <v>491.55</v>
      </c>
      <c r="L297" s="16">
        <v>426.6</v>
      </c>
      <c r="M297" s="16">
        <v>328.0</v>
      </c>
      <c r="N297" s="16">
        <v>10.34</v>
      </c>
      <c r="O297" s="16">
        <v>0.97</v>
      </c>
      <c r="P297" s="16">
        <v>0.96</v>
      </c>
      <c r="Q297" s="19">
        <f t="shared" si="2"/>
        <v>88.49779985</v>
      </c>
      <c r="R297" s="20">
        <f t="shared" si="3"/>
        <v>0.9399906235</v>
      </c>
      <c r="S297" s="21">
        <f t="shared" si="4"/>
        <v>4</v>
      </c>
      <c r="T297" s="17">
        <f t="shared" si="90"/>
        <v>401</v>
      </c>
      <c r="U297" s="22">
        <f>T297/vlookup(A297,Max!$A$2:$AP$700,column(Max!$AP$2),false)</f>
        <v>1.670833333</v>
      </c>
      <c r="V297" s="17">
        <f t="shared" si="6"/>
        <v>200.7760691</v>
      </c>
      <c r="W297" s="23">
        <f t="shared" si="7"/>
        <v>1.215455308</v>
      </c>
      <c r="X297" s="23">
        <f t="shared" si="8"/>
        <v>1.773531203</v>
      </c>
      <c r="Y297" s="23">
        <f t="shared" si="9"/>
        <v>1</v>
      </c>
      <c r="Z297" s="23">
        <f t="shared" si="10"/>
        <v>0.9259554583</v>
      </c>
      <c r="AA297" s="26">
        <f t="shared" si="11"/>
        <v>0</v>
      </c>
      <c r="AB297" s="25">
        <v>0.0</v>
      </c>
      <c r="AC297" s="26" t="str">
        <f t="shared" si="40"/>
        <v>{
$name$: $NK-9$,
$config$: $NK9$,
$cost$: 401
},</v>
      </c>
      <c r="AD297" s="26" t="str">
        <f t="shared" si="41"/>
        <v/>
      </c>
      <c r="AE297" s="26" t="str">
        <f t="shared" si="86"/>
        <v/>
      </c>
      <c r="AF297" s="26" t="str">
        <f t="shared" si="78"/>
        <v/>
      </c>
      <c r="AG297" s="26" t="str">
        <f t="shared" si="79"/>
        <v/>
      </c>
    </row>
    <row r="298" ht="15.75" customHeight="1">
      <c r="A298" s="7" t="s">
        <v>404</v>
      </c>
      <c r="B298" s="7" t="s">
        <v>403</v>
      </c>
      <c r="C298" s="8">
        <f t="shared" si="1"/>
        <v>31</v>
      </c>
      <c r="D298" s="7">
        <v>1969.0</v>
      </c>
      <c r="E298" s="7"/>
      <c r="F298" s="7" t="b">
        <v>1</v>
      </c>
      <c r="G298" s="7" t="b">
        <v>0</v>
      </c>
      <c r="H298" s="7" t="b">
        <v>0</v>
      </c>
      <c r="I298" s="7" t="b">
        <v>0</v>
      </c>
      <c r="J298" s="9" t="b">
        <v>0</v>
      </c>
      <c r="K298" s="7">
        <v>491.55</v>
      </c>
      <c r="L298" s="7">
        <v>482.0</v>
      </c>
      <c r="M298" s="7">
        <v>331.0</v>
      </c>
      <c r="N298" s="7">
        <v>10.34</v>
      </c>
      <c r="O298" s="7">
        <v>0.980556</v>
      </c>
      <c r="P298" s="7">
        <v>0.980556</v>
      </c>
      <c r="Q298" s="10">
        <f t="shared" si="2"/>
        <v>99.99048179</v>
      </c>
      <c r="R298" s="11">
        <f t="shared" si="3"/>
        <v>0.8962655602</v>
      </c>
      <c r="S298" s="12">
        <f t="shared" si="4"/>
        <v>4</v>
      </c>
      <c r="T298" s="8">
        <f t="shared" si="90"/>
        <v>432</v>
      </c>
      <c r="U298" s="13">
        <f>T298/vlookup(A298,Max!$A$2:$AP$700,column(Max!$AP$2),false)</f>
        <v>1.661538462</v>
      </c>
      <c r="V298" s="8">
        <f t="shared" si="6"/>
        <v>200.7760691</v>
      </c>
      <c r="W298" s="14">
        <f t="shared" si="7"/>
        <v>1.242337337</v>
      </c>
      <c r="X298" s="14">
        <f t="shared" si="8"/>
        <v>1.773531203</v>
      </c>
      <c r="Y298" s="14">
        <f t="shared" si="9"/>
        <v>1</v>
      </c>
      <c r="Z298" s="14">
        <f t="shared" si="10"/>
        <v>0.9763218686</v>
      </c>
      <c r="AA298" s="27">
        <f t="shared" si="11"/>
        <v>31</v>
      </c>
      <c r="AB298" s="15">
        <f t="shared" ref="AB298:AB300" si="94">if(iserror(find("$",A298)),1,2)</f>
        <v>1</v>
      </c>
      <c r="AC298" s="15" t="str">
        <f t="shared" si="40"/>
        <v/>
      </c>
      <c r="AD298" s="15" t="str">
        <f t="shared" si="41"/>
        <v>$NK-9-1969$: 31,</v>
      </c>
      <c r="AE298" s="15" t="str">
        <f t="shared" si="86"/>
        <v/>
      </c>
      <c r="AF298" s="15" t="str">
        <f t="shared" si="78"/>
        <v/>
      </c>
      <c r="AG298" s="15" t="str">
        <f t="shared" si="79"/>
        <v/>
      </c>
    </row>
    <row r="299" ht="15.75" customHeight="1">
      <c r="A299" s="16" t="s">
        <v>405</v>
      </c>
      <c r="B299" s="16" t="s">
        <v>403</v>
      </c>
      <c r="C299" s="17">
        <f t="shared" si="1"/>
        <v>34</v>
      </c>
      <c r="D299" s="16">
        <v>1972.0</v>
      </c>
      <c r="E299" s="16"/>
      <c r="F299" s="16" t="b">
        <v>1</v>
      </c>
      <c r="G299" s="16" t="b">
        <v>0</v>
      </c>
      <c r="H299" s="16" t="b">
        <v>0</v>
      </c>
      <c r="I299" s="16" t="b">
        <v>0</v>
      </c>
      <c r="J299" s="18" t="b">
        <v>0</v>
      </c>
      <c r="K299" s="16">
        <v>491.55</v>
      </c>
      <c r="L299" s="16">
        <v>555.0</v>
      </c>
      <c r="M299" s="16">
        <v>331.0</v>
      </c>
      <c r="N299" s="16">
        <v>10.58</v>
      </c>
      <c r="O299" s="16">
        <v>0.980556</v>
      </c>
      <c r="P299" s="16">
        <v>0.980556</v>
      </c>
      <c r="Q299" s="19">
        <f t="shared" si="2"/>
        <v>115.1342684</v>
      </c>
      <c r="R299" s="20">
        <f t="shared" si="3"/>
        <v>0.7837837838</v>
      </c>
      <c r="S299" s="21">
        <f t="shared" si="4"/>
        <v>4</v>
      </c>
      <c r="T299" s="17">
        <f t="shared" si="90"/>
        <v>435</v>
      </c>
      <c r="U299" s="22">
        <f>T299/vlookup(A299,Max!$A$2:$AP$700,column(Max!$AP$2),false)</f>
        <v>1.553571429</v>
      </c>
      <c r="V299" s="17">
        <f t="shared" si="6"/>
        <v>200.7760691</v>
      </c>
      <c r="W299" s="23">
        <f t="shared" si="7"/>
        <v>1.242337337</v>
      </c>
      <c r="X299" s="23">
        <f t="shared" si="8"/>
        <v>1.785781718</v>
      </c>
      <c r="Y299" s="23">
        <f t="shared" si="9"/>
        <v>1</v>
      </c>
      <c r="Z299" s="23">
        <f t="shared" si="10"/>
        <v>0.9763218686</v>
      </c>
      <c r="AA299" s="24">
        <f t="shared" si="11"/>
        <v>34</v>
      </c>
      <c r="AB299" s="26">
        <f t="shared" si="94"/>
        <v>1</v>
      </c>
      <c r="AC299" s="26" t="str">
        <f t="shared" si="40"/>
        <v/>
      </c>
      <c r="AD299" s="26" t="str">
        <f t="shared" si="41"/>
        <v>$NK-9-1972$: 34,</v>
      </c>
      <c r="AE299" s="26" t="str">
        <f t="shared" si="86"/>
        <v/>
      </c>
      <c r="AF299" s="26" t="str">
        <f t="shared" si="78"/>
        <v/>
      </c>
      <c r="AG299" s="26" t="str">
        <f t="shared" si="79"/>
        <v/>
      </c>
    </row>
    <row r="300" ht="15.75" customHeight="1">
      <c r="A300" s="7" t="s">
        <v>406</v>
      </c>
      <c r="B300" s="7" t="s">
        <v>403</v>
      </c>
      <c r="C300" s="8">
        <f t="shared" si="1"/>
        <v>49</v>
      </c>
      <c r="D300" s="7">
        <v>2009.0</v>
      </c>
      <c r="E300" s="7"/>
      <c r="F300" s="7" t="b">
        <v>1</v>
      </c>
      <c r="G300" s="7" t="b">
        <v>0</v>
      </c>
      <c r="H300" s="7" t="b">
        <v>0</v>
      </c>
      <c r="I300" s="7" t="b">
        <v>0</v>
      </c>
      <c r="J300" s="9" t="b">
        <v>0</v>
      </c>
      <c r="K300" s="7">
        <v>491.55</v>
      </c>
      <c r="L300" s="7">
        <v>603.0</v>
      </c>
      <c r="M300" s="7">
        <v>331.6</v>
      </c>
      <c r="N300" s="7">
        <v>11.71</v>
      </c>
      <c r="O300" s="7">
        <v>0.980556</v>
      </c>
      <c r="P300" s="7">
        <v>0.980556</v>
      </c>
      <c r="Q300" s="10">
        <f t="shared" si="2"/>
        <v>125.0918268</v>
      </c>
      <c r="R300" s="11">
        <f t="shared" si="3"/>
        <v>0.7462686567</v>
      </c>
      <c r="S300" s="12">
        <f t="shared" si="4"/>
        <v>4</v>
      </c>
      <c r="T300" s="8">
        <f t="shared" si="90"/>
        <v>450</v>
      </c>
      <c r="U300" s="13">
        <f>T300/vlookup(A300,Max!$A$2:$AP$700,column(Max!$AP$2),false)</f>
        <v>2.5</v>
      </c>
      <c r="V300" s="8">
        <f t="shared" si="6"/>
        <v>200.7760691</v>
      </c>
      <c r="W300" s="14">
        <f t="shared" si="7"/>
        <v>1.24781188</v>
      </c>
      <c r="X300" s="14">
        <f t="shared" si="8"/>
        <v>1.840982841</v>
      </c>
      <c r="Y300" s="14">
        <f t="shared" si="9"/>
        <v>1</v>
      </c>
      <c r="Z300" s="14">
        <f t="shared" si="10"/>
        <v>0.9763218686</v>
      </c>
      <c r="AA300" s="27">
        <f t="shared" si="11"/>
        <v>49</v>
      </c>
      <c r="AB300" s="15">
        <f t="shared" si="94"/>
        <v>1</v>
      </c>
      <c r="AC300" s="15" t="str">
        <f t="shared" si="40"/>
        <v/>
      </c>
      <c r="AD300" s="15" t="str">
        <f t="shared" si="41"/>
        <v>$NK-9-2009$: 49,</v>
      </c>
      <c r="AE300" s="15" t="str">
        <f t="shared" si="86"/>
        <v/>
      </c>
      <c r="AF300" s="15" t="str">
        <f t="shared" si="78"/>
        <v/>
      </c>
      <c r="AG300" s="15" t="str">
        <f t="shared" si="79"/>
        <v/>
      </c>
    </row>
    <row r="301" ht="15.75" customHeight="1">
      <c r="A301" s="16" t="s">
        <v>407</v>
      </c>
      <c r="B301" s="16" t="s">
        <v>408</v>
      </c>
      <c r="C301" s="17">
        <f t="shared" si="1"/>
        <v>429</v>
      </c>
      <c r="D301" s="16">
        <v>1964.0</v>
      </c>
      <c r="E301" s="16"/>
      <c r="F301" s="16" t="b">
        <v>1</v>
      </c>
      <c r="G301" s="16" t="b">
        <v>0</v>
      </c>
      <c r="H301" s="16" t="b">
        <v>1</v>
      </c>
      <c r="I301" s="16" t="b">
        <v>0</v>
      </c>
      <c r="J301" s="18" t="b">
        <v>0</v>
      </c>
      <c r="K301" s="16">
        <v>640.0</v>
      </c>
      <c r="L301" s="16">
        <v>451.1</v>
      </c>
      <c r="M301" s="16">
        <v>345.0</v>
      </c>
      <c r="N301" s="16">
        <v>10.34</v>
      </c>
      <c r="O301" s="16">
        <v>0.97</v>
      </c>
      <c r="P301" s="16">
        <v>0.96</v>
      </c>
      <c r="Q301" s="19">
        <f t="shared" si="2"/>
        <v>71.87405974</v>
      </c>
      <c r="R301" s="20">
        <f t="shared" si="3"/>
        <v>0.9510086455</v>
      </c>
      <c r="S301" s="21">
        <f t="shared" si="4"/>
        <v>4</v>
      </c>
      <c r="T301" s="17">
        <f t="shared" si="90"/>
        <v>429</v>
      </c>
      <c r="U301" s="22">
        <f>T301/vlookup(A301,Max!$A$2:$AP$700,column(Max!$AP$2),false)</f>
        <v>1.588888889</v>
      </c>
      <c r="V301" s="17">
        <f t="shared" si="6"/>
        <v>236.0566489</v>
      </c>
      <c r="W301" s="23">
        <f t="shared" si="7"/>
        <v>1.379129451</v>
      </c>
      <c r="X301" s="23">
        <f t="shared" si="8"/>
        <v>1.536841662</v>
      </c>
      <c r="Y301" s="23">
        <f t="shared" si="9"/>
        <v>1</v>
      </c>
      <c r="Z301" s="23">
        <f t="shared" si="10"/>
        <v>0.8580635065</v>
      </c>
      <c r="AA301" s="26">
        <f t="shared" si="11"/>
        <v>0</v>
      </c>
      <c r="AB301" s="25">
        <v>0.0</v>
      </c>
      <c r="AC301" s="26" t="str">
        <f t="shared" si="40"/>
        <v>{
$name$: $NK-9V$,
$config$: $NK9V$,
$cost$: 429
},</v>
      </c>
      <c r="AD301" s="26" t="str">
        <f t="shared" si="41"/>
        <v/>
      </c>
      <c r="AE301" s="26" t="str">
        <f t="shared" si="86"/>
        <v/>
      </c>
      <c r="AF301" s="26" t="str">
        <f t="shared" si="78"/>
        <v/>
      </c>
      <c r="AG301" s="26" t="str">
        <f t="shared" si="79"/>
        <v/>
      </c>
    </row>
    <row r="302" ht="15.75" customHeight="1">
      <c r="A302" s="7" t="s">
        <v>409</v>
      </c>
      <c r="B302" s="7" t="s">
        <v>408</v>
      </c>
      <c r="C302" s="8">
        <f t="shared" si="1"/>
        <v>-23</v>
      </c>
      <c r="D302" s="7">
        <v>1969.0</v>
      </c>
      <c r="E302" s="7"/>
      <c r="F302" s="7" t="b">
        <v>1</v>
      </c>
      <c r="G302" s="7" t="b">
        <v>0</v>
      </c>
      <c r="H302" s="7" t="b">
        <v>1</v>
      </c>
      <c r="I302" s="7" t="b">
        <v>0</v>
      </c>
      <c r="J302" s="9" t="b">
        <v>0</v>
      </c>
      <c r="K302" s="7">
        <v>584.0</v>
      </c>
      <c r="L302" s="7">
        <v>402.1</v>
      </c>
      <c r="M302" s="7">
        <v>340.0</v>
      </c>
      <c r="N302" s="7">
        <v>9.2</v>
      </c>
      <c r="O302" s="7">
        <v>0.98</v>
      </c>
      <c r="P302" s="7">
        <v>0.975</v>
      </c>
      <c r="Q302" s="10">
        <f t="shared" si="2"/>
        <v>70.2102548</v>
      </c>
      <c r="R302" s="11">
        <f t="shared" si="3"/>
        <v>1.00969908</v>
      </c>
      <c r="S302" s="12">
        <f t="shared" si="4"/>
        <v>4</v>
      </c>
      <c r="T302" s="8">
        <f t="shared" si="90"/>
        <v>406</v>
      </c>
      <c r="U302" s="13">
        <f>T302/vlookup(A302,Max!$A$2:$AP$700,column(Max!$AP$2),false)</f>
        <v>1.845454545</v>
      </c>
      <c r="V302" s="8">
        <f t="shared" si="6"/>
        <v>223.1536597</v>
      </c>
      <c r="W302" s="14">
        <f t="shared" si="7"/>
        <v>1.328038609</v>
      </c>
      <c r="X302" s="14">
        <f t="shared" si="8"/>
        <v>1.496974027</v>
      </c>
      <c r="Y302" s="14">
        <f t="shared" si="9"/>
        <v>1</v>
      </c>
      <c r="Z302" s="14">
        <f t="shared" si="10"/>
        <v>0.9151425362</v>
      </c>
      <c r="AA302" s="27">
        <f t="shared" si="11"/>
        <v>-23</v>
      </c>
      <c r="AB302" s="15">
        <f t="shared" ref="AB302:AB305" si="95">if(iserror(find("$",A302)),1,2)</f>
        <v>1</v>
      </c>
      <c r="AC302" s="15" t="str">
        <f t="shared" si="40"/>
        <v/>
      </c>
      <c r="AD302" s="15" t="str">
        <f t="shared" si="41"/>
        <v>$NK-21$: -23,</v>
      </c>
      <c r="AE302" s="15" t="str">
        <f t="shared" si="86"/>
        <v/>
      </c>
      <c r="AF302" s="15" t="str">
        <f t="shared" si="78"/>
        <v/>
      </c>
      <c r="AG302" s="15" t="str">
        <f t="shared" si="79"/>
        <v/>
      </c>
    </row>
    <row r="303" ht="15.75" customHeight="1">
      <c r="A303" s="16" t="s">
        <v>410</v>
      </c>
      <c r="B303" s="16" t="s">
        <v>408</v>
      </c>
      <c r="C303" s="17">
        <f t="shared" si="1"/>
        <v>51</v>
      </c>
      <c r="D303" s="16">
        <v>1969.0</v>
      </c>
      <c r="E303" s="16"/>
      <c r="F303" s="16" t="b">
        <v>1</v>
      </c>
      <c r="G303" s="16" t="b">
        <v>0</v>
      </c>
      <c r="H303" s="16" t="b">
        <v>1</v>
      </c>
      <c r="I303" s="16" t="b">
        <v>0</v>
      </c>
      <c r="J303" s="18" t="b">
        <v>0</v>
      </c>
      <c r="K303" s="16">
        <v>721.6</v>
      </c>
      <c r="L303" s="16">
        <v>451.1</v>
      </c>
      <c r="M303" s="16">
        <v>345.0</v>
      </c>
      <c r="N303" s="16">
        <v>9.2</v>
      </c>
      <c r="O303" s="16">
        <v>0.98</v>
      </c>
      <c r="P303" s="16">
        <v>0.975</v>
      </c>
      <c r="Q303" s="19">
        <f t="shared" si="2"/>
        <v>63.74639445</v>
      </c>
      <c r="R303" s="20">
        <f t="shared" si="3"/>
        <v>1.064065617</v>
      </c>
      <c r="S303" s="21">
        <f t="shared" si="4"/>
        <v>4</v>
      </c>
      <c r="T303" s="17">
        <f t="shared" si="90"/>
        <v>480</v>
      </c>
      <c r="U303" s="22">
        <f>T303/vlookup(A303,Max!$A$2:$AP$700,column(Max!$AP$2),false)</f>
        <v>1.92</v>
      </c>
      <c r="V303" s="17">
        <f t="shared" si="6"/>
        <v>254.1201592</v>
      </c>
      <c r="W303" s="23">
        <f t="shared" si="7"/>
        <v>1.379129451</v>
      </c>
      <c r="X303" s="23">
        <f t="shared" si="8"/>
        <v>1.496974027</v>
      </c>
      <c r="Y303" s="23">
        <f t="shared" si="9"/>
        <v>1</v>
      </c>
      <c r="Z303" s="23">
        <f t="shared" si="10"/>
        <v>0.9151425362</v>
      </c>
      <c r="AA303" s="24">
        <f t="shared" si="11"/>
        <v>51</v>
      </c>
      <c r="AB303" s="26">
        <f t="shared" si="95"/>
        <v>1</v>
      </c>
      <c r="AC303" s="26" t="str">
        <f t="shared" si="40"/>
        <v/>
      </c>
      <c r="AD303" s="26" t="str">
        <f t="shared" si="41"/>
        <v>$NK-19$: 51,</v>
      </c>
      <c r="AE303" s="26" t="str">
        <f t="shared" si="86"/>
        <v/>
      </c>
      <c r="AF303" s="26" t="str">
        <f t="shared" si="78"/>
        <v/>
      </c>
      <c r="AG303" s="26" t="str">
        <f t="shared" si="79"/>
        <v/>
      </c>
    </row>
    <row r="304" ht="15.75" customHeight="1">
      <c r="A304" s="7" t="s">
        <v>411</v>
      </c>
      <c r="B304" s="7" t="s">
        <v>408</v>
      </c>
      <c r="C304" s="8">
        <f t="shared" si="1"/>
        <v>39</v>
      </c>
      <c r="D304" s="7">
        <v>1973.0</v>
      </c>
      <c r="E304" s="7"/>
      <c r="F304" s="7" t="b">
        <v>1</v>
      </c>
      <c r="G304" s="7" t="b">
        <v>0</v>
      </c>
      <c r="H304" s="7" t="b">
        <v>1</v>
      </c>
      <c r="I304" s="7" t="b">
        <v>0</v>
      </c>
      <c r="J304" s="9" t="b">
        <v>0</v>
      </c>
      <c r="K304" s="7">
        <v>584.0</v>
      </c>
      <c r="L304" s="7">
        <v>407.0</v>
      </c>
      <c r="M304" s="7">
        <v>352.0</v>
      </c>
      <c r="N304" s="7">
        <v>9.2</v>
      </c>
      <c r="O304" s="7">
        <v>0.99</v>
      </c>
      <c r="P304" s="7">
        <v>0.985</v>
      </c>
      <c r="Q304" s="10">
        <f t="shared" si="2"/>
        <v>71.06583861</v>
      </c>
      <c r="R304" s="11">
        <f t="shared" si="3"/>
        <v>1.14987715</v>
      </c>
      <c r="S304" s="12">
        <f t="shared" si="4"/>
        <v>4</v>
      </c>
      <c r="T304" s="8">
        <f t="shared" si="90"/>
        <v>468</v>
      </c>
      <c r="U304" s="13">
        <f>T304/vlookup(A304,Max!$A$2:$AP$700,column(Max!$AP$2),false)</f>
        <v>1.8</v>
      </c>
      <c r="V304" s="8">
        <f t="shared" si="6"/>
        <v>223.1536597</v>
      </c>
      <c r="W304" s="14">
        <f t="shared" si="7"/>
        <v>1.455153827</v>
      </c>
      <c r="X304" s="14">
        <f t="shared" si="8"/>
        <v>1.496974027</v>
      </c>
      <c r="Y304" s="14">
        <f t="shared" si="9"/>
        <v>1</v>
      </c>
      <c r="Z304" s="14">
        <f t="shared" si="10"/>
        <v>0.9629208183</v>
      </c>
      <c r="AA304" s="27">
        <f t="shared" si="11"/>
        <v>39</v>
      </c>
      <c r="AB304" s="15">
        <f t="shared" si="95"/>
        <v>1</v>
      </c>
      <c r="AC304" s="15" t="str">
        <f t="shared" si="40"/>
        <v/>
      </c>
      <c r="AD304" s="15" t="str">
        <f t="shared" si="41"/>
        <v>$NK-39$: 39,</v>
      </c>
      <c r="AE304" s="15" t="str">
        <f t="shared" si="86"/>
        <v/>
      </c>
      <c r="AF304" s="15" t="str">
        <f t="shared" si="78"/>
        <v/>
      </c>
      <c r="AG304" s="15" t="str">
        <f t="shared" si="79"/>
        <v/>
      </c>
    </row>
    <row r="305" ht="15.75" customHeight="1">
      <c r="A305" s="16" t="s">
        <v>412</v>
      </c>
      <c r="B305" s="16" t="s">
        <v>408</v>
      </c>
      <c r="C305" s="17">
        <f t="shared" si="1"/>
        <v>108</v>
      </c>
      <c r="D305" s="16">
        <v>1973.0</v>
      </c>
      <c r="E305" s="16"/>
      <c r="F305" s="16" t="b">
        <v>1</v>
      </c>
      <c r="G305" s="16" t="b">
        <v>0</v>
      </c>
      <c r="H305" s="16" t="b">
        <v>1</v>
      </c>
      <c r="I305" s="16" t="b">
        <v>0</v>
      </c>
      <c r="J305" s="18" t="b">
        <v>0</v>
      </c>
      <c r="K305" s="16">
        <v>721.6</v>
      </c>
      <c r="L305" s="16">
        <v>402.1</v>
      </c>
      <c r="M305" s="16">
        <v>353.0</v>
      </c>
      <c r="N305" s="16">
        <v>9.2</v>
      </c>
      <c r="O305" s="16">
        <v>0.99</v>
      </c>
      <c r="P305" s="16">
        <v>0.985</v>
      </c>
      <c r="Q305" s="19">
        <f t="shared" si="2"/>
        <v>56.82204657</v>
      </c>
      <c r="R305" s="20">
        <f t="shared" si="3"/>
        <v>1.335488684</v>
      </c>
      <c r="S305" s="21">
        <f t="shared" si="4"/>
        <v>4</v>
      </c>
      <c r="T305" s="17">
        <f t="shared" si="90"/>
        <v>537</v>
      </c>
      <c r="U305" s="22">
        <f>T305/vlookup(A305,Max!$A$2:$AP$700,column(Max!$AP$2),false)</f>
        <v>2.148</v>
      </c>
      <c r="V305" s="17">
        <f t="shared" si="6"/>
        <v>254.1201592</v>
      </c>
      <c r="W305" s="23">
        <f t="shared" si="7"/>
        <v>1.466463036</v>
      </c>
      <c r="X305" s="23">
        <f t="shared" si="8"/>
        <v>1.496974027</v>
      </c>
      <c r="Y305" s="23">
        <f t="shared" si="9"/>
        <v>1</v>
      </c>
      <c r="Z305" s="23">
        <f t="shared" si="10"/>
        <v>0.9629208183</v>
      </c>
      <c r="AA305" s="24">
        <f t="shared" si="11"/>
        <v>108</v>
      </c>
      <c r="AB305" s="26">
        <f t="shared" si="95"/>
        <v>1</v>
      </c>
      <c r="AC305" s="26" t="str">
        <f t="shared" si="40"/>
        <v/>
      </c>
      <c r="AD305" s="26" t="str">
        <f t="shared" si="41"/>
        <v>$NK-31$: 108,</v>
      </c>
      <c r="AE305" s="26" t="str">
        <f t="shared" si="86"/>
        <v/>
      </c>
      <c r="AF305" s="26" t="str">
        <f t="shared" si="78"/>
        <v/>
      </c>
      <c r="AG305" s="26" t="str">
        <f t="shared" si="79"/>
        <v/>
      </c>
    </row>
    <row r="306" ht="15.75" customHeight="1">
      <c r="A306" s="7" t="s">
        <v>413</v>
      </c>
      <c r="B306" s="7" t="s">
        <v>414</v>
      </c>
      <c r="C306" s="8">
        <f t="shared" si="1"/>
        <v>34</v>
      </c>
      <c r="D306" s="7">
        <v>1936.0</v>
      </c>
      <c r="E306" s="7"/>
      <c r="F306" s="7" t="b">
        <v>0</v>
      </c>
      <c r="G306" s="7" t="b">
        <v>0</v>
      </c>
      <c r="H306" s="7" t="b">
        <v>1</v>
      </c>
      <c r="I306" s="9" t="b">
        <v>1</v>
      </c>
      <c r="J306" s="9" t="b">
        <v>0</v>
      </c>
      <c r="K306" s="9">
        <v>14.3</v>
      </c>
      <c r="L306" s="7">
        <v>1.785</v>
      </c>
      <c r="M306" s="7">
        <v>215.0</v>
      </c>
      <c r="N306" s="7">
        <v>2.53</v>
      </c>
      <c r="O306" s="7">
        <v>0.96</v>
      </c>
      <c r="P306" s="7">
        <v>0.9</v>
      </c>
      <c r="Q306" s="10">
        <f t="shared" si="2"/>
        <v>12.72862542</v>
      </c>
      <c r="R306" s="11">
        <f t="shared" si="3"/>
        <v>19.04761905</v>
      </c>
      <c r="S306" s="12">
        <f t="shared" si="4"/>
        <v>1.75</v>
      </c>
      <c r="T306" s="8">
        <f t="shared" si="90"/>
        <v>34</v>
      </c>
      <c r="U306" s="13">
        <f>T306/vlookup(A306,Max!$A$2:$AP$700,column(Max!$AP$2),false)</f>
        <v>1.096774194</v>
      </c>
      <c r="V306" s="8">
        <f t="shared" si="6"/>
        <v>23.91167199</v>
      </c>
      <c r="W306" s="14">
        <f t="shared" si="7"/>
        <v>0.8791478901</v>
      </c>
      <c r="X306" s="14">
        <f t="shared" si="8"/>
        <v>1.119603175</v>
      </c>
      <c r="Y306" s="14">
        <f t="shared" si="9"/>
        <v>1.5</v>
      </c>
      <c r="Z306" s="14">
        <f t="shared" si="10"/>
        <v>0.9598930328</v>
      </c>
      <c r="AA306" s="15">
        <f t="shared" si="11"/>
        <v>0</v>
      </c>
      <c r="AB306" s="29">
        <v>0.0</v>
      </c>
      <c r="AC306" s="15" t="str">
        <f t="shared" si="40"/>
        <v>{
$name$: $ORM-65$,
$config$: $ORM65$,
$cost$: 34
},</v>
      </c>
      <c r="AD306" s="15" t="str">
        <f t="shared" si="41"/>
        <v/>
      </c>
      <c r="AE306" s="15" t="str">
        <f t="shared" si="86"/>
        <v/>
      </c>
      <c r="AF306" s="15" t="str">
        <f t="shared" si="78"/>
        <v/>
      </c>
      <c r="AG306" s="15" t="str">
        <f t="shared" si="79"/>
        <v/>
      </c>
    </row>
    <row r="307" ht="15.75" customHeight="1">
      <c r="A307" s="16" t="s">
        <v>415</v>
      </c>
      <c r="B307" s="16" t="s">
        <v>414</v>
      </c>
      <c r="C307" s="17">
        <f t="shared" si="1"/>
        <v>7</v>
      </c>
      <c r="D307" s="16">
        <v>1938.0</v>
      </c>
      <c r="E307" s="16"/>
      <c r="F307" s="16" t="b">
        <v>0</v>
      </c>
      <c r="G307" s="16" t="b">
        <v>0</v>
      </c>
      <c r="H307" s="16" t="b">
        <v>1</v>
      </c>
      <c r="I307" s="18" t="b">
        <v>1</v>
      </c>
      <c r="J307" s="18" t="b">
        <v>0</v>
      </c>
      <c r="K307" s="18">
        <v>12.3</v>
      </c>
      <c r="L307" s="16">
        <v>1.46</v>
      </c>
      <c r="M307" s="16">
        <v>215.0</v>
      </c>
      <c r="N307" s="16">
        <v>2.53</v>
      </c>
      <c r="O307" s="16">
        <v>0.98</v>
      </c>
      <c r="P307" s="16">
        <v>0.99</v>
      </c>
      <c r="Q307" s="19">
        <f t="shared" si="2"/>
        <v>12.10394851</v>
      </c>
      <c r="R307" s="20">
        <f t="shared" si="3"/>
        <v>28.08219178</v>
      </c>
      <c r="S307" s="21">
        <f t="shared" si="4"/>
        <v>1.75</v>
      </c>
      <c r="T307" s="17">
        <f t="shared" si="90"/>
        <v>41</v>
      </c>
      <c r="U307" s="22">
        <f>T307/vlookup(A307,Max!$A$2:$AP$700,column(Max!$AP$2),false)</f>
        <v>0.82</v>
      </c>
      <c r="V307" s="17">
        <f t="shared" si="6"/>
        <v>21.88283691</v>
      </c>
      <c r="W307" s="23">
        <f t="shared" si="7"/>
        <v>0.8791478901</v>
      </c>
      <c r="X307" s="23">
        <f t="shared" si="8"/>
        <v>1.119603175</v>
      </c>
      <c r="Y307" s="23">
        <f t="shared" si="9"/>
        <v>1.5</v>
      </c>
      <c r="Z307" s="23">
        <f t="shared" si="10"/>
        <v>1.277923497</v>
      </c>
      <c r="AA307" s="24">
        <f t="shared" si="11"/>
        <v>7</v>
      </c>
      <c r="AB307" s="26">
        <f t="shared" ref="AB307:AB308" si="96">if(iserror(find("$",A307)),1,2)</f>
        <v>1</v>
      </c>
      <c r="AC307" s="26" t="str">
        <f t="shared" si="40"/>
        <v/>
      </c>
      <c r="AD307" s="26" t="str">
        <f t="shared" si="41"/>
        <v>$RDA-1-150$: 7,</v>
      </c>
      <c r="AE307" s="26" t="str">
        <f t="shared" si="86"/>
        <v/>
      </c>
      <c r="AF307" s="26" t="str">
        <f t="shared" si="78"/>
        <v/>
      </c>
      <c r="AG307" s="26" t="str">
        <f t="shared" si="79"/>
        <v/>
      </c>
    </row>
    <row r="308" ht="15.75" customHeight="1">
      <c r="A308" s="7" t="s">
        <v>416</v>
      </c>
      <c r="B308" s="7" t="s">
        <v>414</v>
      </c>
      <c r="C308" s="8">
        <f t="shared" si="1"/>
        <v>7</v>
      </c>
      <c r="D308" s="7">
        <v>1940.0</v>
      </c>
      <c r="E308" s="7"/>
      <c r="F308" s="7" t="b">
        <v>0</v>
      </c>
      <c r="G308" s="7" t="b">
        <v>0</v>
      </c>
      <c r="H308" s="7" t="b">
        <v>1</v>
      </c>
      <c r="I308" s="9" t="b">
        <v>1</v>
      </c>
      <c r="J308" s="9" t="b">
        <v>0</v>
      </c>
      <c r="K308" s="9">
        <v>12.3</v>
      </c>
      <c r="L308" s="7">
        <v>2.942</v>
      </c>
      <c r="M308" s="7">
        <v>215.0</v>
      </c>
      <c r="N308" s="7">
        <v>2.53</v>
      </c>
      <c r="O308" s="7">
        <v>0.98</v>
      </c>
      <c r="P308" s="7">
        <v>0.99</v>
      </c>
      <c r="Q308" s="10">
        <f t="shared" si="2"/>
        <v>24.39028528</v>
      </c>
      <c r="R308" s="11">
        <f t="shared" si="3"/>
        <v>13.93609789</v>
      </c>
      <c r="S308" s="12">
        <f t="shared" si="4"/>
        <v>1.75</v>
      </c>
      <c r="T308" s="8">
        <f t="shared" si="90"/>
        <v>41</v>
      </c>
      <c r="U308" s="13">
        <f>T308/vlookup(A308,Max!$A$2:$AP$700,column(Max!$AP$2),false)</f>
        <v>0.6507936508</v>
      </c>
      <c r="V308" s="8">
        <f t="shared" si="6"/>
        <v>21.88283691</v>
      </c>
      <c r="W308" s="14">
        <f t="shared" si="7"/>
        <v>0.8791478901</v>
      </c>
      <c r="X308" s="14">
        <f t="shared" si="8"/>
        <v>1.119603175</v>
      </c>
      <c r="Y308" s="14">
        <f t="shared" si="9"/>
        <v>1.5</v>
      </c>
      <c r="Z308" s="14">
        <f t="shared" si="10"/>
        <v>1.268468973</v>
      </c>
      <c r="AA308" s="27">
        <f t="shared" si="11"/>
        <v>7</v>
      </c>
      <c r="AB308" s="15">
        <f t="shared" si="96"/>
        <v>1</v>
      </c>
      <c r="AC308" s="15" t="str">
        <f t="shared" si="40"/>
        <v/>
      </c>
      <c r="AD308" s="15" t="str">
        <f t="shared" si="41"/>
        <v>$RDA-1-300$: 7,</v>
      </c>
      <c r="AE308" s="15" t="str">
        <f t="shared" si="86"/>
        <v/>
      </c>
      <c r="AF308" s="15" t="str">
        <f t="shared" si="78"/>
        <v/>
      </c>
      <c r="AG308" s="15" t="str">
        <f t="shared" si="79"/>
        <v/>
      </c>
    </row>
    <row r="309" ht="15.75" customHeight="1">
      <c r="A309" s="16" t="s">
        <v>417</v>
      </c>
      <c r="B309" s="16" t="s">
        <v>417</v>
      </c>
      <c r="C309" s="17">
        <f t="shared" si="1"/>
        <v>3965</v>
      </c>
      <c r="D309" s="16"/>
      <c r="E309" s="16" t="b">
        <v>1</v>
      </c>
      <c r="F309" s="16" t="b">
        <v>1</v>
      </c>
      <c r="G309" s="16" t="b">
        <v>0</v>
      </c>
      <c r="H309" s="16" t="b">
        <v>1</v>
      </c>
      <c r="I309" s="16" t="b">
        <v>0</v>
      </c>
      <c r="J309" s="18" t="b">
        <v>1</v>
      </c>
      <c r="K309" s="16">
        <v>2230.0</v>
      </c>
      <c r="L309" s="16">
        <v>111.0</v>
      </c>
      <c r="M309" s="16">
        <v>901.0</v>
      </c>
      <c r="N309" s="16">
        <v>4.34</v>
      </c>
      <c r="O309" s="16">
        <v>1.0</v>
      </c>
      <c r="P309" s="16">
        <v>1.0</v>
      </c>
      <c r="Q309" s="19">
        <f t="shared" si="2"/>
        <v>5.075717458</v>
      </c>
      <c r="R309" s="20">
        <f t="shared" si="3"/>
        <v>35.72072072</v>
      </c>
      <c r="S309" s="21">
        <f t="shared" si="4"/>
        <v>4</v>
      </c>
      <c r="T309" s="17">
        <f t="shared" si="90"/>
        <v>3965</v>
      </c>
      <c r="U309" s="22">
        <f>T309/vlookup(A309,Max!$A$2:$AP$700,column(Max!$AP$2),false)</f>
        <v>1.166176471</v>
      </c>
      <c r="V309" s="17">
        <f t="shared" si="6"/>
        <v>560.2411538</v>
      </c>
      <c r="W309" s="23">
        <f t="shared" si="7"/>
        <v>2.799390502</v>
      </c>
      <c r="X309" s="23">
        <f t="shared" si="8"/>
        <v>1.264145879</v>
      </c>
      <c r="Y309" s="23">
        <f t="shared" si="9"/>
        <v>2</v>
      </c>
      <c r="Z309" s="23">
        <f t="shared" si="10"/>
        <v>1</v>
      </c>
      <c r="AA309" s="26">
        <f t="shared" si="11"/>
        <v>0</v>
      </c>
      <c r="AB309" s="25">
        <v>0.0</v>
      </c>
      <c r="AC309" s="26" t="str">
        <f t="shared" si="40"/>
        <v>{
$name$: $PEWEE100$,
$config$: $PEWEE100$,
$cost$: 3965
},</v>
      </c>
      <c r="AD309" s="26" t="str">
        <f t="shared" si="41"/>
        <v/>
      </c>
      <c r="AE309" s="26" t="str">
        <f t="shared" si="86"/>
        <v/>
      </c>
      <c r="AF309" s="26" t="str">
        <f t="shared" si="78"/>
        <v/>
      </c>
      <c r="AG309" s="26" t="str">
        <f t="shared" si="79"/>
        <v/>
      </c>
    </row>
    <row r="310" ht="15.75" customHeight="1">
      <c r="A310" s="7" t="s">
        <v>418</v>
      </c>
      <c r="B310" s="7" t="s">
        <v>418</v>
      </c>
      <c r="C310" s="8">
        <f t="shared" si="1"/>
        <v>6048</v>
      </c>
      <c r="D310" s="7"/>
      <c r="E310" s="7" t="b">
        <v>1</v>
      </c>
      <c r="F310" s="7" t="b">
        <v>1</v>
      </c>
      <c r="G310" s="7" t="b">
        <v>0</v>
      </c>
      <c r="H310" s="7" t="b">
        <v>1</v>
      </c>
      <c r="I310" s="7" t="b">
        <v>0</v>
      </c>
      <c r="J310" s="9" t="b">
        <v>1</v>
      </c>
      <c r="K310" s="7">
        <v>9140.0</v>
      </c>
      <c r="L310" s="7">
        <v>299.0</v>
      </c>
      <c r="M310" s="7">
        <v>828.0</v>
      </c>
      <c r="N310" s="7">
        <v>3.77</v>
      </c>
      <c r="O310" s="7">
        <v>1.0</v>
      </c>
      <c r="P310" s="7">
        <v>1.0</v>
      </c>
      <c r="Q310" s="10">
        <f t="shared" si="2"/>
        <v>3.335833116</v>
      </c>
      <c r="R310" s="11">
        <f t="shared" si="3"/>
        <v>20.22742475</v>
      </c>
      <c r="S310" s="12">
        <f t="shared" si="4"/>
        <v>4</v>
      </c>
      <c r="T310" s="8">
        <f t="shared" si="90"/>
        <v>6048</v>
      </c>
      <c r="U310" s="13">
        <f>T310/vlookup(A310,Max!$A$2:$AP$700,column(Max!$AP$2),false)</f>
        <v>1.234285714</v>
      </c>
      <c r="V310" s="8">
        <f t="shared" si="6"/>
        <v>1288.398868</v>
      </c>
      <c r="W310" s="14">
        <f t="shared" si="7"/>
        <v>1.916584691</v>
      </c>
      <c r="X310" s="14">
        <f t="shared" si="8"/>
        <v>1.224725634</v>
      </c>
      <c r="Y310" s="14">
        <f t="shared" si="9"/>
        <v>2</v>
      </c>
      <c r="Z310" s="14">
        <f t="shared" si="10"/>
        <v>1</v>
      </c>
      <c r="AA310" s="15">
        <f t="shared" si="11"/>
        <v>0</v>
      </c>
      <c r="AB310" s="29">
        <v>0.0</v>
      </c>
      <c r="AC310" s="15" t="str">
        <f t="shared" si="40"/>
        <v>{
$name$: $Phoebus1N50$,
$config$: $Phoebus1N50$,
$cost$: 6048
},</v>
      </c>
      <c r="AD310" s="15" t="str">
        <f t="shared" si="41"/>
        <v/>
      </c>
      <c r="AE310" s="15" t="str">
        <f t="shared" si="86"/>
        <v/>
      </c>
      <c r="AF310" s="15" t="str">
        <f t="shared" si="78"/>
        <v/>
      </c>
      <c r="AG310" s="15" t="str">
        <f t="shared" si="79"/>
        <v/>
      </c>
    </row>
    <row r="311" ht="15.75" customHeight="1">
      <c r="A311" s="16" t="s">
        <v>419</v>
      </c>
      <c r="B311" s="16" t="s">
        <v>419</v>
      </c>
      <c r="C311" s="17">
        <f t="shared" si="1"/>
        <v>10924</v>
      </c>
      <c r="D311" s="16"/>
      <c r="E311" s="16" t="b">
        <v>1</v>
      </c>
      <c r="F311" s="16" t="b">
        <v>1</v>
      </c>
      <c r="G311" s="16" t="b">
        <v>0</v>
      </c>
      <c r="H311" s="16" t="b">
        <v>1</v>
      </c>
      <c r="I311" s="16" t="b">
        <v>0</v>
      </c>
      <c r="J311" s="18" t="b">
        <v>1</v>
      </c>
      <c r="K311" s="16">
        <v>16970.0</v>
      </c>
      <c r="L311" s="16">
        <v>913.0</v>
      </c>
      <c r="M311" s="16">
        <v>813.0</v>
      </c>
      <c r="N311" s="16">
        <v>3.83</v>
      </c>
      <c r="O311" s="16">
        <v>1.0</v>
      </c>
      <c r="P311" s="16">
        <v>1.0</v>
      </c>
      <c r="Q311" s="19">
        <f t="shared" si="2"/>
        <v>5.486157335</v>
      </c>
      <c r="R311" s="20">
        <f t="shared" si="3"/>
        <v>11.96495071</v>
      </c>
      <c r="S311" s="21">
        <f t="shared" si="4"/>
        <v>4</v>
      </c>
      <c r="T311" s="17">
        <f t="shared" si="90"/>
        <v>10924</v>
      </c>
      <c r="U311" s="22">
        <f>T311/vlookup(A311,Max!$A$2:$AP$700,column(Max!$AP$2),false)</f>
        <v>0.8091851852</v>
      </c>
      <c r="V311" s="17">
        <f t="shared" si="6"/>
        <v>1875.446584</v>
      </c>
      <c r="W311" s="23">
        <f t="shared" si="7"/>
        <v>2.369629259</v>
      </c>
      <c r="X311" s="23">
        <f t="shared" si="8"/>
        <v>1.229084462</v>
      </c>
      <c r="Y311" s="23">
        <f t="shared" si="9"/>
        <v>2</v>
      </c>
      <c r="Z311" s="23">
        <f t="shared" si="10"/>
        <v>1</v>
      </c>
      <c r="AA311" s="26">
        <f t="shared" si="11"/>
        <v>0</v>
      </c>
      <c r="AB311" s="25">
        <v>0.0</v>
      </c>
      <c r="AC311" s="26" t="str">
        <f t="shared" si="40"/>
        <v>{
$name$: $Phoebus2N100$,
$config$: $Phoebus2N100$,
$cost$: 10924
},</v>
      </c>
      <c r="AD311" s="26" t="str">
        <f t="shared" si="41"/>
        <v/>
      </c>
      <c r="AE311" s="26" t="str">
        <f t="shared" si="86"/>
        <v/>
      </c>
      <c r="AF311" s="26" t="str">
        <f t="shared" si="78"/>
        <v/>
      </c>
      <c r="AG311" s="26" t="str">
        <f t="shared" si="79"/>
        <v/>
      </c>
    </row>
    <row r="312" ht="15.75" customHeight="1">
      <c r="A312" s="7" t="s">
        <v>420</v>
      </c>
      <c r="B312" s="7" t="s">
        <v>421</v>
      </c>
      <c r="C312" s="8">
        <f t="shared" si="1"/>
        <v>7441</v>
      </c>
      <c r="D312" s="7"/>
      <c r="E312" s="7" t="b">
        <v>1</v>
      </c>
      <c r="F312" s="7" t="b">
        <v>1</v>
      </c>
      <c r="G312" s="7" t="b">
        <v>0</v>
      </c>
      <c r="H312" s="7" t="b">
        <v>1</v>
      </c>
      <c r="I312" s="7" t="b">
        <v>0</v>
      </c>
      <c r="J312" s="9" t="b">
        <v>1</v>
      </c>
      <c r="K312" s="7">
        <v>3629.0</v>
      </c>
      <c r="L312" s="7">
        <v>40.88</v>
      </c>
      <c r="M312" s="7">
        <v>1414.0</v>
      </c>
      <c r="N312" s="7">
        <v>10.0</v>
      </c>
      <c r="O312" s="7">
        <v>1.0</v>
      </c>
      <c r="P312" s="7">
        <v>1.0</v>
      </c>
      <c r="Q312" s="10">
        <f t="shared" si="2"/>
        <v>1.148691063</v>
      </c>
      <c r="R312" s="11">
        <f t="shared" si="3"/>
        <v>182.0205479</v>
      </c>
      <c r="S312" s="12">
        <f t="shared" si="4"/>
        <v>4</v>
      </c>
      <c r="T312" s="8">
        <f t="shared" si="90"/>
        <v>7441</v>
      </c>
      <c r="U312" s="13">
        <f>T312/vlookup(A312,Max!$A$2:$AP$700,column(Max!$AP$2),false)</f>
        <v>1.4882</v>
      </c>
      <c r="V312" s="8">
        <f t="shared" si="6"/>
        <v>743.6809354</v>
      </c>
      <c r="W312" s="14">
        <f t="shared" si="7"/>
        <v>3.279937916</v>
      </c>
      <c r="X312" s="14">
        <f t="shared" si="8"/>
        <v>1.52532365</v>
      </c>
      <c r="Y312" s="14">
        <f t="shared" si="9"/>
        <v>2</v>
      </c>
      <c r="Z312" s="14">
        <f t="shared" si="10"/>
        <v>1</v>
      </c>
      <c r="AA312" s="15">
        <f t="shared" si="11"/>
        <v>0</v>
      </c>
      <c r="AB312" s="29">
        <v>0.0</v>
      </c>
      <c r="AC312" s="15" t="str">
        <f t="shared" si="40"/>
        <v>{
$name$: $PrincetonLNTR-WCH$,
$config$: $PrincetonLNTR$,
$cost$: 7441
},</v>
      </c>
      <c r="AD312" s="15" t="str">
        <f t="shared" si="41"/>
        <v/>
      </c>
      <c r="AE312" s="15" t="str">
        <f t="shared" si="86"/>
        <v/>
      </c>
      <c r="AF312" s="15" t="str">
        <f t="shared" si="78"/>
        <v/>
      </c>
      <c r="AG312" s="15" t="str">
        <f t="shared" si="79"/>
        <v/>
      </c>
    </row>
    <row r="313" ht="15.75" customHeight="1">
      <c r="A313" s="16" t="s">
        <v>422</v>
      </c>
      <c r="B313" s="16" t="s">
        <v>421</v>
      </c>
      <c r="C313" s="17">
        <f t="shared" si="1"/>
        <v>-813</v>
      </c>
      <c r="D313" s="16"/>
      <c r="E313" s="16" t="b">
        <v>1</v>
      </c>
      <c r="F313" s="16" t="b">
        <v>1</v>
      </c>
      <c r="G313" s="16" t="b">
        <v>0</v>
      </c>
      <c r="H313" s="16" t="b">
        <v>1</v>
      </c>
      <c r="I313" s="16" t="b">
        <v>0</v>
      </c>
      <c r="J313" s="18" t="b">
        <v>1</v>
      </c>
      <c r="K313" s="16">
        <v>3629.0</v>
      </c>
      <c r="L313" s="16">
        <v>39.03</v>
      </c>
      <c r="M313" s="16">
        <v>1350.0</v>
      </c>
      <c r="N313" s="16">
        <v>10.0</v>
      </c>
      <c r="O313" s="16">
        <v>1.0</v>
      </c>
      <c r="P313" s="16">
        <v>1.0</v>
      </c>
      <c r="Q313" s="19">
        <f t="shared" si="2"/>
        <v>1.096707734</v>
      </c>
      <c r="R313" s="20">
        <f t="shared" si="3"/>
        <v>169.8180886</v>
      </c>
      <c r="S313" s="21">
        <f t="shared" si="4"/>
        <v>4</v>
      </c>
      <c r="T313" s="17">
        <f t="shared" si="90"/>
        <v>6628</v>
      </c>
      <c r="U313" s="22">
        <f>T313/vlookup(A313,Max!$A$2:$AP$700,column(Max!$AP$2),false)</f>
        <v>1.578095238</v>
      </c>
      <c r="V313" s="17">
        <f t="shared" si="6"/>
        <v>743.6809354</v>
      </c>
      <c r="W313" s="23">
        <f t="shared" si="7"/>
        <v>2.921313552</v>
      </c>
      <c r="X313" s="23">
        <f t="shared" si="8"/>
        <v>1.52532365</v>
      </c>
      <c r="Y313" s="23">
        <f t="shared" si="9"/>
        <v>2</v>
      </c>
      <c r="Z313" s="23">
        <f t="shared" si="10"/>
        <v>1</v>
      </c>
      <c r="AA313" s="24">
        <f t="shared" si="11"/>
        <v>-813</v>
      </c>
      <c r="AB313" s="26">
        <f t="shared" ref="AB313:AB314" si="97">if(iserror(find("$",A313)),1,2)</f>
        <v>1</v>
      </c>
      <c r="AC313" s="26" t="str">
        <f t="shared" si="40"/>
        <v/>
      </c>
      <c r="AD313" s="26" t="str">
        <f t="shared" si="41"/>
        <v>$PrincetonLNTR-ZrC$: -813,</v>
      </c>
      <c r="AE313" s="26" t="str">
        <f t="shared" si="86"/>
        <v/>
      </c>
      <c r="AF313" s="26" t="str">
        <f t="shared" si="78"/>
        <v/>
      </c>
      <c r="AG313" s="26" t="str">
        <f t="shared" si="79"/>
        <v/>
      </c>
    </row>
    <row r="314" ht="15.75" customHeight="1">
      <c r="A314" s="7" t="s">
        <v>423</v>
      </c>
      <c r="B314" s="7" t="s">
        <v>424</v>
      </c>
      <c r="C314" s="8">
        <f t="shared" si="1"/>
        <v>18</v>
      </c>
      <c r="D314" s="7">
        <v>1981.0</v>
      </c>
      <c r="E314" s="7"/>
      <c r="F314" s="7" t="b">
        <v>0</v>
      </c>
      <c r="G314" s="7" t="b">
        <v>0</v>
      </c>
      <c r="H314" s="7" t="b">
        <v>1</v>
      </c>
      <c r="I314" s="7" t="b">
        <v>0</v>
      </c>
      <c r="J314" s="9" t="b">
        <v>0</v>
      </c>
      <c r="K314" s="7">
        <v>10.5</v>
      </c>
      <c r="L314" s="7">
        <v>4.0</v>
      </c>
      <c r="M314" s="7">
        <v>293.0</v>
      </c>
      <c r="N314" s="7">
        <v>1.034</v>
      </c>
      <c r="O314" s="7">
        <v>0.999814</v>
      </c>
      <c r="P314" s="7">
        <v>0.999442</v>
      </c>
      <c r="Q314" s="10">
        <f t="shared" si="2"/>
        <v>38.84633181</v>
      </c>
      <c r="R314" s="11">
        <f t="shared" si="3"/>
        <v>4.5</v>
      </c>
      <c r="S314" s="12">
        <f t="shared" si="4"/>
        <v>1.75</v>
      </c>
      <c r="T314" s="8">
        <f t="shared" si="90"/>
        <v>18</v>
      </c>
      <c r="U314" s="13">
        <f>T314/vlookup(A314,Max!$A$2:$AP$700,column(Max!$AP$2),false)</f>
        <v>1.058823529</v>
      </c>
      <c r="V314" s="8">
        <f t="shared" si="6"/>
        <v>19.94100629</v>
      </c>
      <c r="W314" s="14">
        <f t="shared" si="7"/>
        <v>0.9803330393</v>
      </c>
      <c r="X314" s="14">
        <f t="shared" si="8"/>
        <v>0.9154383989</v>
      </c>
      <c r="Y314" s="14">
        <f t="shared" si="9"/>
        <v>1</v>
      </c>
      <c r="Z314" s="14">
        <f t="shared" si="10"/>
        <v>1.023538158</v>
      </c>
      <c r="AA314" s="15">
        <f t="shared" si="11"/>
        <v>0</v>
      </c>
      <c r="AB314" s="15">
        <f t="shared" si="97"/>
        <v>1</v>
      </c>
      <c r="AC314" s="15" t="str">
        <f t="shared" si="40"/>
        <v/>
      </c>
      <c r="AD314" s="15" t="str">
        <f t="shared" si="41"/>
        <v>$R-40B$: 18,</v>
      </c>
      <c r="AE314" s="15" t="str">
        <f t="shared" si="86"/>
        <v/>
      </c>
      <c r="AF314" s="15" t="str">
        <f t="shared" si="78"/>
        <v/>
      </c>
      <c r="AG314" s="15" t="str">
        <f t="shared" si="79"/>
        <v/>
      </c>
    </row>
    <row r="315" ht="15.75" customHeight="1">
      <c r="A315" s="16" t="s">
        <v>425</v>
      </c>
      <c r="B315" s="16" t="s">
        <v>424</v>
      </c>
      <c r="C315" s="17">
        <f t="shared" si="1"/>
        <v>0</v>
      </c>
      <c r="D315" s="16">
        <v>1981.0</v>
      </c>
      <c r="E315" s="16"/>
      <c r="F315" s="16" t="b">
        <v>0</v>
      </c>
      <c r="G315" s="16" t="b">
        <v>0</v>
      </c>
      <c r="H315" s="16" t="b">
        <v>1</v>
      </c>
      <c r="I315" s="16" t="b">
        <v>0</v>
      </c>
      <c r="J315" s="18" t="b">
        <v>0</v>
      </c>
      <c r="K315" s="16">
        <v>10.5</v>
      </c>
      <c r="L315" s="16">
        <v>3.87</v>
      </c>
      <c r="M315" s="16">
        <v>281.0</v>
      </c>
      <c r="N315" s="16">
        <v>0.99</v>
      </c>
      <c r="O315" s="16">
        <v>0.999814</v>
      </c>
      <c r="P315" s="16">
        <v>0.999442</v>
      </c>
      <c r="Q315" s="19">
        <f t="shared" si="2"/>
        <v>37.58382603</v>
      </c>
      <c r="R315" s="20">
        <f t="shared" si="3"/>
        <v>4.651162791</v>
      </c>
      <c r="S315" s="21">
        <f t="shared" si="4"/>
        <v>1.75</v>
      </c>
      <c r="T315" s="17">
        <f t="shared" si="90"/>
        <v>18</v>
      </c>
      <c r="U315" s="22">
        <f>T315/vlookup(A315,Max!$A$2:$AP$700,column(Max!$AP$2),false)</f>
        <v>1.161290323</v>
      </c>
      <c r="V315" s="17">
        <f t="shared" si="6"/>
        <v>19.94100629</v>
      </c>
      <c r="W315" s="23">
        <f t="shared" si="7"/>
        <v>0.9521631698</v>
      </c>
      <c r="X315" s="23">
        <f t="shared" si="8"/>
        <v>0.9065252868</v>
      </c>
      <c r="Y315" s="23">
        <f t="shared" si="9"/>
        <v>1</v>
      </c>
      <c r="Z315" s="23">
        <f t="shared" si="10"/>
        <v>1.023538158</v>
      </c>
      <c r="AA315" s="24">
        <f t="shared" si="11"/>
        <v>0</v>
      </c>
      <c r="AB315" s="25">
        <v>0.0</v>
      </c>
      <c r="AC315" s="26" t="str">
        <f t="shared" si="40"/>
        <v>{
$name$: $R-40A$,
$config$: $R40$,
$cost$: 0
},</v>
      </c>
      <c r="AD315" s="26" t="str">
        <f t="shared" si="41"/>
        <v/>
      </c>
      <c r="AE315" s="26" t="str">
        <f t="shared" si="86"/>
        <v/>
      </c>
      <c r="AF315" s="26" t="str">
        <f t="shared" si="78"/>
        <v/>
      </c>
      <c r="AG315" s="26" t="str">
        <f t="shared" si="79"/>
        <v/>
      </c>
    </row>
    <row r="316" ht="15.75" customHeight="1">
      <c r="A316" s="7" t="s">
        <v>426</v>
      </c>
      <c r="B316" s="7" t="s">
        <v>427</v>
      </c>
      <c r="C316" s="8">
        <f t="shared" si="1"/>
        <v>15</v>
      </c>
      <c r="D316" s="7">
        <v>1990.0</v>
      </c>
      <c r="E316" s="7"/>
      <c r="F316" s="7" t="b">
        <v>0</v>
      </c>
      <c r="G316" s="7" t="b">
        <v>0</v>
      </c>
      <c r="H316" s="7" t="b">
        <v>1</v>
      </c>
      <c r="I316" s="7" t="b">
        <v>0</v>
      </c>
      <c r="J316" s="9" t="b">
        <v>0</v>
      </c>
      <c r="K316" s="7">
        <v>4.53</v>
      </c>
      <c r="L316" s="7">
        <v>0.89</v>
      </c>
      <c r="M316" s="7">
        <v>305.0</v>
      </c>
      <c r="N316" s="7">
        <v>0.71</v>
      </c>
      <c r="O316" s="7">
        <v>0.999814</v>
      </c>
      <c r="P316" s="7">
        <v>0.999442</v>
      </c>
      <c r="Q316" s="10">
        <f t="shared" si="2"/>
        <v>20.03415953</v>
      </c>
      <c r="R316" s="11">
        <f t="shared" si="3"/>
        <v>16.85393258</v>
      </c>
      <c r="S316" s="12">
        <f t="shared" si="4"/>
        <v>1.75</v>
      </c>
      <c r="T316" s="28">
        <v>15.0</v>
      </c>
      <c r="U316" s="13">
        <f>T316/vlookup(A316,Max!$A$2:$AP$700,column(Max!$AP$2),false)</f>
        <v>1.515151515</v>
      </c>
      <c r="V316" s="8">
        <f t="shared" si="6"/>
        <v>12.21209427</v>
      </c>
      <c r="W316" s="14">
        <f t="shared" si="7"/>
        <v>1.021881862</v>
      </c>
      <c r="X316" s="14">
        <f t="shared" si="8"/>
        <v>0.8411919977</v>
      </c>
      <c r="Y316" s="14">
        <f t="shared" si="9"/>
        <v>1</v>
      </c>
      <c r="Z316" s="14">
        <f t="shared" si="10"/>
        <v>1.023538158</v>
      </c>
      <c r="AA316" s="15">
        <f t="shared" si="11"/>
        <v>0</v>
      </c>
      <c r="AB316" s="29">
        <v>0.0</v>
      </c>
      <c r="AC316" s="15" t="str">
        <f t="shared" si="40"/>
        <v>{
$name$: $R-42$,
$config$: $R42$,
$cost$: 15
},</v>
      </c>
      <c r="AD316" s="15" t="str">
        <f t="shared" si="41"/>
        <v/>
      </c>
      <c r="AE316" s="15" t="str">
        <f t="shared" si="86"/>
        <v/>
      </c>
      <c r="AF316" s="15" t="str">
        <f t="shared" si="78"/>
        <v/>
      </c>
      <c r="AG316" s="15" t="str">
        <f t="shared" si="79"/>
        <v/>
      </c>
    </row>
    <row r="317" ht="15.75" customHeight="1">
      <c r="A317" s="16" t="s">
        <v>428</v>
      </c>
      <c r="B317" s="16" t="s">
        <v>427</v>
      </c>
      <c r="C317" s="17">
        <f t="shared" si="1"/>
        <v>3</v>
      </c>
      <c r="D317" s="16">
        <v>2008.0</v>
      </c>
      <c r="E317" s="16"/>
      <c r="F317" s="16" t="b">
        <v>0</v>
      </c>
      <c r="G317" s="16" t="b">
        <v>0</v>
      </c>
      <c r="H317" s="16" t="b">
        <v>1</v>
      </c>
      <c r="I317" s="16" t="b">
        <v>0</v>
      </c>
      <c r="J317" s="18" t="b">
        <v>0</v>
      </c>
      <c r="K317" s="16">
        <v>7.3</v>
      </c>
      <c r="L317" s="16">
        <v>0.89</v>
      </c>
      <c r="M317" s="16">
        <v>327.0</v>
      </c>
      <c r="N317" s="16">
        <v>0.96</v>
      </c>
      <c r="O317" s="16">
        <v>0.999814</v>
      </c>
      <c r="P317" s="16">
        <v>0.999442</v>
      </c>
      <c r="Q317" s="19">
        <f t="shared" si="2"/>
        <v>12.43215653</v>
      </c>
      <c r="R317" s="20">
        <f t="shared" si="3"/>
        <v>20.2247191</v>
      </c>
      <c r="S317" s="21">
        <f t="shared" si="4"/>
        <v>1.75</v>
      </c>
      <c r="T317" s="17">
        <f t="shared" ref="T317:T340" si="98">round(V317*W317*X317*Y317*Z317,0)</f>
        <v>18</v>
      </c>
      <c r="U317" s="22">
        <f>T317/vlookup(A317,Max!$A$2:$AP$700,column(Max!$AP$2),false)</f>
        <v>1.636363636</v>
      </c>
      <c r="V317" s="17">
        <f t="shared" si="6"/>
        <v>16.11978335</v>
      </c>
      <c r="W317" s="23">
        <f t="shared" si="7"/>
        <v>1.206673473</v>
      </c>
      <c r="X317" s="23">
        <f t="shared" si="8"/>
        <v>0.9002705251</v>
      </c>
      <c r="Y317" s="23">
        <f t="shared" si="9"/>
        <v>1</v>
      </c>
      <c r="Z317" s="23">
        <f t="shared" si="10"/>
        <v>1.023538158</v>
      </c>
      <c r="AA317" s="24">
        <f t="shared" si="11"/>
        <v>3</v>
      </c>
      <c r="AB317" s="26">
        <f t="shared" ref="AB317:AB318" si="99">if(iserror(find("$",A317)),1,2)</f>
        <v>1</v>
      </c>
      <c r="AC317" s="26" t="str">
        <f t="shared" si="40"/>
        <v/>
      </c>
      <c r="AD317" s="26" t="str">
        <f t="shared" si="41"/>
        <v>$R-42DM$: 3,</v>
      </c>
      <c r="AE317" s="26" t="str">
        <f t="shared" si="86"/>
        <v/>
      </c>
      <c r="AF317" s="26" t="str">
        <f t="shared" si="78"/>
        <v/>
      </c>
      <c r="AG317" s="26" t="str">
        <f t="shared" si="79"/>
        <v/>
      </c>
    </row>
    <row r="318" ht="15.75" customHeight="1">
      <c r="A318" s="9" t="s">
        <v>429</v>
      </c>
      <c r="B318" s="7" t="s">
        <v>430</v>
      </c>
      <c r="C318" s="8">
        <f t="shared" si="1"/>
        <v>9</v>
      </c>
      <c r="D318" s="9">
        <v>1977.0</v>
      </c>
      <c r="E318" s="7"/>
      <c r="F318" s="7" t="b">
        <v>0</v>
      </c>
      <c r="G318" s="7" t="b">
        <v>0</v>
      </c>
      <c r="H318" s="7" t="b">
        <v>0</v>
      </c>
      <c r="I318" s="7" t="b">
        <v>0</v>
      </c>
      <c r="J318" s="9" t="b">
        <v>0</v>
      </c>
      <c r="K318" s="7">
        <v>3.4</v>
      </c>
      <c r="L318" s="7">
        <v>0.49</v>
      </c>
      <c r="M318" s="7">
        <v>300.0</v>
      </c>
      <c r="N318" s="7">
        <v>0.745</v>
      </c>
      <c r="O318" s="7">
        <v>0.999758</v>
      </c>
      <c r="P318" s="7">
        <v>0.99967</v>
      </c>
      <c r="Q318" s="10">
        <f t="shared" si="2"/>
        <v>14.69591009</v>
      </c>
      <c r="R318" s="11">
        <f t="shared" si="3"/>
        <v>18.36734694</v>
      </c>
      <c r="S318" s="12">
        <f t="shared" si="4"/>
        <v>1.75</v>
      </c>
      <c r="T318" s="8">
        <f t="shared" si="98"/>
        <v>9</v>
      </c>
      <c r="U318" s="13" t="str">
        <f>T318/vlookup(A318,Max!$A$2:$AP$700,column(Max!$AP$2),false)</f>
        <v>#N/A</v>
      </c>
      <c r="V318" s="8">
        <f t="shared" si="6"/>
        <v>10.34371112</v>
      </c>
      <c r="W318" s="14">
        <f t="shared" si="7"/>
        <v>1</v>
      </c>
      <c r="X318" s="14">
        <f t="shared" si="8"/>
        <v>0.8056187287</v>
      </c>
      <c r="Y318" s="14">
        <f t="shared" si="9"/>
        <v>1</v>
      </c>
      <c r="Z318" s="14">
        <f t="shared" si="10"/>
        <v>1.024598372</v>
      </c>
      <c r="AA318" s="15">
        <f t="shared" si="11"/>
        <v>0</v>
      </c>
      <c r="AB318" s="15">
        <f t="shared" si="99"/>
        <v>2</v>
      </c>
      <c r="AC318" s="15" t="str">
        <f t="shared" si="40"/>
        <v/>
      </c>
      <c r="AD318" s="15" t="str">
        <f t="shared" si="41"/>
        <v/>
      </c>
      <c r="AE318" s="15" t="str">
        <f t="shared" si="86"/>
        <v>		@CONFIG[R-4D-11]
		{
			@SUBCONFIG[44AR] { %cost = 0 }
		}</v>
      </c>
      <c r="AF318" s="15" t="str">
        <f t="shared" si="78"/>
        <v>R-4D-11</v>
      </c>
      <c r="AG318" s="15" t="str">
        <f t="shared" si="79"/>
        <v>44AR</v>
      </c>
    </row>
    <row r="319" ht="15.75" customHeight="1">
      <c r="A319" s="18" t="s">
        <v>431</v>
      </c>
      <c r="B319" s="16" t="s">
        <v>430</v>
      </c>
      <c r="C319" s="17">
        <f t="shared" si="1"/>
        <v>1</v>
      </c>
      <c r="D319" s="18">
        <v>1977.0</v>
      </c>
      <c r="E319" s="16"/>
      <c r="F319" s="16" t="b">
        <v>0</v>
      </c>
      <c r="G319" s="16" t="b">
        <v>0</v>
      </c>
      <c r="H319" s="16" t="b">
        <v>1</v>
      </c>
      <c r="I319" s="16" t="b">
        <v>0</v>
      </c>
      <c r="J319" s="18" t="b">
        <v>0</v>
      </c>
      <c r="K319" s="16">
        <v>3.76</v>
      </c>
      <c r="L319" s="16">
        <v>0.49</v>
      </c>
      <c r="M319" s="16">
        <v>311.0</v>
      </c>
      <c r="N319" s="16">
        <v>0.745</v>
      </c>
      <c r="O319" s="16">
        <v>0.999758</v>
      </c>
      <c r="P319" s="16">
        <v>0.99967</v>
      </c>
      <c r="Q319" s="19">
        <f t="shared" si="2"/>
        <v>13.28885486</v>
      </c>
      <c r="R319" s="20">
        <f t="shared" si="3"/>
        <v>20.40816327</v>
      </c>
      <c r="S319" s="21">
        <f t="shared" si="4"/>
        <v>1.75</v>
      </c>
      <c r="T319" s="17">
        <f t="shared" si="98"/>
        <v>10</v>
      </c>
      <c r="U319" s="22" t="str">
        <f>T319/vlookup(A319,Max!$A$2:$AP$700,column(Max!$AP$2),false)</f>
        <v>#N/A</v>
      </c>
      <c r="V319" s="17">
        <f t="shared" si="6"/>
        <v>10.96315461</v>
      </c>
      <c r="W319" s="23">
        <f t="shared" si="7"/>
        <v>1.066630493</v>
      </c>
      <c r="X319" s="23">
        <f t="shared" si="8"/>
        <v>0.850348922</v>
      </c>
      <c r="Y319" s="23">
        <f t="shared" si="9"/>
        <v>1</v>
      </c>
      <c r="Z319" s="23">
        <f t="shared" si="10"/>
        <v>1.023978602</v>
      </c>
      <c r="AA319" s="24">
        <f t="shared" si="11"/>
        <v>1</v>
      </c>
      <c r="AB319" s="25">
        <v>0.0</v>
      </c>
      <c r="AC319" s="26" t="str">
        <f t="shared" si="40"/>
        <v>{
$name$: $R-4D-11$,
$config$: $R4D11$,
$cost$: 1
},</v>
      </c>
      <c r="AD319" s="26" t="str">
        <f t="shared" si="41"/>
        <v/>
      </c>
      <c r="AE319" s="26" t="str">
        <f t="shared" si="86"/>
        <v/>
      </c>
      <c r="AF319" s="26" t="str">
        <f t="shared" si="78"/>
        <v/>
      </c>
      <c r="AG319" s="26" t="str">
        <f t="shared" si="79"/>
        <v/>
      </c>
    </row>
    <row r="320" ht="15.75" customHeight="1">
      <c r="A320" s="9" t="s">
        <v>432</v>
      </c>
      <c r="B320" s="7" t="s">
        <v>430</v>
      </c>
      <c r="C320" s="8">
        <f t="shared" si="1"/>
        <v>2</v>
      </c>
      <c r="D320" s="9">
        <v>1979.0</v>
      </c>
      <c r="E320" s="7"/>
      <c r="F320" s="7" t="b">
        <v>0</v>
      </c>
      <c r="G320" s="7" t="b">
        <v>0</v>
      </c>
      <c r="H320" s="7" t="b">
        <v>0</v>
      </c>
      <c r="I320" s="7" t="b">
        <v>0</v>
      </c>
      <c r="J320" s="9" t="b">
        <v>0</v>
      </c>
      <c r="K320" s="7">
        <v>4.31</v>
      </c>
      <c r="L320" s="7">
        <v>0.49</v>
      </c>
      <c r="M320" s="7">
        <v>315.5</v>
      </c>
      <c r="N320" s="7">
        <v>0.745</v>
      </c>
      <c r="O320" s="7">
        <v>0.999758</v>
      </c>
      <c r="P320" s="7">
        <v>0.99967</v>
      </c>
      <c r="Q320" s="10">
        <f t="shared" si="2"/>
        <v>11.59306132</v>
      </c>
      <c r="R320" s="11">
        <f t="shared" si="3"/>
        <v>22.44897959</v>
      </c>
      <c r="S320" s="12">
        <f t="shared" si="4"/>
        <v>1.75</v>
      </c>
      <c r="T320" s="8">
        <f t="shared" si="98"/>
        <v>11</v>
      </c>
      <c r="U320" s="13" t="str">
        <f>T320/vlookup(A320,Max!$A$2:$AP$700,column(Max!$AP$2),false)</f>
        <v>#N/A</v>
      </c>
      <c r="V320" s="8">
        <f t="shared" si="6"/>
        <v>11.86471588</v>
      </c>
      <c r="W320" s="14">
        <f t="shared" si="7"/>
        <v>1.111775132</v>
      </c>
      <c r="X320" s="14">
        <f t="shared" si="8"/>
        <v>0.8056187287</v>
      </c>
      <c r="Y320" s="14">
        <f t="shared" si="9"/>
        <v>1</v>
      </c>
      <c r="Z320" s="14">
        <f t="shared" si="10"/>
        <v>1.024598372</v>
      </c>
      <c r="AA320" s="27">
        <f t="shared" si="11"/>
        <v>2</v>
      </c>
      <c r="AB320" s="15">
        <f t="shared" ref="AB320:AB324" si="100">if(iserror(find("$",A320)),1,2)</f>
        <v>2</v>
      </c>
      <c r="AC320" s="15" t="str">
        <f t="shared" si="40"/>
        <v/>
      </c>
      <c r="AD320" s="15" t="str">
        <f t="shared" si="41"/>
        <v/>
      </c>
      <c r="AE320" s="15" t="str">
        <f t="shared" si="86"/>
        <v>		@CONFIG[R-4D-11]
		{
			@SUBCONFIG[300AR] { %cost = 2 }
		}</v>
      </c>
      <c r="AF320" s="15" t="str">
        <f t="shared" si="78"/>
        <v>R-4D-11</v>
      </c>
      <c r="AG320" s="15" t="str">
        <f t="shared" si="79"/>
        <v>300AR</v>
      </c>
    </row>
    <row r="321" ht="15.75" customHeight="1">
      <c r="A321" s="18" t="s">
        <v>433</v>
      </c>
      <c r="B321" s="16" t="s">
        <v>430</v>
      </c>
      <c r="C321" s="17">
        <f t="shared" si="1"/>
        <v>6</v>
      </c>
      <c r="D321" s="18">
        <v>1981.0</v>
      </c>
      <c r="E321" s="16"/>
      <c r="F321" s="16" t="b">
        <v>0</v>
      </c>
      <c r="G321" s="16" t="b">
        <v>0</v>
      </c>
      <c r="H321" s="16" t="b">
        <v>1</v>
      </c>
      <c r="I321" s="16" t="b">
        <v>0</v>
      </c>
      <c r="J321" s="18" t="b">
        <v>0</v>
      </c>
      <c r="K321" s="16">
        <v>5.2</v>
      </c>
      <c r="L321" s="16">
        <v>0.445</v>
      </c>
      <c r="M321" s="16">
        <v>326.0</v>
      </c>
      <c r="N321" s="16">
        <v>0.94</v>
      </c>
      <c r="O321" s="16">
        <v>0.999758</v>
      </c>
      <c r="P321" s="16">
        <v>0.99967</v>
      </c>
      <c r="Q321" s="19">
        <f t="shared" si="2"/>
        <v>8.726417566</v>
      </c>
      <c r="R321" s="20">
        <f t="shared" si="3"/>
        <v>33.70786517</v>
      </c>
      <c r="S321" s="21">
        <f t="shared" si="4"/>
        <v>1.75</v>
      </c>
      <c r="T321" s="17">
        <f t="shared" si="98"/>
        <v>15</v>
      </c>
      <c r="U321" s="22" t="str">
        <f>T321/vlookup(A321,Max!$A$2:$AP$700,column(Max!$AP$2),false)</f>
        <v>#N/A</v>
      </c>
      <c r="V321" s="17">
        <f t="shared" si="6"/>
        <v>13.23004526</v>
      </c>
      <c r="W321" s="23">
        <f t="shared" si="7"/>
        <v>1.197979511</v>
      </c>
      <c r="X321" s="23">
        <f t="shared" si="8"/>
        <v>0.896016013</v>
      </c>
      <c r="Y321" s="23">
        <f t="shared" si="9"/>
        <v>1</v>
      </c>
      <c r="Z321" s="23">
        <f t="shared" si="10"/>
        <v>1.023978602</v>
      </c>
      <c r="AA321" s="24">
        <f t="shared" si="11"/>
        <v>6</v>
      </c>
      <c r="AB321" s="26">
        <f t="shared" si="100"/>
        <v>2</v>
      </c>
      <c r="AC321" s="26" t="str">
        <f t="shared" si="40"/>
        <v/>
      </c>
      <c r="AD321" s="26" t="str">
        <f t="shared" si="41"/>
        <v/>
      </c>
      <c r="AE321" s="26" t="str">
        <f t="shared" si="86"/>
        <v>		@CONFIG[R-4D-15DM]
		{
			@SUBCONFIG[300AR] { %cost = 6 }
		}</v>
      </c>
      <c r="AF321" s="26" t="str">
        <f t="shared" si="78"/>
        <v>R-4D-15DM</v>
      </c>
      <c r="AG321" s="26" t="str">
        <f t="shared" si="79"/>
        <v>300AR</v>
      </c>
    </row>
    <row r="322" ht="15.75" customHeight="1">
      <c r="A322" s="9" t="s">
        <v>434</v>
      </c>
      <c r="B322" s="7" t="s">
        <v>430</v>
      </c>
      <c r="C322" s="8">
        <f t="shared" si="1"/>
        <v>5</v>
      </c>
      <c r="D322" s="9">
        <v>1981.0</v>
      </c>
      <c r="E322" s="7"/>
      <c r="F322" s="7" t="b">
        <v>0</v>
      </c>
      <c r="G322" s="7" t="b">
        <v>0</v>
      </c>
      <c r="H322" s="7" t="b">
        <v>0</v>
      </c>
      <c r="I322" s="7" t="b">
        <v>0</v>
      </c>
      <c r="J322" s="9" t="b">
        <v>0</v>
      </c>
      <c r="K322" s="7">
        <v>5.44</v>
      </c>
      <c r="L322" s="7">
        <v>0.445</v>
      </c>
      <c r="M322" s="7">
        <v>322.2</v>
      </c>
      <c r="N322" s="7">
        <v>0.94</v>
      </c>
      <c r="O322" s="7">
        <v>0.999758</v>
      </c>
      <c r="P322" s="7">
        <v>0.99967</v>
      </c>
      <c r="Q322" s="10">
        <f t="shared" si="2"/>
        <v>8.341428556</v>
      </c>
      <c r="R322" s="11">
        <f t="shared" si="3"/>
        <v>31.46067416</v>
      </c>
      <c r="S322" s="12">
        <f t="shared" si="4"/>
        <v>1.75</v>
      </c>
      <c r="T322" s="8">
        <f t="shared" si="98"/>
        <v>14</v>
      </c>
      <c r="U322" s="13" t="str">
        <f>T322/vlookup(A322,Max!$A$2:$AP$700,column(Max!$AP$2),false)</f>
        <v>#N/A</v>
      </c>
      <c r="V322" s="8">
        <f t="shared" si="6"/>
        <v>13.58157397</v>
      </c>
      <c r="W322" s="14">
        <f t="shared" si="7"/>
        <v>1.165727915</v>
      </c>
      <c r="X322" s="14">
        <f t="shared" si="8"/>
        <v>0.8638155709</v>
      </c>
      <c r="Y322" s="14">
        <f t="shared" si="9"/>
        <v>1</v>
      </c>
      <c r="Z322" s="14">
        <f t="shared" si="10"/>
        <v>1.024598372</v>
      </c>
      <c r="AA322" s="27">
        <f t="shared" si="11"/>
        <v>5</v>
      </c>
      <c r="AB322" s="15">
        <f t="shared" si="100"/>
        <v>1</v>
      </c>
      <c r="AC322" s="15" t="str">
        <f t="shared" si="40"/>
        <v/>
      </c>
      <c r="AD322" s="15" t="str">
        <f t="shared" si="41"/>
        <v>$R-4D-15$: 5,</v>
      </c>
      <c r="AE322" s="15" t="str">
        <f t="shared" si="86"/>
        <v/>
      </c>
      <c r="AF322" s="15" t="str">
        <f t="shared" si="78"/>
        <v/>
      </c>
      <c r="AG322" s="15" t="str">
        <f t="shared" si="79"/>
        <v/>
      </c>
    </row>
    <row r="323" ht="15.75" customHeight="1">
      <c r="A323" s="18" t="s">
        <v>435</v>
      </c>
      <c r="B323" s="16" t="s">
        <v>430</v>
      </c>
      <c r="C323" s="17">
        <f t="shared" si="1"/>
        <v>6</v>
      </c>
      <c r="D323" s="18">
        <v>1981.0</v>
      </c>
      <c r="E323" s="16"/>
      <c r="F323" s="16" t="b">
        <v>0</v>
      </c>
      <c r="G323" s="16" t="b">
        <v>0</v>
      </c>
      <c r="H323" s="16" t="b">
        <v>0</v>
      </c>
      <c r="I323" s="16" t="b">
        <v>0</v>
      </c>
      <c r="J323" s="18" t="b">
        <v>0</v>
      </c>
      <c r="K323" s="16">
        <v>5.44</v>
      </c>
      <c r="L323" s="16">
        <v>0.445</v>
      </c>
      <c r="M323" s="16">
        <v>329.0</v>
      </c>
      <c r="N323" s="16">
        <v>0.94</v>
      </c>
      <c r="O323" s="16">
        <v>0.999758</v>
      </c>
      <c r="P323" s="16">
        <v>0.99967</v>
      </c>
      <c r="Q323" s="19">
        <f t="shared" si="2"/>
        <v>8.341428556</v>
      </c>
      <c r="R323" s="20">
        <f t="shared" si="3"/>
        <v>33.70786517</v>
      </c>
      <c r="S323" s="21">
        <f t="shared" si="4"/>
        <v>1.75</v>
      </c>
      <c r="T323" s="17">
        <f t="shared" si="98"/>
        <v>15</v>
      </c>
      <c r="U323" s="22" t="str">
        <f>T323/vlookup(A323,Max!$A$2:$AP$700,column(Max!$AP$2),false)</f>
        <v>#N/A</v>
      </c>
      <c r="V323" s="17">
        <f t="shared" si="6"/>
        <v>13.58157397</v>
      </c>
      <c r="W323" s="23">
        <f t="shared" si="7"/>
        <v>1.224325939</v>
      </c>
      <c r="X323" s="23">
        <f t="shared" si="8"/>
        <v>0.8638155709</v>
      </c>
      <c r="Y323" s="23">
        <f t="shared" si="9"/>
        <v>1</v>
      </c>
      <c r="Z323" s="23">
        <f t="shared" si="10"/>
        <v>1.024598372</v>
      </c>
      <c r="AA323" s="24">
        <f t="shared" si="11"/>
        <v>6</v>
      </c>
      <c r="AB323" s="26">
        <f t="shared" si="100"/>
        <v>1</v>
      </c>
      <c r="AC323" s="26" t="str">
        <f t="shared" si="40"/>
        <v/>
      </c>
      <c r="AD323" s="26" t="str">
        <f t="shared" si="41"/>
        <v>$R-4D-15DM$: 6,</v>
      </c>
      <c r="AE323" s="26" t="str">
        <f t="shared" si="86"/>
        <v/>
      </c>
      <c r="AF323" s="26" t="str">
        <f t="shared" si="78"/>
        <v/>
      </c>
      <c r="AG323" s="26" t="str">
        <f t="shared" si="79"/>
        <v/>
      </c>
    </row>
    <row r="324" ht="15.75" customHeight="1">
      <c r="A324" s="9" t="s">
        <v>436</v>
      </c>
      <c r="B324" s="7" t="s">
        <v>430</v>
      </c>
      <c r="C324" s="8">
        <f t="shared" si="1"/>
        <v>5</v>
      </c>
      <c r="D324" s="9">
        <v>1982.0</v>
      </c>
      <c r="E324" s="7"/>
      <c r="F324" s="7" t="b">
        <v>0</v>
      </c>
      <c r="G324" s="7" t="b">
        <v>0</v>
      </c>
      <c r="H324" s="7" t="b">
        <v>1</v>
      </c>
      <c r="I324" s="7" t="b">
        <v>0</v>
      </c>
      <c r="J324" s="9" t="b">
        <v>0</v>
      </c>
      <c r="K324" s="7">
        <v>5.2</v>
      </c>
      <c r="L324" s="7">
        <v>0.445</v>
      </c>
      <c r="M324" s="7">
        <v>320.6</v>
      </c>
      <c r="N324" s="7">
        <v>0.94</v>
      </c>
      <c r="O324" s="7">
        <v>0.999758</v>
      </c>
      <c r="P324" s="7">
        <v>0.99967</v>
      </c>
      <c r="Q324" s="10">
        <f t="shared" si="2"/>
        <v>8.726417566</v>
      </c>
      <c r="R324" s="11">
        <f t="shared" si="3"/>
        <v>31.46067416</v>
      </c>
      <c r="S324" s="12">
        <f t="shared" si="4"/>
        <v>1.75</v>
      </c>
      <c r="T324" s="8">
        <f t="shared" si="98"/>
        <v>14</v>
      </c>
      <c r="U324" s="13" t="str">
        <f>T324/vlookup(A324,Max!$A$2:$AP$700,column(Max!$AP$2),false)</f>
        <v>#N/A</v>
      </c>
      <c r="V324" s="8">
        <f t="shared" si="6"/>
        <v>13.23004526</v>
      </c>
      <c r="W324" s="14">
        <f t="shared" si="7"/>
        <v>1.152512198</v>
      </c>
      <c r="X324" s="14">
        <f t="shared" si="8"/>
        <v>0.896016013</v>
      </c>
      <c r="Y324" s="14">
        <f t="shared" si="9"/>
        <v>1</v>
      </c>
      <c r="Z324" s="14">
        <f t="shared" si="10"/>
        <v>1.023978602</v>
      </c>
      <c r="AA324" s="27">
        <f t="shared" si="11"/>
        <v>5</v>
      </c>
      <c r="AB324" s="15">
        <f t="shared" si="100"/>
        <v>2</v>
      </c>
      <c r="AC324" s="15" t="str">
        <f t="shared" si="40"/>
        <v/>
      </c>
      <c r="AD324" s="15" t="str">
        <f t="shared" si="41"/>
        <v/>
      </c>
      <c r="AE324" s="15" t="str">
        <f t="shared" si="86"/>
        <v>		@CONFIG[R-4D-15]
		{
			@SUBCONFIG[300AR] { %cost = 5 }
		}</v>
      </c>
      <c r="AF324" s="15" t="str">
        <f t="shared" si="78"/>
        <v>R-4D-15</v>
      </c>
      <c r="AG324" s="15" t="str">
        <f t="shared" si="79"/>
        <v>300AR</v>
      </c>
    </row>
    <row r="325" ht="15.75" customHeight="1">
      <c r="A325" s="16" t="s">
        <v>437</v>
      </c>
      <c r="B325" s="16" t="s">
        <v>438</v>
      </c>
      <c r="C325" s="17">
        <f t="shared" si="1"/>
        <v>17</v>
      </c>
      <c r="D325" s="16">
        <v>1961.0</v>
      </c>
      <c r="E325" s="16"/>
      <c r="F325" s="16" t="b">
        <v>0</v>
      </c>
      <c r="G325" s="16" t="b">
        <v>0</v>
      </c>
      <c r="H325" s="16" t="b">
        <v>1</v>
      </c>
      <c r="I325" s="16" t="b">
        <v>0</v>
      </c>
      <c r="J325" s="18" t="b">
        <v>0</v>
      </c>
      <c r="K325" s="16">
        <v>9.8</v>
      </c>
      <c r="L325" s="16">
        <v>0.225</v>
      </c>
      <c r="M325" s="16">
        <v>234.97</v>
      </c>
      <c r="N325" s="16">
        <v>1.31</v>
      </c>
      <c r="O325" s="16">
        <v>0.999048</v>
      </c>
      <c r="P325" s="16">
        <v>0.999048</v>
      </c>
      <c r="Q325" s="19">
        <f t="shared" si="2"/>
        <v>2.341185176</v>
      </c>
      <c r="R325" s="20">
        <f t="shared" si="3"/>
        <v>75.55555556</v>
      </c>
      <c r="S325" s="21">
        <f t="shared" si="4"/>
        <v>1.75</v>
      </c>
      <c r="T325" s="17">
        <f t="shared" si="98"/>
        <v>17</v>
      </c>
      <c r="U325" s="22">
        <f>T325/vlookup(A325,Max!$A$2:$AP$700,column(Max!$AP$2),false)</f>
        <v>9.444444444</v>
      </c>
      <c r="V325" s="17">
        <f t="shared" si="6"/>
        <v>19.15034486</v>
      </c>
      <c r="W325" s="23">
        <f t="shared" si="7"/>
        <v>0.8902986291</v>
      </c>
      <c r="X325" s="23">
        <f t="shared" si="8"/>
        <v>0.9654905906</v>
      </c>
      <c r="Y325" s="23">
        <f t="shared" si="9"/>
        <v>1</v>
      </c>
      <c r="Z325" s="23">
        <f t="shared" si="10"/>
        <v>1.020572325</v>
      </c>
      <c r="AA325" s="26">
        <f t="shared" si="11"/>
        <v>0</v>
      </c>
      <c r="AB325" s="25">
        <v>0.0</v>
      </c>
      <c r="AC325" s="26" t="str">
        <f t="shared" si="40"/>
        <v>{
$name$: $MC-4-610$,
$config$: $RangerRetro$,
$cost$: 17
},</v>
      </c>
      <c r="AD325" s="26" t="str">
        <f t="shared" si="41"/>
        <v/>
      </c>
      <c r="AE325" s="26" t="str">
        <f t="shared" si="86"/>
        <v/>
      </c>
      <c r="AF325" s="26" t="str">
        <f t="shared" si="78"/>
        <v/>
      </c>
      <c r="AG325" s="26" t="str">
        <f t="shared" si="79"/>
        <v/>
      </c>
    </row>
    <row r="326" ht="15.75" customHeight="1">
      <c r="A326" s="7" t="s">
        <v>439</v>
      </c>
      <c r="B326" s="7" t="s">
        <v>440</v>
      </c>
      <c r="C326" s="8">
        <f t="shared" si="1"/>
        <v>1684</v>
      </c>
      <c r="D326" s="9">
        <v>2023.0</v>
      </c>
      <c r="E326" s="7"/>
      <c r="F326" s="7" t="b">
        <v>1</v>
      </c>
      <c r="G326" s="7" t="b">
        <v>0</v>
      </c>
      <c r="H326" s="7" t="b">
        <v>0</v>
      </c>
      <c r="I326" s="7" t="b">
        <v>0</v>
      </c>
      <c r="J326" s="9" t="b">
        <v>0</v>
      </c>
      <c r="K326" s="7">
        <v>1600.0</v>
      </c>
      <c r="L326" s="7">
        <v>2640.0</v>
      </c>
      <c r="M326" s="7">
        <v>363.0</v>
      </c>
      <c r="N326" s="7">
        <v>35.0</v>
      </c>
      <c r="O326" s="7"/>
      <c r="P326" s="7"/>
      <c r="Q326" s="10">
        <f t="shared" si="2"/>
        <v>168.2531747</v>
      </c>
      <c r="R326" s="11">
        <f t="shared" si="3"/>
        <v>0.6378787879</v>
      </c>
      <c r="S326" s="12">
        <f t="shared" si="4"/>
        <v>4</v>
      </c>
      <c r="T326" s="8">
        <f t="shared" si="98"/>
        <v>1684</v>
      </c>
      <c r="U326" s="13" t="str">
        <f>T326/vlookup(A326,Max!$A$2:$AP$700,column(Max!$AP$2),false)</f>
        <v>#N/A</v>
      </c>
      <c r="V326" s="8">
        <f t="shared" si="6"/>
        <v>415.2850023</v>
      </c>
      <c r="W326" s="14">
        <f t="shared" si="7"/>
        <v>1.586136635</v>
      </c>
      <c r="X326" s="14">
        <f t="shared" si="8"/>
        <v>2.556837254</v>
      </c>
      <c r="Y326" s="14">
        <f t="shared" si="9"/>
        <v>1</v>
      </c>
      <c r="Z326" s="14">
        <f t="shared" si="10"/>
        <v>1</v>
      </c>
      <c r="AA326" s="15">
        <f t="shared" si="11"/>
        <v>0</v>
      </c>
      <c r="AB326" s="15">
        <f t="shared" ref="AB326:AB327" si="101">if(iserror(find("$",A326)),1,2)</f>
        <v>1</v>
      </c>
      <c r="AC326" s="15" t="str">
        <f t="shared" si="40"/>
        <v/>
      </c>
      <c r="AD326" s="15" t="str">
        <f t="shared" si="41"/>
        <v>$Raptor 3$: 1684,</v>
      </c>
      <c r="AE326" s="15" t="str">
        <f t="shared" si="86"/>
        <v/>
      </c>
      <c r="AF326" s="15" t="str">
        <f t="shared" si="78"/>
        <v/>
      </c>
      <c r="AG326" s="15" t="str">
        <f t="shared" si="79"/>
        <v/>
      </c>
    </row>
    <row r="327" ht="15.75" customHeight="1">
      <c r="A327" s="16" t="s">
        <v>441</v>
      </c>
      <c r="B327" s="16" t="s">
        <v>440</v>
      </c>
      <c r="C327" s="17">
        <f t="shared" si="1"/>
        <v>-76</v>
      </c>
      <c r="D327" s="18">
        <v>2023.0</v>
      </c>
      <c r="E327" s="16"/>
      <c r="F327" s="16" t="b">
        <v>1</v>
      </c>
      <c r="G327" s="16" t="b">
        <v>0</v>
      </c>
      <c r="H327" s="16" t="b">
        <v>0</v>
      </c>
      <c r="I327" s="16" t="b">
        <v>0</v>
      </c>
      <c r="J327" s="18" t="b">
        <v>0</v>
      </c>
      <c r="K327" s="16">
        <v>1600.0</v>
      </c>
      <c r="L327" s="16">
        <v>2300.0</v>
      </c>
      <c r="M327" s="16">
        <v>363.0</v>
      </c>
      <c r="N327" s="16">
        <v>30.0</v>
      </c>
      <c r="O327" s="16"/>
      <c r="P327" s="16"/>
      <c r="Q327" s="19">
        <f t="shared" si="2"/>
        <v>146.5842052</v>
      </c>
      <c r="R327" s="20">
        <f t="shared" si="3"/>
        <v>0.6991304348</v>
      </c>
      <c r="S327" s="21">
        <f t="shared" si="4"/>
        <v>4</v>
      </c>
      <c r="T327" s="17">
        <f t="shared" si="98"/>
        <v>1608</v>
      </c>
      <c r="U327" s="22" t="str">
        <f>T327/vlookup(A327,Max!$A$2:$AP$700,column(Max!$AP$2),false)</f>
        <v>#N/A</v>
      </c>
      <c r="V327" s="17">
        <f t="shared" si="6"/>
        <v>415.2850023</v>
      </c>
      <c r="W327" s="23">
        <f t="shared" si="7"/>
        <v>1.586136635</v>
      </c>
      <c r="X327" s="23">
        <f t="shared" si="8"/>
        <v>2.441288181</v>
      </c>
      <c r="Y327" s="23">
        <f t="shared" si="9"/>
        <v>1</v>
      </c>
      <c r="Z327" s="23">
        <f t="shared" si="10"/>
        <v>1</v>
      </c>
      <c r="AA327" s="24">
        <f t="shared" si="11"/>
        <v>-76</v>
      </c>
      <c r="AB327" s="26">
        <f t="shared" si="101"/>
        <v>1</v>
      </c>
      <c r="AC327" s="26" t="str">
        <f t="shared" si="40"/>
        <v/>
      </c>
      <c r="AD327" s="26" t="str">
        <f t="shared" si="41"/>
        <v>$Raptor 2$: -76,</v>
      </c>
      <c r="AE327" s="26" t="str">
        <f t="shared" si="86"/>
        <v/>
      </c>
      <c r="AF327" s="26" t="str">
        <f t="shared" si="78"/>
        <v/>
      </c>
      <c r="AG327" s="26" t="str">
        <f t="shared" si="79"/>
        <v/>
      </c>
    </row>
    <row r="328" ht="15.75" customHeight="1">
      <c r="A328" s="7" t="s">
        <v>440</v>
      </c>
      <c r="B328" s="7" t="s">
        <v>440</v>
      </c>
      <c r="C328" s="8">
        <f t="shared" si="1"/>
        <v>-76</v>
      </c>
      <c r="D328" s="9">
        <v>2023.0</v>
      </c>
      <c r="E328" s="7"/>
      <c r="F328" s="7" t="b">
        <v>1</v>
      </c>
      <c r="G328" s="7" t="b">
        <v>0</v>
      </c>
      <c r="H328" s="7" t="b">
        <v>0</v>
      </c>
      <c r="I328" s="7" t="b">
        <v>0</v>
      </c>
      <c r="J328" s="9" t="b">
        <v>0</v>
      </c>
      <c r="K328" s="7">
        <v>1600.0</v>
      </c>
      <c r="L328" s="7">
        <v>1810.0</v>
      </c>
      <c r="M328" s="7">
        <v>363.0</v>
      </c>
      <c r="N328" s="7">
        <v>30.0</v>
      </c>
      <c r="O328" s="7"/>
      <c r="P328" s="7"/>
      <c r="Q328" s="10">
        <f t="shared" si="2"/>
        <v>115.3553963</v>
      </c>
      <c r="R328" s="11">
        <f t="shared" si="3"/>
        <v>0.8883977901</v>
      </c>
      <c r="S328" s="12">
        <f t="shared" si="4"/>
        <v>4</v>
      </c>
      <c r="T328" s="8">
        <f t="shared" si="98"/>
        <v>1608</v>
      </c>
      <c r="U328" s="13">
        <f>T328/vlookup(A328,Max!$A$2:$AP$700,column(Max!$AP$2),false)</f>
        <v>0.9458823529</v>
      </c>
      <c r="V328" s="8">
        <f t="shared" si="6"/>
        <v>415.2850023</v>
      </c>
      <c r="W328" s="14">
        <f t="shared" si="7"/>
        <v>1.586136635</v>
      </c>
      <c r="X328" s="14">
        <f t="shared" si="8"/>
        <v>2.441288181</v>
      </c>
      <c r="Y328" s="14">
        <f t="shared" si="9"/>
        <v>1</v>
      </c>
      <c r="Z328" s="14">
        <f t="shared" si="10"/>
        <v>1</v>
      </c>
      <c r="AA328" s="27">
        <f t="shared" si="11"/>
        <v>-76</v>
      </c>
      <c r="AB328" s="29">
        <v>0.0</v>
      </c>
      <c r="AC328" s="15" t="str">
        <f t="shared" si="40"/>
        <v>{
$name$: $Raptor$,
$config$: $Raptor$,
$cost$: -76
},</v>
      </c>
      <c r="AD328" s="15" t="str">
        <f t="shared" si="41"/>
        <v/>
      </c>
      <c r="AE328" s="15" t="str">
        <f t="shared" si="86"/>
        <v/>
      </c>
      <c r="AF328" s="15" t="str">
        <f t="shared" si="78"/>
        <v/>
      </c>
      <c r="AG328" s="15" t="str">
        <f t="shared" si="79"/>
        <v/>
      </c>
    </row>
    <row r="329" ht="15.75" customHeight="1">
      <c r="A329" s="16" t="s">
        <v>442</v>
      </c>
      <c r="B329" s="16" t="s">
        <v>443</v>
      </c>
      <c r="C329" s="17">
        <f t="shared" si="1"/>
        <v>115</v>
      </c>
      <c r="D329" s="16">
        <v>1958.0</v>
      </c>
      <c r="E329" s="16"/>
      <c r="F329" s="16" t="b">
        <v>1</v>
      </c>
      <c r="G329" s="16" t="b">
        <v>0</v>
      </c>
      <c r="H329" s="16" t="b">
        <v>1</v>
      </c>
      <c r="I329" s="16" t="b">
        <v>0</v>
      </c>
      <c r="J329" s="18" t="b">
        <v>0</v>
      </c>
      <c r="K329" s="16">
        <v>125.0</v>
      </c>
      <c r="L329" s="16">
        <v>49.4</v>
      </c>
      <c r="M329" s="16">
        <v>316.0</v>
      </c>
      <c r="N329" s="16">
        <v>4.5</v>
      </c>
      <c r="O329" s="16">
        <v>0.98125</v>
      </c>
      <c r="P329" s="16">
        <v>0.95625</v>
      </c>
      <c r="Q329" s="19">
        <f t="shared" si="2"/>
        <v>40.29918462</v>
      </c>
      <c r="R329" s="20">
        <f t="shared" si="3"/>
        <v>2.327935223</v>
      </c>
      <c r="S329" s="21">
        <f t="shared" si="4"/>
        <v>4</v>
      </c>
      <c r="T329" s="17">
        <f t="shared" si="98"/>
        <v>115</v>
      </c>
      <c r="U329" s="22">
        <f>T329/vlookup(A329,Max!$A$2:$AP$700,column(Max!$AP$2),false)</f>
        <v>1.949152542</v>
      </c>
      <c r="V329" s="17">
        <f t="shared" si="6"/>
        <v>87.24719147</v>
      </c>
      <c r="W329" s="23">
        <f t="shared" si="7"/>
        <v>1.115677507</v>
      </c>
      <c r="X329" s="23">
        <f t="shared" si="8"/>
        <v>1.274485268</v>
      </c>
      <c r="Y329" s="23">
        <f t="shared" si="9"/>
        <v>1</v>
      </c>
      <c r="Z329" s="23">
        <f t="shared" si="10"/>
        <v>0.9307440673</v>
      </c>
      <c r="AA329" s="26">
        <f t="shared" si="11"/>
        <v>0</v>
      </c>
      <c r="AB329" s="25">
        <v>0.0</v>
      </c>
      <c r="AC329" s="26" t="str">
        <f t="shared" si="40"/>
        <v>{
$name$: $RD-0105$,
$config$: $RD0105$,
$cost$: 115
},</v>
      </c>
      <c r="AD329" s="26" t="str">
        <f t="shared" si="41"/>
        <v/>
      </c>
      <c r="AE329" s="26" t="str">
        <f t="shared" si="86"/>
        <v/>
      </c>
      <c r="AF329" s="26" t="str">
        <f t="shared" si="78"/>
        <v/>
      </c>
      <c r="AG329" s="26" t="str">
        <f t="shared" si="79"/>
        <v/>
      </c>
    </row>
    <row r="330" ht="15.75" customHeight="1">
      <c r="A330" s="7" t="s">
        <v>444</v>
      </c>
      <c r="B330" s="7" t="s">
        <v>443</v>
      </c>
      <c r="C330" s="8">
        <f t="shared" si="1"/>
        <v>20</v>
      </c>
      <c r="D330" s="7">
        <v>1960.0</v>
      </c>
      <c r="E330" s="7"/>
      <c r="F330" s="7" t="b">
        <v>1</v>
      </c>
      <c r="G330" s="7" t="b">
        <v>0</v>
      </c>
      <c r="H330" s="7" t="b">
        <v>1</v>
      </c>
      <c r="I330" s="7" t="b">
        <v>0</v>
      </c>
      <c r="J330" s="9" t="b">
        <v>0</v>
      </c>
      <c r="K330" s="7">
        <v>121.0</v>
      </c>
      <c r="L330" s="7">
        <v>54.5</v>
      </c>
      <c r="M330" s="7">
        <v>323.5</v>
      </c>
      <c r="N330" s="7">
        <v>5.0</v>
      </c>
      <c r="O330" s="7">
        <v>0.998993</v>
      </c>
      <c r="P330" s="7">
        <v>0.993624</v>
      </c>
      <c r="Q330" s="10">
        <f t="shared" si="2"/>
        <v>45.92936648</v>
      </c>
      <c r="R330" s="11">
        <f t="shared" si="3"/>
        <v>2.47706422</v>
      </c>
      <c r="S330" s="12">
        <f t="shared" si="4"/>
        <v>4</v>
      </c>
      <c r="T330" s="8">
        <f t="shared" si="98"/>
        <v>135</v>
      </c>
      <c r="U330" s="13">
        <f>T330/vlookup(A330,Max!$A$2:$AP$700,column(Max!$AP$2),false)</f>
        <v>1.708860759</v>
      </c>
      <c r="V330" s="8">
        <f t="shared" si="6"/>
        <v>85.54897009</v>
      </c>
      <c r="W330" s="14">
        <f t="shared" si="7"/>
        <v>1.176623095</v>
      </c>
      <c r="X330" s="14">
        <f t="shared" si="8"/>
        <v>1.305059328</v>
      </c>
      <c r="Y330" s="14">
        <f t="shared" si="9"/>
        <v>1</v>
      </c>
      <c r="Z330" s="14">
        <f t="shared" si="10"/>
        <v>1.028353945</v>
      </c>
      <c r="AA330" s="27">
        <f t="shared" si="11"/>
        <v>20</v>
      </c>
      <c r="AB330" s="15">
        <f>if(iserror(find("$",A330)),1,2)</f>
        <v>1</v>
      </c>
      <c r="AC330" s="15" t="str">
        <f t="shared" si="40"/>
        <v/>
      </c>
      <c r="AD330" s="15" t="str">
        <f t="shared" si="41"/>
        <v>$RD-0109$: 20,</v>
      </c>
      <c r="AE330" s="15" t="str">
        <f t="shared" si="86"/>
        <v/>
      </c>
      <c r="AF330" s="15" t="str">
        <f t="shared" si="78"/>
        <v/>
      </c>
      <c r="AG330" s="15" t="str">
        <f t="shared" si="79"/>
        <v/>
      </c>
    </row>
    <row r="331" ht="15.75" customHeight="1">
      <c r="A331" s="16" t="s">
        <v>445</v>
      </c>
      <c r="B331" s="16" t="s">
        <v>446</v>
      </c>
      <c r="C331" s="17">
        <f t="shared" si="1"/>
        <v>304</v>
      </c>
      <c r="D331" s="16">
        <v>1960.0</v>
      </c>
      <c r="E331" s="16"/>
      <c r="F331" s="16" t="b">
        <v>1</v>
      </c>
      <c r="G331" s="16" t="b">
        <v>0</v>
      </c>
      <c r="H331" s="16" t="b">
        <v>1</v>
      </c>
      <c r="I331" s="16" t="b">
        <v>0</v>
      </c>
      <c r="J331" s="18" t="b">
        <v>0</v>
      </c>
      <c r="K331" s="16">
        <v>410.0</v>
      </c>
      <c r="L331" s="16">
        <v>297.9</v>
      </c>
      <c r="M331" s="16">
        <v>326.0</v>
      </c>
      <c r="N331" s="16">
        <v>6.82</v>
      </c>
      <c r="O331" s="16">
        <v>0.996778</v>
      </c>
      <c r="P331" s="16">
        <v>0.988983</v>
      </c>
      <c r="Q331" s="19">
        <f t="shared" si="2"/>
        <v>74.09108755</v>
      </c>
      <c r="R331" s="20">
        <f t="shared" si="3"/>
        <v>1.02047667</v>
      </c>
      <c r="S331" s="21">
        <f t="shared" si="4"/>
        <v>4</v>
      </c>
      <c r="T331" s="17">
        <f t="shared" si="98"/>
        <v>304</v>
      </c>
      <c r="U331" s="22">
        <f>T331/vlookup(A331,Max!$A$2:$AP$700,column(Max!$AP$2),false)</f>
        <v>1.216</v>
      </c>
      <c r="V331" s="17">
        <f t="shared" si="6"/>
        <v>179.6727103</v>
      </c>
      <c r="W331" s="23">
        <f t="shared" si="7"/>
        <v>1.197979511</v>
      </c>
      <c r="X331" s="23">
        <f t="shared" si="8"/>
        <v>1.399469663</v>
      </c>
      <c r="Y331" s="23">
        <f t="shared" si="9"/>
        <v>1</v>
      </c>
      <c r="Z331" s="23">
        <f t="shared" si="10"/>
        <v>1.010763381</v>
      </c>
      <c r="AA331" s="26">
        <f t="shared" si="11"/>
        <v>0</v>
      </c>
      <c r="AB331" s="25">
        <v>0.0</v>
      </c>
      <c r="AC331" s="26" t="str">
        <f t="shared" si="40"/>
        <v>{
$name$: $RD-0107$,
$config$: $RD0110$,
$cost$: 304
},</v>
      </c>
      <c r="AD331" s="26" t="str">
        <f t="shared" si="41"/>
        <v/>
      </c>
      <c r="AE331" s="26" t="str">
        <f t="shared" si="86"/>
        <v/>
      </c>
      <c r="AF331" s="26" t="str">
        <f t="shared" si="78"/>
        <v/>
      </c>
      <c r="AG331" s="26" t="str">
        <f t="shared" si="79"/>
        <v/>
      </c>
    </row>
    <row r="332" ht="15.75" customHeight="1">
      <c r="A332" s="7" t="s">
        <v>447</v>
      </c>
      <c r="B332" s="7" t="s">
        <v>446</v>
      </c>
      <c r="C332" s="8">
        <f t="shared" si="1"/>
        <v>-6</v>
      </c>
      <c r="D332" s="7">
        <v>1961.0</v>
      </c>
      <c r="E332" s="7"/>
      <c r="F332" s="7" t="b">
        <v>1</v>
      </c>
      <c r="G332" s="7" t="b">
        <v>0</v>
      </c>
      <c r="H332" s="7" t="b">
        <v>1</v>
      </c>
      <c r="I332" s="7" t="b">
        <v>0</v>
      </c>
      <c r="J332" s="9" t="b">
        <v>0</v>
      </c>
      <c r="K332" s="7">
        <v>410.0</v>
      </c>
      <c r="L332" s="7">
        <v>297.9</v>
      </c>
      <c r="M332" s="7">
        <v>326.0</v>
      </c>
      <c r="N332" s="7">
        <v>6.82</v>
      </c>
      <c r="O332" s="7">
        <v>0.996778</v>
      </c>
      <c r="P332" s="7">
        <v>0.988983</v>
      </c>
      <c r="Q332" s="10">
        <f t="shared" si="2"/>
        <v>74.09108755</v>
      </c>
      <c r="R332" s="11">
        <f t="shared" si="3"/>
        <v>1.000335683</v>
      </c>
      <c r="S332" s="12">
        <f t="shared" si="4"/>
        <v>4</v>
      </c>
      <c r="T332" s="8">
        <f t="shared" si="98"/>
        <v>298</v>
      </c>
      <c r="U332" s="13">
        <f>T332/vlookup(A332,Max!$A$2:$AP$700,column(Max!$AP$2),false)</f>
        <v>1.419047619</v>
      </c>
      <c r="V332" s="8">
        <f t="shared" si="6"/>
        <v>179.6727103</v>
      </c>
      <c r="W332" s="14">
        <f t="shared" si="7"/>
        <v>1.197979511</v>
      </c>
      <c r="X332" s="14">
        <f t="shared" si="8"/>
        <v>1.399469663</v>
      </c>
      <c r="Y332" s="14">
        <f t="shared" si="9"/>
        <v>1</v>
      </c>
      <c r="Z332" s="14">
        <f t="shared" si="10"/>
        <v>0.9894188718</v>
      </c>
      <c r="AA332" s="27">
        <f t="shared" si="11"/>
        <v>-6</v>
      </c>
      <c r="AB332" s="15">
        <f t="shared" ref="AB332:AB334" si="102">if(iserror(find("$",A332)),1,2)</f>
        <v>1</v>
      </c>
      <c r="AC332" s="15" t="str">
        <f t="shared" si="40"/>
        <v/>
      </c>
      <c r="AD332" s="15" t="str">
        <f t="shared" si="41"/>
        <v>$RD-0106$: -6,</v>
      </c>
      <c r="AE332" s="15" t="str">
        <f t="shared" si="86"/>
        <v/>
      </c>
      <c r="AF332" s="15" t="str">
        <f t="shared" si="78"/>
        <v/>
      </c>
      <c r="AG332" s="15" t="str">
        <f t="shared" si="79"/>
        <v/>
      </c>
    </row>
    <row r="333" ht="15.75" customHeight="1">
      <c r="A333" s="16" t="s">
        <v>448</v>
      </c>
      <c r="B333" s="16" t="s">
        <v>446</v>
      </c>
      <c r="C333" s="17">
        <f t="shared" si="1"/>
        <v>2</v>
      </c>
      <c r="D333" s="16">
        <v>1963.0</v>
      </c>
      <c r="E333" s="16"/>
      <c r="F333" s="16" t="b">
        <v>1</v>
      </c>
      <c r="G333" s="16" t="b">
        <v>0</v>
      </c>
      <c r="H333" s="16" t="b">
        <v>1</v>
      </c>
      <c r="I333" s="16" t="b">
        <v>0</v>
      </c>
      <c r="J333" s="18" t="b">
        <v>0</v>
      </c>
      <c r="K333" s="16">
        <v>410.0</v>
      </c>
      <c r="L333" s="16">
        <v>297.9</v>
      </c>
      <c r="M333" s="16">
        <v>326.0</v>
      </c>
      <c r="N333" s="16">
        <v>6.82</v>
      </c>
      <c r="O333" s="16">
        <v>0.999219</v>
      </c>
      <c r="P333" s="16">
        <v>0.997401</v>
      </c>
      <c r="Q333" s="19">
        <f t="shared" si="2"/>
        <v>74.09108755</v>
      </c>
      <c r="R333" s="20">
        <f t="shared" si="3"/>
        <v>1.027190332</v>
      </c>
      <c r="S333" s="21">
        <f t="shared" si="4"/>
        <v>4</v>
      </c>
      <c r="T333" s="17">
        <f t="shared" si="98"/>
        <v>306</v>
      </c>
      <c r="U333" s="22">
        <f>T333/vlookup(A333,Max!$A$2:$AP$700,column(Max!$AP$2),false)</f>
        <v>1.224</v>
      </c>
      <c r="V333" s="17">
        <f t="shared" si="6"/>
        <v>179.6727103</v>
      </c>
      <c r="W333" s="23">
        <f t="shared" si="7"/>
        <v>1.197979511</v>
      </c>
      <c r="X333" s="23">
        <f t="shared" si="8"/>
        <v>1.399469663</v>
      </c>
      <c r="Y333" s="23">
        <f t="shared" si="9"/>
        <v>1</v>
      </c>
      <c r="Z333" s="23">
        <f t="shared" si="10"/>
        <v>1.016806282</v>
      </c>
      <c r="AA333" s="24">
        <f t="shared" si="11"/>
        <v>2</v>
      </c>
      <c r="AB333" s="26">
        <f t="shared" si="102"/>
        <v>1</v>
      </c>
      <c r="AC333" s="26" t="str">
        <f t="shared" si="40"/>
        <v/>
      </c>
      <c r="AD333" s="26" t="str">
        <f t="shared" si="41"/>
        <v>$RD-0108$: 2,</v>
      </c>
      <c r="AE333" s="26" t="str">
        <f t="shared" si="86"/>
        <v/>
      </c>
      <c r="AF333" s="26" t="str">
        <f t="shared" si="78"/>
        <v/>
      </c>
      <c r="AG333" s="26" t="str">
        <f t="shared" si="79"/>
        <v/>
      </c>
    </row>
    <row r="334" ht="15.75" customHeight="1">
      <c r="A334" s="7" t="s">
        <v>449</v>
      </c>
      <c r="B334" s="7" t="s">
        <v>446</v>
      </c>
      <c r="C334" s="8">
        <f t="shared" si="1"/>
        <v>76</v>
      </c>
      <c r="D334" s="7">
        <v>1965.0</v>
      </c>
      <c r="E334" s="7"/>
      <c r="F334" s="7" t="b">
        <v>1</v>
      </c>
      <c r="G334" s="7" t="b">
        <v>0</v>
      </c>
      <c r="H334" s="7" t="b">
        <v>1</v>
      </c>
      <c r="I334" s="7" t="b">
        <v>0</v>
      </c>
      <c r="J334" s="9" t="b">
        <v>0</v>
      </c>
      <c r="K334" s="7">
        <v>408.5</v>
      </c>
      <c r="L334" s="7">
        <v>318.78</v>
      </c>
      <c r="M334" s="7">
        <v>330.4</v>
      </c>
      <c r="N334" s="7">
        <v>15.53</v>
      </c>
      <c r="O334" s="7">
        <v>0.999219</v>
      </c>
      <c r="P334" s="7">
        <v>0.997401</v>
      </c>
      <c r="Q334" s="10">
        <f t="shared" si="2"/>
        <v>79.57530806</v>
      </c>
      <c r="R334" s="11">
        <f t="shared" si="3"/>
        <v>1.19204467</v>
      </c>
      <c r="S334" s="12">
        <f t="shared" si="4"/>
        <v>4</v>
      </c>
      <c r="T334" s="8">
        <f t="shared" si="98"/>
        <v>380</v>
      </c>
      <c r="U334" s="13">
        <f>T334/vlookup(A334,Max!$A$2:$AP$700,column(Max!$AP$2),false)</f>
        <v>1.407407407</v>
      </c>
      <c r="V334" s="8">
        <f t="shared" si="6"/>
        <v>179.2703569</v>
      </c>
      <c r="W334" s="14">
        <f t="shared" si="7"/>
        <v>1.236895781</v>
      </c>
      <c r="X334" s="14">
        <f t="shared" si="8"/>
        <v>1.684129882</v>
      </c>
      <c r="Y334" s="14">
        <f t="shared" si="9"/>
        <v>1</v>
      </c>
      <c r="Z334" s="14">
        <f t="shared" si="10"/>
        <v>1.016806282</v>
      </c>
      <c r="AA334" s="27">
        <f t="shared" si="11"/>
        <v>76</v>
      </c>
      <c r="AB334" s="15">
        <f t="shared" si="102"/>
        <v>1</v>
      </c>
      <c r="AC334" s="15" t="str">
        <f t="shared" si="40"/>
        <v/>
      </c>
      <c r="AD334" s="15" t="str">
        <f t="shared" si="41"/>
        <v>$RD-0110$: 76,</v>
      </c>
      <c r="AE334" s="15" t="str">
        <f t="shared" si="86"/>
        <v/>
      </c>
      <c r="AF334" s="15" t="str">
        <f t="shared" si="78"/>
        <v/>
      </c>
      <c r="AG334" s="15" t="str">
        <f t="shared" si="79"/>
        <v/>
      </c>
    </row>
    <row r="335" ht="15.75" customHeight="1">
      <c r="A335" s="16" t="s">
        <v>450</v>
      </c>
      <c r="B335" s="16" t="s">
        <v>451</v>
      </c>
      <c r="C335" s="17">
        <f t="shared" si="1"/>
        <v>188</v>
      </c>
      <c r="D335" s="16">
        <v>2013.0</v>
      </c>
      <c r="E335" s="16"/>
      <c r="F335" s="16" t="b">
        <v>1</v>
      </c>
      <c r="G335" s="16" t="b">
        <v>0</v>
      </c>
      <c r="H335" s="16" t="b">
        <v>0</v>
      </c>
      <c r="I335" s="16" t="b">
        <v>0</v>
      </c>
      <c r="J335" s="18" t="b">
        <v>0</v>
      </c>
      <c r="K335" s="16">
        <v>140.0</v>
      </c>
      <c r="L335" s="16">
        <v>68.3</v>
      </c>
      <c r="M335" s="16">
        <v>298.0</v>
      </c>
      <c r="N335" s="16">
        <v>15.53</v>
      </c>
      <c r="O335" s="16">
        <v>0.994</v>
      </c>
      <c r="P335" s="16">
        <v>0.994</v>
      </c>
      <c r="Q335" s="19">
        <f t="shared" si="2"/>
        <v>49.74758367</v>
      </c>
      <c r="R335" s="20">
        <f t="shared" si="3"/>
        <v>2.752562225</v>
      </c>
      <c r="S335" s="21">
        <f t="shared" si="4"/>
        <v>4</v>
      </c>
      <c r="T335" s="17">
        <f t="shared" si="98"/>
        <v>188</v>
      </c>
      <c r="U335" s="22">
        <f>T335/vlookup(A335,Max!$A$2:$AP$700,column(Max!$AP$2),false)</f>
        <v>7.52</v>
      </c>
      <c r="V335" s="17">
        <f t="shared" si="6"/>
        <v>93.43744014</v>
      </c>
      <c r="W335" s="23">
        <f t="shared" si="7"/>
        <v>0.9941121627</v>
      </c>
      <c r="X335" s="23">
        <f t="shared" si="8"/>
        <v>2.003706508</v>
      </c>
      <c r="Y335" s="23">
        <f t="shared" si="9"/>
        <v>1</v>
      </c>
      <c r="Z335" s="23">
        <f t="shared" si="10"/>
        <v>1.01013164</v>
      </c>
      <c r="AA335" s="26">
        <f t="shared" si="11"/>
        <v>0</v>
      </c>
      <c r="AB335" s="25">
        <v>0.0</v>
      </c>
      <c r="AC335" s="26" t="str">
        <f t="shared" si="40"/>
        <v>{
$name$: $RD-0110R$,
$config$: $RD0110R$,
$cost$: 188
},</v>
      </c>
      <c r="AD335" s="26" t="str">
        <f t="shared" si="41"/>
        <v/>
      </c>
      <c r="AE335" s="26" t="str">
        <f t="shared" si="86"/>
        <v/>
      </c>
      <c r="AF335" s="26" t="str">
        <f t="shared" si="78"/>
        <v/>
      </c>
      <c r="AG335" s="26" t="str">
        <f t="shared" si="79"/>
        <v/>
      </c>
    </row>
    <row r="336" ht="15.75" customHeight="1">
      <c r="A336" s="7" t="s">
        <v>452</v>
      </c>
      <c r="B336" s="7" t="s">
        <v>453</v>
      </c>
      <c r="C336" s="8">
        <f t="shared" si="1"/>
        <v>5549</v>
      </c>
      <c r="D336" s="7">
        <v>1987.0</v>
      </c>
      <c r="E336" s="7" t="b">
        <v>1</v>
      </c>
      <c r="F336" s="7" t="b">
        <v>1</v>
      </c>
      <c r="G336" s="7" t="b">
        <v>0</v>
      </c>
      <c r="H336" s="7" t="b">
        <v>0</v>
      </c>
      <c r="I336" s="7" t="b">
        <v>0</v>
      </c>
      <c r="J336" s="9" t="b">
        <v>0</v>
      </c>
      <c r="K336" s="7">
        <v>3449.0</v>
      </c>
      <c r="L336" s="7">
        <v>1961.0</v>
      </c>
      <c r="M336" s="7">
        <v>454.5</v>
      </c>
      <c r="N336" s="7">
        <v>21.87</v>
      </c>
      <c r="O336" s="7">
        <v>0.983333</v>
      </c>
      <c r="P336" s="7">
        <v>0.983333</v>
      </c>
      <c r="Q336" s="10">
        <f t="shared" si="2"/>
        <v>57.97806575</v>
      </c>
      <c r="R336" s="11">
        <f t="shared" si="3"/>
        <v>2.829678735</v>
      </c>
      <c r="S336" s="12">
        <f t="shared" si="4"/>
        <v>4</v>
      </c>
      <c r="T336" s="8">
        <f t="shared" si="98"/>
        <v>5549</v>
      </c>
      <c r="U336" s="13">
        <f>T336/vlookup(A336,Max!$A$2:$AP$700,column(Max!$AP$2),false)</f>
        <v>2.2196</v>
      </c>
      <c r="V336" s="8">
        <f t="shared" si="6"/>
        <v>721.8323229</v>
      </c>
      <c r="W336" s="14">
        <f t="shared" si="7"/>
        <v>3.52087233</v>
      </c>
      <c r="X336" s="14">
        <f t="shared" si="8"/>
        <v>2.220431128</v>
      </c>
      <c r="Y336" s="14">
        <f t="shared" si="9"/>
        <v>1</v>
      </c>
      <c r="Z336" s="14">
        <f t="shared" si="10"/>
        <v>0.9832490797</v>
      </c>
      <c r="AA336" s="15">
        <f t="shared" si="11"/>
        <v>0</v>
      </c>
      <c r="AB336" s="29">
        <v>0.0</v>
      </c>
      <c r="AC336" s="15" t="str">
        <f t="shared" si="40"/>
        <v>{
$name$: $RD-0120$,
$config$: $RD0120$,
$cost$: 5549
},</v>
      </c>
      <c r="AD336" s="15" t="str">
        <f t="shared" si="41"/>
        <v/>
      </c>
      <c r="AE336" s="15" t="str">
        <f t="shared" si="86"/>
        <v/>
      </c>
      <c r="AF336" s="15" t="str">
        <f t="shared" si="78"/>
        <v/>
      </c>
      <c r="AG336" s="15" t="str">
        <f t="shared" si="79"/>
        <v/>
      </c>
    </row>
    <row r="337" ht="15.75" customHeight="1">
      <c r="A337" s="16" t="s">
        <v>454</v>
      </c>
      <c r="B337" s="16" t="s">
        <v>453</v>
      </c>
      <c r="C337" s="17">
        <f t="shared" si="1"/>
        <v>138</v>
      </c>
      <c r="D337" s="16">
        <v>1992.0</v>
      </c>
      <c r="E337" s="16" t="b">
        <v>1</v>
      </c>
      <c r="F337" s="16" t="b">
        <v>1</v>
      </c>
      <c r="G337" s="16" t="b">
        <v>0</v>
      </c>
      <c r="H337" s="16" t="b">
        <v>0</v>
      </c>
      <c r="I337" s="16" t="b">
        <v>0</v>
      </c>
      <c r="J337" s="18" t="b">
        <v>0</v>
      </c>
      <c r="K337" s="16">
        <v>3449.0</v>
      </c>
      <c r="L337" s="16">
        <v>1961.7</v>
      </c>
      <c r="M337" s="16">
        <v>454.6</v>
      </c>
      <c r="N337" s="16">
        <v>21.45</v>
      </c>
      <c r="O337" s="16">
        <v>0.995</v>
      </c>
      <c r="P337" s="16">
        <v>0.995</v>
      </c>
      <c r="Q337" s="19">
        <f t="shared" si="2"/>
        <v>57.99876165</v>
      </c>
      <c r="R337" s="20">
        <f t="shared" si="3"/>
        <v>2.899016159</v>
      </c>
      <c r="S337" s="21">
        <f t="shared" si="4"/>
        <v>4</v>
      </c>
      <c r="T337" s="17">
        <f t="shared" si="98"/>
        <v>5687</v>
      </c>
      <c r="U337" s="22">
        <f>T337/vlookup(A337,Max!$A$2:$AP$700,column(Max!$AP$2),false)</f>
        <v>1.7771875</v>
      </c>
      <c r="V337" s="17">
        <f t="shared" si="6"/>
        <v>721.8323229</v>
      </c>
      <c r="W337" s="23">
        <f t="shared" si="7"/>
        <v>3.524196488</v>
      </c>
      <c r="X337" s="23">
        <f t="shared" si="8"/>
        <v>2.207551587</v>
      </c>
      <c r="Y337" s="23">
        <f t="shared" si="9"/>
        <v>1</v>
      </c>
      <c r="Z337" s="23">
        <f t="shared" si="10"/>
        <v>1.01267413</v>
      </c>
      <c r="AA337" s="24">
        <f t="shared" si="11"/>
        <v>138</v>
      </c>
      <c r="AB337" s="26">
        <f t="shared" ref="AB337:AB338" si="103">if(iserror(find("$",A337)),1,2)</f>
        <v>1</v>
      </c>
      <c r="AC337" s="26" t="str">
        <f t="shared" si="40"/>
        <v/>
      </c>
      <c r="AD337" s="26" t="str">
        <f t="shared" si="41"/>
        <v>$RD-0120M$: 138,</v>
      </c>
      <c r="AE337" s="26" t="str">
        <f t="shared" si="86"/>
        <v/>
      </c>
      <c r="AF337" s="26" t="str">
        <f t="shared" si="78"/>
        <v/>
      </c>
      <c r="AG337" s="26" t="str">
        <f t="shared" si="79"/>
        <v/>
      </c>
    </row>
    <row r="338" ht="15.75" customHeight="1">
      <c r="A338" s="7" t="s">
        <v>455</v>
      </c>
      <c r="B338" s="7" t="s">
        <v>453</v>
      </c>
      <c r="C338" s="8">
        <f t="shared" si="1"/>
        <v>571</v>
      </c>
      <c r="D338" s="7">
        <v>1998.0</v>
      </c>
      <c r="E338" s="7" t="b">
        <v>1</v>
      </c>
      <c r="F338" s="7" t="b">
        <v>1</v>
      </c>
      <c r="G338" s="7" t="b">
        <v>0</v>
      </c>
      <c r="H338" s="7" t="b">
        <v>0</v>
      </c>
      <c r="I338" s="7" t="b">
        <v>0</v>
      </c>
      <c r="J338" s="9" t="b">
        <v>0</v>
      </c>
      <c r="K338" s="7">
        <v>3449.0</v>
      </c>
      <c r="L338" s="7">
        <v>2313.0</v>
      </c>
      <c r="M338" s="7">
        <v>460.7</v>
      </c>
      <c r="N338" s="7">
        <v>22.06</v>
      </c>
      <c r="O338" s="7">
        <v>0.997872</v>
      </c>
      <c r="P338" s="7">
        <v>0.997872</v>
      </c>
      <c r="Q338" s="10">
        <f t="shared" si="2"/>
        <v>68.38514334</v>
      </c>
      <c r="R338" s="11">
        <f t="shared" si="3"/>
        <v>2.645914397</v>
      </c>
      <c r="S338" s="12">
        <f t="shared" si="4"/>
        <v>4</v>
      </c>
      <c r="T338" s="8">
        <f t="shared" si="98"/>
        <v>6120</v>
      </c>
      <c r="U338" s="13">
        <f>T338/vlookup(A338,Max!$A$2:$AP$700,column(Max!$AP$2),false)</f>
        <v>1.36</v>
      </c>
      <c r="V338" s="8">
        <f t="shared" si="6"/>
        <v>721.8323229</v>
      </c>
      <c r="W338" s="14">
        <f t="shared" si="7"/>
        <v>3.734049369</v>
      </c>
      <c r="X338" s="14">
        <f t="shared" si="8"/>
        <v>2.226200749</v>
      </c>
      <c r="Y338" s="14">
        <f t="shared" si="9"/>
        <v>1</v>
      </c>
      <c r="Z338" s="14">
        <f t="shared" si="10"/>
        <v>1.019997495</v>
      </c>
      <c r="AA338" s="27">
        <f t="shared" si="11"/>
        <v>571</v>
      </c>
      <c r="AB338" s="15">
        <f t="shared" si="103"/>
        <v>1</v>
      </c>
      <c r="AC338" s="15" t="str">
        <f t="shared" si="40"/>
        <v/>
      </c>
      <c r="AD338" s="15" t="str">
        <f t="shared" si="41"/>
        <v>$RD-0122$: 571,</v>
      </c>
      <c r="AE338" s="15" t="str">
        <f t="shared" si="86"/>
        <v/>
      </c>
      <c r="AF338" s="15" t="str">
        <f t="shared" si="78"/>
        <v/>
      </c>
      <c r="AG338" s="15" t="str">
        <f t="shared" si="79"/>
        <v/>
      </c>
    </row>
    <row r="339" ht="15.75" customHeight="1">
      <c r="A339" s="16" t="s">
        <v>456</v>
      </c>
      <c r="B339" s="16" t="s">
        <v>457</v>
      </c>
      <c r="C339" s="17">
        <f t="shared" si="1"/>
        <v>4149</v>
      </c>
      <c r="D339" s="16"/>
      <c r="E339" s="16" t="b">
        <v>1</v>
      </c>
      <c r="F339" s="16" t="b">
        <v>1</v>
      </c>
      <c r="G339" s="16" t="b">
        <v>0</v>
      </c>
      <c r="H339" s="16" t="b">
        <v>0</v>
      </c>
      <c r="I339" s="16" t="b">
        <v>0</v>
      </c>
      <c r="J339" s="18" t="b">
        <v>0</v>
      </c>
      <c r="K339" s="16">
        <v>3800.0</v>
      </c>
      <c r="L339" s="16">
        <v>1809.8</v>
      </c>
      <c r="M339" s="16">
        <v>418.7</v>
      </c>
      <c r="N339" s="16">
        <v>19.38</v>
      </c>
      <c r="O339" s="16">
        <v>0.995</v>
      </c>
      <c r="P339" s="16">
        <v>0.995</v>
      </c>
      <c r="Q339" s="19">
        <f t="shared" si="2"/>
        <v>48.56532623</v>
      </c>
      <c r="R339" s="20">
        <f t="shared" si="3"/>
        <v>2.29251851</v>
      </c>
      <c r="S339" s="21">
        <f t="shared" si="4"/>
        <v>4</v>
      </c>
      <c r="T339" s="17">
        <f t="shared" si="98"/>
        <v>4149</v>
      </c>
      <c r="U339" s="22">
        <f>T339/vlookup(A339,Max!$A$2:$AP$700,column(Max!$AP$2),false)</f>
        <v>2.766</v>
      </c>
      <c r="V339" s="17">
        <f t="shared" si="6"/>
        <v>764.0586851</v>
      </c>
      <c r="W339" s="23">
        <f t="shared" si="7"/>
        <v>2.535910971</v>
      </c>
      <c r="X339" s="23">
        <f t="shared" si="8"/>
        <v>2.141355651</v>
      </c>
      <c r="Y339" s="23">
        <f t="shared" si="9"/>
        <v>1</v>
      </c>
      <c r="Z339" s="23">
        <f t="shared" si="10"/>
        <v>1</v>
      </c>
      <c r="AA339" s="26">
        <f t="shared" si="11"/>
        <v>0</v>
      </c>
      <c r="AB339" s="25">
        <v>0.0</v>
      </c>
      <c r="AC339" s="26" t="str">
        <f t="shared" si="40"/>
        <v>{
$name$: $RD-0120T$,
$config$: $RD0120T$,
$cost$: 4149
},</v>
      </c>
      <c r="AD339" s="26" t="str">
        <f t="shared" si="41"/>
        <v/>
      </c>
      <c r="AE339" s="26" t="str">
        <f t="shared" si="86"/>
        <v/>
      </c>
      <c r="AF339" s="26" t="str">
        <f t="shared" si="78"/>
        <v/>
      </c>
      <c r="AG339" s="26" t="str">
        <f t="shared" si="79"/>
        <v/>
      </c>
    </row>
    <row r="340" ht="15.75" customHeight="1">
      <c r="A340" s="7" t="s">
        <v>458</v>
      </c>
      <c r="B340" s="7" t="s">
        <v>459</v>
      </c>
      <c r="C340" s="8">
        <f t="shared" si="1"/>
        <v>521</v>
      </c>
      <c r="D340" s="7">
        <v>2004.0</v>
      </c>
      <c r="E340" s="7"/>
      <c r="F340" s="7" t="b">
        <v>1</v>
      </c>
      <c r="G340" s="7" t="b">
        <v>0</v>
      </c>
      <c r="H340" s="7" t="b">
        <v>1</v>
      </c>
      <c r="I340" s="7" t="b">
        <v>0</v>
      </c>
      <c r="J340" s="9" t="b">
        <v>0</v>
      </c>
      <c r="K340" s="7">
        <v>480.0</v>
      </c>
      <c r="L340" s="7">
        <v>294.3</v>
      </c>
      <c r="M340" s="7">
        <v>359.0</v>
      </c>
      <c r="N340" s="7">
        <v>15.69</v>
      </c>
      <c r="O340" s="7">
        <v>0.997826</v>
      </c>
      <c r="P340" s="7">
        <v>0.997826</v>
      </c>
      <c r="Q340" s="10">
        <f t="shared" si="2"/>
        <v>62.52135013</v>
      </c>
      <c r="R340" s="11">
        <f t="shared" si="3"/>
        <v>1.770302413</v>
      </c>
      <c r="S340" s="12">
        <f t="shared" si="4"/>
        <v>4</v>
      </c>
      <c r="T340" s="8">
        <f t="shared" si="98"/>
        <v>521</v>
      </c>
      <c r="U340" s="13">
        <f>T340/vlookup(A340,Max!$A$2:$AP$700,column(Max!$AP$2),false)</f>
        <v>3.25625</v>
      </c>
      <c r="V340" s="8">
        <f t="shared" si="6"/>
        <v>197.8726422</v>
      </c>
      <c r="W340" s="14">
        <f t="shared" si="7"/>
        <v>1.536794664</v>
      </c>
      <c r="X340" s="14">
        <f t="shared" si="8"/>
        <v>1.688018362</v>
      </c>
      <c r="Y340" s="14">
        <f t="shared" si="9"/>
        <v>1</v>
      </c>
      <c r="Z340" s="14">
        <f t="shared" si="10"/>
        <v>1.014345936</v>
      </c>
      <c r="AA340" s="15">
        <f t="shared" si="11"/>
        <v>0</v>
      </c>
      <c r="AB340" s="29">
        <v>0.0</v>
      </c>
      <c r="AC340" s="15" t="str">
        <f t="shared" si="40"/>
        <v>{
$name$: $RD-0124$,
$config$: $RD0124$,
$cost$: 521
},</v>
      </c>
      <c r="AD340" s="15" t="str">
        <f t="shared" si="41"/>
        <v/>
      </c>
      <c r="AE340" s="15" t="str">
        <f t="shared" si="86"/>
        <v/>
      </c>
      <c r="AF340" s="15" t="str">
        <f t="shared" si="78"/>
        <v/>
      </c>
      <c r="AG340" s="15" t="str">
        <f t="shared" si="79"/>
        <v/>
      </c>
    </row>
    <row r="341" ht="15.75" customHeight="1">
      <c r="A341" s="16" t="s">
        <v>460</v>
      </c>
      <c r="B341" s="16" t="s">
        <v>461</v>
      </c>
      <c r="C341" s="17">
        <f t="shared" si="1"/>
        <v>820</v>
      </c>
      <c r="D341" s="16">
        <v>2001.0</v>
      </c>
      <c r="E341" s="16" t="b">
        <v>1</v>
      </c>
      <c r="F341" s="16" t="b">
        <v>1</v>
      </c>
      <c r="G341" s="16" t="b">
        <v>0</v>
      </c>
      <c r="H341" s="16" t="b">
        <v>1</v>
      </c>
      <c r="I341" s="16" t="b">
        <v>0</v>
      </c>
      <c r="J341" s="18" t="b">
        <v>0</v>
      </c>
      <c r="K341" s="16">
        <v>242.0</v>
      </c>
      <c r="L341" s="16">
        <v>98.1</v>
      </c>
      <c r="M341" s="16">
        <v>463.0</v>
      </c>
      <c r="N341" s="16">
        <v>7.92</v>
      </c>
      <c r="O341" s="16">
        <v>0.9995</v>
      </c>
      <c r="P341" s="16">
        <v>0.9852</v>
      </c>
      <c r="Q341" s="19">
        <f t="shared" si="2"/>
        <v>41.33642984</v>
      </c>
      <c r="R341" s="20">
        <f t="shared" si="3"/>
        <v>8.358817533</v>
      </c>
      <c r="S341" s="21">
        <f t="shared" si="4"/>
        <v>4</v>
      </c>
      <c r="T341" s="32">
        <v>820.0</v>
      </c>
      <c r="U341" s="22">
        <f>T341/vlookup(A341,Max!$A$2:$AP$700,column(Max!$AP$2),false)</f>
        <v>3.153846154</v>
      </c>
      <c r="V341" s="17">
        <f t="shared" si="6"/>
        <v>165.9281086</v>
      </c>
      <c r="W341" s="23">
        <f t="shared" si="7"/>
        <v>3.816914098</v>
      </c>
      <c r="X341" s="23">
        <f t="shared" si="8"/>
        <v>1.447355347</v>
      </c>
      <c r="Y341" s="23">
        <f t="shared" si="9"/>
        <v>1</v>
      </c>
      <c r="Z341" s="23">
        <f t="shared" si="10"/>
        <v>0.9866883889</v>
      </c>
      <c r="AA341" s="26">
        <f t="shared" si="11"/>
        <v>0</v>
      </c>
      <c r="AB341" s="25">
        <v>0.0</v>
      </c>
      <c r="AC341" s="26" t="str">
        <f t="shared" si="40"/>
        <v>{
$name$: $RD-0146$,
$config$: $RD0146$,
$cost$: 820
},</v>
      </c>
      <c r="AD341" s="26" t="str">
        <f t="shared" si="41"/>
        <v/>
      </c>
      <c r="AE341" s="26" t="str">
        <f t="shared" si="86"/>
        <v/>
      </c>
      <c r="AF341" s="26" t="str">
        <f t="shared" si="78"/>
        <v/>
      </c>
      <c r="AG341" s="26" t="str">
        <f t="shared" si="79"/>
        <v/>
      </c>
    </row>
    <row r="342" ht="15.75" customHeight="1">
      <c r="A342" s="7" t="s">
        <v>462</v>
      </c>
      <c r="B342" s="7" t="s">
        <v>461</v>
      </c>
      <c r="C342" s="8">
        <f t="shared" si="1"/>
        <v>182</v>
      </c>
      <c r="D342" s="7">
        <v>2014.0</v>
      </c>
      <c r="E342" s="7" t="b">
        <v>1</v>
      </c>
      <c r="F342" s="7" t="b">
        <v>1</v>
      </c>
      <c r="G342" s="7" t="b">
        <v>0</v>
      </c>
      <c r="H342" s="7" t="b">
        <v>0</v>
      </c>
      <c r="I342" s="7" t="b">
        <v>0</v>
      </c>
      <c r="J342" s="9" t="b">
        <v>0</v>
      </c>
      <c r="K342" s="7">
        <v>242.0</v>
      </c>
      <c r="L342" s="7">
        <v>73.5</v>
      </c>
      <c r="M342" s="7">
        <v>470.0</v>
      </c>
      <c r="N342" s="7">
        <v>5.88</v>
      </c>
      <c r="O342" s="7">
        <v>0.9995</v>
      </c>
      <c r="P342" s="7">
        <v>0.9852</v>
      </c>
      <c r="Q342" s="10">
        <f t="shared" si="2"/>
        <v>30.9707196</v>
      </c>
      <c r="R342" s="11">
        <f t="shared" si="3"/>
        <v>13.63265306</v>
      </c>
      <c r="S342" s="12">
        <f t="shared" si="4"/>
        <v>4</v>
      </c>
      <c r="T342" s="8">
        <f t="shared" ref="T342:T379" si="104">round(V342*W342*X342*Y342*Z342,0)</f>
        <v>1002</v>
      </c>
      <c r="U342" s="13">
        <f>T342/vlookup(A342,Max!$A$2:$AP$700,column(Max!$AP$2),false)</f>
        <v>4.554545455</v>
      </c>
      <c r="V342" s="8">
        <f t="shared" si="6"/>
        <v>165.9281086</v>
      </c>
      <c r="W342" s="14">
        <f t="shared" si="7"/>
        <v>4.082504669</v>
      </c>
      <c r="X342" s="14">
        <f t="shared" si="8"/>
        <v>1.497255338</v>
      </c>
      <c r="Y342" s="14">
        <f t="shared" si="9"/>
        <v>1</v>
      </c>
      <c r="Z342" s="14">
        <f t="shared" si="10"/>
        <v>0.9879228294</v>
      </c>
      <c r="AA342" s="27">
        <f t="shared" si="11"/>
        <v>182</v>
      </c>
      <c r="AB342" s="15">
        <f t="shared" ref="AB342:AB343" si="105">if(iserror(find("$",A342)),1,2)</f>
        <v>1</v>
      </c>
      <c r="AC342" s="15" t="str">
        <f t="shared" si="40"/>
        <v/>
      </c>
      <c r="AD342" s="15" t="str">
        <f t="shared" si="41"/>
        <v>$RD-0146D$: 182,</v>
      </c>
      <c r="AE342" s="15" t="str">
        <f t="shared" si="86"/>
        <v/>
      </c>
      <c r="AF342" s="15" t="str">
        <f t="shared" si="78"/>
        <v/>
      </c>
      <c r="AG342" s="15" t="str">
        <f t="shared" si="79"/>
        <v/>
      </c>
    </row>
    <row r="343" ht="15.75" customHeight="1">
      <c r="A343" s="16" t="s">
        <v>463</v>
      </c>
      <c r="B343" s="16" t="s">
        <v>464</v>
      </c>
      <c r="C343" s="17">
        <f t="shared" si="1"/>
        <v>1493</v>
      </c>
      <c r="D343" s="16">
        <v>2020.0</v>
      </c>
      <c r="E343" s="16"/>
      <c r="F343" s="16" t="b">
        <v>1</v>
      </c>
      <c r="G343" s="16" t="b">
        <v>0</v>
      </c>
      <c r="H343" s="16" t="b">
        <v>1</v>
      </c>
      <c r="I343" s="16" t="b">
        <v>0</v>
      </c>
      <c r="J343" s="18" t="b">
        <v>0</v>
      </c>
      <c r="K343" s="16">
        <v>2100.0</v>
      </c>
      <c r="L343" s="16">
        <v>3011.0</v>
      </c>
      <c r="M343" s="16">
        <v>364.7</v>
      </c>
      <c r="N343" s="16">
        <v>23.4</v>
      </c>
      <c r="O343" s="16">
        <v>0.9995</v>
      </c>
      <c r="P343" s="16">
        <v>0.9995</v>
      </c>
      <c r="Q343" s="19">
        <f t="shared" si="2"/>
        <v>146.2078813</v>
      </c>
      <c r="R343" s="20">
        <f t="shared" si="3"/>
        <v>0.4958485553</v>
      </c>
      <c r="S343" s="21">
        <f t="shared" si="4"/>
        <v>4</v>
      </c>
      <c r="T343" s="17">
        <f t="shared" si="104"/>
        <v>1493</v>
      </c>
      <c r="U343" s="22">
        <f>T343/vlookup(A343,Max!$A$2:$AP$700,column(Max!$AP$2),false)</f>
        <v>0.710952381</v>
      </c>
      <c r="V343" s="17">
        <f t="shared" si="6"/>
        <v>491.4739576</v>
      </c>
      <c r="W343" s="23">
        <f t="shared" si="7"/>
        <v>1.607727135</v>
      </c>
      <c r="X343" s="23">
        <f t="shared" si="8"/>
        <v>1.84686679</v>
      </c>
      <c r="Y343" s="23">
        <f t="shared" si="9"/>
        <v>1</v>
      </c>
      <c r="Z343" s="23">
        <f t="shared" si="10"/>
        <v>1.022883106</v>
      </c>
      <c r="AA343" s="26">
        <f t="shared" si="11"/>
        <v>0</v>
      </c>
      <c r="AB343" s="26">
        <f t="shared" si="105"/>
        <v>1</v>
      </c>
      <c r="AC343" s="26" t="str">
        <f t="shared" si="40"/>
        <v/>
      </c>
      <c r="AD343" s="26" t="str">
        <f t="shared" si="41"/>
        <v>$RD-0162A$: 1493,</v>
      </c>
      <c r="AE343" s="26" t="str">
        <f t="shared" si="86"/>
        <v/>
      </c>
      <c r="AF343" s="26" t="str">
        <f t="shared" si="78"/>
        <v/>
      </c>
      <c r="AG343" s="26" t="str">
        <f t="shared" si="79"/>
        <v/>
      </c>
    </row>
    <row r="344" ht="15.75" customHeight="1">
      <c r="A344" s="7" t="s">
        <v>465</v>
      </c>
      <c r="B344" s="7" t="s">
        <v>464</v>
      </c>
      <c r="C344" s="8">
        <f t="shared" si="1"/>
        <v>68</v>
      </c>
      <c r="D344" s="7">
        <v>2020.0</v>
      </c>
      <c r="E344" s="7"/>
      <c r="F344" s="7" t="b">
        <v>1</v>
      </c>
      <c r="G344" s="7" t="b">
        <v>0</v>
      </c>
      <c r="H344" s="7" t="b">
        <v>0</v>
      </c>
      <c r="I344" s="7" t="b">
        <v>0</v>
      </c>
      <c r="J344" s="9" t="b">
        <v>0</v>
      </c>
      <c r="K344" s="7">
        <v>2100.0</v>
      </c>
      <c r="L344" s="7">
        <v>2210.0</v>
      </c>
      <c r="M344" s="7">
        <v>356.2</v>
      </c>
      <c r="N344" s="7">
        <v>17.1</v>
      </c>
      <c r="O344" s="7">
        <v>0.9995</v>
      </c>
      <c r="P344" s="7">
        <v>0.9995</v>
      </c>
      <c r="Q344" s="10">
        <f t="shared" si="2"/>
        <v>107.3129916</v>
      </c>
      <c r="R344" s="11">
        <f t="shared" si="3"/>
        <v>0.7063348416</v>
      </c>
      <c r="S344" s="12">
        <f t="shared" si="4"/>
        <v>4</v>
      </c>
      <c r="T344" s="8">
        <f t="shared" si="104"/>
        <v>1561</v>
      </c>
      <c r="U344" s="13">
        <f>T344/vlookup(A344,Max!$A$2:$AP$700,column(Max!$AP$2),false)</f>
        <v>1.156296296</v>
      </c>
      <c r="V344" s="8">
        <f t="shared" si="6"/>
        <v>491.4739576</v>
      </c>
      <c r="W344" s="14">
        <f t="shared" si="7"/>
        <v>1.50343692</v>
      </c>
      <c r="X344" s="14">
        <f t="shared" si="8"/>
        <v>2.062440865</v>
      </c>
      <c r="Y344" s="14">
        <f t="shared" si="9"/>
        <v>1</v>
      </c>
      <c r="Z344" s="14">
        <f t="shared" si="10"/>
        <v>1.024162829</v>
      </c>
      <c r="AA344" s="27">
        <f t="shared" si="11"/>
        <v>68</v>
      </c>
      <c r="AB344" s="29">
        <v>0.0</v>
      </c>
      <c r="AC344" s="15" t="str">
        <f t="shared" si="40"/>
        <v>{
$name$: $RD-0162$,
$config$: $RD0162$,
$cost$: 68
},</v>
      </c>
      <c r="AD344" s="15" t="str">
        <f t="shared" si="41"/>
        <v/>
      </c>
      <c r="AE344" s="15" t="str">
        <f t="shared" si="86"/>
        <v/>
      </c>
      <c r="AF344" s="15" t="str">
        <f t="shared" si="78"/>
        <v/>
      </c>
      <c r="AG344" s="15" t="str">
        <f t="shared" si="79"/>
        <v/>
      </c>
    </row>
    <row r="345" ht="15.75" customHeight="1">
      <c r="A345" s="16" t="s">
        <v>466</v>
      </c>
      <c r="B345" s="16" t="s">
        <v>467</v>
      </c>
      <c r="C345" s="17">
        <f t="shared" si="1"/>
        <v>1523</v>
      </c>
      <c r="D345" s="16">
        <v>2020.0</v>
      </c>
      <c r="E345" s="16"/>
      <c r="F345" s="16" t="b">
        <v>1</v>
      </c>
      <c r="G345" s="16" t="b">
        <v>0</v>
      </c>
      <c r="H345" s="16" t="b">
        <v>1</v>
      </c>
      <c r="I345" s="16" t="b">
        <v>0</v>
      </c>
      <c r="J345" s="18" t="b">
        <v>0</v>
      </c>
      <c r="K345" s="16">
        <v>2675.0</v>
      </c>
      <c r="L345" s="16">
        <v>3831.0</v>
      </c>
      <c r="M345" s="16">
        <v>358.0</v>
      </c>
      <c r="N345" s="16">
        <v>16.6</v>
      </c>
      <c r="O345" s="16">
        <v>0.9995</v>
      </c>
      <c r="P345" s="16">
        <v>0.9995</v>
      </c>
      <c r="Q345" s="19">
        <f t="shared" si="2"/>
        <v>146.0386094</v>
      </c>
      <c r="R345" s="20">
        <f t="shared" si="3"/>
        <v>0.3975463326</v>
      </c>
      <c r="S345" s="21">
        <f t="shared" si="4"/>
        <v>4</v>
      </c>
      <c r="T345" s="17">
        <f t="shared" si="104"/>
        <v>1523</v>
      </c>
      <c r="U345" s="22">
        <f>T345/vlookup(A345,Max!$A$2:$AP$700,column(Max!$AP$2),false)</f>
        <v>0.5439285714</v>
      </c>
      <c r="V345" s="17">
        <f t="shared" si="6"/>
        <v>571.1243064</v>
      </c>
      <c r="W345" s="23">
        <f t="shared" si="7"/>
        <v>1.524771488</v>
      </c>
      <c r="X345" s="23">
        <f t="shared" si="8"/>
        <v>1.709567779</v>
      </c>
      <c r="Y345" s="23">
        <f t="shared" si="9"/>
        <v>1</v>
      </c>
      <c r="Z345" s="23">
        <f t="shared" si="10"/>
        <v>1.022883106</v>
      </c>
      <c r="AA345" s="26">
        <f t="shared" si="11"/>
        <v>0</v>
      </c>
      <c r="AB345" s="25">
        <v>0.0</v>
      </c>
      <c r="AC345" s="26" t="str">
        <f t="shared" si="40"/>
        <v>{
$name$: $RD-0164$,
$config$: $RD0164$,
$cost$: 1523
},</v>
      </c>
      <c r="AD345" s="26" t="str">
        <f t="shared" si="41"/>
        <v/>
      </c>
      <c r="AE345" s="26" t="str">
        <f t="shared" si="86"/>
        <v/>
      </c>
      <c r="AF345" s="26" t="str">
        <f t="shared" si="78"/>
        <v/>
      </c>
      <c r="AG345" s="26" t="str">
        <f t="shared" si="79"/>
        <v/>
      </c>
    </row>
    <row r="346" ht="15.75" customHeight="1">
      <c r="A346" s="7" t="s">
        <v>468</v>
      </c>
      <c r="B346" s="7" t="s">
        <v>469</v>
      </c>
      <c r="C346" s="8">
        <f t="shared" si="1"/>
        <v>912</v>
      </c>
      <c r="D346" s="7">
        <v>2020.0</v>
      </c>
      <c r="E346" s="7"/>
      <c r="F346" s="7" t="b">
        <v>1</v>
      </c>
      <c r="G346" s="7" t="b">
        <v>0</v>
      </c>
      <c r="H346" s="7" t="b">
        <v>1</v>
      </c>
      <c r="I346" s="7" t="b">
        <v>0</v>
      </c>
      <c r="J346" s="9" t="b">
        <v>0</v>
      </c>
      <c r="K346" s="7">
        <v>975.0</v>
      </c>
      <c r="L346" s="7">
        <v>716.0</v>
      </c>
      <c r="M346" s="7">
        <v>372.0</v>
      </c>
      <c r="N346" s="7">
        <v>16.6</v>
      </c>
      <c r="O346" s="7">
        <v>0.9995</v>
      </c>
      <c r="P346" s="7">
        <v>0.9995</v>
      </c>
      <c r="Q346" s="10">
        <f t="shared" si="2"/>
        <v>74.88377501</v>
      </c>
      <c r="R346" s="11">
        <f t="shared" si="3"/>
        <v>1.273743017</v>
      </c>
      <c r="S346" s="12">
        <f t="shared" si="4"/>
        <v>4</v>
      </c>
      <c r="T346" s="8">
        <f t="shared" si="104"/>
        <v>912</v>
      </c>
      <c r="U346" s="13">
        <f>T346/vlookup(A346,Max!$A$2:$AP$700,column(Max!$AP$2),false)</f>
        <v>1.495081967</v>
      </c>
      <c r="V346" s="8">
        <f t="shared" si="6"/>
        <v>305.8419667</v>
      </c>
      <c r="W346" s="14">
        <f t="shared" si="7"/>
        <v>1.704848451</v>
      </c>
      <c r="X346" s="14">
        <f t="shared" si="8"/>
        <v>1.709567779</v>
      </c>
      <c r="Y346" s="14">
        <f t="shared" si="9"/>
        <v>1</v>
      </c>
      <c r="Z346" s="14">
        <f t="shared" si="10"/>
        <v>1.022883106</v>
      </c>
      <c r="AA346" s="15">
        <f t="shared" si="11"/>
        <v>0</v>
      </c>
      <c r="AB346" s="29">
        <v>0.0</v>
      </c>
      <c r="AC346" s="15" t="str">
        <f t="shared" si="40"/>
        <v>{
$name$: $RD-0169$,
$config$: $RD0169$,
$cost$: 912
},</v>
      </c>
      <c r="AD346" s="15" t="str">
        <f t="shared" si="41"/>
        <v/>
      </c>
      <c r="AE346" s="15" t="str">
        <f t="shared" si="86"/>
        <v/>
      </c>
      <c r="AF346" s="15" t="str">
        <f t="shared" si="78"/>
        <v/>
      </c>
      <c r="AG346" s="15" t="str">
        <f t="shared" si="79"/>
        <v/>
      </c>
    </row>
    <row r="347" ht="15.75" customHeight="1">
      <c r="A347" s="16" t="s">
        <v>470</v>
      </c>
      <c r="B347" s="16" t="s">
        <v>471</v>
      </c>
      <c r="C347" s="17">
        <f t="shared" si="1"/>
        <v>362</v>
      </c>
      <c r="D347" s="16">
        <v>1964.0</v>
      </c>
      <c r="E347" s="16"/>
      <c r="F347" s="16" t="b">
        <v>1</v>
      </c>
      <c r="G347" s="16" t="b">
        <v>0</v>
      </c>
      <c r="H347" s="16" t="b">
        <v>0</v>
      </c>
      <c r="I347" s="16" t="b">
        <v>0</v>
      </c>
      <c r="J347" s="18" t="b">
        <v>0</v>
      </c>
      <c r="K347" s="16">
        <v>389.5</v>
      </c>
      <c r="L347" s="16">
        <v>558.9</v>
      </c>
      <c r="M347" s="16">
        <v>311.0</v>
      </c>
      <c r="N347" s="16">
        <v>14.7</v>
      </c>
      <c r="O347" s="16">
        <v>0.985135</v>
      </c>
      <c r="P347" s="16">
        <v>0.985135</v>
      </c>
      <c r="Q347" s="19">
        <f t="shared" si="2"/>
        <v>146.3207676</v>
      </c>
      <c r="R347" s="20">
        <f t="shared" si="3"/>
        <v>0.6477008409</v>
      </c>
      <c r="S347" s="21">
        <f t="shared" si="4"/>
        <v>4</v>
      </c>
      <c r="T347" s="17">
        <f t="shared" si="104"/>
        <v>362</v>
      </c>
      <c r="U347" s="22">
        <f>T347/vlookup(A347,Max!$A$2:$AP$700,column(Max!$AP$2),false)</f>
        <v>1.034285714</v>
      </c>
      <c r="V347" s="17">
        <f t="shared" si="6"/>
        <v>174.1243773</v>
      </c>
      <c r="W347" s="23">
        <f t="shared" si="7"/>
        <v>1.066630493</v>
      </c>
      <c r="X347" s="23">
        <f t="shared" si="8"/>
        <v>1.970960282</v>
      </c>
      <c r="Y347" s="23">
        <f t="shared" si="9"/>
        <v>1</v>
      </c>
      <c r="Z347" s="23">
        <f t="shared" si="10"/>
        <v>0.9877598883</v>
      </c>
      <c r="AA347" s="26">
        <f t="shared" si="11"/>
        <v>0</v>
      </c>
      <c r="AB347" s="25">
        <v>0.0</v>
      </c>
      <c r="AC347" s="26" t="str">
        <f t="shared" si="40"/>
        <v>{
$name$: $RD-0203$,
$config$: $RD0203$,
$cost$: 362
},</v>
      </c>
      <c r="AD347" s="26" t="str">
        <f t="shared" si="41"/>
        <v/>
      </c>
      <c r="AE347" s="26" t="str">
        <f t="shared" si="86"/>
        <v/>
      </c>
      <c r="AF347" s="26" t="str">
        <f t="shared" si="78"/>
        <v/>
      </c>
      <c r="AG347" s="26" t="str">
        <f t="shared" si="79"/>
        <v/>
      </c>
    </row>
    <row r="348" ht="15.75" customHeight="1">
      <c r="A348" s="7" t="s">
        <v>472</v>
      </c>
      <c r="B348" s="7" t="s">
        <v>471</v>
      </c>
      <c r="C348" s="8">
        <f t="shared" si="1"/>
        <v>23</v>
      </c>
      <c r="D348" s="7">
        <v>1967.0</v>
      </c>
      <c r="E348" s="7"/>
      <c r="F348" s="7" t="b">
        <v>1</v>
      </c>
      <c r="G348" s="7" t="b">
        <v>0</v>
      </c>
      <c r="H348" s="7" t="b">
        <v>0</v>
      </c>
      <c r="I348" s="7" t="b">
        <v>0</v>
      </c>
      <c r="J348" s="9" t="b">
        <v>0</v>
      </c>
      <c r="K348" s="7">
        <v>408.0</v>
      </c>
      <c r="L348" s="7">
        <v>569.2</v>
      </c>
      <c r="M348" s="7">
        <v>311.0</v>
      </c>
      <c r="N348" s="7">
        <v>14.7</v>
      </c>
      <c r="O348" s="7">
        <v>0.999722</v>
      </c>
      <c r="P348" s="7">
        <v>0.998768</v>
      </c>
      <c r="Q348" s="10">
        <f t="shared" si="2"/>
        <v>142.2604085</v>
      </c>
      <c r="R348" s="11">
        <f t="shared" si="3"/>
        <v>0.6763879129</v>
      </c>
      <c r="S348" s="12">
        <f t="shared" si="4"/>
        <v>4</v>
      </c>
      <c r="T348" s="8">
        <f t="shared" si="104"/>
        <v>385</v>
      </c>
      <c r="U348" s="13">
        <f>T348/vlookup(A348,Max!$A$2:$AP$700,column(Max!$AP$2),false)</f>
        <v>0.9871794872</v>
      </c>
      <c r="V348" s="8">
        <f t="shared" si="6"/>
        <v>179.1361147</v>
      </c>
      <c r="W348" s="14">
        <f t="shared" si="7"/>
        <v>1.066630493</v>
      </c>
      <c r="X348" s="14">
        <f t="shared" si="8"/>
        <v>1.970960282</v>
      </c>
      <c r="Y348" s="14">
        <f t="shared" si="9"/>
        <v>1</v>
      </c>
      <c r="Z348" s="14">
        <f t="shared" si="10"/>
        <v>1.022288704</v>
      </c>
      <c r="AA348" s="27">
        <f t="shared" si="11"/>
        <v>23</v>
      </c>
      <c r="AB348" s="15">
        <f>if(iserror(find("$",A348)),1,2)</f>
        <v>1</v>
      </c>
      <c r="AC348" s="15" t="str">
        <f t="shared" si="40"/>
        <v/>
      </c>
      <c r="AD348" s="15" t="str">
        <f t="shared" si="41"/>
        <v>$RD-0203U$: 23,</v>
      </c>
      <c r="AE348" s="15" t="str">
        <f t="shared" si="86"/>
        <v/>
      </c>
      <c r="AF348" s="15" t="str">
        <f t="shared" si="78"/>
        <v/>
      </c>
      <c r="AG348" s="15" t="str">
        <f t="shared" si="79"/>
        <v/>
      </c>
    </row>
    <row r="349" ht="15.75" customHeight="1">
      <c r="A349" s="16" t="s">
        <v>473</v>
      </c>
      <c r="B349" s="16" t="s">
        <v>474</v>
      </c>
      <c r="C349" s="17">
        <f t="shared" si="1"/>
        <v>489</v>
      </c>
      <c r="D349" s="16">
        <v>1965.0</v>
      </c>
      <c r="E349" s="16"/>
      <c r="F349" s="16" t="b">
        <v>1</v>
      </c>
      <c r="G349" s="16" t="b">
        <v>0</v>
      </c>
      <c r="H349" s="16" t="b">
        <v>0</v>
      </c>
      <c r="I349" s="16" t="b">
        <v>0</v>
      </c>
      <c r="J349" s="18" t="b">
        <v>0</v>
      </c>
      <c r="K349" s="16">
        <v>540.0</v>
      </c>
      <c r="L349" s="16">
        <v>574.05</v>
      </c>
      <c r="M349" s="16">
        <v>326.105</v>
      </c>
      <c r="N349" s="16">
        <v>14.7</v>
      </c>
      <c r="O349" s="16">
        <v>0.991176</v>
      </c>
      <c r="P349" s="16">
        <v>0.979412</v>
      </c>
      <c r="Q349" s="19">
        <f t="shared" si="2"/>
        <v>108.4014982</v>
      </c>
      <c r="R349" s="20">
        <f t="shared" si="3"/>
        <v>0.851842174</v>
      </c>
      <c r="S349" s="21">
        <f t="shared" si="4"/>
        <v>4</v>
      </c>
      <c r="T349" s="17">
        <f t="shared" si="104"/>
        <v>489</v>
      </c>
      <c r="U349" s="22">
        <f>T349/vlookup(A349,Max!$A$2:$AP$700,column(Max!$AP$2),false)</f>
        <v>1.63</v>
      </c>
      <c r="V349" s="17">
        <f t="shared" si="6"/>
        <v>212.6846213</v>
      </c>
      <c r="W349" s="23">
        <f t="shared" si="7"/>
        <v>1.198888276</v>
      </c>
      <c r="X349" s="23">
        <f t="shared" si="8"/>
        <v>1.970960282</v>
      </c>
      <c r="Y349" s="23">
        <f t="shared" si="9"/>
        <v>1</v>
      </c>
      <c r="Z349" s="23">
        <f t="shared" si="10"/>
        <v>0.9734767096</v>
      </c>
      <c r="AA349" s="26">
        <f t="shared" si="11"/>
        <v>0</v>
      </c>
      <c r="AB349" s="25">
        <v>0.0</v>
      </c>
      <c r="AC349" s="26" t="str">
        <f t="shared" si="40"/>
        <v>{
$name$: $RD-0208$,
$config$: $RD0210$,
$cost$: 489
},</v>
      </c>
      <c r="AD349" s="26" t="str">
        <f t="shared" si="41"/>
        <v/>
      </c>
      <c r="AE349" s="26" t="str">
        <f t="shared" si="86"/>
        <v/>
      </c>
      <c r="AF349" s="26" t="str">
        <f t="shared" si="78"/>
        <v/>
      </c>
      <c r="AG349" s="26" t="str">
        <f t="shared" si="79"/>
        <v/>
      </c>
    </row>
    <row r="350" ht="15.75" customHeight="1">
      <c r="A350" s="7" t="s">
        <v>475</v>
      </c>
      <c r="B350" s="7" t="s">
        <v>474</v>
      </c>
      <c r="C350" s="8">
        <f t="shared" si="1"/>
        <v>-41</v>
      </c>
      <c r="D350" s="7">
        <v>1967.0</v>
      </c>
      <c r="E350" s="7"/>
      <c r="F350" s="7" t="b">
        <v>1</v>
      </c>
      <c r="G350" s="7" t="b">
        <v>0</v>
      </c>
      <c r="H350" s="7" t="b">
        <v>1</v>
      </c>
      <c r="I350" s="7" t="b">
        <v>0</v>
      </c>
      <c r="J350" s="9" t="b">
        <v>0</v>
      </c>
      <c r="K350" s="7">
        <v>566.0</v>
      </c>
      <c r="L350" s="7">
        <v>584.77</v>
      </c>
      <c r="M350" s="7">
        <v>327.0</v>
      </c>
      <c r="N350" s="7">
        <v>14.7</v>
      </c>
      <c r="O350" s="7">
        <v>0.999445</v>
      </c>
      <c r="P350" s="7">
        <v>0.998166</v>
      </c>
      <c r="Q350" s="10">
        <f t="shared" si="2"/>
        <v>105.3532594</v>
      </c>
      <c r="R350" s="11">
        <f t="shared" si="3"/>
        <v>0.7661131727</v>
      </c>
      <c r="S350" s="12">
        <f t="shared" si="4"/>
        <v>4</v>
      </c>
      <c r="T350" s="8">
        <f t="shared" si="104"/>
        <v>448</v>
      </c>
      <c r="U350" s="13">
        <f>T350/vlookup(A350,Max!$A$2:$AP$700,column(Max!$AP$2),false)</f>
        <v>1.066666667</v>
      </c>
      <c r="V350" s="8">
        <f t="shared" si="6"/>
        <v>218.9081752</v>
      </c>
      <c r="W350" s="14">
        <f t="shared" si="7"/>
        <v>1.206673473</v>
      </c>
      <c r="X350" s="14">
        <f t="shared" si="8"/>
        <v>1.663444841</v>
      </c>
      <c r="Y350" s="14">
        <f t="shared" si="9"/>
        <v>1</v>
      </c>
      <c r="Z350" s="14">
        <f t="shared" si="10"/>
        <v>1.019333258</v>
      </c>
      <c r="AA350" s="27">
        <f t="shared" si="11"/>
        <v>-41</v>
      </c>
      <c r="AB350" s="15">
        <f t="shared" ref="AB350:AB352" si="106">if(iserror(find("$",A350)),1,2)</f>
        <v>1</v>
      </c>
      <c r="AC350" s="15" t="str">
        <f t="shared" si="40"/>
        <v/>
      </c>
      <c r="AD350" s="15" t="str">
        <f t="shared" si="41"/>
        <v>$RD-0210$: -41,</v>
      </c>
      <c r="AE350" s="15" t="str">
        <f t="shared" si="86"/>
        <v/>
      </c>
      <c r="AF350" s="15" t="str">
        <f t="shared" si="78"/>
        <v/>
      </c>
      <c r="AG350" s="15" t="str">
        <f t="shared" si="79"/>
        <v/>
      </c>
    </row>
    <row r="351" ht="15.75" customHeight="1">
      <c r="A351" s="16" t="s">
        <v>476</v>
      </c>
      <c r="B351" s="16" t="s">
        <v>474</v>
      </c>
      <c r="C351" s="17">
        <f t="shared" si="1"/>
        <v>-39</v>
      </c>
      <c r="D351" s="16">
        <v>1977.0</v>
      </c>
      <c r="E351" s="16"/>
      <c r="F351" s="16" t="b">
        <v>1</v>
      </c>
      <c r="G351" s="16" t="b">
        <v>0</v>
      </c>
      <c r="H351" s="16" t="b">
        <v>1</v>
      </c>
      <c r="I351" s="16" t="b">
        <v>0</v>
      </c>
      <c r="J351" s="18" t="b">
        <v>0</v>
      </c>
      <c r="K351" s="16">
        <v>566.0</v>
      </c>
      <c r="L351" s="16">
        <v>600.0</v>
      </c>
      <c r="M351" s="16">
        <v>327.3</v>
      </c>
      <c r="N351" s="16">
        <v>14.7</v>
      </c>
      <c r="O351" s="16">
        <v>0.999762</v>
      </c>
      <c r="P351" s="16">
        <v>0.999128</v>
      </c>
      <c r="Q351" s="19">
        <f t="shared" si="2"/>
        <v>108.0971247</v>
      </c>
      <c r="R351" s="20">
        <f t="shared" si="3"/>
        <v>0.75</v>
      </c>
      <c r="S351" s="21">
        <f t="shared" si="4"/>
        <v>4</v>
      </c>
      <c r="T351" s="17">
        <f t="shared" si="104"/>
        <v>450</v>
      </c>
      <c r="U351" s="22">
        <f>T351/vlookup(A351,Max!$A$2:$AP$700,column(Max!$AP$2),false)</f>
        <v>1.451612903</v>
      </c>
      <c r="V351" s="17">
        <f t="shared" si="6"/>
        <v>218.9081752</v>
      </c>
      <c r="W351" s="23">
        <f t="shared" si="7"/>
        <v>1.209298755</v>
      </c>
      <c r="X351" s="23">
        <f t="shared" si="8"/>
        <v>1.663444841</v>
      </c>
      <c r="Y351" s="23">
        <f t="shared" si="9"/>
        <v>1</v>
      </c>
      <c r="Z351" s="23">
        <f t="shared" si="10"/>
        <v>1.022601446</v>
      </c>
      <c r="AA351" s="24">
        <f t="shared" si="11"/>
        <v>-39</v>
      </c>
      <c r="AB351" s="26">
        <f t="shared" si="106"/>
        <v>1</v>
      </c>
      <c r="AC351" s="26" t="str">
        <f t="shared" si="40"/>
        <v/>
      </c>
      <c r="AD351" s="26" t="str">
        <f t="shared" si="41"/>
        <v>$RD-0210-Mk2$: -39,</v>
      </c>
      <c r="AE351" s="26" t="str">
        <f t="shared" si="86"/>
        <v/>
      </c>
      <c r="AF351" s="26" t="str">
        <f t="shared" si="78"/>
        <v/>
      </c>
      <c r="AG351" s="26" t="str">
        <f t="shared" si="79"/>
        <v/>
      </c>
    </row>
    <row r="352" ht="15.75" customHeight="1">
      <c r="A352" s="7" t="s">
        <v>477</v>
      </c>
      <c r="B352" s="7" t="s">
        <v>474</v>
      </c>
      <c r="C352" s="8">
        <f t="shared" si="1"/>
        <v>11</v>
      </c>
      <c r="D352" s="7">
        <v>1993.0</v>
      </c>
      <c r="E352" s="7"/>
      <c r="F352" s="7" t="b">
        <v>1</v>
      </c>
      <c r="G352" s="7" t="b">
        <v>0</v>
      </c>
      <c r="H352" s="7" t="b">
        <v>1</v>
      </c>
      <c r="I352" s="7" t="b">
        <v>0</v>
      </c>
      <c r="J352" s="9" t="b">
        <v>0</v>
      </c>
      <c r="K352" s="7">
        <v>566.0</v>
      </c>
      <c r="L352" s="7">
        <v>626.0</v>
      </c>
      <c r="M352" s="7">
        <v>341.5</v>
      </c>
      <c r="N352" s="7">
        <v>14.7</v>
      </c>
      <c r="O352" s="7">
        <v>0.999762</v>
      </c>
      <c r="P352" s="7">
        <v>0.999128</v>
      </c>
      <c r="Q352" s="10">
        <f t="shared" si="2"/>
        <v>112.7813335</v>
      </c>
      <c r="R352" s="11">
        <f t="shared" si="3"/>
        <v>0.7987220447</v>
      </c>
      <c r="S352" s="12">
        <f t="shared" si="4"/>
        <v>4</v>
      </c>
      <c r="T352" s="8">
        <f t="shared" si="104"/>
        <v>500</v>
      </c>
      <c r="U352" s="13">
        <f>T352/vlookup(A352,Max!$A$2:$AP$700,column(Max!$AP$2),false)</f>
        <v>1.666666667</v>
      </c>
      <c r="V352" s="8">
        <f t="shared" si="6"/>
        <v>218.9081752</v>
      </c>
      <c r="W352" s="14">
        <f t="shared" si="7"/>
        <v>1.343095174</v>
      </c>
      <c r="X352" s="14">
        <f t="shared" si="8"/>
        <v>1.663444841</v>
      </c>
      <c r="Y352" s="14">
        <f t="shared" si="9"/>
        <v>1</v>
      </c>
      <c r="Z352" s="14">
        <f t="shared" si="10"/>
        <v>1.022601446</v>
      </c>
      <c r="AA352" s="27">
        <f t="shared" si="11"/>
        <v>11</v>
      </c>
      <c r="AB352" s="15">
        <f t="shared" si="106"/>
        <v>1</v>
      </c>
      <c r="AC352" s="15" t="str">
        <f t="shared" si="40"/>
        <v/>
      </c>
      <c r="AD352" s="15" t="str">
        <f t="shared" si="41"/>
        <v>$RD-0210-Mk3$: 11,</v>
      </c>
      <c r="AE352" s="15" t="str">
        <f t="shared" si="86"/>
        <v/>
      </c>
      <c r="AF352" s="15" t="str">
        <f t="shared" si="78"/>
        <v/>
      </c>
      <c r="AG352" s="15" t="str">
        <f t="shared" si="79"/>
        <v/>
      </c>
    </row>
    <row r="353" ht="15.75" customHeight="1">
      <c r="A353" s="16" t="s">
        <v>478</v>
      </c>
      <c r="B353" s="16" t="s">
        <v>479</v>
      </c>
      <c r="C353" s="17">
        <f t="shared" si="1"/>
        <v>435</v>
      </c>
      <c r="D353" s="16">
        <v>1964.0</v>
      </c>
      <c r="E353" s="16"/>
      <c r="F353" s="16" t="b">
        <v>1</v>
      </c>
      <c r="G353" s="16" t="b">
        <v>0</v>
      </c>
      <c r="H353" s="16" t="b">
        <v>1</v>
      </c>
      <c r="I353" s="16" t="b">
        <v>0</v>
      </c>
      <c r="J353" s="18" t="b">
        <v>0</v>
      </c>
      <c r="K353" s="16">
        <f>552+90</f>
        <v>642</v>
      </c>
      <c r="L353" s="16">
        <f>575.5+30.98</f>
        <v>606.48</v>
      </c>
      <c r="M353" s="16">
        <v>324.6</v>
      </c>
      <c r="N353" s="16">
        <v>14.71</v>
      </c>
      <c r="O353" s="16">
        <v>0.98125</v>
      </c>
      <c r="P353" s="16">
        <v>0.98125</v>
      </c>
      <c r="Q353" s="19">
        <f t="shared" si="2"/>
        <v>96.32982664</v>
      </c>
      <c r="R353" s="20">
        <f t="shared" si="3"/>
        <v>0.7172536605</v>
      </c>
      <c r="S353" s="21">
        <f t="shared" si="4"/>
        <v>4</v>
      </c>
      <c r="T353" s="17">
        <f t="shared" si="104"/>
        <v>435</v>
      </c>
      <c r="U353" s="22">
        <f>T353/vlookup(A353,Max!$A$2:$AP$700,column(Max!$AP$2),false)</f>
        <v>1.45</v>
      </c>
      <c r="V353" s="17">
        <f t="shared" si="6"/>
        <v>236.5094093</v>
      </c>
      <c r="W353" s="23">
        <f t="shared" si="7"/>
        <v>1.185953858</v>
      </c>
      <c r="X353" s="23">
        <f t="shared" si="8"/>
        <v>1.663699383</v>
      </c>
      <c r="Y353" s="23">
        <f t="shared" si="9"/>
        <v>1</v>
      </c>
      <c r="Z353" s="23">
        <f t="shared" si="10"/>
        <v>0.9328468777</v>
      </c>
      <c r="AA353" s="26">
        <f t="shared" si="11"/>
        <v>0</v>
      </c>
      <c r="AB353" s="25">
        <v>0.0</v>
      </c>
      <c r="AC353" s="26" t="str">
        <f t="shared" si="40"/>
        <v>{
$name$: $RD-0205$,
$config$: $RD0212$,
$cost$: 435
},</v>
      </c>
      <c r="AD353" s="26" t="str">
        <f t="shared" si="41"/>
        <v/>
      </c>
      <c r="AE353" s="26" t="str">
        <f t="shared" si="86"/>
        <v/>
      </c>
      <c r="AF353" s="26" t="str">
        <f t="shared" si="78"/>
        <v/>
      </c>
      <c r="AG353" s="26" t="str">
        <f t="shared" si="79"/>
        <v/>
      </c>
    </row>
    <row r="354" ht="15.75" customHeight="1">
      <c r="A354" s="7" t="s">
        <v>480</v>
      </c>
      <c r="B354" s="7" t="s">
        <v>479</v>
      </c>
      <c r="C354" s="8">
        <f t="shared" si="1"/>
        <v>36</v>
      </c>
      <c r="D354" s="7">
        <v>1967.0</v>
      </c>
      <c r="E354" s="7"/>
      <c r="F354" s="7" t="b">
        <v>1</v>
      </c>
      <c r="G354" s="7" t="b">
        <v>0</v>
      </c>
      <c r="H354" s="7" t="b">
        <v>1</v>
      </c>
      <c r="I354" s="7" t="b">
        <v>0</v>
      </c>
      <c r="J354" s="9" t="b">
        <v>0</v>
      </c>
      <c r="K354" s="7">
        <f t="shared" ref="K354:K356" si="107">550+90</f>
        <v>640</v>
      </c>
      <c r="L354" s="7">
        <f>581.8+30.98</f>
        <v>612.78</v>
      </c>
      <c r="M354" s="7">
        <v>325.3</v>
      </c>
      <c r="N354" s="7">
        <v>14.71</v>
      </c>
      <c r="O354" s="7">
        <v>0.998951</v>
      </c>
      <c r="P354" s="7">
        <v>0.993357</v>
      </c>
      <c r="Q354" s="10">
        <f t="shared" si="2"/>
        <v>97.63464049</v>
      </c>
      <c r="R354" s="11">
        <f t="shared" si="3"/>
        <v>0.7686282189</v>
      </c>
      <c r="S354" s="12">
        <f t="shared" si="4"/>
        <v>4</v>
      </c>
      <c r="T354" s="8">
        <f t="shared" si="104"/>
        <v>471</v>
      </c>
      <c r="U354" s="13">
        <f>T354/vlookup(A354,Max!$A$2:$AP$700,column(Max!$AP$2),false)</f>
        <v>1.207692308</v>
      </c>
      <c r="V354" s="8">
        <f t="shared" si="6"/>
        <v>236.0566489</v>
      </c>
      <c r="W354" s="14">
        <f t="shared" si="7"/>
        <v>1.191945534</v>
      </c>
      <c r="X354" s="14">
        <f t="shared" si="8"/>
        <v>1.663699383</v>
      </c>
      <c r="Y354" s="14">
        <f t="shared" si="9"/>
        <v>1</v>
      </c>
      <c r="Z354" s="14">
        <f t="shared" si="10"/>
        <v>1.005856136</v>
      </c>
      <c r="AA354" s="27">
        <f t="shared" si="11"/>
        <v>36</v>
      </c>
      <c r="AB354" s="15">
        <f t="shared" ref="AB354:AB356" si="108">if(iserror(find("$",A354)),1,2)</f>
        <v>1</v>
      </c>
      <c r="AC354" s="15" t="str">
        <f t="shared" si="40"/>
        <v/>
      </c>
      <c r="AD354" s="15" t="str">
        <f t="shared" si="41"/>
        <v>$RD-0212$: 36,</v>
      </c>
      <c r="AE354" s="15" t="str">
        <f t="shared" si="86"/>
        <v/>
      </c>
      <c r="AF354" s="15" t="str">
        <f t="shared" si="78"/>
        <v/>
      </c>
      <c r="AG354" s="15" t="str">
        <f t="shared" si="79"/>
        <v/>
      </c>
    </row>
    <row r="355" ht="15.75" customHeight="1">
      <c r="A355" s="16" t="s">
        <v>481</v>
      </c>
      <c r="B355" s="16" t="s">
        <v>479</v>
      </c>
      <c r="C355" s="17">
        <f t="shared" si="1"/>
        <v>41</v>
      </c>
      <c r="D355" s="16">
        <v>1977.0</v>
      </c>
      <c r="E355" s="16"/>
      <c r="F355" s="16" t="b">
        <v>1</v>
      </c>
      <c r="G355" s="16" t="b">
        <v>0</v>
      </c>
      <c r="H355" s="16" t="b">
        <v>1</v>
      </c>
      <c r="I355" s="16" t="b">
        <v>0</v>
      </c>
      <c r="J355" s="18" t="b">
        <v>0</v>
      </c>
      <c r="K355" s="16">
        <f t="shared" si="107"/>
        <v>640</v>
      </c>
      <c r="L355" s="16">
        <f>594+30.98</f>
        <v>624.98</v>
      </c>
      <c r="M355" s="16">
        <v>325.3</v>
      </c>
      <c r="N355" s="16">
        <v>14.71</v>
      </c>
      <c r="O355" s="16">
        <v>0.998951</v>
      </c>
      <c r="P355" s="16">
        <v>0.997552</v>
      </c>
      <c r="Q355" s="19">
        <f t="shared" si="2"/>
        <v>99.57847452</v>
      </c>
      <c r="R355" s="20">
        <f t="shared" si="3"/>
        <v>0.761624372</v>
      </c>
      <c r="S355" s="21">
        <f t="shared" si="4"/>
        <v>4</v>
      </c>
      <c r="T355" s="17">
        <f t="shared" si="104"/>
        <v>476</v>
      </c>
      <c r="U355" s="22">
        <f>T355/vlookup(A355,Max!$A$2:$AP$700,column(Max!$AP$2),false)</f>
        <v>1.64137931</v>
      </c>
      <c r="V355" s="17">
        <f t="shared" si="6"/>
        <v>236.0566489</v>
      </c>
      <c r="W355" s="23">
        <f t="shared" si="7"/>
        <v>1.191945534</v>
      </c>
      <c r="X355" s="23">
        <f t="shared" si="8"/>
        <v>1.663699383</v>
      </c>
      <c r="Y355" s="23">
        <f t="shared" si="9"/>
        <v>1</v>
      </c>
      <c r="Z355" s="23">
        <f t="shared" si="10"/>
        <v>1.016509256</v>
      </c>
      <c r="AA355" s="24">
        <f t="shared" si="11"/>
        <v>41</v>
      </c>
      <c r="AB355" s="26">
        <f t="shared" si="108"/>
        <v>1</v>
      </c>
      <c r="AC355" s="26" t="str">
        <f t="shared" si="40"/>
        <v/>
      </c>
      <c r="AD355" s="26" t="str">
        <f t="shared" si="41"/>
        <v>$RD-0212-Mk2$: 41,</v>
      </c>
      <c r="AE355" s="26" t="str">
        <f t="shared" si="86"/>
        <v/>
      </c>
      <c r="AF355" s="26" t="str">
        <f t="shared" si="78"/>
        <v/>
      </c>
      <c r="AG355" s="26" t="str">
        <f t="shared" si="79"/>
        <v/>
      </c>
    </row>
    <row r="356" ht="15.75" customHeight="1">
      <c r="A356" s="7" t="s">
        <v>482</v>
      </c>
      <c r="B356" s="7" t="s">
        <v>479</v>
      </c>
      <c r="C356" s="8">
        <f t="shared" si="1"/>
        <v>41</v>
      </c>
      <c r="D356" s="7">
        <v>1993.0</v>
      </c>
      <c r="E356" s="7"/>
      <c r="F356" s="7" t="b">
        <v>1</v>
      </c>
      <c r="G356" s="7" t="b">
        <v>0</v>
      </c>
      <c r="H356" s="7" t="b">
        <v>1</v>
      </c>
      <c r="I356" s="7" t="b">
        <v>0</v>
      </c>
      <c r="J356" s="9" t="b">
        <v>0</v>
      </c>
      <c r="K356" s="7">
        <f t="shared" si="107"/>
        <v>640</v>
      </c>
      <c r="L356" s="7">
        <f>607.2+30.98</f>
        <v>638.18</v>
      </c>
      <c r="M356" s="7">
        <v>325.3</v>
      </c>
      <c r="N356" s="7">
        <v>14.71</v>
      </c>
      <c r="O356" s="7">
        <v>0.998951</v>
      </c>
      <c r="P356" s="7">
        <v>0.997552</v>
      </c>
      <c r="Q356" s="10">
        <f t="shared" si="2"/>
        <v>101.6816392</v>
      </c>
      <c r="R356" s="11">
        <f t="shared" si="3"/>
        <v>0.7458710709</v>
      </c>
      <c r="S356" s="12">
        <f t="shared" si="4"/>
        <v>4</v>
      </c>
      <c r="T356" s="8">
        <f t="shared" si="104"/>
        <v>476</v>
      </c>
      <c r="U356" s="13">
        <f>T356/vlookup(A356,Max!$A$2:$AP$700,column(Max!$AP$2),false)</f>
        <v>2.069565217</v>
      </c>
      <c r="V356" s="8">
        <f t="shared" si="6"/>
        <v>236.0566489</v>
      </c>
      <c r="W356" s="14">
        <f t="shared" si="7"/>
        <v>1.191945534</v>
      </c>
      <c r="X356" s="14">
        <f t="shared" si="8"/>
        <v>1.663699383</v>
      </c>
      <c r="Y356" s="14">
        <f t="shared" si="9"/>
        <v>1</v>
      </c>
      <c r="Z356" s="14">
        <f t="shared" si="10"/>
        <v>1.016509256</v>
      </c>
      <c r="AA356" s="27">
        <f t="shared" si="11"/>
        <v>41</v>
      </c>
      <c r="AB356" s="15">
        <f t="shared" si="108"/>
        <v>1</v>
      </c>
      <c r="AC356" s="15" t="str">
        <f t="shared" si="40"/>
        <v/>
      </c>
      <c r="AD356" s="15" t="str">
        <f t="shared" si="41"/>
        <v>$RD-0212-Mk3$: 41,</v>
      </c>
      <c r="AE356" s="15" t="str">
        <f t="shared" si="86"/>
        <v/>
      </c>
      <c r="AF356" s="15" t="str">
        <f t="shared" si="78"/>
        <v/>
      </c>
      <c r="AG356" s="15" t="str">
        <f t="shared" si="79"/>
        <v/>
      </c>
    </row>
    <row r="357" ht="15.75" customHeight="1">
      <c r="A357" s="16" t="s">
        <v>483</v>
      </c>
      <c r="B357" s="16" t="s">
        <v>484</v>
      </c>
      <c r="C357" s="17">
        <f t="shared" si="1"/>
        <v>419</v>
      </c>
      <c r="D357" s="16">
        <v>1964.0</v>
      </c>
      <c r="E357" s="16"/>
      <c r="F357" s="16" t="b">
        <v>1</v>
      </c>
      <c r="G357" s="16" t="b">
        <v>0</v>
      </c>
      <c r="H357" s="16" t="b">
        <v>1</v>
      </c>
      <c r="I357" s="16" t="b">
        <v>0</v>
      </c>
      <c r="J357" s="18" t="b">
        <v>0</v>
      </c>
      <c r="K357" s="16">
        <v>552.0</v>
      </c>
      <c r="L357" s="16">
        <v>575.5</v>
      </c>
      <c r="M357" s="16">
        <v>326.0</v>
      </c>
      <c r="N357" s="16">
        <v>14.71</v>
      </c>
      <c r="O357" s="16">
        <v>0.99</v>
      </c>
      <c r="P357" s="16">
        <v>0.99</v>
      </c>
      <c r="Q357" s="19">
        <f t="shared" si="2"/>
        <v>106.3128041</v>
      </c>
      <c r="R357" s="20">
        <f t="shared" si="3"/>
        <v>0.7280625543</v>
      </c>
      <c r="S357" s="21">
        <f t="shared" si="4"/>
        <v>4</v>
      </c>
      <c r="T357" s="17">
        <f t="shared" si="104"/>
        <v>419</v>
      </c>
      <c r="U357" s="22">
        <f>T357/vlookup(A357,Max!$A$2:$AP$700,column(Max!$AP$2),false)</f>
        <v>1.232352941</v>
      </c>
      <c r="V357" s="17">
        <f t="shared" si="6"/>
        <v>215.5707786</v>
      </c>
      <c r="W357" s="23">
        <f t="shared" si="7"/>
        <v>1.197979511</v>
      </c>
      <c r="X357" s="23">
        <f t="shared" si="8"/>
        <v>1.663699383</v>
      </c>
      <c r="Y357" s="23">
        <f t="shared" si="9"/>
        <v>1</v>
      </c>
      <c r="Z357" s="23">
        <f t="shared" si="10"/>
        <v>0.9751871871</v>
      </c>
      <c r="AA357" s="26">
        <f t="shared" si="11"/>
        <v>0</v>
      </c>
      <c r="AB357" s="25">
        <v>0.0</v>
      </c>
      <c r="AC357" s="26" t="str">
        <f t="shared" si="40"/>
        <v>{
$name$: $RD-0206$,
$config$: $RD0213$,
$cost$: 419
},</v>
      </c>
      <c r="AD357" s="26" t="str">
        <f t="shared" si="41"/>
        <v/>
      </c>
      <c r="AE357" s="26" t="str">
        <f t="shared" si="86"/>
        <v/>
      </c>
      <c r="AF357" s="26" t="str">
        <f t="shared" si="78"/>
        <v/>
      </c>
      <c r="AG357" s="26" t="str">
        <f t="shared" si="79"/>
        <v/>
      </c>
    </row>
    <row r="358" ht="15.75" customHeight="1">
      <c r="A358" s="7" t="s">
        <v>485</v>
      </c>
      <c r="B358" s="7" t="s">
        <v>484</v>
      </c>
      <c r="C358" s="8">
        <f t="shared" si="1"/>
        <v>20</v>
      </c>
      <c r="D358" s="7">
        <v>1967.0</v>
      </c>
      <c r="E358" s="7"/>
      <c r="F358" s="7" t="b">
        <v>1</v>
      </c>
      <c r="G358" s="7" t="b">
        <v>0</v>
      </c>
      <c r="H358" s="7" t="b">
        <v>1</v>
      </c>
      <c r="I358" s="7" t="b">
        <v>0</v>
      </c>
      <c r="J358" s="9" t="b">
        <v>0</v>
      </c>
      <c r="K358" s="7">
        <v>550.0</v>
      </c>
      <c r="L358" s="7">
        <v>581.8</v>
      </c>
      <c r="M358" s="7">
        <v>327.0</v>
      </c>
      <c r="N358" s="7">
        <v>14.71</v>
      </c>
      <c r="O358" s="7">
        <v>0.999474</v>
      </c>
      <c r="P358" s="7">
        <v>0.996667</v>
      </c>
      <c r="Q358" s="10">
        <f t="shared" si="2"/>
        <v>107.8674347</v>
      </c>
      <c r="R358" s="11">
        <f t="shared" si="3"/>
        <v>0.7545548298</v>
      </c>
      <c r="S358" s="12">
        <f t="shared" si="4"/>
        <v>4</v>
      </c>
      <c r="T358" s="8">
        <f t="shared" si="104"/>
        <v>439</v>
      </c>
      <c r="U358" s="13">
        <f>T358/vlookup(A358,Max!$A$2:$AP$700,column(Max!$AP$2),false)</f>
        <v>1.070731707</v>
      </c>
      <c r="V358" s="8">
        <f t="shared" si="6"/>
        <v>215.091411</v>
      </c>
      <c r="W358" s="14">
        <f t="shared" si="7"/>
        <v>1.206673473</v>
      </c>
      <c r="X358" s="14">
        <f t="shared" si="8"/>
        <v>1.663699383</v>
      </c>
      <c r="Y358" s="14">
        <f t="shared" si="9"/>
        <v>1</v>
      </c>
      <c r="Z358" s="14">
        <f t="shared" si="10"/>
        <v>1.015584264</v>
      </c>
      <c r="AA358" s="27">
        <f t="shared" si="11"/>
        <v>20</v>
      </c>
      <c r="AB358" s="15">
        <f t="shared" ref="AB358:AB360" si="109">if(iserror(find("$",A358)),1,2)</f>
        <v>1</v>
      </c>
      <c r="AC358" s="15" t="str">
        <f t="shared" si="40"/>
        <v/>
      </c>
      <c r="AD358" s="15" t="str">
        <f t="shared" si="41"/>
        <v>$RD-0213$: 20,</v>
      </c>
      <c r="AE358" s="15" t="str">
        <f t="shared" si="86"/>
        <v/>
      </c>
      <c r="AF358" s="15" t="str">
        <f t="shared" si="78"/>
        <v/>
      </c>
      <c r="AG358" s="15" t="str">
        <f t="shared" si="79"/>
        <v/>
      </c>
    </row>
    <row r="359" ht="15.75" customHeight="1">
      <c r="A359" s="16" t="s">
        <v>486</v>
      </c>
      <c r="B359" s="16" t="s">
        <v>484</v>
      </c>
      <c r="C359" s="17">
        <f t="shared" si="1"/>
        <v>22</v>
      </c>
      <c r="D359" s="16">
        <v>1977.0</v>
      </c>
      <c r="E359" s="16"/>
      <c r="F359" s="16" t="b">
        <v>1</v>
      </c>
      <c r="G359" s="16" t="b">
        <v>0</v>
      </c>
      <c r="H359" s="16" t="b">
        <v>1</v>
      </c>
      <c r="I359" s="16" t="b">
        <v>0</v>
      </c>
      <c r="J359" s="18" t="b">
        <v>0</v>
      </c>
      <c r="K359" s="16">
        <v>550.0</v>
      </c>
      <c r="L359" s="16">
        <v>594.0</v>
      </c>
      <c r="M359" s="16">
        <v>327.0</v>
      </c>
      <c r="N359" s="16">
        <v>14.71</v>
      </c>
      <c r="O359" s="16">
        <v>0.999474</v>
      </c>
      <c r="P359" s="16">
        <v>0.998772</v>
      </c>
      <c r="Q359" s="19">
        <f t="shared" si="2"/>
        <v>110.1293507</v>
      </c>
      <c r="R359" s="20">
        <f t="shared" si="3"/>
        <v>0.7424242424</v>
      </c>
      <c r="S359" s="21">
        <f t="shared" si="4"/>
        <v>4</v>
      </c>
      <c r="T359" s="17">
        <f t="shared" si="104"/>
        <v>441</v>
      </c>
      <c r="U359" s="22">
        <f>T359/vlookup(A359,Max!$A$2:$AP$700,column(Max!$AP$2),false)</f>
        <v>1.47</v>
      </c>
      <c r="V359" s="17">
        <f t="shared" si="6"/>
        <v>215.091411</v>
      </c>
      <c r="W359" s="23">
        <f t="shared" si="7"/>
        <v>1.206673473</v>
      </c>
      <c r="X359" s="23">
        <f t="shared" si="8"/>
        <v>1.663699383</v>
      </c>
      <c r="Y359" s="23">
        <f t="shared" si="9"/>
        <v>1</v>
      </c>
      <c r="Z359" s="23">
        <f t="shared" si="10"/>
        <v>1.020955146</v>
      </c>
      <c r="AA359" s="24">
        <f t="shared" si="11"/>
        <v>22</v>
      </c>
      <c r="AB359" s="26">
        <f t="shared" si="109"/>
        <v>1</v>
      </c>
      <c r="AC359" s="26" t="str">
        <f t="shared" si="40"/>
        <v/>
      </c>
      <c r="AD359" s="26" t="str">
        <f t="shared" si="41"/>
        <v>$RD-0213-Mk2$: 22,</v>
      </c>
      <c r="AE359" s="26" t="str">
        <f t="shared" si="86"/>
        <v/>
      </c>
      <c r="AF359" s="26" t="str">
        <f t="shared" si="78"/>
        <v/>
      </c>
      <c r="AG359" s="26" t="str">
        <f t="shared" si="79"/>
        <v/>
      </c>
    </row>
    <row r="360" ht="15.75" customHeight="1">
      <c r="A360" s="7" t="s">
        <v>487</v>
      </c>
      <c r="B360" s="7" t="s">
        <v>484</v>
      </c>
      <c r="C360" s="8">
        <f t="shared" si="1"/>
        <v>22</v>
      </c>
      <c r="D360" s="7">
        <v>1993.0</v>
      </c>
      <c r="E360" s="7"/>
      <c r="F360" s="7" t="b">
        <v>1</v>
      </c>
      <c r="G360" s="7" t="b">
        <v>0</v>
      </c>
      <c r="H360" s="7" t="b">
        <v>1</v>
      </c>
      <c r="I360" s="7" t="b">
        <v>0</v>
      </c>
      <c r="J360" s="9" t="b">
        <v>0</v>
      </c>
      <c r="K360" s="7">
        <v>550.0</v>
      </c>
      <c r="L360" s="7">
        <v>607.2</v>
      </c>
      <c r="M360" s="7">
        <v>327.0</v>
      </c>
      <c r="N360" s="7">
        <v>14.71</v>
      </c>
      <c r="O360" s="7">
        <v>0.999474</v>
      </c>
      <c r="P360" s="7">
        <v>0.998772</v>
      </c>
      <c r="Q360" s="10">
        <f t="shared" si="2"/>
        <v>112.5766696</v>
      </c>
      <c r="R360" s="11">
        <f t="shared" si="3"/>
        <v>0.726284585</v>
      </c>
      <c r="S360" s="12">
        <f t="shared" si="4"/>
        <v>4</v>
      </c>
      <c r="T360" s="8">
        <f t="shared" si="104"/>
        <v>441</v>
      </c>
      <c r="U360" s="13">
        <f>T360/vlookup(A360,Max!$A$2:$AP$700,column(Max!$AP$2),false)</f>
        <v>1.8375</v>
      </c>
      <c r="V360" s="8">
        <f t="shared" si="6"/>
        <v>215.091411</v>
      </c>
      <c r="W360" s="14">
        <f t="shared" si="7"/>
        <v>1.206673473</v>
      </c>
      <c r="X360" s="14">
        <f t="shared" si="8"/>
        <v>1.663699383</v>
      </c>
      <c r="Y360" s="14">
        <f t="shared" si="9"/>
        <v>1</v>
      </c>
      <c r="Z360" s="14">
        <f t="shared" si="10"/>
        <v>1.020955146</v>
      </c>
      <c r="AA360" s="27">
        <f t="shared" si="11"/>
        <v>22</v>
      </c>
      <c r="AB360" s="15">
        <f t="shared" si="109"/>
        <v>1</v>
      </c>
      <c r="AC360" s="15" t="str">
        <f t="shared" si="40"/>
        <v/>
      </c>
      <c r="AD360" s="15" t="str">
        <f t="shared" si="41"/>
        <v>$RD-0213-Mk3$: 22,</v>
      </c>
      <c r="AE360" s="15" t="str">
        <f t="shared" si="86"/>
        <v/>
      </c>
      <c r="AF360" s="15" t="str">
        <f t="shared" si="78"/>
        <v/>
      </c>
      <c r="AG360" s="15" t="str">
        <f t="shared" si="79"/>
        <v/>
      </c>
    </row>
    <row r="361" ht="15.75" customHeight="1">
      <c r="A361" s="16" t="s">
        <v>488</v>
      </c>
      <c r="B361" s="16" t="s">
        <v>489</v>
      </c>
      <c r="C361" s="17">
        <f t="shared" si="1"/>
        <v>91</v>
      </c>
      <c r="D361" s="16">
        <v>1964.0</v>
      </c>
      <c r="E361" s="16"/>
      <c r="F361" s="16" t="b">
        <v>1</v>
      </c>
      <c r="G361" s="16" t="b">
        <v>0</v>
      </c>
      <c r="H361" s="16" t="b">
        <v>1</v>
      </c>
      <c r="I361" s="16" t="b">
        <v>0</v>
      </c>
      <c r="J361" s="18" t="b">
        <v>0</v>
      </c>
      <c r="K361" s="16">
        <v>90.0</v>
      </c>
      <c r="L361" s="16">
        <v>30.98</v>
      </c>
      <c r="M361" s="16">
        <v>297.0</v>
      </c>
      <c r="N361" s="16">
        <v>5.3</v>
      </c>
      <c r="O361" s="16">
        <v>0.99</v>
      </c>
      <c r="P361" s="16">
        <v>0.99</v>
      </c>
      <c r="Q361" s="19">
        <f t="shared" si="2"/>
        <v>35.10089798</v>
      </c>
      <c r="R361" s="20">
        <f t="shared" si="3"/>
        <v>2.937378954</v>
      </c>
      <c r="S361" s="21">
        <f t="shared" si="4"/>
        <v>4</v>
      </c>
      <c r="T361" s="17">
        <f t="shared" si="104"/>
        <v>91</v>
      </c>
      <c r="U361" s="22">
        <f>T361/vlookup(A361,Max!$A$2:$AP$700,column(Max!$AP$2),false)</f>
        <v>3.956521739</v>
      </c>
      <c r="V361" s="17">
        <f t="shared" si="6"/>
        <v>71.55884225</v>
      </c>
      <c r="W361" s="23">
        <f t="shared" si="7"/>
        <v>0.9912508265</v>
      </c>
      <c r="X361" s="23">
        <f t="shared" si="8"/>
        <v>1.322281966</v>
      </c>
      <c r="Y361" s="23">
        <f t="shared" si="9"/>
        <v>1</v>
      </c>
      <c r="Z361" s="23">
        <f t="shared" si="10"/>
        <v>0.9751871871</v>
      </c>
      <c r="AA361" s="26">
        <f t="shared" si="11"/>
        <v>0</v>
      </c>
      <c r="AB361" s="25">
        <v>0.0</v>
      </c>
      <c r="AC361" s="26" t="str">
        <f t="shared" si="40"/>
        <v>{
$name$: $RD-0207$,
$config$: $RD0214$,
$cost$: 91
},</v>
      </c>
      <c r="AD361" s="26" t="str">
        <f t="shared" si="41"/>
        <v/>
      </c>
      <c r="AE361" s="26" t="str">
        <f t="shared" si="86"/>
        <v/>
      </c>
      <c r="AF361" s="26" t="str">
        <f t="shared" si="78"/>
        <v/>
      </c>
      <c r="AG361" s="26" t="str">
        <f t="shared" si="79"/>
        <v/>
      </c>
    </row>
    <row r="362" ht="15.75" customHeight="1">
      <c r="A362" s="7" t="s">
        <v>490</v>
      </c>
      <c r="B362" s="7" t="s">
        <v>489</v>
      </c>
      <c r="C362" s="8">
        <f t="shared" si="1"/>
        <v>4</v>
      </c>
      <c r="D362" s="7">
        <v>1967.0</v>
      </c>
      <c r="E362" s="7"/>
      <c r="F362" s="7" t="b">
        <v>1</v>
      </c>
      <c r="G362" s="7" t="b">
        <v>0</v>
      </c>
      <c r="H362" s="7" t="b">
        <v>1</v>
      </c>
      <c r="I362" s="7" t="b">
        <v>0</v>
      </c>
      <c r="J362" s="9" t="b">
        <v>0</v>
      </c>
      <c r="K362" s="7">
        <v>90.0</v>
      </c>
      <c r="L362" s="7">
        <v>30.98</v>
      </c>
      <c r="M362" s="7">
        <v>293.0</v>
      </c>
      <c r="N362" s="7">
        <v>5.3</v>
      </c>
      <c r="O362" s="7">
        <v>0.999748</v>
      </c>
      <c r="P362" s="7">
        <v>0.998067</v>
      </c>
      <c r="Q362" s="10">
        <f t="shared" si="2"/>
        <v>35.10089798</v>
      </c>
      <c r="R362" s="11">
        <f t="shared" si="3"/>
        <v>3.066494513</v>
      </c>
      <c r="S362" s="12">
        <f t="shared" si="4"/>
        <v>4</v>
      </c>
      <c r="T362" s="8">
        <f t="shared" si="104"/>
        <v>95</v>
      </c>
      <c r="U362" s="13">
        <f>T362/vlookup(A362,Max!$A$2:$AP$700,column(Max!$AP$2),false)</f>
        <v>3.392857143</v>
      </c>
      <c r="V362" s="8">
        <f t="shared" si="6"/>
        <v>71.55884225</v>
      </c>
      <c r="W362" s="14">
        <f t="shared" si="7"/>
        <v>0.9803330393</v>
      </c>
      <c r="X362" s="14">
        <f t="shared" si="8"/>
        <v>1.322281966</v>
      </c>
      <c r="Y362" s="14">
        <f t="shared" si="9"/>
        <v>1</v>
      </c>
      <c r="Z362" s="14">
        <f t="shared" si="10"/>
        <v>1.019853086</v>
      </c>
      <c r="AA362" s="27">
        <f t="shared" si="11"/>
        <v>4</v>
      </c>
      <c r="AB362" s="15">
        <f>if(iserror(find("$",A362)),1,2)</f>
        <v>1</v>
      </c>
      <c r="AC362" s="15" t="str">
        <f t="shared" si="40"/>
        <v/>
      </c>
      <c r="AD362" s="15" t="str">
        <f t="shared" si="41"/>
        <v>$RD-0214$: 4,</v>
      </c>
      <c r="AE362" s="15" t="str">
        <f t="shared" si="86"/>
        <v/>
      </c>
      <c r="AF362" s="15" t="str">
        <f t="shared" si="78"/>
        <v/>
      </c>
      <c r="AG362" s="15" t="str">
        <f t="shared" si="79"/>
        <v/>
      </c>
    </row>
    <row r="363" ht="15.75" customHeight="1">
      <c r="A363" s="16" t="s">
        <v>491</v>
      </c>
      <c r="B363" s="16" t="s">
        <v>492</v>
      </c>
      <c r="C363" s="17">
        <f t="shared" si="1"/>
        <v>180</v>
      </c>
      <c r="D363" s="16">
        <v>1965.0</v>
      </c>
      <c r="E363" s="16"/>
      <c r="F363" s="16" t="b">
        <v>1</v>
      </c>
      <c r="G363" s="16" t="b">
        <v>0</v>
      </c>
      <c r="H363" s="16" t="b">
        <v>1</v>
      </c>
      <c r="I363" s="16" t="b">
        <v>0</v>
      </c>
      <c r="J363" s="18" t="b">
        <v>0</v>
      </c>
      <c r="K363" s="16">
        <v>153.0</v>
      </c>
      <c r="L363" s="16">
        <v>219.2</v>
      </c>
      <c r="M363" s="16">
        <v>312.7</v>
      </c>
      <c r="N363" s="16">
        <v>14.7</v>
      </c>
      <c r="O363" s="16">
        <v>0.997807</v>
      </c>
      <c r="P363" s="16">
        <v>0.997807</v>
      </c>
      <c r="Q363" s="19">
        <f t="shared" si="2"/>
        <v>146.0926753</v>
      </c>
      <c r="R363" s="20">
        <f t="shared" si="3"/>
        <v>0.8211678832</v>
      </c>
      <c r="S363" s="21">
        <f t="shared" si="4"/>
        <v>4</v>
      </c>
      <c r="T363" s="17">
        <f t="shared" si="104"/>
        <v>180</v>
      </c>
      <c r="U363" s="22">
        <f>T363/vlookup(A363,Max!$A$2:$AP$700,column(Max!$AP$2),false)</f>
        <v>0.9</v>
      </c>
      <c r="V363" s="17">
        <f t="shared" si="6"/>
        <v>98.59860449</v>
      </c>
      <c r="W363" s="23">
        <f t="shared" si="7"/>
        <v>1.083040449</v>
      </c>
      <c r="X363" s="23">
        <f t="shared" si="8"/>
        <v>1.663444841</v>
      </c>
      <c r="Y363" s="23">
        <f t="shared" si="9"/>
        <v>1</v>
      </c>
      <c r="Z363" s="23">
        <f t="shared" si="10"/>
        <v>1.014249367</v>
      </c>
      <c r="AA363" s="26">
        <f t="shared" si="11"/>
        <v>0</v>
      </c>
      <c r="AB363" s="25">
        <v>0.0</v>
      </c>
      <c r="AC363" s="26" t="str">
        <f t="shared" si="40"/>
        <v>{
$name$: $RD-0216$,
$config$: $RD0216$,
$cost$: 180
},</v>
      </c>
      <c r="AD363" s="26" t="str">
        <f t="shared" si="41"/>
        <v/>
      </c>
      <c r="AE363" s="26" t="str">
        <f t="shared" si="86"/>
        <v/>
      </c>
      <c r="AF363" s="26" t="str">
        <f t="shared" si="78"/>
        <v/>
      </c>
      <c r="AG363" s="26" t="str">
        <f t="shared" si="79"/>
        <v/>
      </c>
    </row>
    <row r="364" ht="15.75" customHeight="1">
      <c r="A364" s="7" t="s">
        <v>493</v>
      </c>
      <c r="B364" s="7" t="s">
        <v>492</v>
      </c>
      <c r="C364" s="8">
        <f t="shared" si="1"/>
        <v>69</v>
      </c>
      <c r="D364" s="7">
        <v>1968.0</v>
      </c>
      <c r="E364" s="7"/>
      <c r="F364" s="7" t="b">
        <v>1</v>
      </c>
      <c r="G364" s="7" t="b">
        <v>0</v>
      </c>
      <c r="H364" s="7" t="b">
        <v>1</v>
      </c>
      <c r="I364" s="7" t="b">
        <v>0</v>
      </c>
      <c r="J364" s="9" t="b">
        <v>0</v>
      </c>
      <c r="K364" s="7">
        <v>199.0</v>
      </c>
      <c r="L364" s="7">
        <v>230.5</v>
      </c>
      <c r="M364" s="7">
        <v>328.8</v>
      </c>
      <c r="N364" s="7">
        <v>17.5</v>
      </c>
      <c r="O364" s="7">
        <v>0.998357</v>
      </c>
      <c r="P364" s="7">
        <v>0.998357</v>
      </c>
      <c r="Q364" s="10">
        <f t="shared" si="2"/>
        <v>118.1128575</v>
      </c>
      <c r="R364" s="11">
        <f t="shared" si="3"/>
        <v>1.080260304</v>
      </c>
      <c r="S364" s="12">
        <f t="shared" si="4"/>
        <v>4</v>
      </c>
      <c r="T364" s="8">
        <f t="shared" si="104"/>
        <v>249</v>
      </c>
      <c r="U364" s="13">
        <f>T364/vlookup(A364,Max!$A$2:$AP$700,column(Max!$AP$2),false)</f>
        <v>1.464705882</v>
      </c>
      <c r="V364" s="8">
        <f t="shared" si="6"/>
        <v>115.6433045</v>
      </c>
      <c r="W364" s="14">
        <f t="shared" si="7"/>
        <v>1.222544665</v>
      </c>
      <c r="X364" s="14">
        <f t="shared" si="8"/>
        <v>1.729997857</v>
      </c>
      <c r="Y364" s="14">
        <f t="shared" si="9"/>
        <v>1</v>
      </c>
      <c r="Z364" s="14">
        <f t="shared" si="10"/>
        <v>1.017047766</v>
      </c>
      <c r="AA364" s="27">
        <f t="shared" si="11"/>
        <v>69</v>
      </c>
      <c r="AB364" s="15">
        <f t="shared" ref="AB364:AB365" si="110">if(iserror(find("$",A364)),1,2)</f>
        <v>1</v>
      </c>
      <c r="AC364" s="15" t="str">
        <f t="shared" si="40"/>
        <v/>
      </c>
      <c r="AD364" s="15" t="str">
        <f t="shared" si="41"/>
        <v>$11D23$: 69,</v>
      </c>
      <c r="AE364" s="15" t="str">
        <f t="shared" si="86"/>
        <v/>
      </c>
      <c r="AF364" s="15" t="str">
        <f t="shared" si="78"/>
        <v/>
      </c>
      <c r="AG364" s="15" t="str">
        <f t="shared" si="79"/>
        <v/>
      </c>
    </row>
    <row r="365" ht="15.75" customHeight="1">
      <c r="A365" s="16" t="s">
        <v>494</v>
      </c>
      <c r="B365" s="16" t="s">
        <v>492</v>
      </c>
      <c r="C365" s="17">
        <f t="shared" si="1"/>
        <v>57</v>
      </c>
      <c r="D365" s="16">
        <v>1973.0</v>
      </c>
      <c r="E365" s="16"/>
      <c r="F365" s="16" t="b">
        <v>1</v>
      </c>
      <c r="G365" s="16" t="b">
        <v>0</v>
      </c>
      <c r="H365" s="16" t="b">
        <v>1</v>
      </c>
      <c r="I365" s="16" t="b">
        <v>0</v>
      </c>
      <c r="J365" s="18" t="b">
        <v>0</v>
      </c>
      <c r="K365" s="16">
        <v>199.0</v>
      </c>
      <c r="L365" s="16">
        <v>240.0</v>
      </c>
      <c r="M365" s="16">
        <v>322.0</v>
      </c>
      <c r="N365" s="16">
        <v>17.5</v>
      </c>
      <c r="O365" s="16">
        <v>0.998357</v>
      </c>
      <c r="P365" s="16">
        <v>0.998357</v>
      </c>
      <c r="Q365" s="19">
        <f t="shared" si="2"/>
        <v>122.9808494</v>
      </c>
      <c r="R365" s="20">
        <f t="shared" si="3"/>
        <v>0.9875</v>
      </c>
      <c r="S365" s="21">
        <f t="shared" si="4"/>
        <v>4</v>
      </c>
      <c r="T365" s="17">
        <f t="shared" si="104"/>
        <v>237</v>
      </c>
      <c r="U365" s="22">
        <f>T365/vlookup(A365,Max!$A$2:$AP$700,column(Max!$AP$2),false)</f>
        <v>1.823076923</v>
      </c>
      <c r="V365" s="17">
        <f t="shared" si="6"/>
        <v>115.6433045</v>
      </c>
      <c r="W365" s="23">
        <f t="shared" si="7"/>
        <v>1.16406432</v>
      </c>
      <c r="X365" s="23">
        <f t="shared" si="8"/>
        <v>1.729997857</v>
      </c>
      <c r="Y365" s="23">
        <f t="shared" si="9"/>
        <v>1</v>
      </c>
      <c r="Z365" s="23">
        <f t="shared" si="10"/>
        <v>1.017047766</v>
      </c>
      <c r="AA365" s="24">
        <f t="shared" si="11"/>
        <v>57</v>
      </c>
      <c r="AB365" s="26">
        <f t="shared" si="110"/>
        <v>1</v>
      </c>
      <c r="AC365" s="26" t="str">
        <f t="shared" si="40"/>
        <v/>
      </c>
      <c r="AD365" s="26" t="str">
        <f t="shared" si="41"/>
        <v>$RD-0235$: 57,</v>
      </c>
      <c r="AE365" s="26" t="str">
        <f t="shared" si="86"/>
        <v/>
      </c>
      <c r="AF365" s="26" t="str">
        <f t="shared" si="78"/>
        <v/>
      </c>
      <c r="AG365" s="26" t="str">
        <f t="shared" si="79"/>
        <v/>
      </c>
    </row>
    <row r="366" ht="15.75" customHeight="1">
      <c r="A366" s="7" t="s">
        <v>495</v>
      </c>
      <c r="B366" s="7" t="s">
        <v>496</v>
      </c>
      <c r="C366" s="8">
        <f t="shared" si="1"/>
        <v>26</v>
      </c>
      <c r="D366" s="7"/>
      <c r="E366" s="7"/>
      <c r="F366" s="7" t="b">
        <v>1</v>
      </c>
      <c r="G366" s="7" t="b">
        <v>0</v>
      </c>
      <c r="H366" s="7" t="b">
        <v>0</v>
      </c>
      <c r="I366" s="7" t="b">
        <v>0</v>
      </c>
      <c r="J366" s="9" t="b">
        <v>0</v>
      </c>
      <c r="K366" s="7">
        <v>23.0</v>
      </c>
      <c r="L366" s="7">
        <v>3.92</v>
      </c>
      <c r="M366" s="7">
        <v>287.0</v>
      </c>
      <c r="N366" s="7">
        <v>0.88</v>
      </c>
      <c r="O366" s="7">
        <v>0.99966</v>
      </c>
      <c r="P366" s="7">
        <v>0.99966</v>
      </c>
      <c r="Q366" s="10">
        <f t="shared" si="2"/>
        <v>17.37951106</v>
      </c>
      <c r="R366" s="11">
        <f t="shared" si="3"/>
        <v>6.632653061</v>
      </c>
      <c r="S366" s="12">
        <f t="shared" si="4"/>
        <v>4</v>
      </c>
      <c r="T366" s="8">
        <f t="shared" si="104"/>
        <v>26</v>
      </c>
      <c r="U366" s="13">
        <f>T366/vlookup(A366,Max!$A$2:$AP$700,column(Max!$AP$2),false)</f>
        <v>2.795698925</v>
      </c>
      <c r="V366" s="8">
        <f t="shared" si="6"/>
        <v>31.66415719</v>
      </c>
      <c r="W366" s="14">
        <f t="shared" si="7"/>
        <v>0.965438477</v>
      </c>
      <c r="X366" s="14">
        <f t="shared" si="8"/>
        <v>0.8468909146</v>
      </c>
      <c r="Y366" s="14">
        <f t="shared" si="9"/>
        <v>1</v>
      </c>
      <c r="Z366" s="14">
        <f t="shared" si="10"/>
        <v>1</v>
      </c>
      <c r="AA366" s="15">
        <f t="shared" si="11"/>
        <v>0</v>
      </c>
      <c r="AB366" s="29">
        <v>0.0</v>
      </c>
      <c r="AC366" s="15" t="str">
        <f t="shared" si="40"/>
        <v>{
$name$: $RD-0225$,
$config$: $RD0225$,
$cost$: 26
},</v>
      </c>
      <c r="AD366" s="15" t="str">
        <f t="shared" si="41"/>
        <v/>
      </c>
      <c r="AE366" s="15" t="str">
        <f t="shared" si="86"/>
        <v/>
      </c>
      <c r="AF366" s="15" t="str">
        <f t="shared" si="78"/>
        <v/>
      </c>
      <c r="AG366" s="15" t="str">
        <f t="shared" si="79"/>
        <v/>
      </c>
    </row>
    <row r="367" ht="15.75" customHeight="1">
      <c r="A367" s="16" t="s">
        <v>497</v>
      </c>
      <c r="B367" s="16" t="s">
        <v>498</v>
      </c>
      <c r="C367" s="17">
        <f t="shared" si="1"/>
        <v>606</v>
      </c>
      <c r="D367" s="16">
        <v>1975.0</v>
      </c>
      <c r="E367" s="16"/>
      <c r="F367" s="16" t="b">
        <v>1</v>
      </c>
      <c r="G367" s="16" t="b">
        <v>0</v>
      </c>
      <c r="H367" s="16" t="b">
        <v>1</v>
      </c>
      <c r="I367" s="16" t="b">
        <v>0</v>
      </c>
      <c r="J367" s="18" t="b">
        <v>0</v>
      </c>
      <c r="K367" s="16">
        <v>770.0</v>
      </c>
      <c r="L367" s="16">
        <v>760.0</v>
      </c>
      <c r="M367" s="16">
        <v>340.0</v>
      </c>
      <c r="N367" s="16">
        <v>16.32</v>
      </c>
      <c r="O367" s="16">
        <v>0.997651</v>
      </c>
      <c r="P367" s="16">
        <v>0.997635</v>
      </c>
      <c r="Q367" s="19">
        <f t="shared" si="2"/>
        <v>100.6473142</v>
      </c>
      <c r="R367" s="20">
        <f t="shared" si="3"/>
        <v>0.7973684211</v>
      </c>
      <c r="S367" s="21">
        <f t="shared" si="4"/>
        <v>4</v>
      </c>
      <c r="T367" s="17">
        <f t="shared" si="104"/>
        <v>606</v>
      </c>
      <c r="U367" s="22">
        <f>T367/vlookup(A367,Max!$A$2:$AP$700,column(Max!$AP$2),false)</f>
        <v>1.782352941</v>
      </c>
      <c r="V367" s="17">
        <f t="shared" si="6"/>
        <v>264.4702437</v>
      </c>
      <c r="W367" s="23">
        <f t="shared" si="7"/>
        <v>1.328038609</v>
      </c>
      <c r="X367" s="23">
        <f t="shared" si="8"/>
        <v>1.703036825</v>
      </c>
      <c r="Y367" s="23">
        <f t="shared" si="9"/>
        <v>1</v>
      </c>
      <c r="Z367" s="23">
        <f t="shared" si="10"/>
        <v>1.013416128</v>
      </c>
      <c r="AA367" s="26">
        <f t="shared" si="11"/>
        <v>0</v>
      </c>
      <c r="AB367" s="25">
        <v>0.0</v>
      </c>
      <c r="AC367" s="26" t="str">
        <f t="shared" si="40"/>
        <v>{
$name$: $RD-0228$,
$config$: $RD0228$,
$cost$: 606
},</v>
      </c>
      <c r="AD367" s="26" t="str">
        <f t="shared" si="41"/>
        <v/>
      </c>
      <c r="AE367" s="26" t="str">
        <f t="shared" si="86"/>
        <v/>
      </c>
      <c r="AF367" s="26" t="str">
        <f t="shared" si="78"/>
        <v/>
      </c>
      <c r="AG367" s="26" t="str">
        <f t="shared" si="79"/>
        <v/>
      </c>
    </row>
    <row r="368" ht="15.75" customHeight="1">
      <c r="A368" s="7" t="s">
        <v>499</v>
      </c>
      <c r="B368" s="7" t="s">
        <v>498</v>
      </c>
      <c r="C368" s="8">
        <f t="shared" si="1"/>
        <v>-11</v>
      </c>
      <c r="D368" s="7">
        <v>1986.0</v>
      </c>
      <c r="E368" s="7"/>
      <c r="F368" s="7" t="b">
        <v>1</v>
      </c>
      <c r="G368" s="7" t="b">
        <v>0</v>
      </c>
      <c r="H368" s="7" t="b">
        <v>1</v>
      </c>
      <c r="I368" s="7" t="b">
        <v>0</v>
      </c>
      <c r="J368" s="9" t="b">
        <v>0</v>
      </c>
      <c r="K368" s="7">
        <v>770.0</v>
      </c>
      <c r="L368" s="7">
        <v>836.5</v>
      </c>
      <c r="M368" s="7">
        <v>340.0</v>
      </c>
      <c r="N368" s="7">
        <v>16.32</v>
      </c>
      <c r="O368" s="7">
        <v>0.993966</v>
      </c>
      <c r="P368" s="7">
        <v>0.99386</v>
      </c>
      <c r="Q368" s="10">
        <f t="shared" si="2"/>
        <v>110.778261</v>
      </c>
      <c r="R368" s="11">
        <f t="shared" si="3"/>
        <v>0.7112970711</v>
      </c>
      <c r="S368" s="12">
        <f t="shared" si="4"/>
        <v>4</v>
      </c>
      <c r="T368" s="8">
        <f t="shared" si="104"/>
        <v>595</v>
      </c>
      <c r="U368" s="13">
        <f>T368/vlookup(A368,Max!$A$2:$AP$700,column(Max!$AP$2),false)</f>
        <v>2.203703704</v>
      </c>
      <c r="V368" s="8">
        <f t="shared" si="6"/>
        <v>264.4702437</v>
      </c>
      <c r="W368" s="14">
        <f t="shared" si="7"/>
        <v>1.328038609</v>
      </c>
      <c r="X368" s="14">
        <f t="shared" si="8"/>
        <v>1.703036825</v>
      </c>
      <c r="Y368" s="14">
        <f t="shared" si="9"/>
        <v>1</v>
      </c>
      <c r="Z368" s="14">
        <f t="shared" si="10"/>
        <v>0.9946123915</v>
      </c>
      <c r="AA368" s="27">
        <f t="shared" si="11"/>
        <v>-11</v>
      </c>
      <c r="AB368" s="15">
        <f>if(iserror(find("$",A368)),1,2)</f>
        <v>1</v>
      </c>
      <c r="AC368" s="15" t="str">
        <f t="shared" si="40"/>
        <v/>
      </c>
      <c r="AD368" s="15" t="str">
        <f t="shared" si="41"/>
        <v>$RD-0255$: -11,</v>
      </c>
      <c r="AE368" s="15" t="str">
        <f t="shared" si="86"/>
        <v/>
      </c>
      <c r="AF368" s="15" t="str">
        <f t="shared" si="78"/>
        <v/>
      </c>
      <c r="AG368" s="15" t="str">
        <f t="shared" si="79"/>
        <v/>
      </c>
    </row>
    <row r="369" ht="15.75" customHeight="1">
      <c r="A369" s="16" t="s">
        <v>500</v>
      </c>
      <c r="B369" s="16" t="s">
        <v>501</v>
      </c>
      <c r="C369" s="17">
        <f t="shared" si="1"/>
        <v>571</v>
      </c>
      <c r="D369" s="16">
        <v>1975.0</v>
      </c>
      <c r="E369" s="16"/>
      <c r="F369" s="16" t="b">
        <v>1</v>
      </c>
      <c r="G369" s="16" t="b">
        <v>0</v>
      </c>
      <c r="H369" s="16" t="b">
        <v>1</v>
      </c>
      <c r="I369" s="16" t="b">
        <v>0</v>
      </c>
      <c r="J369" s="18" t="b">
        <v>0</v>
      </c>
      <c r="K369" s="16">
        <v>680.0</v>
      </c>
      <c r="L369" s="16">
        <v>729.02</v>
      </c>
      <c r="M369" s="16">
        <v>341.4</v>
      </c>
      <c r="N369" s="16">
        <v>16.32</v>
      </c>
      <c r="O369" s="16">
        <v>0.998822</v>
      </c>
      <c r="P369" s="16">
        <v>0.998818</v>
      </c>
      <c r="Q369" s="19">
        <f t="shared" si="2"/>
        <v>109.3225752</v>
      </c>
      <c r="R369" s="20">
        <f t="shared" si="3"/>
        <v>0.7832432581</v>
      </c>
      <c r="S369" s="21">
        <f t="shared" si="4"/>
        <v>4</v>
      </c>
      <c r="T369" s="17">
        <f t="shared" si="104"/>
        <v>571</v>
      </c>
      <c r="U369" s="22">
        <f>T369/vlookup(A369,Max!$A$2:$AP$700,column(Max!$AP$2),false)</f>
        <v>1.586111111</v>
      </c>
      <c r="V369" s="17">
        <f t="shared" si="6"/>
        <v>245.0133877</v>
      </c>
      <c r="W369" s="23">
        <f t="shared" si="7"/>
        <v>1.342084277</v>
      </c>
      <c r="X369" s="23">
        <f t="shared" si="8"/>
        <v>1.703036825</v>
      </c>
      <c r="Y369" s="23">
        <f t="shared" si="9"/>
        <v>1</v>
      </c>
      <c r="Z369" s="23">
        <f t="shared" si="10"/>
        <v>1.019408295</v>
      </c>
      <c r="AA369" s="26">
        <f t="shared" si="11"/>
        <v>0</v>
      </c>
      <c r="AB369" s="25">
        <v>0.0</v>
      </c>
      <c r="AC369" s="26" t="str">
        <f t="shared" si="40"/>
        <v>{
$name$: $RD-0229$,
$config$: $RD0229$,
$cost$: 571
},</v>
      </c>
      <c r="AD369" s="26" t="str">
        <f t="shared" si="41"/>
        <v/>
      </c>
      <c r="AE369" s="26" t="str">
        <f t="shared" si="86"/>
        <v/>
      </c>
      <c r="AF369" s="26" t="str">
        <f t="shared" si="78"/>
        <v/>
      </c>
      <c r="AG369" s="26" t="str">
        <f t="shared" si="79"/>
        <v/>
      </c>
    </row>
    <row r="370" ht="15.75" customHeight="1">
      <c r="A370" s="7" t="s">
        <v>502</v>
      </c>
      <c r="B370" s="7" t="s">
        <v>501</v>
      </c>
      <c r="C370" s="8">
        <f t="shared" si="1"/>
        <v>-6</v>
      </c>
      <c r="D370" s="7">
        <v>1986.0</v>
      </c>
      <c r="E370" s="7"/>
      <c r="F370" s="7" t="b">
        <v>1</v>
      </c>
      <c r="G370" s="7" t="b">
        <v>0</v>
      </c>
      <c r="H370" s="7" t="b">
        <v>1</v>
      </c>
      <c r="I370" s="7" t="b">
        <v>0</v>
      </c>
      <c r="J370" s="9" t="b">
        <v>0</v>
      </c>
      <c r="K370" s="7">
        <v>680.0</v>
      </c>
      <c r="L370" s="7">
        <v>805.52</v>
      </c>
      <c r="M370" s="7">
        <v>341.3</v>
      </c>
      <c r="N370" s="7">
        <v>16.32</v>
      </c>
      <c r="O370" s="7">
        <v>0.996957</v>
      </c>
      <c r="P370" s="7">
        <v>0.99693</v>
      </c>
      <c r="Q370" s="10">
        <f t="shared" si="2"/>
        <v>120.7943826</v>
      </c>
      <c r="R370" s="11">
        <f t="shared" si="3"/>
        <v>0.7014102691</v>
      </c>
      <c r="S370" s="12">
        <f t="shared" si="4"/>
        <v>4</v>
      </c>
      <c r="T370" s="8">
        <f t="shared" si="104"/>
        <v>565</v>
      </c>
      <c r="U370" s="13">
        <f>T370/vlookup(A370,Max!$A$2:$AP$700,column(Max!$AP$2),false)</f>
        <v>1.883333333</v>
      </c>
      <c r="V370" s="8">
        <f t="shared" si="6"/>
        <v>245.0133877</v>
      </c>
      <c r="W370" s="14">
        <f t="shared" si="7"/>
        <v>1.341074402</v>
      </c>
      <c r="X370" s="14">
        <f t="shared" si="8"/>
        <v>1.703036825</v>
      </c>
      <c r="Y370" s="14">
        <f t="shared" si="9"/>
        <v>1</v>
      </c>
      <c r="Z370" s="14">
        <f t="shared" si="10"/>
        <v>1.00986831</v>
      </c>
      <c r="AA370" s="27">
        <f t="shared" si="11"/>
        <v>-6</v>
      </c>
      <c r="AB370" s="15">
        <f>if(iserror(find("$",A370)),1,2)</f>
        <v>1</v>
      </c>
      <c r="AC370" s="15" t="str">
        <f t="shared" si="40"/>
        <v/>
      </c>
      <c r="AD370" s="15" t="str">
        <f t="shared" si="41"/>
        <v>$RD-0256$: -6,</v>
      </c>
      <c r="AE370" s="15" t="str">
        <f t="shared" si="86"/>
        <v/>
      </c>
      <c r="AF370" s="15" t="str">
        <f t="shared" si="78"/>
        <v/>
      </c>
      <c r="AG370" s="15" t="str">
        <f t="shared" si="79"/>
        <v/>
      </c>
    </row>
    <row r="371" ht="15.75" customHeight="1">
      <c r="A371" s="16" t="s">
        <v>503</v>
      </c>
      <c r="B371" s="16" t="s">
        <v>504</v>
      </c>
      <c r="C371" s="17">
        <f t="shared" si="1"/>
        <v>100</v>
      </c>
      <c r="D371" s="16">
        <v>1975.0</v>
      </c>
      <c r="E371" s="16"/>
      <c r="F371" s="16" t="b">
        <v>1</v>
      </c>
      <c r="G371" s="16" t="b">
        <v>0</v>
      </c>
      <c r="H371" s="16" t="b">
        <v>1</v>
      </c>
      <c r="I371" s="16" t="b">
        <v>0</v>
      </c>
      <c r="J371" s="18" t="b">
        <v>0</v>
      </c>
      <c r="K371" s="16">
        <v>90.0</v>
      </c>
      <c r="L371" s="16">
        <v>30.98</v>
      </c>
      <c r="M371" s="16">
        <v>307.0</v>
      </c>
      <c r="N371" s="16">
        <v>5.3</v>
      </c>
      <c r="O371" s="16">
        <v>0.998822</v>
      </c>
      <c r="P371" s="16">
        <v>0.998818</v>
      </c>
      <c r="Q371" s="19">
        <f t="shared" si="2"/>
        <v>35.10089798</v>
      </c>
      <c r="R371" s="20">
        <f t="shared" si="3"/>
        <v>3.227888961</v>
      </c>
      <c r="S371" s="21">
        <f t="shared" si="4"/>
        <v>4</v>
      </c>
      <c r="T371" s="17">
        <f t="shared" si="104"/>
        <v>100</v>
      </c>
      <c r="U371" s="22">
        <f>T371/vlookup(A371,Max!$A$2:$AP$700,column(Max!$AP$2),false)</f>
        <v>5</v>
      </c>
      <c r="V371" s="17">
        <f t="shared" si="6"/>
        <v>71.55884225</v>
      </c>
      <c r="W371" s="23">
        <f t="shared" si="7"/>
        <v>1.034533668</v>
      </c>
      <c r="X371" s="23">
        <f t="shared" si="8"/>
        <v>1.322281966</v>
      </c>
      <c r="Y371" s="23">
        <f t="shared" si="9"/>
        <v>1</v>
      </c>
      <c r="Z371" s="23">
        <f t="shared" si="10"/>
        <v>1.019408295</v>
      </c>
      <c r="AA371" s="26">
        <f t="shared" si="11"/>
        <v>0</v>
      </c>
      <c r="AB371" s="25">
        <v>0.0</v>
      </c>
      <c r="AC371" s="26" t="str">
        <f t="shared" si="40"/>
        <v>{
$name$: $RD-0230$,
$config$: $RD0230$,
$cost$: 100
},</v>
      </c>
      <c r="AD371" s="26" t="str">
        <f t="shared" si="41"/>
        <v/>
      </c>
      <c r="AE371" s="26" t="str">
        <f t="shared" si="86"/>
        <v/>
      </c>
      <c r="AF371" s="26" t="str">
        <f t="shared" si="78"/>
        <v/>
      </c>
      <c r="AG371" s="26" t="str">
        <f t="shared" si="79"/>
        <v/>
      </c>
    </row>
    <row r="372" ht="15.75" customHeight="1">
      <c r="A372" s="7" t="s">
        <v>505</v>
      </c>
      <c r="B372" s="7" t="s">
        <v>504</v>
      </c>
      <c r="C372" s="8">
        <f t="shared" si="1"/>
        <v>-1</v>
      </c>
      <c r="D372" s="7">
        <v>1986.0</v>
      </c>
      <c r="E372" s="7"/>
      <c r="F372" s="7" t="b">
        <v>1</v>
      </c>
      <c r="G372" s="7" t="b">
        <v>0</v>
      </c>
      <c r="H372" s="7" t="b">
        <v>1</v>
      </c>
      <c r="I372" s="7" t="b">
        <v>0</v>
      </c>
      <c r="J372" s="9" t="b">
        <v>0</v>
      </c>
      <c r="K372" s="7">
        <v>90.0</v>
      </c>
      <c r="L372" s="7">
        <v>30.98</v>
      </c>
      <c r="M372" s="7">
        <v>307.0</v>
      </c>
      <c r="N372" s="7">
        <v>5.3</v>
      </c>
      <c r="O372" s="7">
        <v>0.996957</v>
      </c>
      <c r="P372" s="7">
        <v>0.99693</v>
      </c>
      <c r="Q372" s="10">
        <f t="shared" si="2"/>
        <v>35.10089798</v>
      </c>
      <c r="R372" s="11">
        <f t="shared" si="3"/>
        <v>3.195610071</v>
      </c>
      <c r="S372" s="12">
        <f t="shared" si="4"/>
        <v>4</v>
      </c>
      <c r="T372" s="8">
        <f t="shared" si="104"/>
        <v>99</v>
      </c>
      <c r="U372" s="13">
        <f>T372/vlookup(A372,Max!$A$2:$AP$700,column(Max!$AP$2),false)</f>
        <v>7.071428571</v>
      </c>
      <c r="V372" s="8">
        <f t="shared" si="6"/>
        <v>71.55884225</v>
      </c>
      <c r="W372" s="14">
        <f t="shared" si="7"/>
        <v>1.034533668</v>
      </c>
      <c r="X372" s="14">
        <f t="shared" si="8"/>
        <v>1.322281966</v>
      </c>
      <c r="Y372" s="14">
        <f t="shared" si="9"/>
        <v>1</v>
      </c>
      <c r="Z372" s="14">
        <f t="shared" si="10"/>
        <v>1.00986831</v>
      </c>
      <c r="AA372" s="27">
        <f t="shared" si="11"/>
        <v>-1</v>
      </c>
      <c r="AB372" s="15">
        <f>if(iserror(find("$",A372)),1,2)</f>
        <v>1</v>
      </c>
      <c r="AC372" s="15" t="str">
        <f t="shared" si="40"/>
        <v/>
      </c>
      <c r="AD372" s="15" t="str">
        <f t="shared" si="41"/>
        <v>$RD-0257$: -1,</v>
      </c>
      <c r="AE372" s="15" t="str">
        <f t="shared" si="86"/>
        <v/>
      </c>
      <c r="AF372" s="15" t="str">
        <f t="shared" si="78"/>
        <v/>
      </c>
      <c r="AG372" s="15" t="str">
        <f t="shared" si="79"/>
        <v/>
      </c>
    </row>
    <row r="373" ht="15.75" customHeight="1">
      <c r="A373" s="16" t="s">
        <v>506</v>
      </c>
      <c r="B373" s="16" t="s">
        <v>507</v>
      </c>
      <c r="C373" s="17">
        <f t="shared" si="1"/>
        <v>392</v>
      </c>
      <c r="D373" s="16">
        <v>1973.0</v>
      </c>
      <c r="E373" s="16"/>
      <c r="F373" s="16" t="b">
        <v>1</v>
      </c>
      <c r="G373" s="16" t="b">
        <v>0</v>
      </c>
      <c r="H373" s="16" t="b">
        <v>1</v>
      </c>
      <c r="I373" s="16" t="b">
        <v>0</v>
      </c>
      <c r="J373" s="18" t="b">
        <v>0</v>
      </c>
      <c r="K373" s="16">
        <v>390.0</v>
      </c>
      <c r="L373" s="16">
        <v>515.8</v>
      </c>
      <c r="M373" s="16">
        <v>331.3</v>
      </c>
      <c r="N373" s="16">
        <v>20.1</v>
      </c>
      <c r="O373" s="16">
        <v>0.997592</v>
      </c>
      <c r="P373" s="16">
        <v>0.997592</v>
      </c>
      <c r="Q373" s="19">
        <f t="shared" si="2"/>
        <v>134.8640054</v>
      </c>
      <c r="R373" s="20">
        <f t="shared" si="3"/>
        <v>0.7599844901</v>
      </c>
      <c r="S373" s="21">
        <f t="shared" si="4"/>
        <v>4</v>
      </c>
      <c r="T373" s="17">
        <f t="shared" si="104"/>
        <v>392</v>
      </c>
      <c r="U373" s="22">
        <f>T373/vlookup(A373,Max!$A$2:$AP$700,column(Max!$AP$2),false)</f>
        <v>1.264516129</v>
      </c>
      <c r="V373" s="17">
        <f t="shared" si="6"/>
        <v>174.2610011</v>
      </c>
      <c r="W373" s="23">
        <f t="shared" si="7"/>
        <v>1.245070472</v>
      </c>
      <c r="X373" s="23">
        <f t="shared" si="8"/>
        <v>1.784765314</v>
      </c>
      <c r="Y373" s="23">
        <f t="shared" si="9"/>
        <v>1</v>
      </c>
      <c r="Z373" s="23">
        <f t="shared" si="10"/>
        <v>1.013157123</v>
      </c>
      <c r="AA373" s="26">
        <f t="shared" si="11"/>
        <v>0</v>
      </c>
      <c r="AB373" s="25">
        <v>0.0</v>
      </c>
      <c r="AC373" s="26" t="str">
        <f t="shared" si="40"/>
        <v>{
$name$: $RD-0233-15D95$,
$config$: $RD0233$,
$cost$: 392
},</v>
      </c>
      <c r="AD373" s="26" t="str">
        <f t="shared" si="41"/>
        <v/>
      </c>
      <c r="AE373" s="26" t="str">
        <f t="shared" si="86"/>
        <v/>
      </c>
      <c r="AF373" s="26" t="str">
        <f t="shared" si="78"/>
        <v/>
      </c>
      <c r="AG373" s="26" t="str">
        <f t="shared" si="79"/>
        <v/>
      </c>
    </row>
    <row r="374" ht="15.75" customHeight="1">
      <c r="A374" s="7" t="s">
        <v>508</v>
      </c>
      <c r="B374" s="7" t="s">
        <v>509</v>
      </c>
      <c r="C374" s="8">
        <f t="shared" si="1"/>
        <v>90</v>
      </c>
      <c r="D374" s="7">
        <v>1973.0</v>
      </c>
      <c r="E374" s="7"/>
      <c r="F374" s="7" t="b">
        <v>1</v>
      </c>
      <c r="G374" s="7" t="b">
        <v>0</v>
      </c>
      <c r="H374" s="7" t="b">
        <v>0</v>
      </c>
      <c r="I374" s="7" t="b">
        <v>0</v>
      </c>
      <c r="J374" s="9" t="b">
        <v>0</v>
      </c>
      <c r="K374" s="7">
        <v>60.0</v>
      </c>
      <c r="L374" s="7">
        <v>15.76</v>
      </c>
      <c r="M374" s="7">
        <v>293.0</v>
      </c>
      <c r="N374" s="7">
        <v>7.35</v>
      </c>
      <c r="O374" s="7">
        <v>0.999296</v>
      </c>
      <c r="P374" s="7">
        <v>0.999296</v>
      </c>
      <c r="Q374" s="10">
        <f t="shared" si="2"/>
        <v>26.78454578</v>
      </c>
      <c r="R374" s="11">
        <f t="shared" si="3"/>
        <v>5.710659898</v>
      </c>
      <c r="S374" s="12">
        <f t="shared" si="4"/>
        <v>4</v>
      </c>
      <c r="T374" s="8">
        <f t="shared" si="104"/>
        <v>90</v>
      </c>
      <c r="U374" s="13">
        <f>T374/vlookup(A374,Max!$A$2:$AP$700,column(Max!$AP$2),false)</f>
        <v>6.428571429</v>
      </c>
      <c r="V374" s="8">
        <f t="shared" si="6"/>
        <v>56.08373075</v>
      </c>
      <c r="W374" s="14">
        <f t="shared" si="7"/>
        <v>0.9803330393</v>
      </c>
      <c r="X374" s="14">
        <f t="shared" si="8"/>
        <v>1.600917212</v>
      </c>
      <c r="Y374" s="14">
        <f t="shared" si="9"/>
        <v>1</v>
      </c>
      <c r="Z374" s="14">
        <f t="shared" si="10"/>
        <v>1.023640325</v>
      </c>
      <c r="AA374" s="15">
        <f t="shared" si="11"/>
        <v>0</v>
      </c>
      <c r="AB374" s="29">
        <v>0.0</v>
      </c>
      <c r="AC374" s="15" t="str">
        <f t="shared" si="40"/>
        <v>{
$name$: $RD-0236$,
$config$: $RD0236$,
$cost$: 90
},</v>
      </c>
      <c r="AD374" s="15" t="str">
        <f t="shared" si="41"/>
        <v/>
      </c>
      <c r="AE374" s="15" t="str">
        <f t="shared" si="86"/>
        <v/>
      </c>
      <c r="AF374" s="15" t="str">
        <f t="shared" si="78"/>
        <v/>
      </c>
      <c r="AG374" s="15" t="str">
        <f t="shared" si="79"/>
        <v/>
      </c>
    </row>
    <row r="375" ht="15.75" customHeight="1">
      <c r="A375" s="16" t="s">
        <v>510</v>
      </c>
      <c r="B375" s="16" t="s">
        <v>511</v>
      </c>
      <c r="C375" s="17">
        <f t="shared" si="1"/>
        <v>135</v>
      </c>
      <c r="D375" s="16">
        <v>2008.0</v>
      </c>
      <c r="E375" s="16"/>
      <c r="F375" s="16" t="b">
        <v>1</v>
      </c>
      <c r="G375" s="16" t="b">
        <v>0</v>
      </c>
      <c r="H375" s="16" t="b">
        <v>1</v>
      </c>
      <c r="I375" s="16" t="b">
        <v>0</v>
      </c>
      <c r="J375" s="18" t="b">
        <v>0</v>
      </c>
      <c r="K375" s="16">
        <v>120.0</v>
      </c>
      <c r="L375" s="16">
        <v>50.0</v>
      </c>
      <c r="M375" s="16">
        <v>280.0</v>
      </c>
      <c r="N375" s="16">
        <v>15.3</v>
      </c>
      <c r="O375" s="16">
        <v>0.995</v>
      </c>
      <c r="P375" s="16">
        <v>0.992</v>
      </c>
      <c r="Q375" s="19">
        <f t="shared" si="2"/>
        <v>42.48817542</v>
      </c>
      <c r="R375" s="20">
        <f t="shared" si="3"/>
        <v>2.7</v>
      </c>
      <c r="S375" s="21">
        <f t="shared" si="4"/>
        <v>4</v>
      </c>
      <c r="T375" s="17">
        <f t="shared" si="104"/>
        <v>135</v>
      </c>
      <c r="U375" s="22">
        <f>T375/vlookup(A375,Max!$A$2:$AP$700,column(Max!$AP$2),false)</f>
        <v>7.105263158</v>
      </c>
      <c r="V375" s="17">
        <f t="shared" si="6"/>
        <v>85.12105437</v>
      </c>
      <c r="W375" s="23">
        <f t="shared" si="7"/>
        <v>0.9500966329</v>
      </c>
      <c r="X375" s="23">
        <f t="shared" si="8"/>
        <v>1.678485431</v>
      </c>
      <c r="Y375" s="23">
        <f t="shared" si="9"/>
        <v>1</v>
      </c>
      <c r="Z375" s="23">
        <f t="shared" si="10"/>
        <v>0.9925420057</v>
      </c>
      <c r="AA375" s="26">
        <f t="shared" si="11"/>
        <v>0</v>
      </c>
      <c r="AB375" s="25">
        <v>0.0</v>
      </c>
      <c r="AC375" s="26" t="str">
        <f t="shared" si="40"/>
        <v>{
$name$: $RD-0242M2$,
$config$: $RD0242M2$,
$cost$: 135
},</v>
      </c>
      <c r="AD375" s="26" t="str">
        <f t="shared" si="41"/>
        <v/>
      </c>
      <c r="AE375" s="26" t="str">
        <f t="shared" si="86"/>
        <v/>
      </c>
      <c r="AF375" s="26" t="str">
        <f t="shared" si="78"/>
        <v/>
      </c>
      <c r="AG375" s="26" t="str">
        <f t="shared" si="79"/>
        <v/>
      </c>
    </row>
    <row r="376" ht="15.75" customHeight="1">
      <c r="A376" s="7" t="s">
        <v>512</v>
      </c>
      <c r="B376" s="7" t="s">
        <v>513</v>
      </c>
      <c r="C376" s="8">
        <f t="shared" si="1"/>
        <v>584</v>
      </c>
      <c r="D376" s="7">
        <v>1986.0</v>
      </c>
      <c r="E376" s="7"/>
      <c r="F376" s="7" t="b">
        <v>1</v>
      </c>
      <c r="G376" s="7" t="b">
        <v>0</v>
      </c>
      <c r="H376" s="7" t="b">
        <v>1</v>
      </c>
      <c r="I376" s="7" t="b">
        <v>0</v>
      </c>
      <c r="J376" s="9" t="b">
        <v>0</v>
      </c>
      <c r="K376" s="7">
        <v>853.0</v>
      </c>
      <c r="L376" s="7">
        <v>896.3</v>
      </c>
      <c r="M376" s="7">
        <v>313.6</v>
      </c>
      <c r="N376" s="7">
        <v>26.97</v>
      </c>
      <c r="O376" s="7">
        <v>0.993966</v>
      </c>
      <c r="P376" s="7">
        <v>0.99386</v>
      </c>
      <c r="Q376" s="10">
        <f t="shared" si="2"/>
        <v>107.1479061</v>
      </c>
      <c r="R376" s="11">
        <f t="shared" si="3"/>
        <v>0.6515675555</v>
      </c>
      <c r="S376" s="12">
        <f t="shared" si="4"/>
        <v>4</v>
      </c>
      <c r="T376" s="8">
        <f t="shared" si="104"/>
        <v>584</v>
      </c>
      <c r="U376" s="13">
        <f>T376/vlookup(A376,Max!$A$2:$AP$700,column(Max!$AP$2),false)</f>
        <v>3.073684211</v>
      </c>
      <c r="V376" s="8">
        <f t="shared" si="6"/>
        <v>281.6666663</v>
      </c>
      <c r="W376" s="14">
        <f t="shared" si="7"/>
        <v>1.092401314</v>
      </c>
      <c r="X376" s="14">
        <f t="shared" si="8"/>
        <v>1.906822277</v>
      </c>
      <c r="Y376" s="14">
        <f t="shared" si="9"/>
        <v>1</v>
      </c>
      <c r="Z376" s="14">
        <f t="shared" si="10"/>
        <v>0.9946123915</v>
      </c>
      <c r="AA376" s="15">
        <f t="shared" si="11"/>
        <v>0</v>
      </c>
      <c r="AB376" s="29">
        <v>0.0</v>
      </c>
      <c r="AC376" s="15" t="str">
        <f t="shared" si="40"/>
        <v>{
$name$: $RD-0243$,
$config$: $RD0243$,
$cost$: 584
},</v>
      </c>
      <c r="AD376" s="15" t="str">
        <f t="shared" si="41"/>
        <v/>
      </c>
      <c r="AE376" s="15" t="str">
        <f t="shared" si="86"/>
        <v/>
      </c>
      <c r="AF376" s="15" t="str">
        <f t="shared" si="78"/>
        <v/>
      </c>
      <c r="AG376" s="15" t="str">
        <f t="shared" si="79"/>
        <v/>
      </c>
    </row>
    <row r="377" ht="15.75" customHeight="1">
      <c r="A377" s="16" t="s">
        <v>514</v>
      </c>
      <c r="B377" s="16" t="s">
        <v>515</v>
      </c>
      <c r="C377" s="17">
        <f t="shared" si="1"/>
        <v>2278</v>
      </c>
      <c r="D377" s="16">
        <v>1986.0</v>
      </c>
      <c r="E377" s="16" t="b">
        <v>1</v>
      </c>
      <c r="F377" s="16" t="b">
        <v>1</v>
      </c>
      <c r="G377" s="16" t="b">
        <v>0</v>
      </c>
      <c r="H377" s="16" t="b">
        <v>1</v>
      </c>
      <c r="I377" s="16" t="b">
        <v>0</v>
      </c>
      <c r="J377" s="18" t="b">
        <v>1</v>
      </c>
      <c r="K377" s="16">
        <v>2000.0</v>
      </c>
      <c r="L377" s="16">
        <v>35.3</v>
      </c>
      <c r="M377" s="16">
        <v>910.0</v>
      </c>
      <c r="N377" s="16">
        <v>4.0</v>
      </c>
      <c r="O377" s="16">
        <v>1.0</v>
      </c>
      <c r="P377" s="16">
        <v>1.0</v>
      </c>
      <c r="Q377" s="19">
        <f t="shared" si="2"/>
        <v>1.799799111</v>
      </c>
      <c r="R377" s="20">
        <f t="shared" si="3"/>
        <v>64.5325779</v>
      </c>
      <c r="S377" s="21">
        <f t="shared" si="4"/>
        <v>4</v>
      </c>
      <c r="T377" s="17">
        <f t="shared" si="104"/>
        <v>2278</v>
      </c>
      <c r="U377" s="22">
        <f>T377/vlookup(A377,Max!$A$2:$AP$700,column(Max!$AP$2),false)</f>
        <v>1.198947368</v>
      </c>
      <c r="V377" s="17">
        <f t="shared" si="6"/>
        <v>526.2364669</v>
      </c>
      <c r="W377" s="23">
        <f t="shared" si="7"/>
        <v>1.7004348</v>
      </c>
      <c r="X377" s="23">
        <f t="shared" si="8"/>
        <v>1.241153517</v>
      </c>
      <c r="Y377" s="23">
        <f t="shared" si="9"/>
        <v>2</v>
      </c>
      <c r="Z377" s="23">
        <f t="shared" si="10"/>
        <v>1.025444154</v>
      </c>
      <c r="AA377" s="26">
        <f t="shared" si="11"/>
        <v>0</v>
      </c>
      <c r="AB377" s="25">
        <v>0.0</v>
      </c>
      <c r="AC377" s="26" t="str">
        <f t="shared" si="40"/>
        <v>{
$name$: $RD-0410MID$,
$config$: $RD0410MID$,
$cost$: 2278
},</v>
      </c>
      <c r="AD377" s="26" t="str">
        <f t="shared" si="41"/>
        <v/>
      </c>
      <c r="AE377" s="26" t="str">
        <f t="shared" si="86"/>
        <v/>
      </c>
      <c r="AF377" s="26" t="str">
        <f t="shared" si="78"/>
        <v/>
      </c>
      <c r="AG377" s="26" t="str">
        <f t="shared" si="79"/>
        <v/>
      </c>
    </row>
    <row r="378" ht="15.75" customHeight="1">
      <c r="A378" s="9" t="s">
        <v>516</v>
      </c>
      <c r="B378" s="9" t="s">
        <v>515</v>
      </c>
      <c r="C378" s="8">
        <f t="shared" si="1"/>
        <v>6836</v>
      </c>
      <c r="D378" s="7">
        <v>1998.0</v>
      </c>
      <c r="E378" s="7" t="b">
        <v>1</v>
      </c>
      <c r="F378" s="7" t="b">
        <v>1</v>
      </c>
      <c r="G378" s="7" t="b">
        <v>0</v>
      </c>
      <c r="H378" s="7" t="b">
        <v>1</v>
      </c>
      <c r="I378" s="7" t="b">
        <v>0</v>
      </c>
      <c r="J378" s="9" t="b">
        <v>1</v>
      </c>
      <c r="K378" s="7">
        <v>7000.0</v>
      </c>
      <c r="L378" s="7">
        <v>392.27</v>
      </c>
      <c r="M378" s="7">
        <v>925.0</v>
      </c>
      <c r="N378" s="7">
        <v>4.8</v>
      </c>
      <c r="O378" s="7">
        <v>1.0</v>
      </c>
      <c r="P378" s="7">
        <v>1.0</v>
      </c>
      <c r="Q378" s="10">
        <f t="shared" si="2"/>
        <v>5.714343967</v>
      </c>
      <c r="R378" s="11">
        <f t="shared" si="3"/>
        <v>23.23399699</v>
      </c>
      <c r="S378" s="12">
        <f t="shared" si="4"/>
        <v>4</v>
      </c>
      <c r="T378" s="8">
        <f t="shared" si="104"/>
        <v>9114</v>
      </c>
      <c r="U378" s="13" t="str">
        <f>T378/vlookup(A378,Max!$A$2:$AP$700,column(Max!$AP$2),false)</f>
        <v>#N/A</v>
      </c>
      <c r="V378" s="8">
        <f t="shared" si="6"/>
        <v>1097.715699</v>
      </c>
      <c r="W378" s="14">
        <f t="shared" si="7"/>
        <v>3.130630688</v>
      </c>
      <c r="X378" s="14">
        <f t="shared" si="8"/>
        <v>1.293127306</v>
      </c>
      <c r="Y378" s="14">
        <f t="shared" si="9"/>
        <v>2</v>
      </c>
      <c r="Z378" s="14">
        <f t="shared" si="10"/>
        <v>1.025444154</v>
      </c>
      <c r="AA378" s="27">
        <f t="shared" si="11"/>
        <v>6836</v>
      </c>
      <c r="AB378" s="15">
        <f>if(iserror(find("$",A378)),1,2)</f>
        <v>1</v>
      </c>
      <c r="AC378" s="15" t="str">
        <f t="shared" si="40"/>
        <v/>
      </c>
      <c r="AD378" s="15" t="str">
        <f t="shared" si="41"/>
        <v>$RD-0411-Hydrogen$: 6836,</v>
      </c>
      <c r="AE378" s="15" t="str">
        <f t="shared" si="86"/>
        <v/>
      </c>
      <c r="AF378" s="15" t="str">
        <f t="shared" si="78"/>
        <v/>
      </c>
      <c r="AG378" s="15" t="str">
        <f t="shared" si="79"/>
        <v/>
      </c>
    </row>
    <row r="379" ht="15.75" customHeight="1">
      <c r="A379" s="16" t="s">
        <v>517</v>
      </c>
      <c r="B379" s="16" t="s">
        <v>518</v>
      </c>
      <c r="C379" s="17">
        <f t="shared" si="1"/>
        <v>42</v>
      </c>
      <c r="D379" s="16">
        <v>1942.0</v>
      </c>
      <c r="E379" s="16"/>
      <c r="F379" s="16" t="b">
        <v>1</v>
      </c>
      <c r="G379" s="16" t="b">
        <v>0</v>
      </c>
      <c r="H379" s="16" t="b">
        <v>1</v>
      </c>
      <c r="I379" s="16" t="b">
        <v>0</v>
      </c>
      <c r="J379" s="18" t="b">
        <v>0</v>
      </c>
      <c r="K379" s="16">
        <v>56.0</v>
      </c>
      <c r="L379" s="16">
        <v>12.6</v>
      </c>
      <c r="M379" s="16">
        <v>215.0</v>
      </c>
      <c r="N379" s="16">
        <v>2.0</v>
      </c>
      <c r="O379" s="16">
        <v>0.95</v>
      </c>
      <c r="P379" s="16">
        <v>0.867</v>
      </c>
      <c r="Q379" s="19">
        <f t="shared" si="2"/>
        <v>22.94361473</v>
      </c>
      <c r="R379" s="20">
        <f t="shared" si="3"/>
        <v>3.333333333</v>
      </c>
      <c r="S379" s="21">
        <f t="shared" si="4"/>
        <v>4</v>
      </c>
      <c r="T379" s="17">
        <f t="shared" si="104"/>
        <v>42</v>
      </c>
      <c r="U379" s="22">
        <f>T379/vlookup(A379,Max!$A$2:$AP$700,column(Max!$AP$2),false)</f>
        <v>0.976744186</v>
      </c>
      <c r="V379" s="17">
        <f t="shared" si="6"/>
        <v>53.81189398</v>
      </c>
      <c r="W379" s="23">
        <f t="shared" si="7"/>
        <v>0.8791478901</v>
      </c>
      <c r="X379" s="23">
        <f t="shared" si="8"/>
        <v>1.061924775</v>
      </c>
      <c r="Y379" s="23">
        <f t="shared" si="9"/>
        <v>1</v>
      </c>
      <c r="Z379" s="23">
        <f t="shared" si="10"/>
        <v>0.8329803777</v>
      </c>
      <c r="AA379" s="26">
        <f t="shared" si="11"/>
        <v>0</v>
      </c>
      <c r="AB379" s="25">
        <v>0.0</v>
      </c>
      <c r="AC379" s="26" t="str">
        <f t="shared" si="40"/>
        <v>{
$name$: $RD-1$,
$config$: $RD1$,
$cost$: 42
},</v>
      </c>
      <c r="AD379" s="26" t="str">
        <f t="shared" si="41"/>
        <v/>
      </c>
      <c r="AE379" s="26" t="str">
        <f t="shared" si="86"/>
        <v/>
      </c>
      <c r="AF379" s="26" t="str">
        <f t="shared" si="78"/>
        <v/>
      </c>
      <c r="AG379" s="26" t="str">
        <f t="shared" si="79"/>
        <v/>
      </c>
    </row>
    <row r="380" ht="15.75" customHeight="1">
      <c r="A380" s="7" t="s">
        <v>519</v>
      </c>
      <c r="B380" s="7" t="s">
        <v>520</v>
      </c>
      <c r="C380" s="8">
        <f t="shared" si="1"/>
        <v>320</v>
      </c>
      <c r="D380" s="7">
        <v>1946.0</v>
      </c>
      <c r="E380" s="7"/>
      <c r="F380" s="7" t="b">
        <v>1</v>
      </c>
      <c r="G380" s="7" t="b">
        <v>0</v>
      </c>
      <c r="H380" s="7" t="b">
        <v>0</v>
      </c>
      <c r="I380" s="7" t="b">
        <v>0</v>
      </c>
      <c r="J380" s="9" t="b">
        <v>0</v>
      </c>
      <c r="K380" s="7">
        <v>885.0</v>
      </c>
      <c r="L380" s="7">
        <v>307.0</v>
      </c>
      <c r="M380" s="7">
        <v>237.0</v>
      </c>
      <c r="N380" s="7">
        <v>1.62</v>
      </c>
      <c r="O380" s="7">
        <v>0.95</v>
      </c>
      <c r="P380" s="7">
        <v>0.94</v>
      </c>
      <c r="Q380" s="10">
        <f t="shared" si="2"/>
        <v>35.37320638</v>
      </c>
      <c r="R380" s="11">
        <f t="shared" si="3"/>
        <v>1.042345277</v>
      </c>
      <c r="S380" s="12">
        <f t="shared" si="4"/>
        <v>4</v>
      </c>
      <c r="T380" s="28">
        <v>320.0</v>
      </c>
      <c r="U380" s="13">
        <f>T380/vlookup(A380,Max!$A$2:$AP$700,column(Max!$AP$2),false)</f>
        <v>1.28</v>
      </c>
      <c r="V380" s="8">
        <f t="shared" si="6"/>
        <v>288.1268574</v>
      </c>
      <c r="W380" s="14">
        <f t="shared" si="7"/>
        <v>0.8918652309</v>
      </c>
      <c r="X380" s="14">
        <f t="shared" si="8"/>
        <v>1.017037992</v>
      </c>
      <c r="Y380" s="14">
        <f t="shared" si="9"/>
        <v>1</v>
      </c>
      <c r="Z380" s="14">
        <f t="shared" si="10"/>
        <v>1.121044728</v>
      </c>
      <c r="AA380" s="15">
        <f t="shared" si="11"/>
        <v>0</v>
      </c>
      <c r="AB380" s="29">
        <v>0.0</v>
      </c>
      <c r="AC380" s="15" t="str">
        <f t="shared" si="40"/>
        <v>{
$name$: $RD-100$,
$config$: $RD100$,
$cost$: 320
},</v>
      </c>
      <c r="AD380" s="15" t="str">
        <f t="shared" si="41"/>
        <v/>
      </c>
      <c r="AE380" s="15" t="str">
        <f t="shared" si="86"/>
        <v/>
      </c>
      <c r="AF380" s="15" t="str">
        <f t="shared" si="78"/>
        <v/>
      </c>
      <c r="AG380" s="15" t="str">
        <f t="shared" si="79"/>
        <v/>
      </c>
    </row>
    <row r="381" ht="15.75" customHeight="1">
      <c r="A381" s="16" t="s">
        <v>521</v>
      </c>
      <c r="B381" s="16" t="s">
        <v>520</v>
      </c>
      <c r="C381" s="17">
        <f t="shared" si="1"/>
        <v>-15</v>
      </c>
      <c r="D381" s="16">
        <v>1948.0</v>
      </c>
      <c r="E381" s="16"/>
      <c r="F381" s="16" t="b">
        <v>1</v>
      </c>
      <c r="G381" s="16" t="b">
        <v>0</v>
      </c>
      <c r="H381" s="16" t="b">
        <v>0</v>
      </c>
      <c r="I381" s="16" t="b">
        <v>0</v>
      </c>
      <c r="J381" s="18" t="b">
        <v>0</v>
      </c>
      <c r="K381" s="16">
        <v>888.0</v>
      </c>
      <c r="L381" s="16">
        <v>404.0</v>
      </c>
      <c r="M381" s="16">
        <v>237.0</v>
      </c>
      <c r="N381" s="16">
        <v>2.16</v>
      </c>
      <c r="O381" s="16">
        <v>0.94</v>
      </c>
      <c r="P381" s="16">
        <v>0.93</v>
      </c>
      <c r="Q381" s="19">
        <f t="shared" si="2"/>
        <v>46.39249424</v>
      </c>
      <c r="R381" s="20">
        <f t="shared" si="3"/>
        <v>0.754950495</v>
      </c>
      <c r="S381" s="21">
        <f t="shared" si="4"/>
        <v>4</v>
      </c>
      <c r="T381" s="17">
        <f t="shared" ref="T381:T412" si="111">round(V381*W381*X381*Y381*Z381,0)</f>
        <v>305</v>
      </c>
      <c r="U381" s="22">
        <f>T381/vlookup(A381,Max!$A$2:$AP$700,column(Max!$AP$2),false)</f>
        <v>1.173076923</v>
      </c>
      <c r="V381" s="17">
        <f t="shared" si="6"/>
        <v>288.7279617</v>
      </c>
      <c r="W381" s="23">
        <f t="shared" si="7"/>
        <v>0.8918652309</v>
      </c>
      <c r="X381" s="23">
        <f t="shared" si="8"/>
        <v>1.108712126</v>
      </c>
      <c r="Y381" s="23">
        <f t="shared" si="9"/>
        <v>1</v>
      </c>
      <c r="Z381" s="23">
        <f t="shared" si="10"/>
        <v>1.067697054</v>
      </c>
      <c r="AA381" s="24">
        <f t="shared" si="11"/>
        <v>-15</v>
      </c>
      <c r="AB381" s="26">
        <f t="shared" ref="AB381:AB385" si="112">if(iserror(find("$",A381)),1,2)</f>
        <v>1</v>
      </c>
      <c r="AC381" s="26" t="str">
        <f t="shared" si="40"/>
        <v/>
      </c>
      <c r="AD381" s="26" t="str">
        <f t="shared" si="41"/>
        <v>$RD-101$: -15,</v>
      </c>
      <c r="AE381" s="26" t="str">
        <f t="shared" si="86"/>
        <v/>
      </c>
      <c r="AF381" s="26" t="str">
        <f t="shared" si="78"/>
        <v/>
      </c>
      <c r="AG381" s="26" t="str">
        <f t="shared" si="79"/>
        <v/>
      </c>
    </row>
    <row r="382" ht="15.75" customHeight="1">
      <c r="A382" s="7" t="s">
        <v>522</v>
      </c>
      <c r="B382" s="7" t="s">
        <v>520</v>
      </c>
      <c r="C382" s="8">
        <f t="shared" si="1"/>
        <v>-27</v>
      </c>
      <c r="D382" s="7">
        <v>1950.0</v>
      </c>
      <c r="E382" s="7"/>
      <c r="F382" s="7" t="b">
        <v>1</v>
      </c>
      <c r="G382" s="7" t="b">
        <v>0</v>
      </c>
      <c r="H382" s="7" t="b">
        <v>0</v>
      </c>
      <c r="I382" s="7" t="b">
        <v>0</v>
      </c>
      <c r="J382" s="9" t="b">
        <v>0</v>
      </c>
      <c r="K382" s="7">
        <v>885.0</v>
      </c>
      <c r="L382" s="7">
        <v>428.0</v>
      </c>
      <c r="M382" s="7">
        <v>235.0</v>
      </c>
      <c r="N382" s="7">
        <v>2.28</v>
      </c>
      <c r="O382" s="7">
        <v>0.93</v>
      </c>
      <c r="P382" s="7">
        <v>0.92</v>
      </c>
      <c r="Q382" s="10">
        <f t="shared" si="2"/>
        <v>49.31508903</v>
      </c>
      <c r="R382" s="11">
        <f t="shared" si="3"/>
        <v>0.6845794393</v>
      </c>
      <c r="S382" s="12">
        <f t="shared" si="4"/>
        <v>4</v>
      </c>
      <c r="T382" s="8">
        <f t="shared" si="111"/>
        <v>293</v>
      </c>
      <c r="U382" s="13">
        <f>T382/vlookup(A382,Max!$A$2:$AP$700,column(Max!$AP$2),false)</f>
        <v>1.465</v>
      </c>
      <c r="V382" s="8">
        <f t="shared" si="6"/>
        <v>288.1268574</v>
      </c>
      <c r="W382" s="14">
        <f t="shared" si="7"/>
        <v>0.890321153</v>
      </c>
      <c r="X382" s="14">
        <f t="shared" si="8"/>
        <v>1.126842261</v>
      </c>
      <c r="Y382" s="14">
        <f t="shared" si="9"/>
        <v>1</v>
      </c>
      <c r="Z382" s="14">
        <f t="shared" si="10"/>
        <v>1.013094323</v>
      </c>
      <c r="AA382" s="27">
        <f t="shared" si="11"/>
        <v>-27</v>
      </c>
      <c r="AB382" s="15">
        <f t="shared" si="112"/>
        <v>1</v>
      </c>
      <c r="AC382" s="15" t="str">
        <f t="shared" si="40"/>
        <v/>
      </c>
      <c r="AD382" s="15" t="str">
        <f t="shared" si="41"/>
        <v>$RD-102$: -27,</v>
      </c>
      <c r="AE382" s="15" t="str">
        <f t="shared" si="86"/>
        <v/>
      </c>
      <c r="AF382" s="15" t="str">
        <f t="shared" si="78"/>
        <v/>
      </c>
      <c r="AG382" s="15" t="str">
        <f t="shared" si="79"/>
        <v/>
      </c>
    </row>
    <row r="383" ht="15.75" customHeight="1">
      <c r="A383" s="16" t="s">
        <v>523</v>
      </c>
      <c r="B383" s="16" t="s">
        <v>520</v>
      </c>
      <c r="C383" s="17">
        <f t="shared" si="1"/>
        <v>-39</v>
      </c>
      <c r="D383" s="16">
        <v>1952.0</v>
      </c>
      <c r="E383" s="16"/>
      <c r="F383" s="16" t="b">
        <v>1</v>
      </c>
      <c r="G383" s="16" t="b">
        <v>0</v>
      </c>
      <c r="H383" s="16" t="b">
        <v>0</v>
      </c>
      <c r="I383" s="16" t="b">
        <v>0</v>
      </c>
      <c r="J383" s="18" t="b">
        <v>0</v>
      </c>
      <c r="K383" s="16">
        <v>870.0</v>
      </c>
      <c r="L383" s="16">
        <v>490.33</v>
      </c>
      <c r="M383" s="16">
        <v>248.0</v>
      </c>
      <c r="N383" s="16">
        <v>2.39</v>
      </c>
      <c r="O383" s="16">
        <v>0.93</v>
      </c>
      <c r="P383" s="16">
        <v>0.91</v>
      </c>
      <c r="Q383" s="19">
        <f t="shared" si="2"/>
        <v>57.47097118</v>
      </c>
      <c r="R383" s="20">
        <f t="shared" si="3"/>
        <v>0.5730834336</v>
      </c>
      <c r="S383" s="21">
        <f t="shared" si="4"/>
        <v>4</v>
      </c>
      <c r="T383" s="17">
        <f t="shared" si="111"/>
        <v>281</v>
      </c>
      <c r="U383" s="22">
        <f>T383/vlookup(A383,Max!$A$2:$AP$700,column(Max!$AP$2),false)</f>
        <v>1.338095238</v>
      </c>
      <c r="V383" s="17">
        <f t="shared" si="6"/>
        <v>285.1097702</v>
      </c>
      <c r="W383" s="23">
        <f t="shared" si="7"/>
        <v>0.9019389987</v>
      </c>
      <c r="X383" s="23">
        <f t="shared" si="8"/>
        <v>1.14288371</v>
      </c>
      <c r="Y383" s="23">
        <f t="shared" si="9"/>
        <v>1</v>
      </c>
      <c r="Z383" s="23">
        <f t="shared" si="10"/>
        <v>0.9577935022</v>
      </c>
      <c r="AA383" s="24">
        <f t="shared" si="11"/>
        <v>-39</v>
      </c>
      <c r="AB383" s="26">
        <f t="shared" si="112"/>
        <v>1</v>
      </c>
      <c r="AC383" s="26" t="str">
        <f t="shared" si="40"/>
        <v/>
      </c>
      <c r="AD383" s="26" t="str">
        <f t="shared" si="41"/>
        <v>$RD-103$: -39,</v>
      </c>
      <c r="AE383" s="26" t="str">
        <f t="shared" si="86"/>
        <v/>
      </c>
      <c r="AF383" s="26" t="str">
        <f t="shared" si="78"/>
        <v/>
      </c>
      <c r="AG383" s="26" t="str">
        <f t="shared" si="79"/>
        <v/>
      </c>
    </row>
    <row r="384" ht="15.75" customHeight="1">
      <c r="A384" s="7" t="s">
        <v>524</v>
      </c>
      <c r="B384" s="7" t="s">
        <v>520</v>
      </c>
      <c r="C384" s="8">
        <f t="shared" si="1"/>
        <v>-48</v>
      </c>
      <c r="D384" s="7">
        <v>1956.0</v>
      </c>
      <c r="E384" s="7"/>
      <c r="F384" s="7" t="b">
        <v>1</v>
      </c>
      <c r="G384" s="7" t="b">
        <v>0</v>
      </c>
      <c r="H384" s="7" t="b">
        <v>0</v>
      </c>
      <c r="I384" s="7" t="b">
        <v>0</v>
      </c>
      <c r="J384" s="9" t="b">
        <v>0</v>
      </c>
      <c r="K384" s="7">
        <v>867.0</v>
      </c>
      <c r="L384" s="7">
        <v>500.14</v>
      </c>
      <c r="M384" s="7">
        <v>248.0</v>
      </c>
      <c r="N384" s="7">
        <v>2.44</v>
      </c>
      <c r="O384" s="7">
        <v>0.94</v>
      </c>
      <c r="P384" s="7">
        <v>0.92</v>
      </c>
      <c r="Q384" s="10">
        <f t="shared" si="2"/>
        <v>58.82362921</v>
      </c>
      <c r="R384" s="11">
        <f t="shared" si="3"/>
        <v>0.5438477226</v>
      </c>
      <c r="S384" s="12">
        <f t="shared" si="4"/>
        <v>4</v>
      </c>
      <c r="T384" s="8">
        <f t="shared" si="111"/>
        <v>272</v>
      </c>
      <c r="U384" s="13">
        <f>T384/vlookup(A384,Max!$A$2:$AP$700,column(Max!$AP$2),false)</f>
        <v>1.511111111</v>
      </c>
      <c r="V384" s="8">
        <f t="shared" si="6"/>
        <v>284.504014</v>
      </c>
      <c r="W384" s="14">
        <f t="shared" si="7"/>
        <v>0.9019389987</v>
      </c>
      <c r="X384" s="14">
        <f t="shared" si="8"/>
        <v>1.150004713</v>
      </c>
      <c r="Y384" s="14">
        <f t="shared" si="9"/>
        <v>1</v>
      </c>
      <c r="Z384" s="14">
        <f t="shared" si="10"/>
        <v>0.9203802964</v>
      </c>
      <c r="AA384" s="27">
        <f t="shared" si="11"/>
        <v>-48</v>
      </c>
      <c r="AB384" s="15">
        <f t="shared" si="112"/>
        <v>1</v>
      </c>
      <c r="AC384" s="15" t="str">
        <f t="shared" si="40"/>
        <v/>
      </c>
      <c r="AD384" s="15" t="str">
        <f t="shared" si="41"/>
        <v>$RD-103M$: -48,</v>
      </c>
      <c r="AE384" s="15" t="str">
        <f t="shared" ref="AE384:AE385" si="113">if(AB384=2,if(AF383&lt;&gt;AF384,char(9)&amp;char(9)&amp;"@CONFIG["&amp;AF384&amp;"]"&amp;char(10)&amp;char(9)&amp;char(9)&amp;"{"&amp;char(10),"")&amp;char(9)&amp;char(9)&amp;char(9)&amp;"@SUBCONFIG["&amp;AG384&amp;"] { %cost = "&amp;AA384&amp;" }"&amp;if(AF386&lt;&gt;AF384,char(10)&amp;char(9)&amp;char(9)&amp;"}",""),"")</f>
        <v/>
      </c>
      <c r="AF384" s="15" t="str">
        <f t="shared" si="78"/>
        <v/>
      </c>
      <c r="AG384" s="15" t="str">
        <f t="shared" si="79"/>
        <v/>
      </c>
    </row>
    <row r="385" ht="15.75" customHeight="1">
      <c r="A385" s="18" t="s">
        <v>525</v>
      </c>
      <c r="B385" s="18" t="s">
        <v>520</v>
      </c>
      <c r="C385" s="17">
        <f t="shared" si="1"/>
        <v>-51</v>
      </c>
      <c r="D385" s="18">
        <v>1962.0</v>
      </c>
      <c r="E385" s="16"/>
      <c r="F385" s="16" t="b">
        <v>1</v>
      </c>
      <c r="G385" s="16" t="b">
        <v>0</v>
      </c>
      <c r="H385" s="16" t="b">
        <v>0</v>
      </c>
      <c r="I385" s="16" t="b">
        <v>0</v>
      </c>
      <c r="J385" s="18" t="b">
        <v>0</v>
      </c>
      <c r="K385" s="18">
        <v>867.0</v>
      </c>
      <c r="L385" s="18">
        <v>465.82</v>
      </c>
      <c r="M385" s="16">
        <v>248.0</v>
      </c>
      <c r="N385" s="18">
        <v>2.39</v>
      </c>
      <c r="O385" s="18">
        <v>0.95625</v>
      </c>
      <c r="P385" s="18">
        <v>0.95625</v>
      </c>
      <c r="Q385" s="19">
        <f t="shared" si="2"/>
        <v>54.78710553</v>
      </c>
      <c r="R385" s="20">
        <f t="shared" si="3"/>
        <v>0.5774762784</v>
      </c>
      <c r="S385" s="21">
        <f t="shared" si="4"/>
        <v>4</v>
      </c>
      <c r="T385" s="17">
        <f t="shared" si="111"/>
        <v>269</v>
      </c>
      <c r="U385" s="22" t="str">
        <f>T385/vlookup(A385,Max!$A$2:$AP$700,column(Max!$AP$2),false)</f>
        <v>#N/A</v>
      </c>
      <c r="V385" s="17">
        <f t="shared" si="6"/>
        <v>284.504014</v>
      </c>
      <c r="W385" s="23">
        <f t="shared" si="7"/>
        <v>0.9019389987</v>
      </c>
      <c r="X385" s="23">
        <f t="shared" si="8"/>
        <v>1.14288371</v>
      </c>
      <c r="Y385" s="23">
        <f t="shared" si="9"/>
        <v>1</v>
      </c>
      <c r="Z385" s="23">
        <f t="shared" si="10"/>
        <v>0.9169393991</v>
      </c>
      <c r="AA385" s="24">
        <f t="shared" si="11"/>
        <v>-51</v>
      </c>
      <c r="AB385" s="26">
        <f t="shared" si="112"/>
        <v>1</v>
      </c>
      <c r="AC385" s="26" t="str">
        <f t="shared" si="40"/>
        <v/>
      </c>
      <c r="AD385" s="26" t="str">
        <f t="shared" si="41"/>
        <v>$5D60$: -51,</v>
      </c>
      <c r="AE385" s="26" t="str">
        <f t="shared" si="113"/>
        <v/>
      </c>
      <c r="AF385" s="26" t="str">
        <f t="shared" si="78"/>
        <v/>
      </c>
      <c r="AG385" s="26" t="str">
        <f t="shared" si="79"/>
        <v/>
      </c>
    </row>
    <row r="386" ht="15.75" customHeight="1">
      <c r="A386" s="7" t="s">
        <v>526</v>
      </c>
      <c r="B386" s="9" t="s">
        <v>527</v>
      </c>
      <c r="C386" s="8">
        <f t="shared" si="1"/>
        <v>606</v>
      </c>
      <c r="D386" s="7">
        <v>1956.0</v>
      </c>
      <c r="E386" s="7"/>
      <c r="F386" s="7" t="b">
        <v>1</v>
      </c>
      <c r="G386" s="7" t="b">
        <v>0</v>
      </c>
      <c r="H386" s="7" t="b">
        <v>0</v>
      </c>
      <c r="I386" s="7" t="b">
        <v>0</v>
      </c>
      <c r="J386" s="9" t="b">
        <v>0</v>
      </c>
      <c r="K386" s="7">
        <v>1190.0</v>
      </c>
      <c r="L386" s="7">
        <v>1000.28</v>
      </c>
      <c r="M386" s="7">
        <v>312.64</v>
      </c>
      <c r="N386" s="7">
        <v>5.84</v>
      </c>
      <c r="O386" s="7">
        <v>0.982061</v>
      </c>
      <c r="P386" s="7">
        <v>0.982061</v>
      </c>
      <c r="Q386" s="10">
        <f t="shared" si="2"/>
        <v>85.71443114</v>
      </c>
      <c r="R386" s="11">
        <f t="shared" si="3"/>
        <v>0.6058303675</v>
      </c>
      <c r="S386" s="12">
        <f t="shared" si="4"/>
        <v>4</v>
      </c>
      <c r="T386" s="8">
        <f t="shared" si="111"/>
        <v>606</v>
      </c>
      <c r="U386" s="13">
        <f>T386/vlookup(A386,Max!$A$2:$AP$700,column(Max!$AP$2),false)</f>
        <v>0.9044776119</v>
      </c>
      <c r="V386" s="8">
        <f t="shared" si="6"/>
        <v>345.8435044</v>
      </c>
      <c r="W386" s="14">
        <f t="shared" si="7"/>
        <v>1.082432988</v>
      </c>
      <c r="X386" s="14">
        <f t="shared" si="8"/>
        <v>1.494192411</v>
      </c>
      <c r="Y386" s="14">
        <f t="shared" si="9"/>
        <v>1</v>
      </c>
      <c r="Z386" s="14">
        <f t="shared" si="10"/>
        <v>1.083537398</v>
      </c>
      <c r="AA386" s="15">
        <f t="shared" si="11"/>
        <v>0</v>
      </c>
      <c r="AB386" s="29">
        <v>0.0</v>
      </c>
      <c r="AC386" s="15" t="str">
        <f t="shared" si="40"/>
        <v>{
$name$: $RD-107-8D74$,
$config$: $RD107-117$,
$cost$: 606
},</v>
      </c>
      <c r="AD386" s="15" t="str">
        <f t="shared" si="41"/>
        <v/>
      </c>
      <c r="AE386" s="15" t="str">
        <f>if(AB386=2,if(AF384&lt;&gt;AF386,char(9)&amp;char(9)&amp;"@CONFIG["&amp;AF386&amp;"]"&amp;char(10)&amp;char(9)&amp;char(9)&amp;"{"&amp;char(10),"")&amp;char(9)&amp;char(9)&amp;char(9)&amp;"@SUBCONFIG["&amp;AG386&amp;"] { %cost = "&amp;AA386&amp;" }"&amp;if(AF387&lt;&gt;AF386,char(10)&amp;char(9)&amp;char(9)&amp;"}",""),"")</f>
        <v/>
      </c>
      <c r="AF386" s="15" t="str">
        <f t="shared" si="78"/>
        <v/>
      </c>
      <c r="AG386" s="15" t="str">
        <f t="shared" si="79"/>
        <v/>
      </c>
    </row>
    <row r="387" ht="15.75" customHeight="1">
      <c r="A387" s="16" t="s">
        <v>528</v>
      </c>
      <c r="B387" s="18" t="s">
        <v>527</v>
      </c>
      <c r="C387" s="17">
        <f t="shared" si="1"/>
        <v>-39</v>
      </c>
      <c r="D387" s="16">
        <v>1957.0</v>
      </c>
      <c r="E387" s="16"/>
      <c r="F387" s="16" t="b">
        <v>1</v>
      </c>
      <c r="G387" s="16" t="b">
        <v>0</v>
      </c>
      <c r="H387" s="16" t="b">
        <v>0</v>
      </c>
      <c r="I387" s="16" t="b">
        <v>0</v>
      </c>
      <c r="J387" s="18" t="b">
        <v>0</v>
      </c>
      <c r="K387" s="16">
        <v>1190.0</v>
      </c>
      <c r="L387" s="16">
        <v>972.3</v>
      </c>
      <c r="M387" s="16">
        <v>306.0</v>
      </c>
      <c r="N387" s="16">
        <v>5.69</v>
      </c>
      <c r="O387" s="16">
        <v>0.986364</v>
      </c>
      <c r="P387" s="16">
        <v>0.986364</v>
      </c>
      <c r="Q387" s="19">
        <f t="shared" si="2"/>
        <v>83.31681269</v>
      </c>
      <c r="R387" s="20">
        <f t="shared" si="3"/>
        <v>0.5831533477</v>
      </c>
      <c r="S387" s="21">
        <f t="shared" si="4"/>
        <v>4</v>
      </c>
      <c r="T387" s="17">
        <f t="shared" si="111"/>
        <v>567</v>
      </c>
      <c r="U387" s="22">
        <f>T387/vlookup(A387,Max!$A$2:$AP$700,column(Max!$AP$2),false)</f>
        <v>0.9610169492</v>
      </c>
      <c r="V387" s="17">
        <f t="shared" si="6"/>
        <v>345.8435044</v>
      </c>
      <c r="W387" s="23">
        <f t="shared" si="7"/>
        <v>1.02792664</v>
      </c>
      <c r="X387" s="23">
        <f t="shared" si="8"/>
        <v>1.482573906</v>
      </c>
      <c r="Y387" s="23">
        <f t="shared" si="9"/>
        <v>1</v>
      </c>
      <c r="Z387" s="23">
        <f t="shared" si="10"/>
        <v>1.075165369</v>
      </c>
      <c r="AA387" s="24">
        <f t="shared" si="11"/>
        <v>-39</v>
      </c>
      <c r="AB387" s="26">
        <f t="shared" ref="AB387:AB395" si="114">if(iserror(find("$",A387)),1,2)</f>
        <v>1</v>
      </c>
      <c r="AC387" s="26" t="str">
        <f t="shared" si="40"/>
        <v/>
      </c>
      <c r="AD387" s="26" t="str">
        <f t="shared" si="41"/>
        <v>$RD-107-8D74PS$: -39,</v>
      </c>
      <c r="AE387" s="26" t="str">
        <f t="shared" ref="AE387:AE501" si="115">if(AB387=2,if(AF386&lt;&gt;AF387,char(9)&amp;char(9)&amp;"@CONFIG["&amp;AF387&amp;"]"&amp;char(10)&amp;char(9)&amp;char(9)&amp;"{"&amp;char(10),"")&amp;char(9)&amp;char(9)&amp;char(9)&amp;"@SUBCONFIG["&amp;AG387&amp;"] { %cost = "&amp;AA387&amp;" }"&amp;if(AF388&lt;&gt;AF387,char(10)&amp;char(9)&amp;char(9)&amp;"}",""),"")</f>
        <v/>
      </c>
      <c r="AF387" s="26" t="str">
        <f t="shared" si="78"/>
        <v/>
      </c>
      <c r="AG387" s="26" t="str">
        <f t="shared" si="79"/>
        <v/>
      </c>
    </row>
    <row r="388" ht="15.75" customHeight="1">
      <c r="A388" s="7" t="s">
        <v>529</v>
      </c>
      <c r="B388" s="9" t="s">
        <v>527</v>
      </c>
      <c r="C388" s="8">
        <f t="shared" si="1"/>
        <v>-25</v>
      </c>
      <c r="D388" s="7">
        <v>1958.0</v>
      </c>
      <c r="E388" s="7"/>
      <c r="F388" s="7" t="b">
        <v>1</v>
      </c>
      <c r="G388" s="7" t="b">
        <v>0</v>
      </c>
      <c r="H388" s="7" t="b">
        <v>0</v>
      </c>
      <c r="I388" s="7" t="b">
        <v>0</v>
      </c>
      <c r="J388" s="9" t="b">
        <v>0</v>
      </c>
      <c r="K388" s="7">
        <v>1190.0</v>
      </c>
      <c r="L388" s="7">
        <v>996.4</v>
      </c>
      <c r="M388" s="7">
        <v>312.0</v>
      </c>
      <c r="N388" s="7">
        <v>5.69</v>
      </c>
      <c r="O388" s="7">
        <v>0.985606</v>
      </c>
      <c r="P388" s="7">
        <v>0.985606</v>
      </c>
      <c r="Q388" s="10">
        <f t="shared" si="2"/>
        <v>85.38195224</v>
      </c>
      <c r="R388" s="11">
        <f t="shared" si="3"/>
        <v>0.583099157</v>
      </c>
      <c r="S388" s="12">
        <f t="shared" si="4"/>
        <v>4</v>
      </c>
      <c r="T388" s="8">
        <f t="shared" si="111"/>
        <v>581</v>
      </c>
      <c r="U388" s="13">
        <f>T388/vlookup(A388,Max!$A$2:$AP$700,column(Max!$AP$2),false)</f>
        <v>0.9847457627</v>
      </c>
      <c r="V388" s="8">
        <f t="shared" si="6"/>
        <v>345.8435044</v>
      </c>
      <c r="W388" s="14">
        <f t="shared" si="7"/>
        <v>1.076082311</v>
      </c>
      <c r="X388" s="14">
        <f t="shared" si="8"/>
        <v>1.482573906</v>
      </c>
      <c r="Y388" s="14">
        <f t="shared" si="9"/>
        <v>1</v>
      </c>
      <c r="Z388" s="14">
        <f t="shared" si="10"/>
        <v>1.052472673</v>
      </c>
      <c r="AA388" s="27">
        <f t="shared" si="11"/>
        <v>-25</v>
      </c>
      <c r="AB388" s="15">
        <f t="shared" si="114"/>
        <v>1</v>
      </c>
      <c r="AC388" s="15" t="str">
        <f t="shared" si="40"/>
        <v/>
      </c>
      <c r="AD388" s="15" t="str">
        <f t="shared" si="41"/>
        <v>$RD-107-8D74-1958$: -25,</v>
      </c>
      <c r="AE388" s="15" t="str">
        <f t="shared" si="115"/>
        <v/>
      </c>
      <c r="AF388" s="15" t="str">
        <f t="shared" si="78"/>
        <v/>
      </c>
      <c r="AG388" s="15" t="str">
        <f t="shared" si="79"/>
        <v/>
      </c>
    </row>
    <row r="389" ht="15.75" customHeight="1">
      <c r="A389" s="16" t="s">
        <v>530</v>
      </c>
      <c r="B389" s="18" t="s">
        <v>527</v>
      </c>
      <c r="C389" s="17">
        <f t="shared" si="1"/>
        <v>-60</v>
      </c>
      <c r="D389" s="16">
        <v>1958.0</v>
      </c>
      <c r="E389" s="16"/>
      <c r="F389" s="16" t="b">
        <v>1</v>
      </c>
      <c r="G389" s="16" t="b">
        <v>0</v>
      </c>
      <c r="H389" s="16" t="b">
        <v>0</v>
      </c>
      <c r="I389" s="16" t="b">
        <v>0</v>
      </c>
      <c r="J389" s="18" t="b">
        <v>0</v>
      </c>
      <c r="K389" s="16">
        <v>1190.0</v>
      </c>
      <c r="L389" s="16">
        <v>972.8</v>
      </c>
      <c r="M389" s="16">
        <v>310.0</v>
      </c>
      <c r="N389" s="16">
        <v>5.69</v>
      </c>
      <c r="O389" s="16">
        <v>0.968182</v>
      </c>
      <c r="P389" s="16">
        <v>0.968182</v>
      </c>
      <c r="Q389" s="19">
        <f t="shared" si="2"/>
        <v>83.35965791</v>
      </c>
      <c r="R389" s="20">
        <f t="shared" si="3"/>
        <v>0.5612664474</v>
      </c>
      <c r="S389" s="21">
        <f t="shared" si="4"/>
        <v>4</v>
      </c>
      <c r="T389" s="17">
        <f t="shared" si="111"/>
        <v>546</v>
      </c>
      <c r="U389" s="22">
        <f>T389/vlookup(A389,Max!$A$2:$AP$700,column(Max!$AP$2),false)</f>
        <v>1.092</v>
      </c>
      <c r="V389" s="17">
        <f t="shared" si="6"/>
        <v>345.8435044</v>
      </c>
      <c r="W389" s="23">
        <f t="shared" si="7"/>
        <v>1.057751671</v>
      </c>
      <c r="X389" s="23">
        <f t="shared" si="8"/>
        <v>1.482573906</v>
      </c>
      <c r="Y389" s="23">
        <f t="shared" si="9"/>
        <v>1</v>
      </c>
      <c r="Z389" s="23">
        <f t="shared" si="10"/>
        <v>1.006572341</v>
      </c>
      <c r="AA389" s="24">
        <f t="shared" si="11"/>
        <v>-60</v>
      </c>
      <c r="AB389" s="26">
        <f t="shared" si="114"/>
        <v>1</v>
      </c>
      <c r="AC389" s="26" t="str">
        <f t="shared" si="40"/>
        <v/>
      </c>
      <c r="AD389" s="26" t="str">
        <f t="shared" si="41"/>
        <v>$RD-107-8D76$: -60,</v>
      </c>
      <c r="AE389" s="26" t="str">
        <f t="shared" si="115"/>
        <v/>
      </c>
      <c r="AF389" s="26" t="str">
        <f t="shared" si="78"/>
        <v/>
      </c>
      <c r="AG389" s="26" t="str">
        <f t="shared" si="79"/>
        <v/>
      </c>
    </row>
    <row r="390" ht="15.75" customHeight="1">
      <c r="A390" s="7" t="s">
        <v>531</v>
      </c>
      <c r="B390" s="9" t="s">
        <v>527</v>
      </c>
      <c r="C390" s="8">
        <f t="shared" si="1"/>
        <v>-14</v>
      </c>
      <c r="D390" s="7">
        <v>1959.0</v>
      </c>
      <c r="E390" s="7"/>
      <c r="F390" s="7" t="b">
        <v>1</v>
      </c>
      <c r="G390" s="7" t="b">
        <v>0</v>
      </c>
      <c r="H390" s="7" t="b">
        <v>0</v>
      </c>
      <c r="I390" s="7" t="b">
        <v>0</v>
      </c>
      <c r="J390" s="9" t="b">
        <v>0</v>
      </c>
      <c r="K390" s="7">
        <v>1190.0</v>
      </c>
      <c r="L390" s="7">
        <v>996.4</v>
      </c>
      <c r="M390" s="7">
        <v>313.0</v>
      </c>
      <c r="N390" s="7">
        <v>5.69</v>
      </c>
      <c r="O390" s="7">
        <v>0.997727</v>
      </c>
      <c r="P390" s="7">
        <v>0.997727</v>
      </c>
      <c r="Q390" s="10">
        <f t="shared" si="2"/>
        <v>85.38195224</v>
      </c>
      <c r="R390" s="11">
        <f t="shared" si="3"/>
        <v>0.5941389</v>
      </c>
      <c r="S390" s="12">
        <f t="shared" si="4"/>
        <v>4</v>
      </c>
      <c r="T390" s="8">
        <f t="shared" si="111"/>
        <v>592</v>
      </c>
      <c r="U390" s="13">
        <f>T390/vlookup(A390,Max!$A$2:$AP$700,column(Max!$AP$2),false)</f>
        <v>0.896969697</v>
      </c>
      <c r="V390" s="8">
        <f t="shared" si="6"/>
        <v>345.8435044</v>
      </c>
      <c r="W390" s="14">
        <f t="shared" si="7"/>
        <v>1.086108856</v>
      </c>
      <c r="X390" s="14">
        <f t="shared" si="8"/>
        <v>1.482573906</v>
      </c>
      <c r="Y390" s="14">
        <f t="shared" si="9"/>
        <v>1</v>
      </c>
      <c r="Z390" s="14">
        <f t="shared" si="10"/>
        <v>1.06351969</v>
      </c>
      <c r="AA390" s="27">
        <f t="shared" si="11"/>
        <v>-14</v>
      </c>
      <c r="AB390" s="15">
        <f t="shared" si="114"/>
        <v>1</v>
      </c>
      <c r="AC390" s="15" t="str">
        <f t="shared" si="40"/>
        <v/>
      </c>
      <c r="AD390" s="15" t="str">
        <f t="shared" si="41"/>
        <v>$RD-107-8D74-1959$: -14,</v>
      </c>
      <c r="AE390" s="15" t="str">
        <f t="shared" si="115"/>
        <v/>
      </c>
      <c r="AF390" s="15" t="str">
        <f t="shared" si="78"/>
        <v/>
      </c>
      <c r="AG390" s="15" t="str">
        <f t="shared" si="79"/>
        <v/>
      </c>
    </row>
    <row r="391" ht="15.75" customHeight="1">
      <c r="A391" s="16" t="s">
        <v>532</v>
      </c>
      <c r="B391" s="18" t="s">
        <v>527</v>
      </c>
      <c r="C391" s="17">
        <f t="shared" si="1"/>
        <v>-21</v>
      </c>
      <c r="D391" s="16">
        <v>1960.0</v>
      </c>
      <c r="E391" s="16"/>
      <c r="F391" s="16" t="b">
        <v>1</v>
      </c>
      <c r="G391" s="16" t="b">
        <v>0</v>
      </c>
      <c r="H391" s="16" t="b">
        <v>0</v>
      </c>
      <c r="I391" s="16" t="b">
        <v>0</v>
      </c>
      <c r="J391" s="18" t="b">
        <v>0</v>
      </c>
      <c r="K391" s="16">
        <v>1180.0</v>
      </c>
      <c r="L391" s="16">
        <v>995.37</v>
      </c>
      <c r="M391" s="16">
        <v>313.15</v>
      </c>
      <c r="N391" s="16">
        <v>5.84</v>
      </c>
      <c r="O391" s="16">
        <v>0.999794</v>
      </c>
      <c r="P391" s="16">
        <v>0.999794</v>
      </c>
      <c r="Q391" s="19">
        <f t="shared" si="2"/>
        <v>86.01651898</v>
      </c>
      <c r="R391" s="20">
        <f t="shared" si="3"/>
        <v>0.5877211489</v>
      </c>
      <c r="S391" s="21">
        <f t="shared" si="4"/>
        <v>4</v>
      </c>
      <c r="T391" s="17">
        <f t="shared" si="111"/>
        <v>585</v>
      </c>
      <c r="U391" s="22">
        <f>T391/vlookup(A391,Max!$A$2:$AP$700,column(Max!$AP$2),false)</f>
        <v>0.8602941176</v>
      </c>
      <c r="V391" s="17">
        <f t="shared" si="6"/>
        <v>344.0465329</v>
      </c>
      <c r="W391" s="23">
        <f t="shared" si="7"/>
        <v>1.087662507</v>
      </c>
      <c r="X391" s="23">
        <f t="shared" si="8"/>
        <v>1.494192411</v>
      </c>
      <c r="Y391" s="23">
        <f t="shared" si="9"/>
        <v>1</v>
      </c>
      <c r="Z391" s="23">
        <f t="shared" si="10"/>
        <v>1.047026415</v>
      </c>
      <c r="AA391" s="24">
        <f t="shared" si="11"/>
        <v>-21</v>
      </c>
      <c r="AB391" s="26">
        <f t="shared" si="114"/>
        <v>1</v>
      </c>
      <c r="AC391" s="26" t="str">
        <f t="shared" si="40"/>
        <v/>
      </c>
      <c r="AD391" s="26" t="str">
        <f t="shared" si="41"/>
        <v>$RD-107-8D74K$: -21,</v>
      </c>
      <c r="AE391" s="26" t="str">
        <f t="shared" si="115"/>
        <v/>
      </c>
      <c r="AF391" s="26" t="str">
        <f t="shared" si="78"/>
        <v/>
      </c>
      <c r="AG391" s="26" t="str">
        <f t="shared" si="79"/>
        <v/>
      </c>
    </row>
    <row r="392" ht="15.75" customHeight="1">
      <c r="A392" s="7" t="s">
        <v>533</v>
      </c>
      <c r="B392" s="9" t="s">
        <v>527</v>
      </c>
      <c r="C392" s="8">
        <f t="shared" si="1"/>
        <v>-52</v>
      </c>
      <c r="D392" s="7">
        <v>1965.0</v>
      </c>
      <c r="E392" s="7"/>
      <c r="F392" s="7" t="b">
        <v>1</v>
      </c>
      <c r="G392" s="7" t="b">
        <v>0</v>
      </c>
      <c r="H392" s="7" t="b">
        <v>0</v>
      </c>
      <c r="I392" s="7" t="b">
        <v>0</v>
      </c>
      <c r="J392" s="9" t="b">
        <v>0</v>
      </c>
      <c r="K392" s="7">
        <v>1100.0</v>
      </c>
      <c r="L392" s="7">
        <v>995.37</v>
      </c>
      <c r="M392" s="7">
        <v>314.07</v>
      </c>
      <c r="N392" s="7">
        <v>5.86</v>
      </c>
      <c r="O392" s="7">
        <v>0.999893</v>
      </c>
      <c r="P392" s="7">
        <v>0.999893</v>
      </c>
      <c r="Q392" s="10">
        <f t="shared" si="2"/>
        <v>92.27226581</v>
      </c>
      <c r="R392" s="11">
        <f t="shared" si="3"/>
        <v>0.5565769513</v>
      </c>
      <c r="S392" s="12">
        <f t="shared" si="4"/>
        <v>4</v>
      </c>
      <c r="T392" s="8">
        <f t="shared" si="111"/>
        <v>554</v>
      </c>
      <c r="U392" s="13">
        <f>T392/vlookup(A392,Max!$A$2:$AP$700,column(Max!$AP$2),false)</f>
        <v>0.9719298246</v>
      </c>
      <c r="V392" s="8">
        <f t="shared" si="6"/>
        <v>329.4591778</v>
      </c>
      <c r="W392" s="14">
        <f t="shared" si="7"/>
        <v>1.097475522</v>
      </c>
      <c r="X392" s="14">
        <f t="shared" si="8"/>
        <v>1.495725704</v>
      </c>
      <c r="Y392" s="14">
        <f t="shared" si="9"/>
        <v>1</v>
      </c>
      <c r="Z392" s="14">
        <f t="shared" si="10"/>
        <v>1.02516987</v>
      </c>
      <c r="AA392" s="27">
        <f t="shared" si="11"/>
        <v>-52</v>
      </c>
      <c r="AB392" s="15">
        <f t="shared" si="114"/>
        <v>1</v>
      </c>
      <c r="AC392" s="15" t="str">
        <f t="shared" si="40"/>
        <v/>
      </c>
      <c r="AD392" s="15" t="str">
        <f t="shared" si="41"/>
        <v>$RD-107-8D728$: -52,</v>
      </c>
      <c r="AE392" s="15" t="str">
        <f t="shared" si="115"/>
        <v/>
      </c>
      <c r="AF392" s="15" t="str">
        <f t="shared" si="78"/>
        <v/>
      </c>
      <c r="AG392" s="15" t="str">
        <f t="shared" si="79"/>
        <v/>
      </c>
    </row>
    <row r="393" ht="15.75" customHeight="1">
      <c r="A393" s="16" t="s">
        <v>534</v>
      </c>
      <c r="B393" s="18" t="s">
        <v>527</v>
      </c>
      <c r="C393" s="17">
        <f t="shared" si="1"/>
        <v>-32</v>
      </c>
      <c r="D393" s="16">
        <v>1973.0</v>
      </c>
      <c r="E393" s="16"/>
      <c r="F393" s="16" t="b">
        <v>1</v>
      </c>
      <c r="G393" s="16" t="b">
        <v>0</v>
      </c>
      <c r="H393" s="16" t="b">
        <v>0</v>
      </c>
      <c r="I393" s="16" t="b">
        <v>0</v>
      </c>
      <c r="J393" s="18" t="b">
        <v>0</v>
      </c>
      <c r="K393" s="16">
        <v>1155.0</v>
      </c>
      <c r="L393" s="16">
        <v>999.3</v>
      </c>
      <c r="M393" s="16">
        <v>314.58</v>
      </c>
      <c r="N393" s="16">
        <v>5.86</v>
      </c>
      <c r="O393" s="16">
        <v>0.999807</v>
      </c>
      <c r="P393" s="16">
        <v>0.999807</v>
      </c>
      <c r="Q393" s="19">
        <f t="shared" si="2"/>
        <v>88.22531677</v>
      </c>
      <c r="R393" s="20">
        <f t="shared" si="3"/>
        <v>0.5744020815</v>
      </c>
      <c r="S393" s="21">
        <f t="shared" si="4"/>
        <v>4</v>
      </c>
      <c r="T393" s="17">
        <f t="shared" si="111"/>
        <v>574</v>
      </c>
      <c r="U393" s="22">
        <f>T393/vlookup(A393,Max!$A$2:$AP$700,column(Max!$AP$2),false)</f>
        <v>1.4</v>
      </c>
      <c r="V393" s="17">
        <f t="shared" si="6"/>
        <v>339.5289561</v>
      </c>
      <c r="W393" s="23">
        <f t="shared" si="7"/>
        <v>1.103125977</v>
      </c>
      <c r="X393" s="23">
        <f t="shared" si="8"/>
        <v>1.495725704</v>
      </c>
      <c r="Y393" s="23">
        <f t="shared" si="9"/>
        <v>1</v>
      </c>
      <c r="Z393" s="23">
        <f t="shared" si="10"/>
        <v>1.024949449</v>
      </c>
      <c r="AA393" s="24">
        <f t="shared" si="11"/>
        <v>-32</v>
      </c>
      <c r="AB393" s="26">
        <f t="shared" si="114"/>
        <v>1</v>
      </c>
      <c r="AC393" s="26" t="str">
        <f t="shared" si="40"/>
        <v/>
      </c>
      <c r="AD393" s="26" t="str">
        <f t="shared" si="41"/>
        <v>$RD-107-11D512$: -32,</v>
      </c>
      <c r="AE393" s="26" t="str">
        <f t="shared" si="115"/>
        <v/>
      </c>
      <c r="AF393" s="26" t="str">
        <f t="shared" si="78"/>
        <v/>
      </c>
      <c r="AG393" s="26" t="str">
        <f t="shared" si="79"/>
        <v/>
      </c>
    </row>
    <row r="394" ht="15.75" customHeight="1">
      <c r="A394" s="7" t="s">
        <v>535</v>
      </c>
      <c r="B394" s="9" t="s">
        <v>527</v>
      </c>
      <c r="C394" s="8">
        <f t="shared" si="1"/>
        <v>-19</v>
      </c>
      <c r="D394" s="7">
        <v>1982.0</v>
      </c>
      <c r="E394" s="7"/>
      <c r="F394" s="7" t="b">
        <v>1</v>
      </c>
      <c r="G394" s="7" t="b">
        <v>0</v>
      </c>
      <c r="H394" s="7" t="b">
        <v>0</v>
      </c>
      <c r="I394" s="7" t="b">
        <v>0</v>
      </c>
      <c r="J394" s="9" t="b">
        <v>0</v>
      </c>
      <c r="K394" s="7">
        <v>1155.0</v>
      </c>
      <c r="L394" s="7">
        <v>1033.3</v>
      </c>
      <c r="M394" s="7">
        <v>317.6</v>
      </c>
      <c r="N394" s="7">
        <v>5.86</v>
      </c>
      <c r="O394" s="7">
        <v>0.999584</v>
      </c>
      <c r="P394" s="7">
        <v>0.999584</v>
      </c>
      <c r="Q394" s="10">
        <f t="shared" si="2"/>
        <v>91.22707877</v>
      </c>
      <c r="R394" s="11">
        <f t="shared" si="3"/>
        <v>0.5680828414</v>
      </c>
      <c r="S394" s="12">
        <f t="shared" si="4"/>
        <v>4</v>
      </c>
      <c r="T394" s="8">
        <f t="shared" si="111"/>
        <v>587</v>
      </c>
      <c r="U394" s="13">
        <f>T394/vlookup(A394,Max!$A$2:$AP$700,column(Max!$AP$2),false)</f>
        <v>1.677142857</v>
      </c>
      <c r="V394" s="8">
        <f t="shared" si="6"/>
        <v>339.5289561</v>
      </c>
      <c r="W394" s="14">
        <f t="shared" si="7"/>
        <v>1.128297334</v>
      </c>
      <c r="X394" s="14">
        <f t="shared" si="8"/>
        <v>1.495725704</v>
      </c>
      <c r="Y394" s="14">
        <f t="shared" si="9"/>
        <v>1</v>
      </c>
      <c r="Z394" s="14">
        <f t="shared" si="10"/>
        <v>1.024378025</v>
      </c>
      <c r="AA394" s="27">
        <f t="shared" si="11"/>
        <v>-19</v>
      </c>
      <c r="AB394" s="15">
        <f t="shared" si="114"/>
        <v>1</v>
      </c>
      <c r="AC394" s="15" t="str">
        <f t="shared" si="40"/>
        <v/>
      </c>
      <c r="AD394" s="15" t="str">
        <f t="shared" si="41"/>
        <v>$RD-107-11D512P$: -19,</v>
      </c>
      <c r="AE394" s="15" t="str">
        <f t="shared" si="115"/>
        <v/>
      </c>
      <c r="AF394" s="15" t="str">
        <f t="shared" si="78"/>
        <v/>
      </c>
      <c r="AG394" s="15" t="str">
        <f t="shared" si="79"/>
        <v/>
      </c>
    </row>
    <row r="395" ht="15.75" customHeight="1">
      <c r="A395" s="16" t="s">
        <v>536</v>
      </c>
      <c r="B395" s="18" t="s">
        <v>527</v>
      </c>
      <c r="C395" s="17">
        <f t="shared" si="1"/>
        <v>-26</v>
      </c>
      <c r="D395" s="16">
        <v>2001.0</v>
      </c>
      <c r="E395" s="16"/>
      <c r="F395" s="16" t="b">
        <v>1</v>
      </c>
      <c r="G395" s="16" t="b">
        <v>0</v>
      </c>
      <c r="H395" s="16" t="b">
        <v>0</v>
      </c>
      <c r="I395" s="16" t="b">
        <v>0</v>
      </c>
      <c r="J395" s="18" t="b">
        <v>0</v>
      </c>
      <c r="K395" s="16">
        <v>1090.0</v>
      </c>
      <c r="L395" s="16">
        <v>1019.89</v>
      </c>
      <c r="M395" s="16">
        <v>319.99</v>
      </c>
      <c r="N395" s="16">
        <v>6.0</v>
      </c>
      <c r="O395" s="16">
        <v>0.99966</v>
      </c>
      <c r="P395" s="16">
        <v>0.99966</v>
      </c>
      <c r="Q395" s="19">
        <f t="shared" si="2"/>
        <v>95.41269407</v>
      </c>
      <c r="R395" s="20">
        <f t="shared" si="3"/>
        <v>0.5686887802</v>
      </c>
      <c r="S395" s="21">
        <f t="shared" si="4"/>
        <v>4</v>
      </c>
      <c r="T395" s="17">
        <f t="shared" si="111"/>
        <v>580</v>
      </c>
      <c r="U395" s="22">
        <f>T395/vlookup(A395,Max!$A$2:$AP$700,column(Max!$AP$2),false)</f>
        <v>2</v>
      </c>
      <c r="V395" s="17">
        <f t="shared" si="6"/>
        <v>327.6082167</v>
      </c>
      <c r="W395" s="23">
        <f t="shared" si="7"/>
        <v>1.147529316</v>
      </c>
      <c r="X395" s="23">
        <f t="shared" si="8"/>
        <v>1.506357476</v>
      </c>
      <c r="Y395" s="23">
        <f t="shared" si="9"/>
        <v>1</v>
      </c>
      <c r="Z395" s="23">
        <f t="shared" si="10"/>
        <v>1.024572749</v>
      </c>
      <c r="AA395" s="24">
        <f t="shared" si="11"/>
        <v>-26</v>
      </c>
      <c r="AB395" s="26">
        <f t="shared" si="114"/>
        <v>1</v>
      </c>
      <c r="AC395" s="26" t="str">
        <f t="shared" si="40"/>
        <v/>
      </c>
      <c r="AD395" s="26" t="str">
        <f t="shared" si="41"/>
        <v>$RD-107A-14D22$: -26,</v>
      </c>
      <c r="AE395" s="26" t="str">
        <f t="shared" si="115"/>
        <v/>
      </c>
      <c r="AF395" s="26" t="str">
        <f t="shared" si="78"/>
        <v/>
      </c>
      <c r="AG395" s="26" t="str">
        <f t="shared" si="79"/>
        <v/>
      </c>
    </row>
    <row r="396" ht="15.75" customHeight="1">
      <c r="A396" s="7" t="s">
        <v>537</v>
      </c>
      <c r="B396" s="9" t="s">
        <v>538</v>
      </c>
      <c r="C396" s="8">
        <f t="shared" si="1"/>
        <v>620</v>
      </c>
      <c r="D396" s="7">
        <v>1956.0</v>
      </c>
      <c r="E396" s="7"/>
      <c r="F396" s="7" t="b">
        <v>1</v>
      </c>
      <c r="G396" s="7" t="b">
        <v>0</v>
      </c>
      <c r="H396" s="7" t="b">
        <v>0</v>
      </c>
      <c r="I396" s="7" t="b">
        <v>0</v>
      </c>
      <c r="J396" s="9" t="b">
        <v>0</v>
      </c>
      <c r="K396" s="7">
        <v>1278.0</v>
      </c>
      <c r="L396" s="7">
        <v>941.44</v>
      </c>
      <c r="M396" s="7">
        <v>314.68</v>
      </c>
      <c r="N396" s="7">
        <v>5.1</v>
      </c>
      <c r="O396" s="7">
        <v>0.982061</v>
      </c>
      <c r="P396" s="7">
        <v>0.982061</v>
      </c>
      <c r="Q396" s="10">
        <f t="shared" si="2"/>
        <v>75.11749834</v>
      </c>
      <c r="R396" s="11">
        <f t="shared" si="3"/>
        <v>0.6585656016</v>
      </c>
      <c r="S396" s="12">
        <f t="shared" si="4"/>
        <v>4</v>
      </c>
      <c r="T396" s="8">
        <f t="shared" si="111"/>
        <v>620</v>
      </c>
      <c r="U396" s="13">
        <f>T396/vlookup(A396,Max!$A$2:$AP$700,column(Max!$AP$2),false)</f>
        <v>0.7654320988</v>
      </c>
      <c r="V396" s="8">
        <f t="shared" si="6"/>
        <v>361.4203818</v>
      </c>
      <c r="W396" s="14">
        <f t="shared" si="7"/>
        <v>1.104251548</v>
      </c>
      <c r="X396" s="14">
        <f t="shared" si="8"/>
        <v>1.434675642</v>
      </c>
      <c r="Y396" s="14">
        <f t="shared" si="9"/>
        <v>1</v>
      </c>
      <c r="Z396" s="14">
        <f t="shared" si="10"/>
        <v>1.083537398</v>
      </c>
      <c r="AA396" s="15">
        <f t="shared" si="11"/>
        <v>0</v>
      </c>
      <c r="AB396" s="29">
        <v>0.0</v>
      </c>
      <c r="AC396" s="15" t="str">
        <f t="shared" si="40"/>
        <v>{
$name$: $RD-108-8D75$,
$config$: $RD108-118$,
$cost$: 620
},</v>
      </c>
      <c r="AD396" s="15" t="str">
        <f t="shared" si="41"/>
        <v/>
      </c>
      <c r="AE396" s="15" t="str">
        <f t="shared" si="115"/>
        <v/>
      </c>
      <c r="AF396" s="15" t="str">
        <f t="shared" si="78"/>
        <v/>
      </c>
      <c r="AG396" s="15" t="str">
        <f t="shared" si="79"/>
        <v/>
      </c>
    </row>
    <row r="397" ht="15.75" customHeight="1">
      <c r="A397" s="16" t="s">
        <v>539</v>
      </c>
      <c r="B397" s="18" t="s">
        <v>538</v>
      </c>
      <c r="C397" s="17">
        <f t="shared" si="1"/>
        <v>-54</v>
      </c>
      <c r="D397" s="16">
        <v>1957.0</v>
      </c>
      <c r="E397" s="16"/>
      <c r="F397" s="16" t="b">
        <v>1</v>
      </c>
      <c r="G397" s="16" t="b">
        <v>0</v>
      </c>
      <c r="H397" s="16" t="b">
        <v>0</v>
      </c>
      <c r="I397" s="16" t="b">
        <v>0</v>
      </c>
      <c r="J397" s="18" t="b">
        <v>0</v>
      </c>
      <c r="K397" s="16">
        <v>1250.0</v>
      </c>
      <c r="L397" s="16">
        <v>918.3</v>
      </c>
      <c r="M397" s="16">
        <v>308.0</v>
      </c>
      <c r="N397" s="16">
        <v>4.91</v>
      </c>
      <c r="O397" s="16">
        <v>0.986364</v>
      </c>
      <c r="P397" s="16">
        <v>0.986364</v>
      </c>
      <c r="Q397" s="19">
        <f t="shared" si="2"/>
        <v>74.91243165</v>
      </c>
      <c r="R397" s="20">
        <f t="shared" si="3"/>
        <v>0.6163563106</v>
      </c>
      <c r="S397" s="21">
        <f t="shared" si="4"/>
        <v>4</v>
      </c>
      <c r="T397" s="17">
        <f t="shared" si="111"/>
        <v>566</v>
      </c>
      <c r="U397" s="22">
        <f>T397/vlookup(A397,Max!$A$2:$AP$700,column(Max!$AP$2),false)</f>
        <v>0.7971830986</v>
      </c>
      <c r="V397" s="17">
        <f t="shared" si="6"/>
        <v>356.5089642</v>
      </c>
      <c r="W397" s="23">
        <f t="shared" si="7"/>
        <v>1.041705347</v>
      </c>
      <c r="X397" s="23">
        <f t="shared" si="8"/>
        <v>1.418427425</v>
      </c>
      <c r="Y397" s="23">
        <f t="shared" si="9"/>
        <v>1</v>
      </c>
      <c r="Z397" s="23">
        <f t="shared" si="10"/>
        <v>1.075165369</v>
      </c>
      <c r="AA397" s="24">
        <f t="shared" si="11"/>
        <v>-54</v>
      </c>
      <c r="AB397" s="26">
        <f t="shared" ref="AB397:AB405" si="116">if(iserror(find("$",A397)),1,2)</f>
        <v>1</v>
      </c>
      <c r="AC397" s="26" t="str">
        <f t="shared" si="40"/>
        <v/>
      </c>
      <c r="AD397" s="26" t="str">
        <f t="shared" si="41"/>
        <v>$RD-108-8D75PS$: -54,</v>
      </c>
      <c r="AE397" s="26" t="str">
        <f t="shared" si="115"/>
        <v/>
      </c>
      <c r="AF397" s="26" t="str">
        <f t="shared" si="78"/>
        <v/>
      </c>
      <c r="AG397" s="26" t="str">
        <f t="shared" si="79"/>
        <v/>
      </c>
    </row>
    <row r="398" ht="15.75" customHeight="1">
      <c r="A398" s="7" t="s">
        <v>540</v>
      </c>
      <c r="B398" s="9" t="s">
        <v>538</v>
      </c>
      <c r="C398" s="8">
        <f t="shared" si="1"/>
        <v>-24</v>
      </c>
      <c r="D398" s="7">
        <v>1958.0</v>
      </c>
      <c r="E398" s="7"/>
      <c r="F398" s="7" t="b">
        <v>1</v>
      </c>
      <c r="G398" s="7" t="b">
        <v>0</v>
      </c>
      <c r="H398" s="7" t="b">
        <v>0</v>
      </c>
      <c r="I398" s="7" t="b">
        <v>0</v>
      </c>
      <c r="J398" s="9" t="b">
        <v>0</v>
      </c>
      <c r="K398" s="7">
        <v>1250.0</v>
      </c>
      <c r="L398" s="7">
        <v>945.4</v>
      </c>
      <c r="M398" s="7">
        <v>315.0</v>
      </c>
      <c r="N398" s="7">
        <v>5.08</v>
      </c>
      <c r="O398" s="7">
        <v>0.985606</v>
      </c>
      <c r="P398" s="7">
        <v>0.985606</v>
      </c>
      <c r="Q398" s="10">
        <f t="shared" si="2"/>
        <v>77.12317639</v>
      </c>
      <c r="R398" s="11">
        <f t="shared" si="3"/>
        <v>0.6304209858</v>
      </c>
      <c r="S398" s="12">
        <f t="shared" si="4"/>
        <v>4</v>
      </c>
      <c r="T398" s="8">
        <f t="shared" si="111"/>
        <v>596</v>
      </c>
      <c r="U398" s="13">
        <f>T398/vlookup(A398,Max!$A$2:$AP$700,column(Max!$AP$2),false)</f>
        <v>0.8164383562</v>
      </c>
      <c r="V398" s="8">
        <f t="shared" si="6"/>
        <v>356.5089642</v>
      </c>
      <c r="W398" s="14">
        <f t="shared" si="7"/>
        <v>1.107892259</v>
      </c>
      <c r="X398" s="14">
        <f t="shared" si="8"/>
        <v>1.432985467</v>
      </c>
      <c r="Y398" s="14">
        <f t="shared" si="9"/>
        <v>1</v>
      </c>
      <c r="Z398" s="14">
        <f t="shared" si="10"/>
        <v>1.052472673</v>
      </c>
      <c r="AA398" s="27">
        <f t="shared" si="11"/>
        <v>-24</v>
      </c>
      <c r="AB398" s="15">
        <f t="shared" si="116"/>
        <v>1</v>
      </c>
      <c r="AC398" s="15" t="str">
        <f t="shared" si="40"/>
        <v/>
      </c>
      <c r="AD398" s="15" t="str">
        <f t="shared" si="41"/>
        <v>$RD-108-8D75-1958$: -24,</v>
      </c>
      <c r="AE398" s="15" t="str">
        <f t="shared" si="115"/>
        <v/>
      </c>
      <c r="AF398" s="15" t="str">
        <f t="shared" si="78"/>
        <v/>
      </c>
      <c r="AG398" s="15" t="str">
        <f t="shared" si="79"/>
        <v/>
      </c>
    </row>
    <row r="399" ht="15.75" customHeight="1">
      <c r="A399" s="16" t="s">
        <v>541</v>
      </c>
      <c r="B399" s="18" t="s">
        <v>538</v>
      </c>
      <c r="C399" s="17">
        <f t="shared" si="1"/>
        <v>-93</v>
      </c>
      <c r="D399" s="16">
        <v>1958.0</v>
      </c>
      <c r="E399" s="16"/>
      <c r="F399" s="16" t="b">
        <v>1</v>
      </c>
      <c r="G399" s="16" t="b">
        <v>0</v>
      </c>
      <c r="H399" s="16" t="b">
        <v>0</v>
      </c>
      <c r="I399" s="16" t="b">
        <v>0</v>
      </c>
      <c r="J399" s="18" t="b">
        <v>0</v>
      </c>
      <c r="K399" s="16">
        <v>1250.0</v>
      </c>
      <c r="L399" s="16">
        <v>803.2</v>
      </c>
      <c r="M399" s="16">
        <v>315.0</v>
      </c>
      <c r="N399" s="16">
        <v>3.92</v>
      </c>
      <c r="O399" s="16">
        <v>0.968182</v>
      </c>
      <c r="P399" s="16">
        <v>0.968182</v>
      </c>
      <c r="Q399" s="19">
        <f t="shared" si="2"/>
        <v>65.52288479</v>
      </c>
      <c r="R399" s="20">
        <f t="shared" si="3"/>
        <v>0.656125498</v>
      </c>
      <c r="S399" s="21">
        <f t="shared" si="4"/>
        <v>4</v>
      </c>
      <c r="T399" s="17">
        <f t="shared" si="111"/>
        <v>527</v>
      </c>
      <c r="U399" s="22">
        <f>T399/vlookup(A399,Max!$A$2:$AP$700,column(Max!$AP$2),false)</f>
        <v>0.9581818182</v>
      </c>
      <c r="V399" s="17">
        <f t="shared" si="6"/>
        <v>356.5089642</v>
      </c>
      <c r="W399" s="23">
        <f t="shared" si="7"/>
        <v>1.107892259</v>
      </c>
      <c r="X399" s="23">
        <f t="shared" si="8"/>
        <v>1.325770931</v>
      </c>
      <c r="Y399" s="23">
        <f t="shared" si="9"/>
        <v>1</v>
      </c>
      <c r="Z399" s="23">
        <f t="shared" si="10"/>
        <v>1.006572341</v>
      </c>
      <c r="AA399" s="24">
        <f t="shared" si="11"/>
        <v>-93</v>
      </c>
      <c r="AB399" s="26">
        <f t="shared" si="116"/>
        <v>1</v>
      </c>
      <c r="AC399" s="26" t="str">
        <f t="shared" si="40"/>
        <v/>
      </c>
      <c r="AD399" s="26" t="str">
        <f t="shared" si="41"/>
        <v>$RD-108-8D77$: -93,</v>
      </c>
      <c r="AE399" s="26" t="str">
        <f t="shared" si="115"/>
        <v/>
      </c>
      <c r="AF399" s="26" t="str">
        <f t="shared" si="78"/>
        <v/>
      </c>
      <c r="AG399" s="26" t="str">
        <f t="shared" si="79"/>
        <v/>
      </c>
    </row>
    <row r="400" ht="15.75" customHeight="1">
      <c r="A400" s="7" t="s">
        <v>542</v>
      </c>
      <c r="B400" s="9" t="s">
        <v>538</v>
      </c>
      <c r="C400" s="8">
        <f t="shared" si="1"/>
        <v>-18</v>
      </c>
      <c r="D400" s="7">
        <v>1959.0</v>
      </c>
      <c r="E400" s="7"/>
      <c r="F400" s="7" t="b">
        <v>1</v>
      </c>
      <c r="G400" s="7" t="b">
        <v>0</v>
      </c>
      <c r="H400" s="7" t="b">
        <v>0</v>
      </c>
      <c r="I400" s="7" t="b">
        <v>0</v>
      </c>
      <c r="J400" s="9" t="b">
        <v>0</v>
      </c>
      <c r="K400" s="7">
        <v>1250.0</v>
      </c>
      <c r="L400" s="7">
        <v>941.0</v>
      </c>
      <c r="M400" s="7">
        <v>315.0</v>
      </c>
      <c r="N400" s="7">
        <v>5.08</v>
      </c>
      <c r="O400" s="7">
        <v>0.997727</v>
      </c>
      <c r="P400" s="7">
        <v>0.997727</v>
      </c>
      <c r="Q400" s="10">
        <f t="shared" si="2"/>
        <v>76.76423629</v>
      </c>
      <c r="R400" s="11">
        <f t="shared" si="3"/>
        <v>0.6397449522</v>
      </c>
      <c r="S400" s="12">
        <f t="shared" si="4"/>
        <v>4</v>
      </c>
      <c r="T400" s="8">
        <f t="shared" si="111"/>
        <v>602</v>
      </c>
      <c r="U400" s="13">
        <f>T400/vlookup(A400,Max!$A$2:$AP$700,column(Max!$AP$2),false)</f>
        <v>0.7341463415</v>
      </c>
      <c r="V400" s="8">
        <f t="shared" si="6"/>
        <v>356.5089642</v>
      </c>
      <c r="W400" s="14">
        <f t="shared" si="7"/>
        <v>1.107892259</v>
      </c>
      <c r="X400" s="14">
        <f t="shared" si="8"/>
        <v>1.432985467</v>
      </c>
      <c r="Y400" s="14">
        <f t="shared" si="9"/>
        <v>1</v>
      </c>
      <c r="Z400" s="14">
        <f t="shared" si="10"/>
        <v>1.06351969</v>
      </c>
      <c r="AA400" s="27">
        <f t="shared" si="11"/>
        <v>-18</v>
      </c>
      <c r="AB400" s="15">
        <f t="shared" si="116"/>
        <v>1</v>
      </c>
      <c r="AC400" s="15" t="str">
        <f t="shared" si="40"/>
        <v/>
      </c>
      <c r="AD400" s="15" t="str">
        <f t="shared" si="41"/>
        <v>$RD-108-8D75-1959$: -18,</v>
      </c>
      <c r="AE400" s="15" t="str">
        <f t="shared" si="115"/>
        <v/>
      </c>
      <c r="AF400" s="15" t="str">
        <f t="shared" si="78"/>
        <v/>
      </c>
      <c r="AG400" s="15" t="str">
        <f t="shared" si="79"/>
        <v/>
      </c>
    </row>
    <row r="401" ht="15.75" customHeight="1">
      <c r="A401" s="16" t="s">
        <v>543</v>
      </c>
      <c r="B401" s="18" t="s">
        <v>538</v>
      </c>
      <c r="C401" s="17">
        <f t="shared" si="1"/>
        <v>-26</v>
      </c>
      <c r="D401" s="16">
        <v>1960.0</v>
      </c>
      <c r="E401" s="16"/>
      <c r="F401" s="16" t="b">
        <v>1</v>
      </c>
      <c r="G401" s="16" t="b">
        <v>0</v>
      </c>
      <c r="H401" s="16" t="b">
        <v>0</v>
      </c>
      <c r="I401" s="16" t="b">
        <v>0</v>
      </c>
      <c r="J401" s="18" t="b">
        <v>0</v>
      </c>
      <c r="K401" s="16">
        <v>1251.0</v>
      </c>
      <c r="L401" s="16">
        <v>941.47</v>
      </c>
      <c r="M401" s="16">
        <v>315.0</v>
      </c>
      <c r="N401" s="16">
        <v>5.1</v>
      </c>
      <c r="O401" s="16">
        <v>0.999794</v>
      </c>
      <c r="P401" s="16">
        <v>0.999794</v>
      </c>
      <c r="Q401" s="19">
        <f t="shared" si="2"/>
        <v>76.74118467</v>
      </c>
      <c r="R401" s="20">
        <f t="shared" si="3"/>
        <v>0.6309282293</v>
      </c>
      <c r="S401" s="21">
        <f t="shared" si="4"/>
        <v>4</v>
      </c>
      <c r="T401" s="17">
        <f t="shared" si="111"/>
        <v>594</v>
      </c>
      <c r="U401" s="22">
        <f>T401/vlookup(A401,Max!$A$2:$AP$700,column(Max!$AP$2),false)</f>
        <v>0.7071428571</v>
      </c>
      <c r="V401" s="17">
        <f t="shared" si="6"/>
        <v>356.6850766</v>
      </c>
      <c r="W401" s="23">
        <f t="shared" si="7"/>
        <v>1.107892259</v>
      </c>
      <c r="X401" s="23">
        <f t="shared" si="8"/>
        <v>1.434675642</v>
      </c>
      <c r="Y401" s="23">
        <f t="shared" si="9"/>
        <v>1</v>
      </c>
      <c r="Z401" s="23">
        <f t="shared" si="10"/>
        <v>1.047026415</v>
      </c>
      <c r="AA401" s="24">
        <f t="shared" si="11"/>
        <v>-26</v>
      </c>
      <c r="AB401" s="26">
        <f t="shared" si="116"/>
        <v>1</v>
      </c>
      <c r="AC401" s="26" t="str">
        <f t="shared" si="40"/>
        <v/>
      </c>
      <c r="AD401" s="26" t="str">
        <f t="shared" si="41"/>
        <v>$RD-108-8D75K$: -26,</v>
      </c>
      <c r="AE401" s="26" t="str">
        <f t="shared" si="115"/>
        <v/>
      </c>
      <c r="AF401" s="26" t="str">
        <f t="shared" si="78"/>
        <v/>
      </c>
      <c r="AG401" s="26" t="str">
        <f t="shared" si="79"/>
        <v/>
      </c>
    </row>
    <row r="402" ht="15.75" customHeight="1">
      <c r="A402" s="7" t="s">
        <v>544</v>
      </c>
      <c r="B402" s="9" t="s">
        <v>538</v>
      </c>
      <c r="C402" s="8">
        <f t="shared" si="1"/>
        <v>-60</v>
      </c>
      <c r="D402" s="7">
        <v>1965.0</v>
      </c>
      <c r="E402" s="7"/>
      <c r="F402" s="7" t="b">
        <v>1</v>
      </c>
      <c r="G402" s="7" t="b">
        <v>0</v>
      </c>
      <c r="H402" s="7" t="b">
        <v>0</v>
      </c>
      <c r="I402" s="7" t="b">
        <v>0</v>
      </c>
      <c r="J402" s="9" t="b">
        <v>0</v>
      </c>
      <c r="K402" s="7">
        <v>1145.0</v>
      </c>
      <c r="L402" s="7">
        <v>973.8</v>
      </c>
      <c r="M402" s="7">
        <v>315.81</v>
      </c>
      <c r="N402" s="7">
        <v>5.31</v>
      </c>
      <c r="O402" s="7">
        <v>0.999893</v>
      </c>
      <c r="P402" s="7">
        <v>0.999893</v>
      </c>
      <c r="Q402" s="10">
        <f t="shared" si="2"/>
        <v>86.72485985</v>
      </c>
      <c r="R402" s="11">
        <f t="shared" si="3"/>
        <v>0.5750667488</v>
      </c>
      <c r="S402" s="12">
        <f t="shared" si="4"/>
        <v>4</v>
      </c>
      <c r="T402" s="8">
        <f t="shared" si="111"/>
        <v>560</v>
      </c>
      <c r="U402" s="13">
        <f>T402/vlookup(A402,Max!$A$2:$AP$700,column(Max!$AP$2),false)</f>
        <v>0.7671232877</v>
      </c>
      <c r="V402" s="8">
        <f t="shared" si="6"/>
        <v>337.7116855</v>
      </c>
      <c r="W402" s="14">
        <f t="shared" si="7"/>
        <v>1.114192301</v>
      </c>
      <c r="X402" s="14">
        <f t="shared" si="8"/>
        <v>1.452148493</v>
      </c>
      <c r="Y402" s="14">
        <f t="shared" si="9"/>
        <v>1</v>
      </c>
      <c r="Z402" s="14">
        <f t="shared" si="10"/>
        <v>1.02516987</v>
      </c>
      <c r="AA402" s="27">
        <f t="shared" si="11"/>
        <v>-60</v>
      </c>
      <c r="AB402" s="15">
        <f t="shared" si="116"/>
        <v>1</v>
      </c>
      <c r="AC402" s="15" t="str">
        <f t="shared" si="40"/>
        <v/>
      </c>
      <c r="AD402" s="15" t="str">
        <f t="shared" si="41"/>
        <v>$RD-108-8D727$: -60,</v>
      </c>
      <c r="AE402" s="15" t="str">
        <f t="shared" si="115"/>
        <v/>
      </c>
      <c r="AF402" s="15" t="str">
        <f t="shared" si="78"/>
        <v/>
      </c>
      <c r="AG402" s="15" t="str">
        <f t="shared" si="79"/>
        <v/>
      </c>
    </row>
    <row r="403" ht="15.75" customHeight="1">
      <c r="A403" s="16" t="s">
        <v>545</v>
      </c>
      <c r="B403" s="18" t="s">
        <v>538</v>
      </c>
      <c r="C403" s="17">
        <f t="shared" si="1"/>
        <v>-11</v>
      </c>
      <c r="D403" s="16">
        <v>1973.0</v>
      </c>
      <c r="E403" s="16"/>
      <c r="F403" s="16" t="b">
        <v>1</v>
      </c>
      <c r="G403" s="16" t="b">
        <v>0</v>
      </c>
      <c r="H403" s="16" t="b">
        <v>0</v>
      </c>
      <c r="I403" s="16" t="b">
        <v>0</v>
      </c>
      <c r="J403" s="18" t="b">
        <v>0</v>
      </c>
      <c r="K403" s="16">
        <v>1250.0</v>
      </c>
      <c r="L403" s="16">
        <v>977.72</v>
      </c>
      <c r="M403" s="16">
        <v>315.91</v>
      </c>
      <c r="N403" s="16">
        <v>5.86</v>
      </c>
      <c r="O403" s="16">
        <v>0.999807</v>
      </c>
      <c r="P403" s="16">
        <v>0.999807</v>
      </c>
      <c r="Q403" s="19">
        <f t="shared" si="2"/>
        <v>79.75975463</v>
      </c>
      <c r="R403" s="20">
        <f t="shared" si="3"/>
        <v>0.6228777155</v>
      </c>
      <c r="S403" s="21">
        <f t="shared" si="4"/>
        <v>4</v>
      </c>
      <c r="T403" s="17">
        <f t="shared" si="111"/>
        <v>609</v>
      </c>
      <c r="U403" s="22">
        <f>T403/vlookup(A403,Max!$A$2:$AP$700,column(Max!$AP$2),false)</f>
        <v>1.171153846</v>
      </c>
      <c r="V403" s="17">
        <f t="shared" si="6"/>
        <v>356.5089642</v>
      </c>
      <c r="W403" s="23">
        <f t="shared" si="7"/>
        <v>1.114973636</v>
      </c>
      <c r="X403" s="23">
        <f t="shared" si="8"/>
        <v>1.495725704</v>
      </c>
      <c r="Y403" s="23">
        <f t="shared" si="9"/>
        <v>1</v>
      </c>
      <c r="Z403" s="23">
        <f t="shared" si="10"/>
        <v>1.024949449</v>
      </c>
      <c r="AA403" s="24">
        <f t="shared" si="11"/>
        <v>-11</v>
      </c>
      <c r="AB403" s="26">
        <f t="shared" si="116"/>
        <v>1</v>
      </c>
      <c r="AC403" s="26" t="str">
        <f t="shared" si="40"/>
        <v/>
      </c>
      <c r="AD403" s="26" t="str">
        <f t="shared" si="41"/>
        <v>$RD-108-11D511$: -11,</v>
      </c>
      <c r="AE403" s="26" t="str">
        <f t="shared" si="115"/>
        <v/>
      </c>
      <c r="AF403" s="26" t="str">
        <f t="shared" si="78"/>
        <v/>
      </c>
      <c r="AG403" s="26" t="str">
        <f t="shared" si="79"/>
        <v/>
      </c>
    </row>
    <row r="404" ht="15.75" customHeight="1">
      <c r="A404" s="7" t="s">
        <v>546</v>
      </c>
      <c r="B404" s="9" t="s">
        <v>538</v>
      </c>
      <c r="C404" s="8">
        <f t="shared" si="1"/>
        <v>2</v>
      </c>
      <c r="D404" s="7">
        <v>1982.0</v>
      </c>
      <c r="E404" s="7"/>
      <c r="F404" s="7" t="b">
        <v>1</v>
      </c>
      <c r="G404" s="7" t="b">
        <v>0</v>
      </c>
      <c r="H404" s="7" t="b">
        <v>0</v>
      </c>
      <c r="I404" s="7" t="b">
        <v>0</v>
      </c>
      <c r="J404" s="9" t="b">
        <v>0</v>
      </c>
      <c r="K404" s="7">
        <v>1250.0</v>
      </c>
      <c r="L404" s="7">
        <v>1011.0</v>
      </c>
      <c r="M404" s="7">
        <v>319.0</v>
      </c>
      <c r="N404" s="7">
        <v>5.86</v>
      </c>
      <c r="O404" s="7">
        <v>0.999584</v>
      </c>
      <c r="P404" s="7">
        <v>0.999584</v>
      </c>
      <c r="Q404" s="10">
        <f t="shared" si="2"/>
        <v>82.47464706</v>
      </c>
      <c r="R404" s="11">
        <f t="shared" si="3"/>
        <v>0.6152324431</v>
      </c>
      <c r="S404" s="12">
        <f t="shared" si="4"/>
        <v>4</v>
      </c>
      <c r="T404" s="8">
        <f t="shared" si="111"/>
        <v>622</v>
      </c>
      <c r="U404" s="13">
        <f>T404/vlookup(A404,Max!$A$2:$AP$700,column(Max!$AP$2),false)</f>
        <v>1.413636364</v>
      </c>
      <c r="V404" s="8">
        <f t="shared" si="6"/>
        <v>356.5089642</v>
      </c>
      <c r="W404" s="14">
        <f t="shared" si="7"/>
        <v>1.139506966</v>
      </c>
      <c r="X404" s="14">
        <f t="shared" si="8"/>
        <v>1.495725704</v>
      </c>
      <c r="Y404" s="14">
        <f t="shared" si="9"/>
        <v>1</v>
      </c>
      <c r="Z404" s="14">
        <f t="shared" si="10"/>
        <v>1.024378025</v>
      </c>
      <c r="AA404" s="27">
        <f t="shared" si="11"/>
        <v>2</v>
      </c>
      <c r="AB404" s="15">
        <f t="shared" si="116"/>
        <v>1</v>
      </c>
      <c r="AC404" s="15" t="str">
        <f t="shared" si="40"/>
        <v/>
      </c>
      <c r="AD404" s="15" t="str">
        <f t="shared" si="41"/>
        <v>$RD-108-11D511P$: 2,</v>
      </c>
      <c r="AE404" s="15" t="str">
        <f t="shared" si="115"/>
        <v/>
      </c>
      <c r="AF404" s="15" t="str">
        <f t="shared" si="78"/>
        <v/>
      </c>
      <c r="AG404" s="15" t="str">
        <f t="shared" si="79"/>
        <v/>
      </c>
    </row>
    <row r="405" ht="15.75" customHeight="1">
      <c r="A405" s="16" t="s">
        <v>547</v>
      </c>
      <c r="B405" s="18" t="s">
        <v>538</v>
      </c>
      <c r="C405" s="17">
        <f t="shared" si="1"/>
        <v>-60</v>
      </c>
      <c r="D405" s="16">
        <v>2001.0</v>
      </c>
      <c r="E405" s="16"/>
      <c r="F405" s="16" t="b">
        <v>1</v>
      </c>
      <c r="G405" s="16" t="b">
        <v>0</v>
      </c>
      <c r="H405" s="16" t="b">
        <v>0</v>
      </c>
      <c r="I405" s="16" t="b">
        <v>0</v>
      </c>
      <c r="J405" s="18" t="b">
        <v>0</v>
      </c>
      <c r="K405" s="16">
        <v>1075.0</v>
      </c>
      <c r="L405" s="16">
        <v>990.47</v>
      </c>
      <c r="M405" s="16">
        <v>320.39</v>
      </c>
      <c r="N405" s="16">
        <v>5.44</v>
      </c>
      <c r="O405" s="16">
        <v>0.99966</v>
      </c>
      <c r="P405" s="16">
        <v>0.99966</v>
      </c>
      <c r="Q405" s="19">
        <f t="shared" si="2"/>
        <v>93.95333158</v>
      </c>
      <c r="R405" s="20">
        <f t="shared" si="3"/>
        <v>0.5653881491</v>
      </c>
      <c r="S405" s="21">
        <f t="shared" si="4"/>
        <v>4</v>
      </c>
      <c r="T405" s="17">
        <f t="shared" si="111"/>
        <v>560</v>
      </c>
      <c r="U405" s="22">
        <f>T405/vlookup(A405,Max!$A$2:$AP$700,column(Max!$AP$2),false)</f>
        <v>1.473684211</v>
      </c>
      <c r="V405" s="17">
        <f t="shared" si="6"/>
        <v>324.8197908</v>
      </c>
      <c r="W405" s="23">
        <f t="shared" si="7"/>
        <v>1.150793336</v>
      </c>
      <c r="X405" s="23">
        <f t="shared" si="8"/>
        <v>1.462723848</v>
      </c>
      <c r="Y405" s="23">
        <f t="shared" si="9"/>
        <v>1</v>
      </c>
      <c r="Z405" s="23">
        <f t="shared" si="10"/>
        <v>1.024572749</v>
      </c>
      <c r="AA405" s="24">
        <f t="shared" si="11"/>
        <v>-60</v>
      </c>
      <c r="AB405" s="26">
        <f t="shared" si="116"/>
        <v>1</v>
      </c>
      <c r="AC405" s="26" t="str">
        <f t="shared" si="40"/>
        <v/>
      </c>
      <c r="AD405" s="26" t="str">
        <f t="shared" si="41"/>
        <v>$RD-108A-14D21$: -60,</v>
      </c>
      <c r="AE405" s="26" t="str">
        <f t="shared" si="115"/>
        <v/>
      </c>
      <c r="AF405" s="26" t="str">
        <f t="shared" si="78"/>
        <v/>
      </c>
      <c r="AG405" s="26" t="str">
        <f t="shared" si="79"/>
        <v/>
      </c>
    </row>
    <row r="406" ht="15.75" customHeight="1">
      <c r="A406" s="7" t="s">
        <v>548</v>
      </c>
      <c r="B406" s="7" t="s">
        <v>549</v>
      </c>
      <c r="C406" s="8">
        <f t="shared" si="1"/>
        <v>196</v>
      </c>
      <c r="D406" s="7">
        <v>1960.0</v>
      </c>
      <c r="E406" s="7"/>
      <c r="F406" s="7" t="b">
        <v>1</v>
      </c>
      <c r="G406" s="7" t="b">
        <v>0</v>
      </c>
      <c r="H406" s="7" t="b">
        <v>1</v>
      </c>
      <c r="I406" s="7" t="b">
        <v>0</v>
      </c>
      <c r="J406" s="9" t="b">
        <v>0</v>
      </c>
      <c r="K406" s="7">
        <v>210.0</v>
      </c>
      <c r="L406" s="7">
        <v>101.6</v>
      </c>
      <c r="M406" s="7">
        <v>334.0</v>
      </c>
      <c r="N406" s="7">
        <v>7.75</v>
      </c>
      <c r="O406" s="7">
        <v>0.99</v>
      </c>
      <c r="P406" s="7">
        <v>0.95</v>
      </c>
      <c r="Q406" s="10">
        <f t="shared" si="2"/>
        <v>49.3348414</v>
      </c>
      <c r="R406" s="11">
        <f t="shared" si="3"/>
        <v>1.929133858</v>
      </c>
      <c r="S406" s="12">
        <f t="shared" si="4"/>
        <v>4</v>
      </c>
      <c r="T406" s="8">
        <f t="shared" si="111"/>
        <v>196</v>
      </c>
      <c r="U406" s="13">
        <f>T406/vlookup(A406,Max!$A$2:$AP$700,column(Max!$AP$2),false)</f>
        <v>2</v>
      </c>
      <c r="V406" s="8">
        <f t="shared" si="6"/>
        <v>119.4860328</v>
      </c>
      <c r="W406" s="14">
        <f t="shared" si="7"/>
        <v>1.270044113</v>
      </c>
      <c r="X406" s="14">
        <f t="shared" si="8"/>
        <v>1.440306389</v>
      </c>
      <c r="Y406" s="14">
        <f t="shared" si="9"/>
        <v>1</v>
      </c>
      <c r="Z406" s="14">
        <f t="shared" si="10"/>
        <v>0.8986246407</v>
      </c>
      <c r="AA406" s="15">
        <f t="shared" si="11"/>
        <v>0</v>
      </c>
      <c r="AB406" s="29">
        <v>0.0</v>
      </c>
      <c r="AC406" s="15" t="str">
        <f t="shared" si="40"/>
        <v>{
$name$: $RD-109-8D711$,
$config$: $RD109$,
$cost$: 196
},</v>
      </c>
      <c r="AD406" s="15" t="str">
        <f t="shared" si="41"/>
        <v/>
      </c>
      <c r="AE406" s="15" t="str">
        <f t="shared" si="115"/>
        <v/>
      </c>
      <c r="AF406" s="15" t="str">
        <f t="shared" si="78"/>
        <v/>
      </c>
      <c r="AG406" s="15" t="str">
        <f t="shared" si="79"/>
        <v/>
      </c>
    </row>
    <row r="407" ht="15.75" customHeight="1">
      <c r="A407" s="16" t="s">
        <v>550</v>
      </c>
      <c r="B407" s="16" t="s">
        <v>549</v>
      </c>
      <c r="C407" s="17">
        <f t="shared" si="1"/>
        <v>42</v>
      </c>
      <c r="D407" s="16">
        <v>1961.0</v>
      </c>
      <c r="E407" s="16"/>
      <c r="F407" s="16" t="b">
        <v>1</v>
      </c>
      <c r="G407" s="16" t="b">
        <v>0</v>
      </c>
      <c r="H407" s="16" t="b">
        <v>1</v>
      </c>
      <c r="I407" s="16" t="b">
        <v>0</v>
      </c>
      <c r="J407" s="18" t="b">
        <v>0</v>
      </c>
      <c r="K407" s="16">
        <v>168.0</v>
      </c>
      <c r="L407" s="16">
        <v>105.5</v>
      </c>
      <c r="M407" s="16">
        <v>362.0</v>
      </c>
      <c r="N407" s="16">
        <v>7.9</v>
      </c>
      <c r="O407" s="16">
        <v>0.999085</v>
      </c>
      <c r="P407" s="16">
        <v>0.991768</v>
      </c>
      <c r="Q407" s="19">
        <f t="shared" si="2"/>
        <v>64.03575009</v>
      </c>
      <c r="R407" s="20">
        <f t="shared" si="3"/>
        <v>2.255924171</v>
      </c>
      <c r="S407" s="21">
        <f t="shared" si="4"/>
        <v>4</v>
      </c>
      <c r="T407" s="17">
        <f t="shared" si="111"/>
        <v>238</v>
      </c>
      <c r="U407" s="22">
        <f>T407/vlookup(A407,Max!$A$2:$AP$700,column(Max!$AP$2),false)</f>
        <v>1.322222222</v>
      </c>
      <c r="V407" s="17">
        <f t="shared" si="6"/>
        <v>104.3489036</v>
      </c>
      <c r="W407" s="23">
        <f t="shared" si="7"/>
        <v>1.573611022</v>
      </c>
      <c r="X407" s="23">
        <f t="shared" si="8"/>
        <v>1.44653218</v>
      </c>
      <c r="Y407" s="23">
        <f t="shared" si="9"/>
        <v>1</v>
      </c>
      <c r="Z407" s="23">
        <f t="shared" si="10"/>
        <v>1.002174478</v>
      </c>
      <c r="AA407" s="24">
        <f t="shared" si="11"/>
        <v>42</v>
      </c>
      <c r="AB407" s="26">
        <f>if(iserror(find("$",A407)),1,2)</f>
        <v>1</v>
      </c>
      <c r="AC407" s="26" t="str">
        <f t="shared" si="40"/>
        <v/>
      </c>
      <c r="AD407" s="26" t="str">
        <f t="shared" si="41"/>
        <v>$RD-119-8D710$: 42,</v>
      </c>
      <c r="AE407" s="26" t="str">
        <f t="shared" si="115"/>
        <v/>
      </c>
      <c r="AF407" s="26" t="str">
        <f t="shared" si="78"/>
        <v/>
      </c>
      <c r="AG407" s="26" t="str">
        <f t="shared" si="79"/>
        <v/>
      </c>
    </row>
    <row r="408" ht="15.75" customHeight="1">
      <c r="A408" s="7" t="s">
        <v>551</v>
      </c>
      <c r="B408" s="7" t="s">
        <v>552</v>
      </c>
      <c r="C408" s="8">
        <f t="shared" si="1"/>
        <v>576</v>
      </c>
      <c r="D408" s="7">
        <v>1961.0</v>
      </c>
      <c r="E408" s="7"/>
      <c r="F408" s="7" t="b">
        <v>1</v>
      </c>
      <c r="G408" s="7" t="b">
        <v>0</v>
      </c>
      <c r="H408" s="7" t="b">
        <v>0</v>
      </c>
      <c r="I408" s="7" t="b">
        <v>0</v>
      </c>
      <c r="J408" s="9" t="b">
        <v>0</v>
      </c>
      <c r="K408" s="7">
        <v>1492.0</v>
      </c>
      <c r="L408" s="7">
        <v>1628.0</v>
      </c>
      <c r="M408" s="7">
        <v>309.5</v>
      </c>
      <c r="N408" s="7">
        <v>7.85</v>
      </c>
      <c r="O408" s="7">
        <v>0.923913</v>
      </c>
      <c r="P408" s="7">
        <v>0.923913</v>
      </c>
      <c r="Q408" s="10">
        <f t="shared" si="2"/>
        <v>111.2666213</v>
      </c>
      <c r="R408" s="11">
        <f t="shared" si="3"/>
        <v>0.3538083538</v>
      </c>
      <c r="S408" s="12">
        <f t="shared" si="4"/>
        <v>4</v>
      </c>
      <c r="T408" s="8">
        <f t="shared" si="111"/>
        <v>576</v>
      </c>
      <c r="U408" s="13">
        <f>T408/vlookup(A408,Max!$A$2:$AP$700,column(Max!$AP$2),false)</f>
        <v>1.129411765</v>
      </c>
      <c r="V408" s="8">
        <f t="shared" si="6"/>
        <v>397.7136522</v>
      </c>
      <c r="W408" s="14">
        <f t="shared" si="7"/>
        <v>1.053526551</v>
      </c>
      <c r="X408" s="14">
        <f t="shared" si="8"/>
        <v>1.632839768</v>
      </c>
      <c r="Y408" s="14">
        <f t="shared" si="9"/>
        <v>1</v>
      </c>
      <c r="Z408" s="14">
        <f t="shared" si="10"/>
        <v>0.841375203</v>
      </c>
      <c r="AA408" s="15">
        <f t="shared" si="11"/>
        <v>0</v>
      </c>
      <c r="AB408" s="29">
        <v>0.0</v>
      </c>
      <c r="AC408" s="15" t="str">
        <f t="shared" si="40"/>
        <v>{
$name$: $RD-111-8D716$,
$config$: $RD111$,
$cost$: 576
},</v>
      </c>
      <c r="AD408" s="15" t="str">
        <f t="shared" si="41"/>
        <v/>
      </c>
      <c r="AE408" s="15" t="str">
        <f t="shared" si="115"/>
        <v/>
      </c>
      <c r="AF408" s="15" t="str">
        <f t="shared" si="78"/>
        <v/>
      </c>
      <c r="AG408" s="15" t="str">
        <f t="shared" si="79"/>
        <v/>
      </c>
    </row>
    <row r="409" ht="15.75" customHeight="1">
      <c r="A409" s="16" t="s">
        <v>553</v>
      </c>
      <c r="B409" s="16" t="s">
        <v>552</v>
      </c>
      <c r="C409" s="17">
        <f t="shared" si="1"/>
        <v>129</v>
      </c>
      <c r="D409" s="16">
        <v>1963.0</v>
      </c>
      <c r="E409" s="16"/>
      <c r="F409" s="16" t="b">
        <v>1</v>
      </c>
      <c r="G409" s="16" t="b">
        <v>0</v>
      </c>
      <c r="H409" s="16" t="b">
        <v>0</v>
      </c>
      <c r="I409" s="16" t="b">
        <v>0</v>
      </c>
      <c r="J409" s="18" t="b">
        <v>0</v>
      </c>
      <c r="K409" s="16">
        <v>1492.0</v>
      </c>
      <c r="L409" s="16">
        <v>1628.0</v>
      </c>
      <c r="M409" s="16">
        <v>318.0</v>
      </c>
      <c r="N409" s="16">
        <v>7.85</v>
      </c>
      <c r="O409" s="16">
        <v>0.973729</v>
      </c>
      <c r="P409" s="16">
        <v>0.973729</v>
      </c>
      <c r="Q409" s="19">
        <f t="shared" si="2"/>
        <v>111.2666213</v>
      </c>
      <c r="R409" s="20">
        <f t="shared" si="3"/>
        <v>0.433046683</v>
      </c>
      <c r="S409" s="21">
        <f t="shared" si="4"/>
        <v>4</v>
      </c>
      <c r="T409" s="17">
        <f t="shared" si="111"/>
        <v>705</v>
      </c>
      <c r="U409" s="22">
        <f>T409/vlookup(A409,Max!$A$2:$AP$700,column(Max!$AP$2),false)</f>
        <v>0.9929577465</v>
      </c>
      <c r="V409" s="17">
        <f t="shared" si="6"/>
        <v>397.7136522</v>
      </c>
      <c r="W409" s="23">
        <f t="shared" si="7"/>
        <v>1.131484045</v>
      </c>
      <c r="X409" s="23">
        <f t="shared" si="8"/>
        <v>1.632839768</v>
      </c>
      <c r="Y409" s="23">
        <f t="shared" si="9"/>
        <v>1</v>
      </c>
      <c r="Z409" s="23">
        <f t="shared" si="10"/>
        <v>0.9594167025</v>
      </c>
      <c r="AA409" s="24">
        <f t="shared" si="11"/>
        <v>129</v>
      </c>
      <c r="AB409" s="26">
        <f>if(iserror(find("$",A409)),1,2)</f>
        <v>1</v>
      </c>
      <c r="AC409" s="26" t="str">
        <f t="shared" si="40"/>
        <v/>
      </c>
      <c r="AD409" s="26" t="str">
        <f t="shared" si="41"/>
        <v>$RD-111-8D716A$: 129,</v>
      </c>
      <c r="AE409" s="26" t="str">
        <f t="shared" si="115"/>
        <v/>
      </c>
      <c r="AF409" s="26" t="str">
        <f t="shared" si="78"/>
        <v/>
      </c>
      <c r="AG409" s="26" t="str">
        <f t="shared" si="79"/>
        <v/>
      </c>
    </row>
    <row r="410" ht="15.75" customHeight="1">
      <c r="A410" s="7" t="s">
        <v>554</v>
      </c>
      <c r="B410" s="7" t="s">
        <v>555</v>
      </c>
      <c r="C410" s="8">
        <f t="shared" si="1"/>
        <v>789</v>
      </c>
      <c r="D410" s="7">
        <v>1985.0</v>
      </c>
      <c r="E410" s="7"/>
      <c r="F410" s="7" t="b">
        <v>1</v>
      </c>
      <c r="G410" s="7" t="b">
        <v>0</v>
      </c>
      <c r="H410" s="7" t="b">
        <v>1</v>
      </c>
      <c r="I410" s="7" t="b">
        <v>0</v>
      </c>
      <c r="J410" s="9" t="b">
        <v>0</v>
      </c>
      <c r="K410" s="7">
        <v>1125.0</v>
      </c>
      <c r="L410" s="7">
        <v>833.56</v>
      </c>
      <c r="M410" s="7">
        <v>350.0</v>
      </c>
      <c r="N410" s="7">
        <v>16.28</v>
      </c>
      <c r="O410" s="7">
        <v>0.992254</v>
      </c>
      <c r="P410" s="7">
        <v>0.985135</v>
      </c>
      <c r="Q410" s="10">
        <f t="shared" si="2"/>
        <v>75.55507947</v>
      </c>
      <c r="R410" s="11">
        <f t="shared" si="3"/>
        <v>0.9465425404</v>
      </c>
      <c r="S410" s="12">
        <f t="shared" si="4"/>
        <v>4</v>
      </c>
      <c r="T410" s="8">
        <f t="shared" si="111"/>
        <v>789</v>
      </c>
      <c r="U410" s="13">
        <f>T410/vlookup(A410,Max!$A$2:$AP$700,column(Max!$AP$2),false)</f>
        <v>2.132432432</v>
      </c>
      <c r="V410" s="8">
        <f t="shared" si="6"/>
        <v>334.0591989</v>
      </c>
      <c r="W410" s="14">
        <f t="shared" si="7"/>
        <v>1.432877872</v>
      </c>
      <c r="X410" s="14">
        <f t="shared" si="8"/>
        <v>1.702096757</v>
      </c>
      <c r="Y410" s="14">
        <f t="shared" si="9"/>
        <v>1</v>
      </c>
      <c r="Z410" s="14">
        <f t="shared" si="10"/>
        <v>0.9687428984</v>
      </c>
      <c r="AA410" s="15">
        <f t="shared" si="11"/>
        <v>0</v>
      </c>
      <c r="AB410" s="29">
        <v>0.0</v>
      </c>
      <c r="AC410" s="15" t="str">
        <f t="shared" si="40"/>
        <v>{
$name$: $RD-120$,
$config$: $RD120$,
$cost$: 789
},</v>
      </c>
      <c r="AD410" s="15" t="str">
        <f t="shared" si="41"/>
        <v/>
      </c>
      <c r="AE410" s="15" t="str">
        <f t="shared" si="115"/>
        <v/>
      </c>
      <c r="AF410" s="15" t="str">
        <f t="shared" si="78"/>
        <v/>
      </c>
      <c r="AG410" s="15" t="str">
        <f t="shared" si="79"/>
        <v/>
      </c>
    </row>
    <row r="411" ht="15.75" customHeight="1">
      <c r="A411" s="16" t="s">
        <v>556</v>
      </c>
      <c r="B411" s="16" t="s">
        <v>555</v>
      </c>
      <c r="C411" s="17">
        <f t="shared" si="1"/>
        <v>-92</v>
      </c>
      <c r="D411" s="16">
        <v>1994.0</v>
      </c>
      <c r="E411" s="16"/>
      <c r="F411" s="16" t="b">
        <v>1</v>
      </c>
      <c r="G411" s="16" t="b">
        <v>0</v>
      </c>
      <c r="H411" s="16" t="b">
        <v>1</v>
      </c>
      <c r="I411" s="16" t="b">
        <v>0</v>
      </c>
      <c r="J411" s="18" t="b">
        <v>0</v>
      </c>
      <c r="K411" s="16">
        <f>1125*0.96</f>
        <v>1080</v>
      </c>
      <c r="L411" s="16">
        <v>853.18</v>
      </c>
      <c r="M411" s="16">
        <v>330.0</v>
      </c>
      <c r="N411" s="16">
        <v>17.63</v>
      </c>
      <c r="O411" s="16">
        <v>0.998295</v>
      </c>
      <c r="P411" s="16">
        <v>0.992222</v>
      </c>
      <c r="Q411" s="19">
        <f t="shared" si="2"/>
        <v>80.55569223</v>
      </c>
      <c r="R411" s="20">
        <f t="shared" si="3"/>
        <v>0.8169436696</v>
      </c>
      <c r="S411" s="21">
        <f t="shared" si="4"/>
        <v>4</v>
      </c>
      <c r="T411" s="17">
        <f t="shared" si="111"/>
        <v>697</v>
      </c>
      <c r="U411" s="22">
        <f>T411/vlookup(A411,Max!$A$2:$AP$700,column(Max!$AP$2),false)</f>
        <v>2.05</v>
      </c>
      <c r="V411" s="17">
        <f t="shared" si="6"/>
        <v>325.7508777</v>
      </c>
      <c r="W411" s="23">
        <f t="shared" si="7"/>
        <v>1.233286301</v>
      </c>
      <c r="X411" s="23">
        <f t="shared" si="8"/>
        <v>1.732881137</v>
      </c>
      <c r="Y411" s="23">
        <f t="shared" si="9"/>
        <v>1</v>
      </c>
      <c r="Z411" s="23">
        <f t="shared" si="10"/>
        <v>1.001339582</v>
      </c>
      <c r="AA411" s="24">
        <f t="shared" si="11"/>
        <v>-92</v>
      </c>
      <c r="AB411" s="26">
        <f t="shared" ref="AB411:AB412" si="117">if(iserror(find("$",A411)),1,2)</f>
        <v>1</v>
      </c>
      <c r="AC411" s="26" t="str">
        <f t="shared" si="40"/>
        <v/>
      </c>
      <c r="AD411" s="26" t="str">
        <f t="shared" si="41"/>
        <v>$RD-120K$: -92,</v>
      </c>
      <c r="AE411" s="26" t="str">
        <f t="shared" si="115"/>
        <v/>
      </c>
      <c r="AF411" s="26" t="str">
        <f t="shared" si="78"/>
        <v/>
      </c>
      <c r="AG411" s="26" t="str">
        <f t="shared" si="79"/>
        <v/>
      </c>
    </row>
    <row r="412" ht="15.75" customHeight="1">
      <c r="A412" s="7" t="s">
        <v>557</v>
      </c>
      <c r="B412" s="7" t="s">
        <v>555</v>
      </c>
      <c r="C412" s="8">
        <f t="shared" si="1"/>
        <v>16</v>
      </c>
      <c r="D412" s="7">
        <v>2003.0</v>
      </c>
      <c r="E412" s="7"/>
      <c r="F412" s="7" t="b">
        <v>1</v>
      </c>
      <c r="G412" s="7" t="b">
        <v>0</v>
      </c>
      <c r="H412" s="7" t="b">
        <v>1</v>
      </c>
      <c r="I412" s="7" t="b">
        <v>0</v>
      </c>
      <c r="J412" s="9" t="b">
        <v>0</v>
      </c>
      <c r="K412" s="7">
        <v>1125.0</v>
      </c>
      <c r="L412" s="7">
        <v>912.02</v>
      </c>
      <c r="M412" s="7">
        <v>350.0</v>
      </c>
      <c r="N412" s="7">
        <v>17.81</v>
      </c>
      <c r="O412" s="7">
        <v>0.992254</v>
      </c>
      <c r="P412" s="7">
        <v>0.985135</v>
      </c>
      <c r="Q412" s="10">
        <f t="shared" si="2"/>
        <v>82.66680692</v>
      </c>
      <c r="R412" s="11">
        <f t="shared" si="3"/>
        <v>0.8826560821</v>
      </c>
      <c r="S412" s="12">
        <f t="shared" si="4"/>
        <v>4</v>
      </c>
      <c r="T412" s="8">
        <f t="shared" si="111"/>
        <v>805</v>
      </c>
      <c r="U412" s="13">
        <f>T412/vlookup(A412,Max!$A$2:$AP$700,column(Max!$AP$2),false)</f>
        <v>2.064102564</v>
      </c>
      <c r="V412" s="8">
        <f t="shared" si="6"/>
        <v>334.0591989</v>
      </c>
      <c r="W412" s="14">
        <f t="shared" si="7"/>
        <v>1.432877872</v>
      </c>
      <c r="X412" s="14">
        <f t="shared" si="8"/>
        <v>1.736846293</v>
      </c>
      <c r="Y412" s="14">
        <f t="shared" si="9"/>
        <v>1</v>
      </c>
      <c r="Z412" s="14">
        <f t="shared" si="10"/>
        <v>0.9687428984</v>
      </c>
      <c r="AA412" s="27">
        <f t="shared" si="11"/>
        <v>16</v>
      </c>
      <c r="AB412" s="15">
        <f t="shared" si="117"/>
        <v>1</v>
      </c>
      <c r="AC412" s="15" t="str">
        <f t="shared" si="40"/>
        <v/>
      </c>
      <c r="AD412" s="15" t="str">
        <f t="shared" si="41"/>
        <v>$RD-120F$: 16,</v>
      </c>
      <c r="AE412" s="15" t="str">
        <f t="shared" si="115"/>
        <v/>
      </c>
      <c r="AF412" s="15" t="str">
        <f t="shared" si="78"/>
        <v/>
      </c>
      <c r="AG412" s="15" t="str">
        <f t="shared" si="79"/>
        <v/>
      </c>
    </row>
    <row r="413" ht="15.75" customHeight="1">
      <c r="A413" s="16" t="s">
        <v>558</v>
      </c>
      <c r="B413" s="16" t="s">
        <v>559</v>
      </c>
      <c r="C413" s="17">
        <f t="shared" si="1"/>
        <v>2650</v>
      </c>
      <c r="D413" s="16">
        <v>1987.0</v>
      </c>
      <c r="E413" s="16"/>
      <c r="F413" s="16" t="b">
        <v>1</v>
      </c>
      <c r="G413" s="16" t="b">
        <v>0</v>
      </c>
      <c r="H413" s="16" t="b">
        <v>0</v>
      </c>
      <c r="I413" s="16" t="b">
        <v>0</v>
      </c>
      <c r="J413" s="18" t="b">
        <v>0</v>
      </c>
      <c r="K413" s="16">
        <v>9750.0</v>
      </c>
      <c r="L413" s="16">
        <v>7904.0</v>
      </c>
      <c r="M413" s="16">
        <v>337.1</v>
      </c>
      <c r="N413" s="16">
        <v>24.52</v>
      </c>
      <c r="O413" s="16">
        <v>0.983333</v>
      </c>
      <c r="P413" s="16">
        <v>0.983333</v>
      </c>
      <c r="Q413" s="19">
        <f t="shared" si="2"/>
        <v>82.66499409</v>
      </c>
      <c r="R413" s="20">
        <f t="shared" si="3"/>
        <v>0.3352732794</v>
      </c>
      <c r="S413" s="21">
        <f t="shared" si="4"/>
        <v>4</v>
      </c>
      <c r="T413" s="32">
        <v>2650.0</v>
      </c>
      <c r="U413" s="22">
        <f>T413/vlookup(A413,Max!$A$2:$AP$700,column(Max!$AP$2),false)</f>
        <v>1.472222222</v>
      </c>
      <c r="V413" s="17">
        <f t="shared" si="6"/>
        <v>1279.875552</v>
      </c>
      <c r="W413" s="23">
        <f t="shared" si="7"/>
        <v>1.299568981</v>
      </c>
      <c r="X413" s="23">
        <f t="shared" si="8"/>
        <v>2.297940672</v>
      </c>
      <c r="Y413" s="23">
        <f t="shared" si="9"/>
        <v>1</v>
      </c>
      <c r="Z413" s="23">
        <f t="shared" si="10"/>
        <v>0.9832490797</v>
      </c>
      <c r="AA413" s="26">
        <f t="shared" si="11"/>
        <v>0</v>
      </c>
      <c r="AB413" s="25">
        <v>0.0</v>
      </c>
      <c r="AC413" s="26" t="str">
        <f t="shared" si="40"/>
        <v>{
$name$: $RD-170$,
$config$: $RD170$,
$cost$: 2650
},</v>
      </c>
      <c r="AD413" s="26" t="str">
        <f t="shared" si="41"/>
        <v/>
      </c>
      <c r="AE413" s="26" t="str">
        <f t="shared" si="115"/>
        <v/>
      </c>
      <c r="AF413" s="26" t="str">
        <f t="shared" si="78"/>
        <v/>
      </c>
      <c r="AG413" s="26" t="str">
        <f t="shared" si="79"/>
        <v/>
      </c>
    </row>
    <row r="414" ht="15.75" customHeight="1">
      <c r="A414" s="7" t="s">
        <v>560</v>
      </c>
      <c r="B414" s="7" t="s">
        <v>559</v>
      </c>
      <c r="C414" s="8">
        <f t="shared" si="1"/>
        <v>450</v>
      </c>
      <c r="D414" s="7">
        <v>1988.0</v>
      </c>
      <c r="E414" s="7"/>
      <c r="F414" s="7" t="b">
        <v>1</v>
      </c>
      <c r="G414" s="7" t="b">
        <v>0</v>
      </c>
      <c r="H414" s="7" t="b">
        <v>0</v>
      </c>
      <c r="I414" s="7" t="b">
        <v>0</v>
      </c>
      <c r="J414" s="9" t="b">
        <v>0</v>
      </c>
      <c r="K414" s="7">
        <v>9500.0</v>
      </c>
      <c r="L414" s="7">
        <v>7904.0</v>
      </c>
      <c r="M414" s="7">
        <v>337.2</v>
      </c>
      <c r="N414" s="7">
        <v>24.52</v>
      </c>
      <c r="O414" s="7">
        <v>0.985135</v>
      </c>
      <c r="P414" s="7">
        <v>0.985135</v>
      </c>
      <c r="Q414" s="10">
        <f t="shared" si="2"/>
        <v>84.84038867</v>
      </c>
      <c r="R414" s="11">
        <f t="shared" si="3"/>
        <v>0.3922064777</v>
      </c>
      <c r="S414" s="12">
        <f t="shared" si="4"/>
        <v>4</v>
      </c>
      <c r="T414" s="28">
        <v>3100.0</v>
      </c>
      <c r="U414" s="13">
        <f>T414/vlookup(A414,Max!$A$2:$AP$700,column(Max!$AP$2),false)</f>
        <v>1.631578947</v>
      </c>
      <c r="V414" s="8">
        <f t="shared" si="6"/>
        <v>1259.217912</v>
      </c>
      <c r="W414" s="14">
        <f t="shared" si="7"/>
        <v>1.300536866</v>
      </c>
      <c r="X414" s="14">
        <f t="shared" si="8"/>
        <v>2.297940672</v>
      </c>
      <c r="Y414" s="14">
        <f t="shared" si="9"/>
        <v>1</v>
      </c>
      <c r="Z414" s="14">
        <f t="shared" si="10"/>
        <v>0.9877598883</v>
      </c>
      <c r="AA414" s="27">
        <f t="shared" si="11"/>
        <v>450</v>
      </c>
      <c r="AB414" s="15">
        <f t="shared" ref="AB414:AB416" si="118">if(iserror(find("$",A414)),1,2)</f>
        <v>1</v>
      </c>
      <c r="AC414" s="15" t="str">
        <f t="shared" si="40"/>
        <v/>
      </c>
      <c r="AD414" s="15" t="str">
        <f t="shared" si="41"/>
        <v>$RD-171$: 450,</v>
      </c>
      <c r="AE414" s="15" t="str">
        <f t="shared" si="115"/>
        <v/>
      </c>
      <c r="AF414" s="15" t="str">
        <f t="shared" si="78"/>
        <v/>
      </c>
      <c r="AG414" s="15" t="str">
        <f t="shared" si="79"/>
        <v/>
      </c>
    </row>
    <row r="415" ht="15.75" customHeight="1">
      <c r="A415" s="16" t="s">
        <v>561</v>
      </c>
      <c r="B415" s="16" t="s">
        <v>559</v>
      </c>
      <c r="C415" s="17">
        <f t="shared" si="1"/>
        <v>1303</v>
      </c>
      <c r="D415" s="16">
        <v>1997.0</v>
      </c>
      <c r="E415" s="16"/>
      <c r="F415" s="16" t="b">
        <v>1</v>
      </c>
      <c r="G415" s="16" t="b">
        <v>0</v>
      </c>
      <c r="H415" s="16" t="b">
        <v>0</v>
      </c>
      <c r="I415" s="16" t="b">
        <v>0</v>
      </c>
      <c r="J415" s="18" t="b">
        <v>0</v>
      </c>
      <c r="K415" s="16">
        <v>9750.0</v>
      </c>
      <c r="L415" s="16">
        <v>8316.0</v>
      </c>
      <c r="M415" s="16">
        <v>337.4</v>
      </c>
      <c r="N415" s="16">
        <v>25.69</v>
      </c>
      <c r="O415" s="16">
        <v>0.996939</v>
      </c>
      <c r="P415" s="16">
        <v>0.996939</v>
      </c>
      <c r="Q415" s="19">
        <f t="shared" si="2"/>
        <v>86.97394874</v>
      </c>
      <c r="R415" s="20">
        <f t="shared" si="3"/>
        <v>0.4753487253</v>
      </c>
      <c r="S415" s="21">
        <f t="shared" si="4"/>
        <v>4</v>
      </c>
      <c r="T415" s="17">
        <f>round(V415*W415*X415*Y415*Z415,0)</f>
        <v>3953</v>
      </c>
      <c r="U415" s="22">
        <f>T415/vlookup(A415,Max!$A$2:$AP$700,column(Max!$AP$2),false)</f>
        <v>1.5812</v>
      </c>
      <c r="V415" s="17">
        <f t="shared" si="6"/>
        <v>1279.875552</v>
      </c>
      <c r="W415" s="23">
        <f t="shared" si="7"/>
        <v>1.302475573</v>
      </c>
      <c r="X415" s="23">
        <f t="shared" si="8"/>
        <v>2.330300366</v>
      </c>
      <c r="Y415" s="23">
        <f t="shared" si="9"/>
        <v>1</v>
      </c>
      <c r="Z415" s="23">
        <f t="shared" si="10"/>
        <v>1.017614949</v>
      </c>
      <c r="AA415" s="24">
        <f t="shared" si="11"/>
        <v>1303</v>
      </c>
      <c r="AB415" s="26">
        <f t="shared" si="118"/>
        <v>1</v>
      </c>
      <c r="AC415" s="26" t="str">
        <f t="shared" si="40"/>
        <v/>
      </c>
      <c r="AD415" s="26" t="str">
        <f t="shared" si="41"/>
        <v>$RD-172-173$: 1303,</v>
      </c>
      <c r="AE415" s="26" t="str">
        <f t="shared" si="115"/>
        <v/>
      </c>
      <c r="AF415" s="26" t="str">
        <f t="shared" si="78"/>
        <v/>
      </c>
      <c r="AG415" s="26" t="str">
        <f t="shared" si="79"/>
        <v/>
      </c>
    </row>
    <row r="416" ht="15.75" customHeight="1">
      <c r="A416" s="7" t="s">
        <v>562</v>
      </c>
      <c r="B416" s="7" t="s">
        <v>559</v>
      </c>
      <c r="C416" s="8">
        <f t="shared" si="1"/>
        <v>650</v>
      </c>
      <c r="D416" s="7">
        <v>2004.0</v>
      </c>
      <c r="E416" s="7"/>
      <c r="F416" s="7" t="b">
        <v>1</v>
      </c>
      <c r="G416" s="7" t="b">
        <v>0</v>
      </c>
      <c r="H416" s="7" t="b">
        <v>0</v>
      </c>
      <c r="I416" s="7" t="b">
        <v>0</v>
      </c>
      <c r="J416" s="9" t="b">
        <v>0</v>
      </c>
      <c r="K416" s="7">
        <v>9750.0</v>
      </c>
      <c r="L416" s="7">
        <v>7904.0</v>
      </c>
      <c r="M416" s="7">
        <v>337.2</v>
      </c>
      <c r="N416" s="7">
        <v>24.52</v>
      </c>
      <c r="O416" s="7">
        <v>0.996939</v>
      </c>
      <c r="P416" s="7">
        <v>0.996939</v>
      </c>
      <c r="Q416" s="10">
        <f t="shared" si="2"/>
        <v>82.66499409</v>
      </c>
      <c r="R416" s="11">
        <f t="shared" si="3"/>
        <v>0.4175101215</v>
      </c>
      <c r="S416" s="12">
        <f t="shared" si="4"/>
        <v>4</v>
      </c>
      <c r="T416" s="28">
        <v>3300.0</v>
      </c>
      <c r="U416" s="13">
        <f>T416/vlookup(A416,Max!$A$2:$AP$700,column(Max!$AP$2),false)</f>
        <v>1.434782609</v>
      </c>
      <c r="V416" s="8">
        <f t="shared" si="6"/>
        <v>1279.875552</v>
      </c>
      <c r="W416" s="14">
        <f t="shared" si="7"/>
        <v>1.300536866</v>
      </c>
      <c r="X416" s="14">
        <f t="shared" si="8"/>
        <v>2.297940672</v>
      </c>
      <c r="Y416" s="14">
        <f t="shared" si="9"/>
        <v>1</v>
      </c>
      <c r="Z416" s="14">
        <f t="shared" si="10"/>
        <v>1.017614949</v>
      </c>
      <c r="AA416" s="27">
        <f t="shared" si="11"/>
        <v>650</v>
      </c>
      <c r="AB416" s="15">
        <f t="shared" si="118"/>
        <v>1</v>
      </c>
      <c r="AC416" s="15" t="str">
        <f t="shared" si="40"/>
        <v/>
      </c>
      <c r="AD416" s="15" t="str">
        <f t="shared" si="41"/>
        <v>$RD-171M$: 650,</v>
      </c>
      <c r="AE416" s="15" t="str">
        <f t="shared" si="115"/>
        <v/>
      </c>
      <c r="AF416" s="15" t="str">
        <f t="shared" si="78"/>
        <v/>
      </c>
      <c r="AG416" s="15" t="str">
        <f t="shared" si="79"/>
        <v/>
      </c>
    </row>
    <row r="417" ht="15.75" customHeight="1">
      <c r="A417" s="16" t="s">
        <v>563</v>
      </c>
      <c r="B417" s="16" t="s">
        <v>564</v>
      </c>
      <c r="C417" s="17">
        <f t="shared" si="1"/>
        <v>1700</v>
      </c>
      <c r="D417" s="16">
        <v>2002.0</v>
      </c>
      <c r="E417" s="16"/>
      <c r="F417" s="16" t="b">
        <v>1</v>
      </c>
      <c r="G417" s="16" t="b">
        <v>0</v>
      </c>
      <c r="H417" s="16" t="b">
        <v>0</v>
      </c>
      <c r="I417" s="16" t="b">
        <v>0</v>
      </c>
      <c r="J417" s="18" t="b">
        <v>0</v>
      </c>
      <c r="K417" s="16">
        <v>5330.0</v>
      </c>
      <c r="L417" s="16">
        <v>4152.0</v>
      </c>
      <c r="M417" s="16">
        <v>338.4</v>
      </c>
      <c r="N417" s="16">
        <v>26.66</v>
      </c>
      <c r="O417" s="16">
        <v>0.996354</v>
      </c>
      <c r="P417" s="16">
        <v>0.996354</v>
      </c>
      <c r="Q417" s="19">
        <f t="shared" si="2"/>
        <v>79.43455354</v>
      </c>
      <c r="R417" s="20">
        <f t="shared" si="3"/>
        <v>0.4094412331</v>
      </c>
      <c r="S417" s="21">
        <f t="shared" si="4"/>
        <v>4</v>
      </c>
      <c r="T417" s="32">
        <v>1700.0</v>
      </c>
      <c r="U417" s="22">
        <f>T417/vlookup(A417,Max!$A$2:$AP$700,column(Max!$AP$2),false)</f>
        <v>1.133333333</v>
      </c>
      <c r="V417" s="17">
        <f t="shared" si="6"/>
        <v>877.3241087</v>
      </c>
      <c r="W417" s="23">
        <f t="shared" si="7"/>
        <v>1.312228086</v>
      </c>
      <c r="X417" s="23">
        <f t="shared" si="8"/>
        <v>2.356354975</v>
      </c>
      <c r="Y417" s="23">
        <f t="shared" si="9"/>
        <v>1</v>
      </c>
      <c r="Z417" s="23">
        <f t="shared" si="10"/>
        <v>1.016122774</v>
      </c>
      <c r="AA417" s="26">
        <f t="shared" si="11"/>
        <v>0</v>
      </c>
      <c r="AB417" s="25">
        <v>0.0</v>
      </c>
      <c r="AC417" s="26" t="str">
        <f t="shared" si="40"/>
        <v>{
$name$: $RD-180$,
$config$: $RD180$,
$cost$: 1700
},</v>
      </c>
      <c r="AD417" s="26" t="str">
        <f t="shared" si="41"/>
        <v/>
      </c>
      <c r="AE417" s="26" t="str">
        <f t="shared" si="115"/>
        <v/>
      </c>
      <c r="AF417" s="26" t="str">
        <f t="shared" si="78"/>
        <v/>
      </c>
      <c r="AG417" s="26" t="str">
        <f t="shared" si="79"/>
        <v/>
      </c>
    </row>
    <row r="418" ht="15.75" customHeight="1">
      <c r="A418" s="7" t="s">
        <v>565</v>
      </c>
      <c r="B418" s="7" t="s">
        <v>566</v>
      </c>
      <c r="C418" s="8">
        <f t="shared" si="1"/>
        <v>1100</v>
      </c>
      <c r="D418" s="7">
        <v>2009.0</v>
      </c>
      <c r="E418" s="7"/>
      <c r="F418" s="7" t="b">
        <v>1</v>
      </c>
      <c r="G418" s="7" t="b">
        <v>0</v>
      </c>
      <c r="H418" s="7" t="b">
        <v>0</v>
      </c>
      <c r="I418" s="7" t="b">
        <v>0</v>
      </c>
      <c r="J418" s="9" t="b">
        <v>0</v>
      </c>
      <c r="K418" s="7">
        <v>2290.0</v>
      </c>
      <c r="L418" s="7">
        <v>1918.0</v>
      </c>
      <c r="M418" s="7">
        <v>338.0</v>
      </c>
      <c r="N418" s="7">
        <v>20.79</v>
      </c>
      <c r="O418" s="7">
        <v>0.996354</v>
      </c>
      <c r="P418" s="7">
        <v>0.996354</v>
      </c>
      <c r="Q418" s="10">
        <f t="shared" si="2"/>
        <v>85.40679872</v>
      </c>
      <c r="R418" s="11">
        <f t="shared" si="3"/>
        <v>0.5735140772</v>
      </c>
      <c r="S418" s="12">
        <f t="shared" si="4"/>
        <v>4</v>
      </c>
      <c r="T418" s="28">
        <v>1100.0</v>
      </c>
      <c r="U418" s="13">
        <f>T418/vlookup(A418,Max!$A$2:$AP$700,column(Max!$AP$2),false)</f>
        <v>1.549295775</v>
      </c>
      <c r="V418" s="8">
        <f t="shared" si="6"/>
        <v>518.6000954</v>
      </c>
      <c r="W418" s="14">
        <f t="shared" si="7"/>
        <v>1.308315251</v>
      </c>
      <c r="X418" s="14">
        <f t="shared" si="8"/>
        <v>2.186950831</v>
      </c>
      <c r="Y418" s="14">
        <f t="shared" si="9"/>
        <v>1</v>
      </c>
      <c r="Z418" s="14">
        <f t="shared" si="10"/>
        <v>1.016122774</v>
      </c>
      <c r="AA418" s="15">
        <f t="shared" si="11"/>
        <v>0</v>
      </c>
      <c r="AB418" s="29">
        <v>0.0</v>
      </c>
      <c r="AC418" s="15" t="str">
        <f t="shared" si="40"/>
        <v>{
$name$: $RD-151$,
$config$: $RD191$,
$cost$: 1100
},</v>
      </c>
      <c r="AD418" s="15" t="str">
        <f t="shared" si="41"/>
        <v/>
      </c>
      <c r="AE418" s="15" t="str">
        <f t="shared" si="115"/>
        <v/>
      </c>
      <c r="AF418" s="15" t="str">
        <f t="shared" si="78"/>
        <v/>
      </c>
      <c r="AG418" s="15" t="str">
        <f t="shared" si="79"/>
        <v/>
      </c>
    </row>
    <row r="419" ht="15.75" customHeight="1">
      <c r="A419" s="16" t="s">
        <v>567</v>
      </c>
      <c r="B419" s="16" t="s">
        <v>566</v>
      </c>
      <c r="C419" s="17">
        <f t="shared" si="1"/>
        <v>327</v>
      </c>
      <c r="D419" s="16">
        <v>2013.0</v>
      </c>
      <c r="E419" s="16"/>
      <c r="F419" s="16" t="b">
        <v>1</v>
      </c>
      <c r="G419" s="16" t="b">
        <v>0</v>
      </c>
      <c r="H419" s="16" t="b">
        <v>0</v>
      </c>
      <c r="I419" s="16" t="b">
        <v>0</v>
      </c>
      <c r="J419" s="18" t="b">
        <v>0</v>
      </c>
      <c r="K419" s="16">
        <v>1900.0</v>
      </c>
      <c r="L419" s="16">
        <v>2085.0</v>
      </c>
      <c r="M419" s="16">
        <v>337.5</v>
      </c>
      <c r="N419" s="16">
        <v>25.75</v>
      </c>
      <c r="O419" s="16">
        <v>0.996354</v>
      </c>
      <c r="P419" s="16">
        <v>0.996354</v>
      </c>
      <c r="Q419" s="19">
        <f t="shared" si="2"/>
        <v>111.9004367</v>
      </c>
      <c r="R419" s="20">
        <f t="shared" si="3"/>
        <v>0.68441247</v>
      </c>
      <c r="S419" s="21">
        <f t="shared" si="4"/>
        <v>4</v>
      </c>
      <c r="T419" s="17">
        <f t="shared" ref="T419:T517" si="119">round(V419*W419*X419*Y419*Z419,0)</f>
        <v>1427</v>
      </c>
      <c r="U419" s="22">
        <f>T419/vlookup(A419,Max!$A$2:$AP$700,column(Max!$AP$2),false)</f>
        <v>1.640229885</v>
      </c>
      <c r="V419" s="17">
        <f t="shared" si="6"/>
        <v>461.9117121</v>
      </c>
      <c r="W419" s="23">
        <f t="shared" si="7"/>
        <v>1.303446396</v>
      </c>
      <c r="X419" s="23">
        <f t="shared" si="8"/>
        <v>2.331931786</v>
      </c>
      <c r="Y419" s="23">
        <f t="shared" si="9"/>
        <v>1</v>
      </c>
      <c r="Z419" s="23">
        <f t="shared" si="10"/>
        <v>1.016122774</v>
      </c>
      <c r="AA419" s="24">
        <f t="shared" si="11"/>
        <v>327</v>
      </c>
      <c r="AB419" s="26">
        <f t="shared" ref="AB419:AB421" si="120">if(iserror(find("$",A419)),1,2)</f>
        <v>1</v>
      </c>
      <c r="AC419" s="26" t="str">
        <f t="shared" si="40"/>
        <v/>
      </c>
      <c r="AD419" s="26" t="str">
        <f t="shared" si="41"/>
        <v>$RD-193$: 327,</v>
      </c>
      <c r="AE419" s="26" t="str">
        <f t="shared" si="115"/>
        <v/>
      </c>
      <c r="AF419" s="26" t="str">
        <f t="shared" si="78"/>
        <v/>
      </c>
      <c r="AG419" s="26" t="str">
        <f t="shared" si="79"/>
        <v/>
      </c>
    </row>
    <row r="420" ht="15.75" customHeight="1">
      <c r="A420" s="7" t="s">
        <v>568</v>
      </c>
      <c r="B420" s="7" t="s">
        <v>566</v>
      </c>
      <c r="C420" s="8">
        <f t="shared" si="1"/>
        <v>503</v>
      </c>
      <c r="D420" s="7">
        <v>2014.0</v>
      </c>
      <c r="E420" s="7"/>
      <c r="F420" s="7" t="b">
        <v>1</v>
      </c>
      <c r="G420" s="7" t="b">
        <v>0</v>
      </c>
      <c r="H420" s="7" t="b">
        <v>0</v>
      </c>
      <c r="I420" s="7" t="b">
        <v>0</v>
      </c>
      <c r="J420" s="9" t="b">
        <v>0</v>
      </c>
      <c r="K420" s="7">
        <v>2290.0</v>
      </c>
      <c r="L420" s="7">
        <v>2085.0</v>
      </c>
      <c r="M420" s="7">
        <v>337.5</v>
      </c>
      <c r="N420" s="7">
        <v>25.83</v>
      </c>
      <c r="O420" s="7">
        <v>0.996354</v>
      </c>
      <c r="P420" s="7">
        <v>0.996354</v>
      </c>
      <c r="Q420" s="10">
        <f t="shared" si="2"/>
        <v>92.84315711</v>
      </c>
      <c r="R420" s="11">
        <f t="shared" si="3"/>
        <v>0.76882494</v>
      </c>
      <c r="S420" s="12">
        <f t="shared" si="4"/>
        <v>4</v>
      </c>
      <c r="T420" s="8">
        <f t="shared" si="119"/>
        <v>1603</v>
      </c>
      <c r="U420" s="13">
        <f>T420/vlookup(A420,Max!$A$2:$AP$700,column(Max!$AP$2),false)</f>
        <v>1.931325301</v>
      </c>
      <c r="V420" s="8">
        <f t="shared" si="6"/>
        <v>518.6000954</v>
      </c>
      <c r="W420" s="14">
        <f t="shared" si="7"/>
        <v>1.303446396</v>
      </c>
      <c r="X420" s="14">
        <f t="shared" si="8"/>
        <v>2.334102877</v>
      </c>
      <c r="Y420" s="14">
        <f t="shared" si="9"/>
        <v>1</v>
      </c>
      <c r="Z420" s="14">
        <f t="shared" si="10"/>
        <v>1.016122774</v>
      </c>
      <c r="AA420" s="27">
        <f t="shared" si="11"/>
        <v>503</v>
      </c>
      <c r="AB420" s="15">
        <f t="shared" si="120"/>
        <v>1</v>
      </c>
      <c r="AC420" s="15" t="str">
        <f t="shared" si="40"/>
        <v/>
      </c>
      <c r="AD420" s="15" t="str">
        <f t="shared" si="41"/>
        <v>$RD-191$: 503,</v>
      </c>
      <c r="AE420" s="15" t="str">
        <f t="shared" si="115"/>
        <v/>
      </c>
      <c r="AF420" s="15" t="str">
        <f t="shared" si="78"/>
        <v/>
      </c>
      <c r="AG420" s="15" t="str">
        <f t="shared" si="79"/>
        <v/>
      </c>
    </row>
    <row r="421" ht="15.75" customHeight="1">
      <c r="A421" s="16" t="s">
        <v>569</v>
      </c>
      <c r="B421" s="16" t="s">
        <v>566</v>
      </c>
      <c r="C421" s="17">
        <f t="shared" si="1"/>
        <v>482</v>
      </c>
      <c r="D421" s="16">
        <v>2018.0</v>
      </c>
      <c r="E421" s="16"/>
      <c r="F421" s="16" t="b">
        <v>1</v>
      </c>
      <c r="G421" s="16" t="b">
        <v>0</v>
      </c>
      <c r="H421" s="16" t="b">
        <v>0</v>
      </c>
      <c r="I421" s="16" t="b">
        <v>0</v>
      </c>
      <c r="J421" s="18" t="b">
        <v>0</v>
      </c>
      <c r="K421" s="16">
        <v>2200.0</v>
      </c>
      <c r="L421" s="16">
        <v>2085.0</v>
      </c>
      <c r="M421" s="16">
        <v>339.2</v>
      </c>
      <c r="N421" s="16">
        <v>25.75</v>
      </c>
      <c r="O421" s="16">
        <v>0.996354</v>
      </c>
      <c r="P421" s="16">
        <v>0.996354</v>
      </c>
      <c r="Q421" s="19">
        <f t="shared" si="2"/>
        <v>96.64128627</v>
      </c>
      <c r="R421" s="20">
        <f t="shared" si="3"/>
        <v>0.7587529976</v>
      </c>
      <c r="S421" s="21">
        <f t="shared" si="4"/>
        <v>4</v>
      </c>
      <c r="T421" s="17">
        <f t="shared" si="119"/>
        <v>1582</v>
      </c>
      <c r="U421" s="22">
        <f>T421/vlookup(A421,Max!$A$2:$AP$700,column(Max!$AP$2),false)</f>
        <v>1.883333333</v>
      </c>
      <c r="V421" s="17">
        <f t="shared" si="6"/>
        <v>505.8597677</v>
      </c>
      <c r="W421" s="23">
        <f t="shared" si="7"/>
        <v>1.320101376</v>
      </c>
      <c r="X421" s="23">
        <f t="shared" si="8"/>
        <v>2.331931786</v>
      </c>
      <c r="Y421" s="23">
        <f t="shared" si="9"/>
        <v>1</v>
      </c>
      <c r="Z421" s="23">
        <f t="shared" si="10"/>
        <v>1.016122774</v>
      </c>
      <c r="AA421" s="24">
        <f t="shared" si="11"/>
        <v>482</v>
      </c>
      <c r="AB421" s="26">
        <f t="shared" si="120"/>
        <v>1</v>
      </c>
      <c r="AC421" s="26" t="str">
        <f t="shared" si="40"/>
        <v/>
      </c>
      <c r="AD421" s="26" t="str">
        <f t="shared" si="41"/>
        <v>$RD-181$: 482,</v>
      </c>
      <c r="AE421" s="26" t="str">
        <f t="shared" si="115"/>
        <v/>
      </c>
      <c r="AF421" s="26" t="str">
        <f t="shared" si="78"/>
        <v/>
      </c>
      <c r="AG421" s="26" t="str">
        <f t="shared" si="79"/>
        <v/>
      </c>
    </row>
    <row r="422" ht="15.75" customHeight="1">
      <c r="A422" s="7" t="s">
        <v>570</v>
      </c>
      <c r="B422" s="7" t="s">
        <v>571</v>
      </c>
      <c r="C422" s="8">
        <f t="shared" si="1"/>
        <v>109</v>
      </c>
      <c r="D422" s="7">
        <v>1951.0</v>
      </c>
      <c r="E422" s="7"/>
      <c r="F422" s="7" t="b">
        <v>1</v>
      </c>
      <c r="G422" s="7" t="b">
        <v>0</v>
      </c>
      <c r="H422" s="7" t="b">
        <v>0</v>
      </c>
      <c r="I422" s="7" t="b">
        <v>0</v>
      </c>
      <c r="J422" s="9" t="b">
        <v>0</v>
      </c>
      <c r="K422" s="7">
        <v>169.0</v>
      </c>
      <c r="L422" s="7">
        <v>98.51</v>
      </c>
      <c r="M422" s="7">
        <v>234.0</v>
      </c>
      <c r="N422" s="7">
        <v>2.35</v>
      </c>
      <c r="O422" s="7">
        <v>0.94</v>
      </c>
      <c r="P422" s="7">
        <v>0.93</v>
      </c>
      <c r="Q422" s="10">
        <f t="shared" si="2"/>
        <v>59.43919754</v>
      </c>
      <c r="R422" s="11">
        <f t="shared" si="3"/>
        <v>1.106486651</v>
      </c>
      <c r="S422" s="12">
        <f t="shared" si="4"/>
        <v>4</v>
      </c>
      <c r="T422" s="8">
        <f t="shared" si="119"/>
        <v>109</v>
      </c>
      <c r="U422" s="13">
        <f>T422/vlookup(A422,Max!$A$2:$AP$700,column(Max!$AP$2),false)</f>
        <v>1.703125</v>
      </c>
      <c r="V422" s="8">
        <f t="shared" si="6"/>
        <v>104.7250997</v>
      </c>
      <c r="W422" s="14">
        <f t="shared" si="7"/>
        <v>0.8895803863</v>
      </c>
      <c r="X422" s="14">
        <f t="shared" si="8"/>
        <v>1.137111445</v>
      </c>
      <c r="Y422" s="14">
        <f t="shared" si="9"/>
        <v>1</v>
      </c>
      <c r="Z422" s="14">
        <f t="shared" si="10"/>
        <v>1.026384525</v>
      </c>
      <c r="AA422" s="15">
        <f t="shared" si="11"/>
        <v>0</v>
      </c>
      <c r="AB422" s="29">
        <v>0.0</v>
      </c>
      <c r="AC422" s="15" t="str">
        <f t="shared" si="40"/>
        <v>{
$name$: $RD-200$,
$config$: $RD200$,
$cost$: 109
},</v>
      </c>
      <c r="AD422" s="15" t="str">
        <f t="shared" si="41"/>
        <v/>
      </c>
      <c r="AE422" s="15" t="str">
        <f t="shared" si="115"/>
        <v/>
      </c>
      <c r="AF422" s="15" t="str">
        <f t="shared" si="78"/>
        <v/>
      </c>
      <c r="AG422" s="15" t="str">
        <f t="shared" si="79"/>
        <v/>
      </c>
    </row>
    <row r="423" ht="15.75" customHeight="1">
      <c r="A423" s="16" t="s">
        <v>572</v>
      </c>
      <c r="B423" s="16" t="s">
        <v>573</v>
      </c>
      <c r="C423" s="17">
        <f t="shared" si="1"/>
        <v>278</v>
      </c>
      <c r="D423" s="16">
        <v>1956.0</v>
      </c>
      <c r="E423" s="16"/>
      <c r="F423" s="16" t="b">
        <v>1</v>
      </c>
      <c r="G423" s="16" t="b">
        <v>0</v>
      </c>
      <c r="H423" s="16" t="b">
        <v>0</v>
      </c>
      <c r="I423" s="16" t="b">
        <v>0</v>
      </c>
      <c r="J423" s="18" t="b">
        <v>0</v>
      </c>
      <c r="K423" s="16">
        <v>635.0</v>
      </c>
      <c r="L423" s="16">
        <v>642.3</v>
      </c>
      <c r="M423" s="16">
        <v>261.8</v>
      </c>
      <c r="N423" s="16">
        <v>3.923</v>
      </c>
      <c r="O423" s="16">
        <v>0.94</v>
      </c>
      <c r="P423" s="16">
        <v>0.94</v>
      </c>
      <c r="Q423" s="19">
        <f t="shared" si="2"/>
        <v>103.1438932</v>
      </c>
      <c r="R423" s="20">
        <f t="shared" si="3"/>
        <v>0.4328195547</v>
      </c>
      <c r="S423" s="21">
        <f t="shared" si="4"/>
        <v>4</v>
      </c>
      <c r="T423" s="17">
        <f t="shared" si="119"/>
        <v>278</v>
      </c>
      <c r="U423" s="22">
        <f>T423/vlookup(A423,Max!$A$2:$AP$700,column(Max!$AP$2),false)</f>
        <v>1.02962963</v>
      </c>
      <c r="V423" s="17">
        <f t="shared" si="6"/>
        <v>234.9224069</v>
      </c>
      <c r="W423" s="23">
        <f t="shared" si="7"/>
        <v>0.9188450391</v>
      </c>
      <c r="X423" s="23">
        <f t="shared" si="8"/>
        <v>1.326075235</v>
      </c>
      <c r="Y423" s="23">
        <f t="shared" si="9"/>
        <v>1</v>
      </c>
      <c r="Z423" s="23">
        <f t="shared" si="10"/>
        <v>0.971219466</v>
      </c>
      <c r="AA423" s="26">
        <f t="shared" si="11"/>
        <v>0</v>
      </c>
      <c r="AB423" s="25">
        <v>0.0</v>
      </c>
      <c r="AC423" s="26" t="str">
        <f t="shared" si="40"/>
        <v>{
$name$: $RD-211-8D57$,
$config$: $RD211$,
$cost$: 278
},</v>
      </c>
      <c r="AD423" s="26" t="str">
        <f t="shared" si="41"/>
        <v/>
      </c>
      <c r="AE423" s="26" t="str">
        <f t="shared" si="115"/>
        <v/>
      </c>
      <c r="AF423" s="26" t="str">
        <f t="shared" si="78"/>
        <v/>
      </c>
      <c r="AG423" s="26" t="str">
        <f t="shared" si="79"/>
        <v/>
      </c>
    </row>
    <row r="424" ht="15.75" customHeight="1">
      <c r="A424" s="7" t="s">
        <v>574</v>
      </c>
      <c r="B424" s="7" t="s">
        <v>573</v>
      </c>
      <c r="C424" s="8">
        <f t="shared" si="1"/>
        <v>-30</v>
      </c>
      <c r="D424" s="7">
        <v>1956.0</v>
      </c>
      <c r="E424" s="7"/>
      <c r="F424" s="7" t="b">
        <v>1</v>
      </c>
      <c r="G424" s="7" t="b">
        <v>0</v>
      </c>
      <c r="H424" s="7" t="b">
        <v>0</v>
      </c>
      <c r="I424" s="7" t="b">
        <v>0</v>
      </c>
      <c r="J424" s="9" t="b">
        <v>0</v>
      </c>
      <c r="K424" s="7">
        <v>642.0</v>
      </c>
      <c r="L424" s="7">
        <v>622.7</v>
      </c>
      <c r="M424" s="7">
        <v>253.0</v>
      </c>
      <c r="N424" s="7">
        <v>3.923</v>
      </c>
      <c r="O424" s="7">
        <v>0.93</v>
      </c>
      <c r="P424" s="7">
        <v>0.9</v>
      </c>
      <c r="Q424" s="10">
        <f t="shared" si="2"/>
        <v>98.906119</v>
      </c>
      <c r="R424" s="11">
        <f t="shared" si="3"/>
        <v>0.3982656175</v>
      </c>
      <c r="S424" s="12">
        <f t="shared" si="4"/>
        <v>4</v>
      </c>
      <c r="T424" s="8">
        <f t="shared" si="119"/>
        <v>248</v>
      </c>
      <c r="U424" s="13">
        <f>T424/vlookup(A424,Max!$A$2:$AP$700,column(Max!$AP$2),false)</f>
        <v>1.24</v>
      </c>
      <c r="V424" s="8">
        <f t="shared" si="6"/>
        <v>236.5094093</v>
      </c>
      <c r="W424" s="14">
        <f t="shared" si="7"/>
        <v>0.9074748762</v>
      </c>
      <c r="X424" s="14">
        <f t="shared" si="8"/>
        <v>1.326075235</v>
      </c>
      <c r="Y424" s="14">
        <f t="shared" si="9"/>
        <v>1</v>
      </c>
      <c r="Z424" s="14">
        <f t="shared" si="10"/>
        <v>0.8711722195</v>
      </c>
      <c r="AA424" s="27">
        <f t="shared" si="11"/>
        <v>-30</v>
      </c>
      <c r="AB424" s="15">
        <f t="shared" ref="AB424:AB427" si="121">if(iserror(find("$",A424)),1,2)</f>
        <v>1</v>
      </c>
      <c r="AC424" s="15" t="str">
        <f t="shared" si="40"/>
        <v/>
      </c>
      <c r="AD424" s="15" t="str">
        <f t="shared" si="41"/>
        <v>$RD-212-8D41$: -30,</v>
      </c>
      <c r="AE424" s="15" t="str">
        <f t="shared" si="115"/>
        <v/>
      </c>
      <c r="AF424" s="15" t="str">
        <f t="shared" si="78"/>
        <v/>
      </c>
      <c r="AG424" s="15" t="str">
        <f t="shared" si="79"/>
        <v/>
      </c>
    </row>
    <row r="425" ht="15.75" customHeight="1">
      <c r="A425" s="16" t="s">
        <v>575</v>
      </c>
      <c r="B425" s="16" t="s">
        <v>573</v>
      </c>
      <c r="C425" s="17">
        <f t="shared" si="1"/>
        <v>-25</v>
      </c>
      <c r="D425" s="16">
        <v>1957.0</v>
      </c>
      <c r="E425" s="16"/>
      <c r="F425" s="16" t="b">
        <v>1</v>
      </c>
      <c r="G425" s="16" t="b">
        <v>0</v>
      </c>
      <c r="H425" s="16" t="b">
        <v>0</v>
      </c>
      <c r="I425" s="16" t="b">
        <v>0</v>
      </c>
      <c r="J425" s="18" t="b">
        <v>0</v>
      </c>
      <c r="K425" s="16">
        <v>625.0</v>
      </c>
      <c r="L425" s="16">
        <v>749.2</v>
      </c>
      <c r="M425" s="16">
        <v>255.0</v>
      </c>
      <c r="N425" s="16">
        <v>4.66</v>
      </c>
      <c r="O425" s="16">
        <v>0.93</v>
      </c>
      <c r="P425" s="16">
        <v>0.9</v>
      </c>
      <c r="Q425" s="19">
        <f t="shared" si="2"/>
        <v>122.2354215</v>
      </c>
      <c r="R425" s="20">
        <f t="shared" si="3"/>
        <v>0.3376935398</v>
      </c>
      <c r="S425" s="21">
        <f t="shared" si="4"/>
        <v>4</v>
      </c>
      <c r="T425" s="17">
        <f t="shared" si="119"/>
        <v>253</v>
      </c>
      <c r="U425" s="22">
        <f>T425/vlookup(A425,Max!$A$2:$AP$700,column(Max!$AP$2),false)</f>
        <v>1.012</v>
      </c>
      <c r="V425" s="17">
        <f t="shared" si="6"/>
        <v>232.6437655</v>
      </c>
      <c r="W425" s="23">
        <f t="shared" si="7"/>
        <v>0.909870738</v>
      </c>
      <c r="X425" s="23">
        <f t="shared" si="8"/>
        <v>1.396363368</v>
      </c>
      <c r="Y425" s="23">
        <f t="shared" si="9"/>
        <v>1</v>
      </c>
      <c r="Z425" s="23">
        <f t="shared" si="10"/>
        <v>0.8550440874</v>
      </c>
      <c r="AA425" s="24">
        <f t="shared" si="11"/>
        <v>-25</v>
      </c>
      <c r="AB425" s="26">
        <f t="shared" si="121"/>
        <v>1</v>
      </c>
      <c r="AC425" s="26" t="str">
        <f t="shared" si="40"/>
        <v/>
      </c>
      <c r="AD425" s="26" t="str">
        <f t="shared" si="41"/>
        <v>$RD-213-8D13$: -25,</v>
      </c>
      <c r="AE425" s="26" t="str">
        <f t="shared" si="115"/>
        <v/>
      </c>
      <c r="AF425" s="26" t="str">
        <f t="shared" si="78"/>
        <v/>
      </c>
      <c r="AG425" s="26" t="str">
        <f t="shared" si="79"/>
        <v/>
      </c>
    </row>
    <row r="426" ht="15.75" customHeight="1">
      <c r="A426" s="7" t="s">
        <v>576</v>
      </c>
      <c r="B426" s="7" t="s">
        <v>573</v>
      </c>
      <c r="C426" s="8">
        <f t="shared" si="1"/>
        <v>35</v>
      </c>
      <c r="D426" s="7">
        <v>1959.0</v>
      </c>
      <c r="E426" s="7"/>
      <c r="F426" s="7" t="b">
        <v>1</v>
      </c>
      <c r="G426" s="7" t="b">
        <v>0</v>
      </c>
      <c r="H426" s="7" t="b">
        <v>0</v>
      </c>
      <c r="I426" s="7" t="b">
        <v>0</v>
      </c>
      <c r="J426" s="9" t="b">
        <v>0</v>
      </c>
      <c r="K426" s="7">
        <v>655.0</v>
      </c>
      <c r="L426" s="7">
        <v>730.2</v>
      </c>
      <c r="M426" s="7">
        <v>264.0</v>
      </c>
      <c r="N426" s="7">
        <v>4.36</v>
      </c>
      <c r="O426" s="7">
        <v>0.987383</v>
      </c>
      <c r="P426" s="7">
        <v>0.987383</v>
      </c>
      <c r="Q426" s="10">
        <f t="shared" si="2"/>
        <v>113.6788972</v>
      </c>
      <c r="R426" s="11">
        <f t="shared" si="3"/>
        <v>0.428649685</v>
      </c>
      <c r="S426" s="12">
        <f t="shared" si="4"/>
        <v>4</v>
      </c>
      <c r="T426" s="8">
        <f t="shared" si="119"/>
        <v>313</v>
      </c>
      <c r="U426" s="13">
        <f>T426/vlookup(A426,Max!$A$2:$AP$700,column(Max!$AP$2),false)</f>
        <v>0.8459459459</v>
      </c>
      <c r="V426" s="8">
        <f t="shared" si="6"/>
        <v>239.4394962</v>
      </c>
      <c r="W426" s="14">
        <f t="shared" si="7"/>
        <v>0.922037686</v>
      </c>
      <c r="X426" s="14">
        <f t="shared" si="8"/>
        <v>1.368764141</v>
      </c>
      <c r="Y426" s="14">
        <f t="shared" si="9"/>
        <v>1</v>
      </c>
      <c r="Z426" s="14">
        <f t="shared" si="10"/>
        <v>1.036168382</v>
      </c>
      <c r="AA426" s="27">
        <f t="shared" si="11"/>
        <v>35</v>
      </c>
      <c r="AB426" s="15">
        <f t="shared" si="121"/>
        <v>1</v>
      </c>
      <c r="AC426" s="15" t="str">
        <f t="shared" si="40"/>
        <v/>
      </c>
      <c r="AD426" s="15" t="str">
        <f t="shared" si="41"/>
        <v>$RD-214-8D59$: 35,</v>
      </c>
      <c r="AE426" s="15" t="str">
        <f t="shared" si="115"/>
        <v/>
      </c>
      <c r="AF426" s="15" t="str">
        <f t="shared" si="78"/>
        <v/>
      </c>
      <c r="AG426" s="15" t="str">
        <f t="shared" si="79"/>
        <v/>
      </c>
    </row>
    <row r="427" ht="15.75" customHeight="1">
      <c r="A427" s="16" t="s">
        <v>577</v>
      </c>
      <c r="B427" s="16" t="s">
        <v>573</v>
      </c>
      <c r="C427" s="17">
        <f t="shared" si="1"/>
        <v>20</v>
      </c>
      <c r="D427" s="16">
        <v>1960.0</v>
      </c>
      <c r="E427" s="16"/>
      <c r="F427" s="16" t="b">
        <v>1</v>
      </c>
      <c r="G427" s="16" t="b">
        <v>0</v>
      </c>
      <c r="H427" s="16" t="b">
        <v>0</v>
      </c>
      <c r="I427" s="16" t="b">
        <v>0</v>
      </c>
      <c r="J427" s="18" t="b">
        <v>0</v>
      </c>
      <c r="K427" s="16">
        <v>622.0</v>
      </c>
      <c r="L427" s="16">
        <v>730.6</v>
      </c>
      <c r="M427" s="16">
        <v>264.0</v>
      </c>
      <c r="N427" s="16">
        <v>4.36</v>
      </c>
      <c r="O427" s="16">
        <v>0.988253</v>
      </c>
      <c r="P427" s="16">
        <v>0.988253</v>
      </c>
      <c r="Q427" s="19">
        <f t="shared" si="2"/>
        <v>119.7756693</v>
      </c>
      <c r="R427" s="20">
        <f t="shared" si="3"/>
        <v>0.407883931</v>
      </c>
      <c r="S427" s="21">
        <f t="shared" si="4"/>
        <v>4</v>
      </c>
      <c r="T427" s="17">
        <f t="shared" si="119"/>
        <v>298</v>
      </c>
      <c r="U427" s="22">
        <f>T427/vlookup(A427,Max!$A$2:$AP$700,column(Max!$AP$2),false)</f>
        <v>0.8514285714</v>
      </c>
      <c r="V427" s="17">
        <f t="shared" si="6"/>
        <v>231.957497</v>
      </c>
      <c r="W427" s="23">
        <f t="shared" si="7"/>
        <v>0.922037686</v>
      </c>
      <c r="X427" s="23">
        <f t="shared" si="8"/>
        <v>1.368764141</v>
      </c>
      <c r="Y427" s="23">
        <f t="shared" si="9"/>
        <v>1</v>
      </c>
      <c r="Z427" s="23">
        <f t="shared" si="10"/>
        <v>1.017071949</v>
      </c>
      <c r="AA427" s="24">
        <f t="shared" si="11"/>
        <v>20</v>
      </c>
      <c r="AB427" s="26">
        <f t="shared" si="121"/>
        <v>1</v>
      </c>
      <c r="AC427" s="26" t="str">
        <f t="shared" si="40"/>
        <v/>
      </c>
      <c r="AD427" s="26" t="str">
        <f t="shared" si="41"/>
        <v>$RD-214U-8D59U$: 20,</v>
      </c>
      <c r="AE427" s="26" t="str">
        <f t="shared" si="115"/>
        <v/>
      </c>
      <c r="AF427" s="26" t="str">
        <f t="shared" si="78"/>
        <v/>
      </c>
      <c r="AG427" s="26" t="str">
        <f t="shared" si="79"/>
        <v/>
      </c>
    </row>
    <row r="428" ht="15.75" customHeight="1">
      <c r="A428" s="7" t="s">
        <v>578</v>
      </c>
      <c r="B428" s="7" t="s">
        <v>579</v>
      </c>
      <c r="C428" s="8">
        <f t="shared" si="1"/>
        <v>392</v>
      </c>
      <c r="D428" s="7">
        <v>1960.0</v>
      </c>
      <c r="E428" s="7"/>
      <c r="F428" s="7" t="b">
        <v>1</v>
      </c>
      <c r="G428" s="7" t="b">
        <v>0</v>
      </c>
      <c r="H428" s="7" t="b">
        <v>0</v>
      </c>
      <c r="I428" s="7" t="b">
        <v>0</v>
      </c>
      <c r="J428" s="9" t="b">
        <v>0</v>
      </c>
      <c r="K428" s="7">
        <v>675.0</v>
      </c>
      <c r="L428" s="7">
        <v>869.9</v>
      </c>
      <c r="M428" s="7">
        <v>289.0</v>
      </c>
      <c r="N428" s="7">
        <v>7.35</v>
      </c>
      <c r="O428" s="7">
        <v>0.994828</v>
      </c>
      <c r="P428" s="7">
        <v>0.994828</v>
      </c>
      <c r="Q428" s="10">
        <f t="shared" si="2"/>
        <v>131.4149824</v>
      </c>
      <c r="R428" s="11">
        <f t="shared" si="3"/>
        <v>0.4506265088</v>
      </c>
      <c r="S428" s="12">
        <f t="shared" si="4"/>
        <v>4</v>
      </c>
      <c r="T428" s="8">
        <f t="shared" si="119"/>
        <v>392</v>
      </c>
      <c r="U428" s="13">
        <f>T428/vlookup(A428,Max!$A$2:$AP$700,column(Max!$AP$2),false)</f>
        <v>0.7259259259</v>
      </c>
      <c r="V428" s="8">
        <f t="shared" si="6"/>
        <v>243.9048726</v>
      </c>
      <c r="W428" s="14">
        <f t="shared" si="7"/>
        <v>0.9702149694</v>
      </c>
      <c r="X428" s="14">
        <f t="shared" si="8"/>
        <v>1.600917212</v>
      </c>
      <c r="Y428" s="14">
        <f t="shared" si="9"/>
        <v>1</v>
      </c>
      <c r="Z428" s="14">
        <f t="shared" si="10"/>
        <v>1.034073298</v>
      </c>
      <c r="AA428" s="15">
        <f t="shared" si="11"/>
        <v>0</v>
      </c>
      <c r="AB428" s="29">
        <v>0.0</v>
      </c>
      <c r="AC428" s="15" t="str">
        <f t="shared" si="40"/>
        <v>{
$name$: $RD-215-8D513$,
$config$: $RD215$,
$cost$: 392
},</v>
      </c>
      <c r="AD428" s="15" t="str">
        <f t="shared" si="41"/>
        <v/>
      </c>
      <c r="AE428" s="15" t="str">
        <f t="shared" si="115"/>
        <v/>
      </c>
      <c r="AF428" s="15" t="str">
        <f t="shared" si="78"/>
        <v/>
      </c>
      <c r="AG428" s="15" t="str">
        <f t="shared" si="79"/>
        <v/>
      </c>
    </row>
    <row r="429" ht="15.75" customHeight="1">
      <c r="A429" s="16" t="s">
        <v>580</v>
      </c>
      <c r="B429" s="16" t="s">
        <v>579</v>
      </c>
      <c r="C429" s="17">
        <f t="shared" si="1"/>
        <v>-26</v>
      </c>
      <c r="D429" s="16">
        <v>1961.0</v>
      </c>
      <c r="E429" s="16"/>
      <c r="F429" s="16" t="b">
        <v>1</v>
      </c>
      <c r="G429" s="16" t="b">
        <v>0</v>
      </c>
      <c r="H429" s="16" t="b">
        <v>0</v>
      </c>
      <c r="I429" s="16" t="b">
        <v>0</v>
      </c>
      <c r="J429" s="18" t="b">
        <v>0</v>
      </c>
      <c r="K429" s="16">
        <v>653.0</v>
      </c>
      <c r="L429" s="16">
        <v>869.9</v>
      </c>
      <c r="M429" s="16">
        <v>289.0</v>
      </c>
      <c r="N429" s="16">
        <v>7.35</v>
      </c>
      <c r="O429" s="16">
        <v>0.984807</v>
      </c>
      <c r="P429" s="16">
        <v>0.984807</v>
      </c>
      <c r="Q429" s="19">
        <f t="shared" si="2"/>
        <v>135.8424397</v>
      </c>
      <c r="R429" s="20">
        <f t="shared" si="3"/>
        <v>0.4207380159</v>
      </c>
      <c r="S429" s="21">
        <f t="shared" si="4"/>
        <v>4</v>
      </c>
      <c r="T429" s="17">
        <f t="shared" si="119"/>
        <v>366</v>
      </c>
      <c r="U429" s="22">
        <f>T429/vlookup(A429,Max!$A$2:$AP$700,column(Max!$AP$2),false)</f>
        <v>0.9891891892</v>
      </c>
      <c r="V429" s="17">
        <f t="shared" si="6"/>
        <v>238.9901506</v>
      </c>
      <c r="W429" s="23">
        <f t="shared" si="7"/>
        <v>0.9702149694</v>
      </c>
      <c r="X429" s="23">
        <f t="shared" si="8"/>
        <v>1.600917212</v>
      </c>
      <c r="Y429" s="23">
        <f t="shared" si="9"/>
        <v>1</v>
      </c>
      <c r="Z429" s="23">
        <f t="shared" si="10"/>
        <v>0.9869379087</v>
      </c>
      <c r="AA429" s="24">
        <f t="shared" si="11"/>
        <v>-26</v>
      </c>
      <c r="AB429" s="26">
        <f t="shared" ref="AB429:AB433" si="122">if(iserror(find("$",A429)),1,2)</f>
        <v>1</v>
      </c>
      <c r="AC429" s="26" t="str">
        <f t="shared" si="40"/>
        <v/>
      </c>
      <c r="AD429" s="26" t="str">
        <f t="shared" si="41"/>
        <v>$RD-217-8D515$: -26,</v>
      </c>
      <c r="AE429" s="26" t="str">
        <f t="shared" si="115"/>
        <v/>
      </c>
      <c r="AF429" s="26" t="str">
        <f t="shared" si="78"/>
        <v/>
      </c>
      <c r="AG429" s="26" t="str">
        <f t="shared" si="79"/>
        <v/>
      </c>
    </row>
    <row r="430" ht="15.75" customHeight="1">
      <c r="A430" s="7" t="s">
        <v>581</v>
      </c>
      <c r="B430" s="7" t="s">
        <v>579</v>
      </c>
      <c r="C430" s="8">
        <f t="shared" si="1"/>
        <v>-6</v>
      </c>
      <c r="D430" s="7">
        <v>1962.0</v>
      </c>
      <c r="E430" s="7"/>
      <c r="F430" s="7" t="b">
        <v>1</v>
      </c>
      <c r="G430" s="7" t="b">
        <v>0</v>
      </c>
      <c r="H430" s="7" t="b">
        <v>0</v>
      </c>
      <c r="I430" s="7" t="b">
        <v>0</v>
      </c>
      <c r="J430" s="9" t="b">
        <v>0</v>
      </c>
      <c r="K430" s="7">
        <v>653.0</v>
      </c>
      <c r="L430" s="7">
        <v>887.5</v>
      </c>
      <c r="M430" s="7">
        <v>294.0</v>
      </c>
      <c r="N430" s="7">
        <v>8.34</v>
      </c>
      <c r="O430" s="7">
        <v>0.985</v>
      </c>
      <c r="P430" s="7">
        <v>0.985</v>
      </c>
      <c r="Q430" s="10">
        <f t="shared" si="2"/>
        <v>138.5908325</v>
      </c>
      <c r="R430" s="11">
        <f t="shared" si="3"/>
        <v>0.4349295775</v>
      </c>
      <c r="S430" s="12">
        <f t="shared" si="4"/>
        <v>4</v>
      </c>
      <c r="T430" s="8">
        <f t="shared" si="119"/>
        <v>386</v>
      </c>
      <c r="U430" s="13">
        <f>T430/vlookup(A430,Max!$A$2:$AP$700,column(Max!$AP$2),false)</f>
        <v>0.8976744186</v>
      </c>
      <c r="V430" s="8">
        <f t="shared" si="6"/>
        <v>238.9901506</v>
      </c>
      <c r="W430" s="14">
        <f t="shared" si="7"/>
        <v>0.982985255</v>
      </c>
      <c r="X430" s="14">
        <f t="shared" si="8"/>
        <v>1.662771176</v>
      </c>
      <c r="Y430" s="14">
        <f t="shared" si="9"/>
        <v>1</v>
      </c>
      <c r="Z430" s="14">
        <f t="shared" si="10"/>
        <v>0.9874215238</v>
      </c>
      <c r="AA430" s="27">
        <f t="shared" si="11"/>
        <v>-6</v>
      </c>
      <c r="AB430" s="15">
        <f t="shared" si="122"/>
        <v>1</v>
      </c>
      <c r="AC430" s="15" t="str">
        <f t="shared" si="40"/>
        <v/>
      </c>
      <c r="AD430" s="15" t="str">
        <f t="shared" si="41"/>
        <v>$RD-225-8D721$: -6,</v>
      </c>
      <c r="AE430" s="15" t="str">
        <f t="shared" si="115"/>
        <v/>
      </c>
      <c r="AF430" s="15" t="str">
        <f t="shared" si="78"/>
        <v/>
      </c>
      <c r="AG430" s="15" t="str">
        <f t="shared" si="79"/>
        <v/>
      </c>
    </row>
    <row r="431" ht="15.75" customHeight="1">
      <c r="A431" s="16" t="s">
        <v>582</v>
      </c>
      <c r="B431" s="16" t="s">
        <v>579</v>
      </c>
      <c r="C431" s="17">
        <f t="shared" si="1"/>
        <v>-16</v>
      </c>
      <c r="D431" s="16">
        <v>1963.0</v>
      </c>
      <c r="E431" s="16"/>
      <c r="F431" s="16" t="b">
        <v>1</v>
      </c>
      <c r="G431" s="16" t="b">
        <v>0</v>
      </c>
      <c r="H431" s="16" t="b">
        <v>0</v>
      </c>
      <c r="I431" s="16" t="b">
        <v>0</v>
      </c>
      <c r="J431" s="18" t="b">
        <v>0</v>
      </c>
      <c r="K431" s="16">
        <v>576.0</v>
      </c>
      <c r="L431" s="16">
        <v>881.3</v>
      </c>
      <c r="M431" s="16">
        <v>301.4</v>
      </c>
      <c r="N431" s="16">
        <v>8.34</v>
      </c>
      <c r="O431" s="16">
        <v>0.996266</v>
      </c>
      <c r="P431" s="16">
        <v>0.996266</v>
      </c>
      <c r="Q431" s="19">
        <f t="shared" si="2"/>
        <v>156.0201208</v>
      </c>
      <c r="R431" s="20">
        <f t="shared" si="3"/>
        <v>0.42664246</v>
      </c>
      <c r="S431" s="21">
        <f t="shared" si="4"/>
        <v>4</v>
      </c>
      <c r="T431" s="17">
        <f t="shared" si="119"/>
        <v>376</v>
      </c>
      <c r="U431" s="22">
        <f>T431/vlookup(A431,Max!$A$2:$AP$700,column(Max!$AP$2),false)</f>
        <v>0.6836363636</v>
      </c>
      <c r="V431" s="17">
        <f t="shared" si="6"/>
        <v>221.2729683</v>
      </c>
      <c r="W431" s="23">
        <f t="shared" si="7"/>
        <v>1.004736128</v>
      </c>
      <c r="X431" s="23">
        <f t="shared" si="8"/>
        <v>1.662771176</v>
      </c>
      <c r="Y431" s="23">
        <f t="shared" si="9"/>
        <v>1</v>
      </c>
      <c r="Z431" s="23">
        <f t="shared" si="10"/>
        <v>1.015898424</v>
      </c>
      <c r="AA431" s="24">
        <f t="shared" si="11"/>
        <v>-16</v>
      </c>
      <c r="AB431" s="26">
        <f t="shared" si="122"/>
        <v>1</v>
      </c>
      <c r="AC431" s="26" t="str">
        <f t="shared" si="40"/>
        <v/>
      </c>
      <c r="AD431" s="26" t="str">
        <f t="shared" si="41"/>
        <v>$RD-250-8D518$: -16,</v>
      </c>
      <c r="AE431" s="26" t="str">
        <f t="shared" si="115"/>
        <v/>
      </c>
      <c r="AF431" s="26" t="str">
        <f t="shared" si="78"/>
        <v/>
      </c>
      <c r="AG431" s="26" t="str">
        <f t="shared" si="79"/>
        <v/>
      </c>
    </row>
    <row r="432" ht="15.75" customHeight="1">
      <c r="A432" s="7" t="s">
        <v>583</v>
      </c>
      <c r="B432" s="7" t="s">
        <v>579</v>
      </c>
      <c r="C432" s="8">
        <f t="shared" si="1"/>
        <v>-9</v>
      </c>
      <c r="D432" s="7">
        <v>1968.0</v>
      </c>
      <c r="E432" s="7"/>
      <c r="F432" s="7" t="b">
        <v>1</v>
      </c>
      <c r="G432" s="7" t="b">
        <v>0</v>
      </c>
      <c r="H432" s="7" t="b">
        <v>0</v>
      </c>
      <c r="I432" s="7" t="b">
        <v>0</v>
      </c>
      <c r="J432" s="9" t="b">
        <v>0</v>
      </c>
      <c r="K432" s="7">
        <v>655.0</v>
      </c>
      <c r="L432" s="7">
        <v>872.3</v>
      </c>
      <c r="M432" s="7">
        <v>291.3</v>
      </c>
      <c r="N432" s="7">
        <v>7.35</v>
      </c>
      <c r="O432" s="7">
        <v>0.998934</v>
      </c>
      <c r="P432" s="7">
        <v>0.998934</v>
      </c>
      <c r="Q432" s="10">
        <f t="shared" si="2"/>
        <v>135.8012901</v>
      </c>
      <c r="R432" s="11">
        <f t="shared" si="3"/>
        <v>0.4390691276</v>
      </c>
      <c r="S432" s="12">
        <f t="shared" si="4"/>
        <v>4</v>
      </c>
      <c r="T432" s="8">
        <f t="shared" si="119"/>
        <v>383</v>
      </c>
      <c r="U432" s="13">
        <f>T432/vlookup(A432,Max!$A$2:$AP$700,column(Max!$AP$2),false)</f>
        <v>0.9119047619</v>
      </c>
      <c r="V432" s="8">
        <f t="shared" si="6"/>
        <v>239.4394962</v>
      </c>
      <c r="W432" s="14">
        <f t="shared" si="7"/>
        <v>0.9759384465</v>
      </c>
      <c r="X432" s="14">
        <f t="shared" si="8"/>
        <v>1.600917212</v>
      </c>
      <c r="Y432" s="14">
        <f t="shared" si="9"/>
        <v>1</v>
      </c>
      <c r="Z432" s="14">
        <f t="shared" si="10"/>
        <v>1.02271353</v>
      </c>
      <c r="AA432" s="27">
        <f t="shared" si="11"/>
        <v>-9</v>
      </c>
      <c r="AB432" s="15">
        <f t="shared" si="122"/>
        <v>1</v>
      </c>
      <c r="AC432" s="15" t="str">
        <f t="shared" si="40"/>
        <v/>
      </c>
      <c r="AD432" s="15" t="str">
        <f t="shared" si="41"/>
        <v>$RD-215M-8D613$: -9,</v>
      </c>
      <c r="AE432" s="15" t="str">
        <f t="shared" si="115"/>
        <v/>
      </c>
      <c r="AF432" s="15" t="str">
        <f t="shared" si="78"/>
        <v/>
      </c>
      <c r="AG432" s="15" t="str">
        <f t="shared" si="79"/>
        <v/>
      </c>
    </row>
    <row r="433" ht="15.75" customHeight="1">
      <c r="A433" s="16" t="s">
        <v>584</v>
      </c>
      <c r="B433" s="16" t="s">
        <v>579</v>
      </c>
      <c r="C433" s="17">
        <f t="shared" si="1"/>
        <v>-14</v>
      </c>
      <c r="D433" s="16">
        <v>1970.0</v>
      </c>
      <c r="E433" s="16"/>
      <c r="F433" s="16" t="b">
        <v>1</v>
      </c>
      <c r="G433" s="16" t="b">
        <v>0</v>
      </c>
      <c r="H433" s="16" t="b">
        <v>0</v>
      </c>
      <c r="I433" s="16" t="b">
        <v>0</v>
      </c>
      <c r="J433" s="18" t="b">
        <v>0</v>
      </c>
      <c r="K433" s="16">
        <v>576.0</v>
      </c>
      <c r="L433" s="16">
        <v>882.6</v>
      </c>
      <c r="M433" s="16">
        <v>301.4</v>
      </c>
      <c r="N433" s="16">
        <v>8.34</v>
      </c>
      <c r="O433" s="16">
        <v>0.999046</v>
      </c>
      <c r="P433" s="16">
        <v>0.999046</v>
      </c>
      <c r="Q433" s="19">
        <f t="shared" si="2"/>
        <v>156.2502651</v>
      </c>
      <c r="R433" s="20">
        <f t="shared" si="3"/>
        <v>0.4282800816</v>
      </c>
      <c r="S433" s="21">
        <f t="shared" si="4"/>
        <v>4</v>
      </c>
      <c r="T433" s="17">
        <f t="shared" si="119"/>
        <v>378</v>
      </c>
      <c r="U433" s="22">
        <f>T433/vlookup(A433,Max!$A$2:$AP$700,column(Max!$AP$2),false)</f>
        <v>0.9</v>
      </c>
      <c r="V433" s="17">
        <f t="shared" si="6"/>
        <v>221.2729683</v>
      </c>
      <c r="W433" s="23">
        <f t="shared" si="7"/>
        <v>1.004736128</v>
      </c>
      <c r="X433" s="23">
        <f t="shared" si="8"/>
        <v>1.662771176</v>
      </c>
      <c r="Y433" s="23">
        <f t="shared" si="9"/>
        <v>1</v>
      </c>
      <c r="Z433" s="23">
        <f t="shared" si="10"/>
        <v>1.023000219</v>
      </c>
      <c r="AA433" s="24">
        <f t="shared" si="11"/>
        <v>-14</v>
      </c>
      <c r="AB433" s="26">
        <f t="shared" si="122"/>
        <v>1</v>
      </c>
      <c r="AC433" s="26" t="str">
        <f t="shared" si="40"/>
        <v/>
      </c>
      <c r="AD433" s="26" t="str">
        <f t="shared" si="41"/>
        <v>$RD-250PM$: -14,</v>
      </c>
      <c r="AE433" s="26" t="str">
        <f t="shared" si="115"/>
        <v/>
      </c>
      <c r="AF433" s="26" t="str">
        <f t="shared" si="78"/>
        <v/>
      </c>
      <c r="AG433" s="26" t="str">
        <f t="shared" si="79"/>
        <v/>
      </c>
    </row>
    <row r="434" ht="15.75" customHeight="1">
      <c r="A434" s="7" t="s">
        <v>585</v>
      </c>
      <c r="B434" s="7" t="s">
        <v>586</v>
      </c>
      <c r="C434" s="8">
        <f t="shared" si="1"/>
        <v>367</v>
      </c>
      <c r="D434" s="7">
        <v>1961.0</v>
      </c>
      <c r="E434" s="7"/>
      <c r="F434" s="7" t="b">
        <v>1</v>
      </c>
      <c r="G434" s="7" t="b">
        <v>0</v>
      </c>
      <c r="H434" s="7" t="b">
        <v>1</v>
      </c>
      <c r="I434" s="7" t="b">
        <v>0</v>
      </c>
      <c r="J434" s="9" t="b">
        <v>0</v>
      </c>
      <c r="K434" s="7">
        <v>760.0</v>
      </c>
      <c r="L434" s="7">
        <v>882.6</v>
      </c>
      <c r="M434" s="7">
        <v>293.0</v>
      </c>
      <c r="N434" s="7">
        <v>7.35</v>
      </c>
      <c r="O434" s="7">
        <v>0.99717</v>
      </c>
      <c r="P434" s="7">
        <v>0.993396</v>
      </c>
      <c r="Q434" s="10">
        <f t="shared" si="2"/>
        <v>118.4212535</v>
      </c>
      <c r="R434" s="11">
        <f t="shared" si="3"/>
        <v>0.4158169046</v>
      </c>
      <c r="S434" s="12">
        <f t="shared" si="4"/>
        <v>4</v>
      </c>
      <c r="T434" s="8">
        <f t="shared" si="119"/>
        <v>367</v>
      </c>
      <c r="U434" s="13">
        <f>T434/vlookup(A434,Max!$A$2:$AP$700,column(Max!$AP$2),false)</f>
        <v>0.8155555556</v>
      </c>
      <c r="V434" s="8">
        <f t="shared" si="6"/>
        <v>262.3523461</v>
      </c>
      <c r="W434" s="14">
        <f t="shared" si="7"/>
        <v>0.9803330393</v>
      </c>
      <c r="X434" s="14">
        <f t="shared" si="8"/>
        <v>1.423235131</v>
      </c>
      <c r="Y434" s="14">
        <f t="shared" si="9"/>
        <v>1</v>
      </c>
      <c r="Z434" s="14">
        <f t="shared" si="10"/>
        <v>1.001477142</v>
      </c>
      <c r="AA434" s="15">
        <f t="shared" si="11"/>
        <v>0</v>
      </c>
      <c r="AB434" s="29">
        <v>0.0</v>
      </c>
      <c r="AC434" s="15" t="str">
        <f t="shared" si="40"/>
        <v>{
$name$: $RD-219-8D713$,
$config$: $RD219$,
$cost$: 367
},</v>
      </c>
      <c r="AD434" s="15" t="str">
        <f t="shared" si="41"/>
        <v/>
      </c>
      <c r="AE434" s="15" t="str">
        <f t="shared" si="115"/>
        <v/>
      </c>
      <c r="AF434" s="15" t="str">
        <f t="shared" si="78"/>
        <v/>
      </c>
      <c r="AG434" s="15" t="str">
        <f t="shared" si="79"/>
        <v/>
      </c>
    </row>
    <row r="435" ht="15.75" customHeight="1">
      <c r="A435" s="16" t="s">
        <v>587</v>
      </c>
      <c r="B435" s="16" t="s">
        <v>586</v>
      </c>
      <c r="C435" s="17">
        <f t="shared" si="1"/>
        <v>59</v>
      </c>
      <c r="D435" s="16">
        <v>1963.0</v>
      </c>
      <c r="E435" s="16"/>
      <c r="F435" s="16" t="b">
        <v>1</v>
      </c>
      <c r="G435" s="16" t="b">
        <v>0</v>
      </c>
      <c r="H435" s="16" t="b">
        <v>1</v>
      </c>
      <c r="I435" s="16" t="b">
        <v>0</v>
      </c>
      <c r="J435" s="18" t="b">
        <v>0</v>
      </c>
      <c r="K435" s="16">
        <v>715.0</v>
      </c>
      <c r="L435" s="16">
        <v>940.8</v>
      </c>
      <c r="M435" s="16">
        <v>317.6</v>
      </c>
      <c r="N435" s="16">
        <v>8.92</v>
      </c>
      <c r="O435" s="16">
        <v>0.998617</v>
      </c>
      <c r="P435" s="16">
        <v>0.993849</v>
      </c>
      <c r="Q435" s="19">
        <f t="shared" si="2"/>
        <v>134.1746868</v>
      </c>
      <c r="R435" s="20">
        <f t="shared" si="3"/>
        <v>0.4528061224</v>
      </c>
      <c r="S435" s="21">
        <f t="shared" si="4"/>
        <v>4</v>
      </c>
      <c r="T435" s="17">
        <f t="shared" si="119"/>
        <v>426</v>
      </c>
      <c r="U435" s="22">
        <f>T435/vlookup(A435,Max!$A$2:$AP$700,column(Max!$AP$2),false)</f>
        <v>0.7220338983</v>
      </c>
      <c r="V435" s="17">
        <f t="shared" si="6"/>
        <v>252.6888037</v>
      </c>
      <c r="W435" s="23">
        <f t="shared" si="7"/>
        <v>1.128297334</v>
      </c>
      <c r="X435" s="23">
        <f t="shared" si="8"/>
        <v>1.48659989</v>
      </c>
      <c r="Y435" s="23">
        <f t="shared" si="9"/>
        <v>1</v>
      </c>
      <c r="Z435" s="23">
        <f t="shared" si="10"/>
        <v>1.006260474</v>
      </c>
      <c r="AA435" s="24">
        <f t="shared" si="11"/>
        <v>59</v>
      </c>
      <c r="AB435" s="26">
        <f t="shared" ref="AB435:AB436" si="123">if(iserror(find("$",A435)),1,2)</f>
        <v>1</v>
      </c>
      <c r="AC435" s="26" t="str">
        <f t="shared" si="40"/>
        <v/>
      </c>
      <c r="AD435" s="26" t="str">
        <f t="shared" si="41"/>
        <v>$RD-252-8D724$: 59,</v>
      </c>
      <c r="AE435" s="26" t="str">
        <f t="shared" si="115"/>
        <v/>
      </c>
      <c r="AF435" s="26" t="str">
        <f t="shared" si="78"/>
        <v/>
      </c>
      <c r="AG435" s="26" t="str">
        <f t="shared" si="79"/>
        <v/>
      </c>
    </row>
    <row r="436" ht="15.75" customHeight="1">
      <c r="A436" s="7" t="s">
        <v>588</v>
      </c>
      <c r="B436" s="7" t="s">
        <v>586</v>
      </c>
      <c r="C436" s="8">
        <f t="shared" si="1"/>
        <v>71</v>
      </c>
      <c r="D436" s="7">
        <v>1970.0</v>
      </c>
      <c r="E436" s="7"/>
      <c r="F436" s="7" t="b">
        <v>1</v>
      </c>
      <c r="G436" s="7" t="b">
        <v>0</v>
      </c>
      <c r="H436" s="7" t="b">
        <v>1</v>
      </c>
      <c r="I436" s="7" t="b">
        <v>0</v>
      </c>
      <c r="J436" s="9" t="b">
        <v>0</v>
      </c>
      <c r="K436" s="7">
        <v>728.0</v>
      </c>
      <c r="L436" s="7">
        <v>941.4</v>
      </c>
      <c r="M436" s="7">
        <v>318.0</v>
      </c>
      <c r="N436" s="7">
        <v>8.92</v>
      </c>
      <c r="O436" s="7">
        <v>0.99877</v>
      </c>
      <c r="P436" s="7">
        <v>0.99877</v>
      </c>
      <c r="Q436" s="10">
        <f t="shared" si="2"/>
        <v>131.8627528</v>
      </c>
      <c r="R436" s="11">
        <f t="shared" si="3"/>
        <v>0.4652644997</v>
      </c>
      <c r="S436" s="12">
        <f t="shared" si="4"/>
        <v>4</v>
      </c>
      <c r="T436" s="8">
        <f t="shared" si="119"/>
        <v>438</v>
      </c>
      <c r="U436" s="13">
        <f>T436/vlookup(A436,Max!$A$2:$AP$700,column(Max!$AP$2),false)</f>
        <v>0.9954545455</v>
      </c>
      <c r="V436" s="8">
        <f t="shared" si="6"/>
        <v>255.503439</v>
      </c>
      <c r="W436" s="14">
        <f t="shared" si="7"/>
        <v>1.131484045</v>
      </c>
      <c r="X436" s="14">
        <f t="shared" si="8"/>
        <v>1.48659989</v>
      </c>
      <c r="Y436" s="14">
        <f t="shared" si="9"/>
        <v>1</v>
      </c>
      <c r="Z436" s="14">
        <f t="shared" si="10"/>
        <v>1.019153167</v>
      </c>
      <c r="AA436" s="27">
        <f t="shared" si="11"/>
        <v>71</v>
      </c>
      <c r="AB436" s="15">
        <f t="shared" si="123"/>
        <v>1</v>
      </c>
      <c r="AC436" s="15" t="str">
        <f t="shared" si="40"/>
        <v/>
      </c>
      <c r="AD436" s="15" t="str">
        <f t="shared" si="41"/>
        <v>$RD-262-11D26$: 71,</v>
      </c>
      <c r="AE436" s="15" t="str">
        <f t="shared" si="115"/>
        <v/>
      </c>
      <c r="AF436" s="15" t="str">
        <f t="shared" si="78"/>
        <v/>
      </c>
      <c r="AG436" s="15" t="str">
        <f t="shared" si="79"/>
        <v/>
      </c>
    </row>
    <row r="437" ht="15.75" customHeight="1">
      <c r="A437" s="16" t="s">
        <v>589</v>
      </c>
      <c r="B437" s="16" t="s">
        <v>590</v>
      </c>
      <c r="C437" s="17">
        <f t="shared" si="1"/>
        <v>542</v>
      </c>
      <c r="D437" s="16">
        <v>1964.0</v>
      </c>
      <c r="E437" s="16"/>
      <c r="F437" s="16" t="b">
        <v>1</v>
      </c>
      <c r="G437" s="16" t="b">
        <v>0</v>
      </c>
      <c r="H437" s="16" t="b">
        <v>0</v>
      </c>
      <c r="I437" s="16" t="b">
        <v>0</v>
      </c>
      <c r="J437" s="18" t="b">
        <v>0</v>
      </c>
      <c r="K437" s="16">
        <v>760.0</v>
      </c>
      <c r="L437" s="16">
        <v>1074.0</v>
      </c>
      <c r="M437" s="16">
        <v>306.0</v>
      </c>
      <c r="N437" s="16">
        <v>14.7</v>
      </c>
      <c r="O437" s="16">
        <v>0.997966</v>
      </c>
      <c r="P437" s="16">
        <v>0.997966</v>
      </c>
      <c r="Q437" s="19">
        <f t="shared" si="2"/>
        <v>144.1020013</v>
      </c>
      <c r="R437" s="20">
        <f t="shared" si="3"/>
        <v>0.5046554935</v>
      </c>
      <c r="S437" s="21">
        <f t="shared" si="4"/>
        <v>4</v>
      </c>
      <c r="T437" s="17">
        <f t="shared" si="119"/>
        <v>542</v>
      </c>
      <c r="U437" s="22">
        <f>T437/vlookup(A437,Max!$A$2:$AP$700,column(Max!$AP$2),false)</f>
        <v>0.8603174603</v>
      </c>
      <c r="V437" s="17">
        <f t="shared" si="6"/>
        <v>262.3523461</v>
      </c>
      <c r="W437" s="23">
        <f t="shared" si="7"/>
        <v>1.02792664</v>
      </c>
      <c r="X437" s="23">
        <f t="shared" si="8"/>
        <v>1.970960282</v>
      </c>
      <c r="Y437" s="23">
        <f t="shared" si="9"/>
        <v>1</v>
      </c>
      <c r="Z437" s="23">
        <f t="shared" si="10"/>
        <v>1.020237722</v>
      </c>
      <c r="AA437" s="26">
        <f t="shared" si="11"/>
        <v>0</v>
      </c>
      <c r="AB437" s="25">
        <v>0.0</v>
      </c>
      <c r="AC437" s="26" t="str">
        <f t="shared" si="40"/>
        <v>{
$name$: $RD-220$,
$config$: $RD220$,
$cost$: 542
},</v>
      </c>
      <c r="AD437" s="26" t="str">
        <f t="shared" si="41"/>
        <v/>
      </c>
      <c r="AE437" s="26" t="str">
        <f t="shared" si="115"/>
        <v/>
      </c>
      <c r="AF437" s="26" t="str">
        <f t="shared" si="78"/>
        <v/>
      </c>
      <c r="AG437" s="26" t="str">
        <f t="shared" si="79"/>
        <v/>
      </c>
    </row>
    <row r="438" ht="15.75" customHeight="1">
      <c r="A438" s="7" t="s">
        <v>591</v>
      </c>
      <c r="B438" s="7" t="s">
        <v>590</v>
      </c>
      <c r="C438" s="8">
        <f t="shared" si="1"/>
        <v>183</v>
      </c>
      <c r="D438" s="7"/>
      <c r="E438" s="7"/>
      <c r="F438" s="7" t="b">
        <v>1</v>
      </c>
      <c r="G438" s="7" t="b">
        <v>0</v>
      </c>
      <c r="H438" s="7" t="b">
        <v>0</v>
      </c>
      <c r="I438" s="7" t="b">
        <v>0</v>
      </c>
      <c r="J438" s="9" t="b">
        <v>0</v>
      </c>
      <c r="K438" s="7">
        <v>790.0</v>
      </c>
      <c r="L438" s="7">
        <v>1088.5</v>
      </c>
      <c r="M438" s="7">
        <v>344.0</v>
      </c>
      <c r="N438" s="7">
        <v>14.7</v>
      </c>
      <c r="O438" s="7">
        <v>0.997966</v>
      </c>
      <c r="P438" s="7">
        <v>0.997966</v>
      </c>
      <c r="Q438" s="10">
        <f t="shared" si="2"/>
        <v>140.5014044</v>
      </c>
      <c r="R438" s="11">
        <f t="shared" si="3"/>
        <v>0.666054203</v>
      </c>
      <c r="S438" s="12">
        <f t="shared" si="4"/>
        <v>4</v>
      </c>
      <c r="T438" s="8">
        <f t="shared" si="119"/>
        <v>725</v>
      </c>
      <c r="U438" s="13">
        <f>T438/vlookup(A438,Max!$A$2:$AP$700,column(Max!$AP$2),false)</f>
        <v>1.858974359</v>
      </c>
      <c r="V438" s="8">
        <f t="shared" si="6"/>
        <v>268.6752425</v>
      </c>
      <c r="W438" s="14">
        <f t="shared" si="7"/>
        <v>1.368703205</v>
      </c>
      <c r="X438" s="14">
        <f t="shared" si="8"/>
        <v>1.970960282</v>
      </c>
      <c r="Y438" s="14">
        <f t="shared" si="9"/>
        <v>1</v>
      </c>
      <c r="Z438" s="14">
        <f t="shared" si="10"/>
        <v>1</v>
      </c>
      <c r="AA438" s="27">
        <f t="shared" si="11"/>
        <v>183</v>
      </c>
      <c r="AB438" s="15">
        <f>if(iserror(find("$",A438)),1,2)</f>
        <v>1</v>
      </c>
      <c r="AC438" s="15" t="str">
        <f t="shared" si="40"/>
        <v/>
      </c>
      <c r="AD438" s="15" t="str">
        <f t="shared" si="41"/>
        <v>$RD-112$: 183,</v>
      </c>
      <c r="AE438" s="15" t="str">
        <f t="shared" si="115"/>
        <v/>
      </c>
      <c r="AF438" s="15" t="str">
        <f t="shared" si="78"/>
        <v/>
      </c>
      <c r="AG438" s="15" t="str">
        <f t="shared" si="79"/>
        <v/>
      </c>
    </row>
    <row r="439" ht="15.75" customHeight="1">
      <c r="A439" s="16" t="s">
        <v>592</v>
      </c>
      <c r="B439" s="16" t="s">
        <v>593</v>
      </c>
      <c r="C439" s="17">
        <f t="shared" si="1"/>
        <v>738</v>
      </c>
      <c r="D439" s="16">
        <v>1964.0</v>
      </c>
      <c r="E439" s="16"/>
      <c r="F439" s="16" t="b">
        <v>1</v>
      </c>
      <c r="G439" s="16" t="b">
        <v>0</v>
      </c>
      <c r="H439" s="16" t="b">
        <v>0</v>
      </c>
      <c r="I439" s="16" t="b">
        <v>0</v>
      </c>
      <c r="J439" s="18" t="b">
        <v>0</v>
      </c>
      <c r="K439" s="16">
        <v>1070.0</v>
      </c>
      <c r="L439" s="16">
        <v>1117.9</v>
      </c>
      <c r="M439" s="16">
        <v>318.0</v>
      </c>
      <c r="N439" s="16">
        <v>14.7</v>
      </c>
      <c r="O439" s="16">
        <v>0.998397</v>
      </c>
      <c r="P439" s="16">
        <v>0.998397</v>
      </c>
      <c r="Q439" s="19">
        <f t="shared" si="2"/>
        <v>106.5365188</v>
      </c>
      <c r="R439" s="20">
        <f t="shared" si="3"/>
        <v>0.6601663834</v>
      </c>
      <c r="S439" s="21">
        <f t="shared" si="4"/>
        <v>4</v>
      </c>
      <c r="T439" s="17">
        <f t="shared" si="119"/>
        <v>738</v>
      </c>
      <c r="U439" s="22">
        <f>T439/vlookup(A439,Max!$A$2:$AP$700,column(Max!$AP$2),false)</f>
        <v>1.010958904</v>
      </c>
      <c r="V439" s="17">
        <f t="shared" si="6"/>
        <v>323.8870786</v>
      </c>
      <c r="W439" s="23">
        <f t="shared" si="7"/>
        <v>1.131484045</v>
      </c>
      <c r="X439" s="23">
        <f t="shared" si="8"/>
        <v>1.970960282</v>
      </c>
      <c r="Y439" s="23">
        <f t="shared" si="9"/>
        <v>1</v>
      </c>
      <c r="Z439" s="23">
        <f t="shared" si="10"/>
        <v>1.021339626</v>
      </c>
      <c r="AA439" s="26">
        <f t="shared" si="11"/>
        <v>0</v>
      </c>
      <c r="AB439" s="25">
        <v>0.0</v>
      </c>
      <c r="AC439" s="26" t="str">
        <f t="shared" si="40"/>
        <v>{
$name$: $RD-221$,
$config$: $RD221$,
$cost$: 738
},</v>
      </c>
      <c r="AD439" s="26" t="str">
        <f t="shared" si="41"/>
        <v/>
      </c>
      <c r="AE439" s="26" t="str">
        <f t="shared" si="115"/>
        <v/>
      </c>
      <c r="AF439" s="26" t="str">
        <f t="shared" si="78"/>
        <v/>
      </c>
      <c r="AG439" s="26" t="str">
        <f t="shared" si="79"/>
        <v/>
      </c>
    </row>
    <row r="440" ht="15.75" customHeight="1">
      <c r="A440" s="7" t="s">
        <v>594</v>
      </c>
      <c r="B440" s="7" t="s">
        <v>593</v>
      </c>
      <c r="C440" s="8">
        <f t="shared" si="1"/>
        <v>268</v>
      </c>
      <c r="D440" s="7"/>
      <c r="E440" s="7"/>
      <c r="F440" s="7" t="b">
        <v>1</v>
      </c>
      <c r="G440" s="7" t="b">
        <v>0</v>
      </c>
      <c r="H440" s="7" t="b">
        <v>0</v>
      </c>
      <c r="I440" s="7" t="b">
        <v>0</v>
      </c>
      <c r="J440" s="9" t="b">
        <v>0</v>
      </c>
      <c r="K440" s="7">
        <v>1100.0</v>
      </c>
      <c r="L440" s="7">
        <v>1137.6</v>
      </c>
      <c r="M440" s="7">
        <v>360.0</v>
      </c>
      <c r="N440" s="7">
        <v>14.7</v>
      </c>
      <c r="O440" s="7">
        <v>0.998397</v>
      </c>
      <c r="P440" s="7">
        <v>0.998397</v>
      </c>
      <c r="Q440" s="10">
        <f t="shared" si="2"/>
        <v>105.4571964</v>
      </c>
      <c r="R440" s="11">
        <f t="shared" si="3"/>
        <v>0.8843178622</v>
      </c>
      <c r="S440" s="12">
        <f t="shared" si="4"/>
        <v>4</v>
      </c>
      <c r="T440" s="8">
        <f t="shared" si="119"/>
        <v>1006</v>
      </c>
      <c r="U440" s="13">
        <f>T440/vlookup(A440,Max!$A$2:$AP$700,column(Max!$AP$2),false)</f>
        <v>2.053061224</v>
      </c>
      <c r="V440" s="8">
        <f t="shared" si="6"/>
        <v>329.4591778</v>
      </c>
      <c r="W440" s="14">
        <f t="shared" si="7"/>
        <v>1.54894141</v>
      </c>
      <c r="X440" s="14">
        <f t="shared" si="8"/>
        <v>1.970960282</v>
      </c>
      <c r="Y440" s="14">
        <f t="shared" si="9"/>
        <v>1</v>
      </c>
      <c r="Z440" s="14">
        <f t="shared" si="10"/>
        <v>1</v>
      </c>
      <c r="AA440" s="27">
        <f t="shared" si="11"/>
        <v>268</v>
      </c>
      <c r="AB440" s="15">
        <f>if(iserror(find("$",A440)),1,2)</f>
        <v>1</v>
      </c>
      <c r="AC440" s="15" t="str">
        <f t="shared" si="40"/>
        <v/>
      </c>
      <c r="AD440" s="15" t="str">
        <f t="shared" si="41"/>
        <v>$RD-113$: 268,</v>
      </c>
      <c r="AE440" s="15" t="str">
        <f t="shared" si="115"/>
        <v/>
      </c>
      <c r="AF440" s="15" t="str">
        <f t="shared" si="78"/>
        <v/>
      </c>
      <c r="AG440" s="15" t="str">
        <f t="shared" si="79"/>
        <v/>
      </c>
    </row>
    <row r="441" ht="15.75" customHeight="1">
      <c r="A441" s="16" t="s">
        <v>595</v>
      </c>
      <c r="B441" s="16" t="s">
        <v>596</v>
      </c>
      <c r="C441" s="17">
        <f t="shared" si="1"/>
        <v>728</v>
      </c>
      <c r="D441" s="16">
        <v>1965.0</v>
      </c>
      <c r="E441" s="16"/>
      <c r="F441" s="16" t="b">
        <v>1</v>
      </c>
      <c r="G441" s="16" t="b">
        <v>0</v>
      </c>
      <c r="H441" s="16" t="b">
        <v>0</v>
      </c>
      <c r="I441" s="16" t="b">
        <v>0</v>
      </c>
      <c r="J441" s="18" t="b">
        <v>0</v>
      </c>
      <c r="K441" s="16">
        <v>1080.0</v>
      </c>
      <c r="L441" s="16">
        <v>1545.0</v>
      </c>
      <c r="M441" s="16">
        <v>315.5</v>
      </c>
      <c r="N441" s="16">
        <v>14.7</v>
      </c>
      <c r="O441" s="16">
        <v>0.997966</v>
      </c>
      <c r="P441" s="16">
        <v>0.997966</v>
      </c>
      <c r="Q441" s="19">
        <f t="shared" si="2"/>
        <v>145.8760689</v>
      </c>
      <c r="R441" s="20">
        <f t="shared" si="3"/>
        <v>0.471197411</v>
      </c>
      <c r="S441" s="21">
        <f t="shared" si="4"/>
        <v>4</v>
      </c>
      <c r="T441" s="17">
        <f t="shared" si="119"/>
        <v>728</v>
      </c>
      <c r="U441" s="22">
        <f>T441/vlookup(A441,Max!$A$2:$AP$700,column(Max!$AP$2),false)</f>
        <v>0.6933333333</v>
      </c>
      <c r="V441" s="17">
        <f t="shared" si="6"/>
        <v>325.7508777</v>
      </c>
      <c r="W441" s="23">
        <f t="shared" si="7"/>
        <v>1.111775132</v>
      </c>
      <c r="X441" s="23">
        <f t="shared" si="8"/>
        <v>1.970960282</v>
      </c>
      <c r="Y441" s="23">
        <f t="shared" si="9"/>
        <v>1</v>
      </c>
      <c r="Z441" s="23">
        <f t="shared" si="10"/>
        <v>1.020237722</v>
      </c>
      <c r="AA441" s="26">
        <f t="shared" si="11"/>
        <v>0</v>
      </c>
      <c r="AB441" s="25">
        <v>0.0</v>
      </c>
      <c r="AC441" s="26" t="str">
        <f t="shared" si="40"/>
        <v>{
$name$: $RD-253$,
$config$: $RD253$,
$cost$: 728
},</v>
      </c>
      <c r="AD441" s="26" t="str">
        <f t="shared" si="41"/>
        <v/>
      </c>
      <c r="AE441" s="26" t="str">
        <f t="shared" si="115"/>
        <v/>
      </c>
      <c r="AF441" s="26" t="str">
        <f t="shared" si="78"/>
        <v/>
      </c>
      <c r="AG441" s="26" t="str">
        <f t="shared" si="79"/>
        <v/>
      </c>
    </row>
    <row r="442" ht="15.75" customHeight="1">
      <c r="A442" s="7" t="s">
        <v>597</v>
      </c>
      <c r="B442" s="7" t="s">
        <v>596</v>
      </c>
      <c r="C442" s="8">
        <f t="shared" si="1"/>
        <v>4</v>
      </c>
      <c r="D442" s="7">
        <v>1967.0</v>
      </c>
      <c r="E442" s="7"/>
      <c r="F442" s="7" t="b">
        <v>1</v>
      </c>
      <c r="G442" s="7" t="b">
        <v>0</v>
      </c>
      <c r="H442" s="7" t="b">
        <v>0</v>
      </c>
      <c r="I442" s="7" t="b">
        <v>0</v>
      </c>
      <c r="J442" s="9" t="b">
        <v>0</v>
      </c>
      <c r="K442" s="7">
        <v>1080.0</v>
      </c>
      <c r="L442" s="7">
        <v>1635.0</v>
      </c>
      <c r="M442" s="7">
        <v>316.0</v>
      </c>
      <c r="N442" s="7">
        <v>14.71</v>
      </c>
      <c r="O442" s="7">
        <v>0.998397</v>
      </c>
      <c r="P442" s="7">
        <v>0.998397</v>
      </c>
      <c r="Q442" s="10">
        <f t="shared" si="2"/>
        <v>154.373704</v>
      </c>
      <c r="R442" s="11">
        <f t="shared" si="3"/>
        <v>0.447706422</v>
      </c>
      <c r="S442" s="12">
        <f t="shared" si="4"/>
        <v>4</v>
      </c>
      <c r="T442" s="8">
        <f t="shared" si="119"/>
        <v>732</v>
      </c>
      <c r="U442" s="13">
        <f>T442/vlookup(A442,Max!$A$2:$AP$700,column(Max!$AP$2),false)</f>
        <v>0.6971428571</v>
      </c>
      <c r="V442" s="8">
        <f t="shared" si="6"/>
        <v>325.7508777</v>
      </c>
      <c r="W442" s="14">
        <f t="shared" si="7"/>
        <v>1.115677507</v>
      </c>
      <c r="X442" s="14">
        <f t="shared" si="8"/>
        <v>1.971362423</v>
      </c>
      <c r="Y442" s="14">
        <f t="shared" si="9"/>
        <v>1</v>
      </c>
      <c r="Z442" s="14">
        <f t="shared" si="10"/>
        <v>1.021339626</v>
      </c>
      <c r="AA442" s="27">
        <f t="shared" si="11"/>
        <v>4</v>
      </c>
      <c r="AB442" s="15">
        <f t="shared" ref="AB442:AB448" si="124">if(iserror(find("$",A442)),1,2)</f>
        <v>1</v>
      </c>
      <c r="AC442" s="15" t="str">
        <f t="shared" si="40"/>
        <v/>
      </c>
      <c r="AD442" s="15" t="str">
        <f t="shared" si="41"/>
        <v>$RD-253-Mk2$: 4,</v>
      </c>
      <c r="AE442" s="15" t="str">
        <f t="shared" si="115"/>
        <v/>
      </c>
      <c r="AF442" s="15" t="str">
        <f t="shared" si="78"/>
        <v/>
      </c>
      <c r="AG442" s="15" t="str">
        <f t="shared" si="79"/>
        <v/>
      </c>
    </row>
    <row r="443" ht="15.75" customHeight="1">
      <c r="A443" s="16" t="s">
        <v>598</v>
      </c>
      <c r="B443" s="16" t="s">
        <v>596</v>
      </c>
      <c r="C443" s="17">
        <f t="shared" si="1"/>
        <v>5</v>
      </c>
      <c r="D443" s="16">
        <v>1977.0</v>
      </c>
      <c r="E443" s="16"/>
      <c r="F443" s="16" t="b">
        <v>1</v>
      </c>
      <c r="G443" s="16" t="b">
        <v>0</v>
      </c>
      <c r="H443" s="16" t="b">
        <v>0</v>
      </c>
      <c r="I443" s="16" t="b">
        <v>0</v>
      </c>
      <c r="J443" s="18" t="b">
        <v>0</v>
      </c>
      <c r="K443" s="16">
        <v>1080.0</v>
      </c>
      <c r="L443" s="16">
        <v>1698.0</v>
      </c>
      <c r="M443" s="16">
        <v>316.0</v>
      </c>
      <c r="N443" s="16">
        <v>14.71</v>
      </c>
      <c r="O443" s="16">
        <v>0.999251</v>
      </c>
      <c r="P443" s="16">
        <v>0.999251</v>
      </c>
      <c r="Q443" s="19">
        <f t="shared" si="2"/>
        <v>160.3220486</v>
      </c>
      <c r="R443" s="20">
        <f t="shared" si="3"/>
        <v>0.4316843345</v>
      </c>
      <c r="S443" s="21">
        <f t="shared" si="4"/>
        <v>4</v>
      </c>
      <c r="T443" s="17">
        <f t="shared" si="119"/>
        <v>733</v>
      </c>
      <c r="U443" s="22">
        <f>T443/vlookup(A443,Max!$A$2:$AP$700,column(Max!$AP$2),false)</f>
        <v>0.9278481013</v>
      </c>
      <c r="V443" s="17">
        <f t="shared" si="6"/>
        <v>325.7508777</v>
      </c>
      <c r="W443" s="23">
        <f t="shared" si="7"/>
        <v>1.115677507</v>
      </c>
      <c r="X443" s="23">
        <f t="shared" si="8"/>
        <v>1.971362423</v>
      </c>
      <c r="Y443" s="23">
        <f t="shared" si="9"/>
        <v>1</v>
      </c>
      <c r="Z443" s="23">
        <f t="shared" si="10"/>
        <v>1.023525088</v>
      </c>
      <c r="AA443" s="24">
        <f t="shared" si="11"/>
        <v>5</v>
      </c>
      <c r="AB443" s="26">
        <f t="shared" si="124"/>
        <v>1</v>
      </c>
      <c r="AC443" s="26" t="str">
        <f t="shared" si="40"/>
        <v/>
      </c>
      <c r="AD443" s="26" t="str">
        <f t="shared" si="41"/>
        <v>$RD-253-Mk3$: 5,</v>
      </c>
      <c r="AE443" s="26" t="str">
        <f t="shared" si="115"/>
        <v/>
      </c>
      <c r="AF443" s="26" t="str">
        <f t="shared" si="78"/>
        <v/>
      </c>
      <c r="AG443" s="26" t="str">
        <f t="shared" si="79"/>
        <v/>
      </c>
    </row>
    <row r="444" ht="15.75" customHeight="1">
      <c r="A444" s="7" t="s">
        <v>599</v>
      </c>
      <c r="B444" s="7" t="s">
        <v>596</v>
      </c>
      <c r="C444" s="8">
        <f t="shared" si="1"/>
        <v>6</v>
      </c>
      <c r="D444" s="7">
        <v>1986.0</v>
      </c>
      <c r="E444" s="7"/>
      <c r="F444" s="7" t="b">
        <v>1</v>
      </c>
      <c r="G444" s="7" t="b">
        <v>0</v>
      </c>
      <c r="H444" s="7" t="b">
        <v>0</v>
      </c>
      <c r="I444" s="7" t="b">
        <v>0</v>
      </c>
      <c r="J444" s="9" t="b">
        <v>0</v>
      </c>
      <c r="K444" s="7">
        <v>1080.0</v>
      </c>
      <c r="L444" s="7">
        <v>1748.0</v>
      </c>
      <c r="M444" s="7">
        <v>316.0</v>
      </c>
      <c r="N444" s="7">
        <v>14.71</v>
      </c>
      <c r="O444" s="7">
        <v>0.999679</v>
      </c>
      <c r="P444" s="7">
        <v>0.999679</v>
      </c>
      <c r="Q444" s="10">
        <f t="shared" si="2"/>
        <v>165.042957</v>
      </c>
      <c r="R444" s="11">
        <f t="shared" si="3"/>
        <v>0.4199084668</v>
      </c>
      <c r="S444" s="12">
        <f t="shared" si="4"/>
        <v>4</v>
      </c>
      <c r="T444" s="8">
        <f t="shared" si="119"/>
        <v>734</v>
      </c>
      <c r="U444" s="13">
        <f>T444/vlookup(A444,Max!$A$2:$AP$700,column(Max!$AP$2),false)</f>
        <v>1.033802817</v>
      </c>
      <c r="V444" s="8">
        <f t="shared" si="6"/>
        <v>325.7508777</v>
      </c>
      <c r="W444" s="14">
        <f t="shared" si="7"/>
        <v>1.115677507</v>
      </c>
      <c r="X444" s="14">
        <f t="shared" si="8"/>
        <v>1.971362423</v>
      </c>
      <c r="Y444" s="14">
        <f t="shared" si="9"/>
        <v>1</v>
      </c>
      <c r="Z444" s="14">
        <f t="shared" si="10"/>
        <v>1.024621433</v>
      </c>
      <c r="AA444" s="27">
        <f t="shared" si="11"/>
        <v>6</v>
      </c>
      <c r="AB444" s="15">
        <f t="shared" si="124"/>
        <v>1</v>
      </c>
      <c r="AC444" s="15" t="str">
        <f t="shared" si="40"/>
        <v/>
      </c>
      <c r="AD444" s="15" t="str">
        <f t="shared" si="41"/>
        <v>$RD-253-Mk4$: 6,</v>
      </c>
      <c r="AE444" s="15" t="str">
        <f t="shared" si="115"/>
        <v/>
      </c>
      <c r="AF444" s="15" t="str">
        <f t="shared" si="78"/>
        <v/>
      </c>
      <c r="AG444" s="15" t="str">
        <f t="shared" si="79"/>
        <v/>
      </c>
    </row>
    <row r="445" ht="15.75" customHeight="1">
      <c r="A445" s="16" t="s">
        <v>600</v>
      </c>
      <c r="B445" s="16" t="s">
        <v>596</v>
      </c>
      <c r="C445" s="17">
        <f t="shared" si="1"/>
        <v>15</v>
      </c>
      <c r="D445" s="16">
        <v>1993.0</v>
      </c>
      <c r="E445" s="16"/>
      <c r="F445" s="16" t="b">
        <v>1</v>
      </c>
      <c r="G445" s="16" t="b">
        <v>0</v>
      </c>
      <c r="H445" s="16" t="b">
        <v>0</v>
      </c>
      <c r="I445" s="16" t="b">
        <v>0</v>
      </c>
      <c r="J445" s="18" t="b">
        <v>0</v>
      </c>
      <c r="K445" s="16">
        <v>1070.0</v>
      </c>
      <c r="L445" s="16">
        <v>1746.0</v>
      </c>
      <c r="M445" s="16">
        <v>316.0</v>
      </c>
      <c r="N445" s="16">
        <v>15.69</v>
      </c>
      <c r="O445" s="16">
        <v>0.999289</v>
      </c>
      <c r="P445" s="16">
        <v>0.999289</v>
      </c>
      <c r="Q445" s="19">
        <f t="shared" si="2"/>
        <v>166.3948133</v>
      </c>
      <c r="R445" s="20">
        <f t="shared" si="3"/>
        <v>0.4255441008</v>
      </c>
      <c r="S445" s="21">
        <f t="shared" si="4"/>
        <v>4</v>
      </c>
      <c r="T445" s="17">
        <f t="shared" si="119"/>
        <v>743</v>
      </c>
      <c r="U445" s="22">
        <f>T445/vlookup(A445,Max!$A$2:$AP$700,column(Max!$AP$2),false)</f>
        <v>1.218032787</v>
      </c>
      <c r="V445" s="17">
        <f t="shared" si="6"/>
        <v>323.8870786</v>
      </c>
      <c r="W445" s="23">
        <f t="shared" si="7"/>
        <v>1.115677507</v>
      </c>
      <c r="X445" s="23">
        <f t="shared" si="8"/>
        <v>2.009877346</v>
      </c>
      <c r="Y445" s="23">
        <f t="shared" si="9"/>
        <v>1</v>
      </c>
      <c r="Z445" s="23">
        <f t="shared" si="10"/>
        <v>1.023622399</v>
      </c>
      <c r="AA445" s="24">
        <f t="shared" si="11"/>
        <v>15</v>
      </c>
      <c r="AB445" s="26">
        <f t="shared" si="124"/>
        <v>1</v>
      </c>
      <c r="AC445" s="26" t="str">
        <f t="shared" si="40"/>
        <v/>
      </c>
      <c r="AD445" s="26" t="str">
        <f t="shared" si="41"/>
        <v>$RD-275$: 15,</v>
      </c>
      <c r="AE445" s="26" t="str">
        <f t="shared" si="115"/>
        <v/>
      </c>
      <c r="AF445" s="26" t="str">
        <f t="shared" si="78"/>
        <v/>
      </c>
      <c r="AG445" s="26" t="str">
        <f t="shared" si="79"/>
        <v/>
      </c>
    </row>
    <row r="446" ht="15.75" customHeight="1">
      <c r="A446" s="7" t="s">
        <v>601</v>
      </c>
      <c r="B446" s="7" t="s">
        <v>596</v>
      </c>
      <c r="C446" s="8">
        <f t="shared" si="1"/>
        <v>28</v>
      </c>
      <c r="D446" s="7">
        <v>2005.0</v>
      </c>
      <c r="E446" s="7"/>
      <c r="F446" s="7" t="b">
        <v>1</v>
      </c>
      <c r="G446" s="7" t="b">
        <v>0</v>
      </c>
      <c r="H446" s="7" t="b">
        <v>0</v>
      </c>
      <c r="I446" s="7" t="b">
        <v>0</v>
      </c>
      <c r="J446" s="9" t="b">
        <v>0</v>
      </c>
      <c r="K446" s="7">
        <v>1070.0</v>
      </c>
      <c r="L446" s="7">
        <v>1830.0</v>
      </c>
      <c r="M446" s="7">
        <v>315.8</v>
      </c>
      <c r="N446" s="7">
        <v>16.6</v>
      </c>
      <c r="O446" s="7">
        <v>0.999663</v>
      </c>
      <c r="P446" s="7">
        <v>0.999663</v>
      </c>
      <c r="Q446" s="10">
        <f t="shared" si="2"/>
        <v>174.4000621</v>
      </c>
      <c r="R446" s="11">
        <f t="shared" si="3"/>
        <v>0.4131147541</v>
      </c>
      <c r="S446" s="12">
        <f t="shared" si="4"/>
        <v>4</v>
      </c>
      <c r="T446" s="8">
        <f t="shared" si="119"/>
        <v>756</v>
      </c>
      <c r="U446" s="13">
        <f>T446/vlookup(A446,Max!$A$2:$AP$700,column(Max!$AP$2),false)</f>
        <v>1.163076923</v>
      </c>
      <c r="V446" s="8">
        <f t="shared" si="6"/>
        <v>323.8870786</v>
      </c>
      <c r="W446" s="14">
        <f t="shared" si="7"/>
        <v>1.11411421</v>
      </c>
      <c r="X446" s="14">
        <f t="shared" si="8"/>
        <v>2.044161002</v>
      </c>
      <c r="Y446" s="14">
        <f t="shared" si="9"/>
        <v>1</v>
      </c>
      <c r="Z446" s="14">
        <f t="shared" si="10"/>
        <v>1.024580436</v>
      </c>
      <c r="AA446" s="27">
        <f t="shared" si="11"/>
        <v>28</v>
      </c>
      <c r="AB446" s="15">
        <f t="shared" si="124"/>
        <v>1</v>
      </c>
      <c r="AC446" s="15" t="str">
        <f t="shared" si="40"/>
        <v/>
      </c>
      <c r="AD446" s="15" t="str">
        <f t="shared" si="41"/>
        <v>$RD-275M$: 28,</v>
      </c>
      <c r="AE446" s="15" t="str">
        <f t="shared" si="115"/>
        <v/>
      </c>
      <c r="AF446" s="15" t="str">
        <f t="shared" si="78"/>
        <v/>
      </c>
      <c r="AG446" s="15" t="str">
        <f t="shared" si="79"/>
        <v/>
      </c>
    </row>
    <row r="447" ht="15.75" customHeight="1">
      <c r="A447" s="16" t="s">
        <v>602</v>
      </c>
      <c r="B447" s="16" t="s">
        <v>596</v>
      </c>
      <c r="C447" s="17">
        <f t="shared" si="1"/>
        <v>136</v>
      </c>
      <c r="D447" s="16"/>
      <c r="E447" s="16"/>
      <c r="F447" s="16" t="b">
        <v>1</v>
      </c>
      <c r="G447" s="16" t="b">
        <v>0</v>
      </c>
      <c r="H447" s="16" t="b">
        <v>0</v>
      </c>
      <c r="I447" s="16" t="b">
        <v>0</v>
      </c>
      <c r="J447" s="18" t="b">
        <v>0</v>
      </c>
      <c r="K447" s="16">
        <v>1090.0</v>
      </c>
      <c r="L447" s="16">
        <v>1653.4</v>
      </c>
      <c r="M447" s="16">
        <v>341.0</v>
      </c>
      <c r="N447" s="16">
        <v>14.7</v>
      </c>
      <c r="O447" s="16">
        <v>0.997966</v>
      </c>
      <c r="P447" s="16">
        <v>0.997966</v>
      </c>
      <c r="Q447" s="19">
        <f t="shared" si="2"/>
        <v>154.6787873</v>
      </c>
      <c r="R447" s="20">
        <f t="shared" si="3"/>
        <v>0.5225595742</v>
      </c>
      <c r="S447" s="21">
        <f t="shared" si="4"/>
        <v>4</v>
      </c>
      <c r="T447" s="17">
        <f t="shared" si="119"/>
        <v>864</v>
      </c>
      <c r="U447" s="22">
        <f>T447/vlookup(A447,Max!$A$2:$AP$700,column(Max!$AP$2),false)</f>
        <v>1.329230769</v>
      </c>
      <c r="V447" s="17">
        <f t="shared" si="6"/>
        <v>327.6082167</v>
      </c>
      <c r="W447" s="23">
        <f t="shared" si="7"/>
        <v>1.338050904</v>
      </c>
      <c r="X447" s="23">
        <f t="shared" si="8"/>
        <v>1.970960282</v>
      </c>
      <c r="Y447" s="23">
        <f t="shared" si="9"/>
        <v>1</v>
      </c>
      <c r="Z447" s="23">
        <f t="shared" si="10"/>
        <v>1</v>
      </c>
      <c r="AA447" s="24">
        <f t="shared" si="11"/>
        <v>136</v>
      </c>
      <c r="AB447" s="26">
        <f t="shared" si="124"/>
        <v>1</v>
      </c>
      <c r="AC447" s="26" t="str">
        <f t="shared" si="40"/>
        <v/>
      </c>
      <c r="AD447" s="26" t="str">
        <f t="shared" si="41"/>
        <v>$RD-114$: 136,</v>
      </c>
      <c r="AE447" s="26" t="str">
        <f t="shared" si="115"/>
        <v/>
      </c>
      <c r="AF447" s="26" t="str">
        <f t="shared" si="78"/>
        <v/>
      </c>
      <c r="AG447" s="26" t="str">
        <f t="shared" si="79"/>
        <v/>
      </c>
    </row>
    <row r="448" ht="15.75" customHeight="1">
      <c r="A448" s="7" t="s">
        <v>603</v>
      </c>
      <c r="B448" s="7" t="s">
        <v>596</v>
      </c>
      <c r="C448" s="8">
        <f t="shared" si="1"/>
        <v>-81</v>
      </c>
      <c r="D448" s="7"/>
      <c r="E448" s="7"/>
      <c r="F448" s="7" t="b">
        <v>1</v>
      </c>
      <c r="G448" s="7" t="b">
        <v>0</v>
      </c>
      <c r="H448" s="7" t="b">
        <v>0</v>
      </c>
      <c r="I448" s="7" t="b">
        <v>0</v>
      </c>
      <c r="J448" s="9" t="b">
        <v>0</v>
      </c>
      <c r="K448" s="7">
        <v>1080.0</v>
      </c>
      <c r="L448" s="7">
        <v>1633.8</v>
      </c>
      <c r="M448" s="7">
        <v>302.0</v>
      </c>
      <c r="N448" s="7">
        <v>14.7</v>
      </c>
      <c r="O448" s="7">
        <v>0.997966</v>
      </c>
      <c r="P448" s="7">
        <v>0.997966</v>
      </c>
      <c r="Q448" s="10">
        <f t="shared" si="2"/>
        <v>154.2604022</v>
      </c>
      <c r="R448" s="11">
        <f t="shared" si="3"/>
        <v>0.3960093035</v>
      </c>
      <c r="S448" s="12">
        <f t="shared" si="4"/>
        <v>4</v>
      </c>
      <c r="T448" s="8">
        <f t="shared" si="119"/>
        <v>647</v>
      </c>
      <c r="U448" s="13">
        <f>T448/vlookup(A448,Max!$A$2:$AP$700,column(Max!$AP$2),false)</f>
        <v>1.57804878</v>
      </c>
      <c r="V448" s="8">
        <f t="shared" si="6"/>
        <v>325.7508777</v>
      </c>
      <c r="W448" s="14">
        <f t="shared" si="7"/>
        <v>1.007095326</v>
      </c>
      <c r="X448" s="14">
        <f t="shared" si="8"/>
        <v>1.970960282</v>
      </c>
      <c r="Y448" s="14">
        <f t="shared" si="9"/>
        <v>1</v>
      </c>
      <c r="Z448" s="14">
        <f t="shared" si="10"/>
        <v>1</v>
      </c>
      <c r="AA448" s="27">
        <f t="shared" si="11"/>
        <v>-81</v>
      </c>
      <c r="AB448" s="15">
        <f t="shared" si="124"/>
        <v>1</v>
      </c>
      <c r="AC448" s="15" t="str">
        <f t="shared" si="40"/>
        <v/>
      </c>
      <c r="AD448" s="15" t="str">
        <f t="shared" si="41"/>
        <v>$RD-222$: -81,</v>
      </c>
      <c r="AE448" s="15" t="str">
        <f t="shared" si="115"/>
        <v/>
      </c>
      <c r="AF448" s="15" t="str">
        <f t="shared" si="78"/>
        <v/>
      </c>
      <c r="AG448" s="15" t="str">
        <f t="shared" si="79"/>
        <v/>
      </c>
    </row>
    <row r="449" ht="15.75" customHeight="1">
      <c r="A449" s="16" t="s">
        <v>604</v>
      </c>
      <c r="B449" s="16" t="s">
        <v>605</v>
      </c>
      <c r="C449" s="17">
        <f t="shared" si="1"/>
        <v>796</v>
      </c>
      <c r="D449" s="16">
        <v>1966.0</v>
      </c>
      <c r="E449" s="16"/>
      <c r="F449" s="16" t="b">
        <v>1</v>
      </c>
      <c r="G449" s="16" t="b">
        <v>0</v>
      </c>
      <c r="H449" s="16" t="b">
        <v>1</v>
      </c>
      <c r="I449" s="16" t="b">
        <v>0</v>
      </c>
      <c r="J449" s="18" t="b">
        <v>0</v>
      </c>
      <c r="K449" s="16">
        <v>1450.0</v>
      </c>
      <c r="L449" s="16">
        <v>1622.0</v>
      </c>
      <c r="M449" s="16">
        <v>327.0</v>
      </c>
      <c r="N449" s="16">
        <v>14.71</v>
      </c>
      <c r="O449" s="16">
        <v>0.997966</v>
      </c>
      <c r="P449" s="16">
        <v>0.997966</v>
      </c>
      <c r="Q449" s="19">
        <f t="shared" si="2"/>
        <v>114.067565</v>
      </c>
      <c r="R449" s="20">
        <f t="shared" si="3"/>
        <v>0.4907521578</v>
      </c>
      <c r="S449" s="21">
        <f t="shared" si="4"/>
        <v>4</v>
      </c>
      <c r="T449" s="17">
        <f t="shared" si="119"/>
        <v>796</v>
      </c>
      <c r="U449" s="22">
        <f>T449/vlookup(A449,Max!$A$2:$AP$700,column(Max!$AP$2),false)</f>
        <v>0.796</v>
      </c>
      <c r="V449" s="17">
        <f t="shared" si="6"/>
        <v>390.7527905</v>
      </c>
      <c r="W449" s="23">
        <f t="shared" si="7"/>
        <v>1.206673473</v>
      </c>
      <c r="X449" s="23">
        <f t="shared" si="8"/>
        <v>1.663699383</v>
      </c>
      <c r="Y449" s="23">
        <f t="shared" si="9"/>
        <v>1</v>
      </c>
      <c r="Z449" s="23">
        <f t="shared" si="10"/>
        <v>1.015057725</v>
      </c>
      <c r="AA449" s="26">
        <f t="shared" si="11"/>
        <v>0</v>
      </c>
      <c r="AB449" s="25">
        <v>0.0</v>
      </c>
      <c r="AC449" s="26" t="str">
        <f t="shared" si="40"/>
        <v>{
$name$: $RD-254$,
$config$: $RD254$,
$cost$: 796
},</v>
      </c>
      <c r="AD449" s="26" t="str">
        <f t="shared" si="41"/>
        <v/>
      </c>
      <c r="AE449" s="26" t="str">
        <f t="shared" si="115"/>
        <v/>
      </c>
      <c r="AF449" s="26" t="str">
        <f t="shared" si="78"/>
        <v/>
      </c>
      <c r="AG449" s="26" t="str">
        <f t="shared" si="79"/>
        <v/>
      </c>
    </row>
    <row r="450" ht="15.75" customHeight="1">
      <c r="A450" s="9" t="s">
        <v>606</v>
      </c>
      <c r="B450" s="7" t="s">
        <v>605</v>
      </c>
      <c r="C450" s="8">
        <f t="shared" si="1"/>
        <v>7</v>
      </c>
      <c r="D450" s="7">
        <v>1969.0</v>
      </c>
      <c r="E450" s="7"/>
      <c r="F450" s="7" t="b">
        <v>1</v>
      </c>
      <c r="G450" s="7" t="b">
        <v>0</v>
      </c>
      <c r="H450" s="7" t="b">
        <v>1</v>
      </c>
      <c r="I450" s="7" t="b">
        <v>0</v>
      </c>
      <c r="J450" s="9" t="b">
        <v>0</v>
      </c>
      <c r="K450" s="7">
        <v>1450.0</v>
      </c>
      <c r="L450" s="7">
        <v>1716.0</v>
      </c>
      <c r="M450" s="7">
        <v>327.8</v>
      </c>
      <c r="N450" s="7">
        <v>14.71</v>
      </c>
      <c r="O450" s="7">
        <v>0.998397</v>
      </c>
      <c r="P450" s="7">
        <v>0.998397</v>
      </c>
      <c r="Q450" s="10">
        <f t="shared" si="2"/>
        <v>120.6781391</v>
      </c>
      <c r="R450" s="11">
        <f t="shared" si="3"/>
        <v>0.4679487179</v>
      </c>
      <c r="S450" s="12">
        <f t="shared" si="4"/>
        <v>4</v>
      </c>
      <c r="T450" s="8">
        <f t="shared" si="119"/>
        <v>803</v>
      </c>
      <c r="U450" s="13" t="str">
        <f>T450/vlookup(A450,Max!$A$2:$AP$700,column(Max!$AP$2),false)</f>
        <v>#N/A</v>
      </c>
      <c r="V450" s="8">
        <f t="shared" si="6"/>
        <v>390.7527905</v>
      </c>
      <c r="W450" s="14">
        <f t="shared" si="7"/>
        <v>1.213691867</v>
      </c>
      <c r="X450" s="14">
        <f t="shared" si="8"/>
        <v>1.663699383</v>
      </c>
      <c r="Y450" s="14">
        <f t="shared" si="9"/>
        <v>1</v>
      </c>
      <c r="Z450" s="14">
        <f t="shared" si="10"/>
        <v>1.017251527</v>
      </c>
      <c r="AA450" s="27">
        <f t="shared" si="11"/>
        <v>7</v>
      </c>
      <c r="AB450" s="15">
        <f t="shared" ref="AB450:AB456" si="125">if(iserror(find("$",A450)),1,2)</f>
        <v>1</v>
      </c>
      <c r="AC450" s="15" t="str">
        <f t="shared" si="40"/>
        <v/>
      </c>
      <c r="AD450" s="15" t="str">
        <f t="shared" si="41"/>
        <v>$RD-254-11D44-Mk2$: 7,</v>
      </c>
      <c r="AE450" s="15" t="str">
        <f t="shared" si="115"/>
        <v/>
      </c>
      <c r="AF450" s="15" t="str">
        <f t="shared" si="78"/>
        <v/>
      </c>
      <c r="AG450" s="15" t="str">
        <f t="shared" si="79"/>
        <v/>
      </c>
    </row>
    <row r="451" ht="15.75" customHeight="1">
      <c r="A451" s="18" t="s">
        <v>607</v>
      </c>
      <c r="B451" s="16" t="s">
        <v>605</v>
      </c>
      <c r="C451" s="17">
        <f t="shared" si="1"/>
        <v>10</v>
      </c>
      <c r="D451" s="16">
        <v>1973.0</v>
      </c>
      <c r="E451" s="16"/>
      <c r="F451" s="16" t="b">
        <v>1</v>
      </c>
      <c r="G451" s="16" t="b">
        <v>0</v>
      </c>
      <c r="H451" s="16" t="b">
        <v>1</v>
      </c>
      <c r="I451" s="16" t="b">
        <v>0</v>
      </c>
      <c r="J451" s="18" t="b">
        <v>0</v>
      </c>
      <c r="K451" s="16">
        <v>1450.0</v>
      </c>
      <c r="L451" s="16">
        <v>1782.0</v>
      </c>
      <c r="M451" s="16">
        <v>327.8</v>
      </c>
      <c r="N451" s="16">
        <v>14.71</v>
      </c>
      <c r="O451" s="16">
        <v>0.999251</v>
      </c>
      <c r="P451" s="16">
        <v>0.999251</v>
      </c>
      <c r="Q451" s="19">
        <f t="shared" si="2"/>
        <v>125.3196059</v>
      </c>
      <c r="R451" s="20">
        <f t="shared" si="3"/>
        <v>0.4523007856</v>
      </c>
      <c r="S451" s="21">
        <f t="shared" si="4"/>
        <v>4</v>
      </c>
      <c r="T451" s="17">
        <f t="shared" si="119"/>
        <v>806</v>
      </c>
      <c r="U451" s="22" t="str">
        <f>T451/vlookup(A451,Max!$A$2:$AP$700,column(Max!$AP$2),false)</f>
        <v>#N/A</v>
      </c>
      <c r="V451" s="17">
        <f t="shared" si="6"/>
        <v>390.7527905</v>
      </c>
      <c r="W451" s="23">
        <f t="shared" si="7"/>
        <v>1.213691867</v>
      </c>
      <c r="X451" s="23">
        <f t="shared" si="8"/>
        <v>1.663699383</v>
      </c>
      <c r="Y451" s="23">
        <f t="shared" si="9"/>
        <v>1</v>
      </c>
      <c r="Z451" s="23">
        <f t="shared" si="10"/>
        <v>1.021609614</v>
      </c>
      <c r="AA451" s="24">
        <f t="shared" si="11"/>
        <v>10</v>
      </c>
      <c r="AB451" s="26">
        <f t="shared" si="125"/>
        <v>1</v>
      </c>
      <c r="AC451" s="26" t="str">
        <f t="shared" si="40"/>
        <v/>
      </c>
      <c r="AD451" s="26" t="str">
        <f t="shared" si="41"/>
        <v>$RD-254-11D44-Mk3$: 10,</v>
      </c>
      <c r="AE451" s="26" t="str">
        <f t="shared" si="115"/>
        <v/>
      </c>
      <c r="AF451" s="26" t="str">
        <f t="shared" si="78"/>
        <v/>
      </c>
      <c r="AG451" s="26" t="str">
        <f t="shared" si="79"/>
        <v/>
      </c>
    </row>
    <row r="452" ht="15.75" customHeight="1">
      <c r="A452" s="9" t="s">
        <v>608</v>
      </c>
      <c r="B452" s="7" t="s">
        <v>605</v>
      </c>
      <c r="C452" s="8">
        <f t="shared" si="1"/>
        <v>12</v>
      </c>
      <c r="D452" s="7">
        <v>1986.0</v>
      </c>
      <c r="E452" s="7"/>
      <c r="F452" s="7" t="b">
        <v>1</v>
      </c>
      <c r="G452" s="7" t="b">
        <v>0</v>
      </c>
      <c r="H452" s="7" t="b">
        <v>1</v>
      </c>
      <c r="I452" s="7" t="b">
        <v>0</v>
      </c>
      <c r="J452" s="9" t="b">
        <v>0</v>
      </c>
      <c r="K452" s="7">
        <v>1450.0</v>
      </c>
      <c r="L452" s="7">
        <v>1834.0</v>
      </c>
      <c r="M452" s="7">
        <v>327.8</v>
      </c>
      <c r="N452" s="7">
        <v>14.71</v>
      </c>
      <c r="O452" s="7">
        <v>0.999679</v>
      </c>
      <c r="P452" s="7">
        <v>0.999679</v>
      </c>
      <c r="Q452" s="10">
        <f t="shared" si="2"/>
        <v>128.9765193</v>
      </c>
      <c r="R452" s="11">
        <f t="shared" si="3"/>
        <v>0.4405670665</v>
      </c>
      <c r="S452" s="12">
        <f t="shared" si="4"/>
        <v>4</v>
      </c>
      <c r="T452" s="8">
        <f t="shared" si="119"/>
        <v>808</v>
      </c>
      <c r="U452" s="13" t="str">
        <f>T452/vlookup(A452,Max!$A$2:$AP$700,column(Max!$AP$2),false)</f>
        <v>#N/A</v>
      </c>
      <c r="V452" s="8">
        <f t="shared" si="6"/>
        <v>390.7527905</v>
      </c>
      <c r="W452" s="14">
        <f t="shared" si="7"/>
        <v>1.213691867</v>
      </c>
      <c r="X452" s="14">
        <f t="shared" si="8"/>
        <v>1.663699383</v>
      </c>
      <c r="Y452" s="14">
        <f t="shared" si="9"/>
        <v>1</v>
      </c>
      <c r="Z452" s="14">
        <f t="shared" si="10"/>
        <v>1.023799372</v>
      </c>
      <c r="AA452" s="27">
        <f t="shared" si="11"/>
        <v>12</v>
      </c>
      <c r="AB452" s="15">
        <f t="shared" si="125"/>
        <v>1</v>
      </c>
      <c r="AC452" s="15" t="str">
        <f t="shared" si="40"/>
        <v/>
      </c>
      <c r="AD452" s="15" t="str">
        <f t="shared" si="41"/>
        <v>$RD-254-11D44-Mk4$: 12,</v>
      </c>
      <c r="AE452" s="15" t="str">
        <f t="shared" si="115"/>
        <v/>
      </c>
      <c r="AF452" s="15" t="str">
        <f t="shared" si="78"/>
        <v/>
      </c>
      <c r="AG452" s="15" t="str">
        <f t="shared" si="79"/>
        <v/>
      </c>
    </row>
    <row r="453" ht="15.75" customHeight="1">
      <c r="A453" s="18" t="s">
        <v>609</v>
      </c>
      <c r="B453" s="16" t="s">
        <v>605</v>
      </c>
      <c r="C453" s="17">
        <f t="shared" si="1"/>
        <v>17</v>
      </c>
      <c r="D453" s="16">
        <v>1999.0</v>
      </c>
      <c r="E453" s="16"/>
      <c r="F453" s="16" t="b">
        <v>1</v>
      </c>
      <c r="G453" s="16" t="b">
        <v>0</v>
      </c>
      <c r="H453" s="16" t="b">
        <v>1</v>
      </c>
      <c r="I453" s="16" t="b">
        <v>0</v>
      </c>
      <c r="J453" s="18" t="b">
        <v>0</v>
      </c>
      <c r="K453" s="16">
        <v>1436.0</v>
      </c>
      <c r="L453" s="16">
        <v>1834.0</v>
      </c>
      <c r="M453" s="16">
        <v>327.8</v>
      </c>
      <c r="N453" s="16">
        <v>15.69</v>
      </c>
      <c r="O453" s="16">
        <v>0.999289</v>
      </c>
      <c r="P453" s="16">
        <v>0.999289</v>
      </c>
      <c r="Q453" s="19">
        <f t="shared" si="2"/>
        <v>130.2339505</v>
      </c>
      <c r="R453" s="20">
        <f t="shared" si="3"/>
        <v>0.4432933479</v>
      </c>
      <c r="S453" s="21">
        <f t="shared" si="4"/>
        <v>4</v>
      </c>
      <c r="T453" s="17">
        <f t="shared" si="119"/>
        <v>813</v>
      </c>
      <c r="U453" s="22" t="str">
        <f>T453/vlookup(A453,Max!$A$2:$AP$700,column(Max!$AP$2),false)</f>
        <v>#N/A</v>
      </c>
      <c r="V453" s="17">
        <f t="shared" si="6"/>
        <v>388.4158105</v>
      </c>
      <c r="W453" s="23">
        <f t="shared" si="7"/>
        <v>1.213691867</v>
      </c>
      <c r="X453" s="23">
        <f t="shared" si="8"/>
        <v>1.688018362</v>
      </c>
      <c r="Y453" s="23">
        <f t="shared" si="9"/>
        <v>1</v>
      </c>
      <c r="Z453" s="23">
        <f t="shared" si="10"/>
        <v>1.02180388</v>
      </c>
      <c r="AA453" s="24">
        <f t="shared" si="11"/>
        <v>17</v>
      </c>
      <c r="AB453" s="26">
        <f t="shared" si="125"/>
        <v>1</v>
      </c>
      <c r="AC453" s="26" t="str">
        <f t="shared" si="40"/>
        <v/>
      </c>
      <c r="AD453" s="26" t="str">
        <f t="shared" si="41"/>
        <v>$RD-277-14D16$: 17,</v>
      </c>
      <c r="AE453" s="26" t="str">
        <f t="shared" si="115"/>
        <v/>
      </c>
      <c r="AF453" s="26" t="str">
        <f t="shared" si="78"/>
        <v/>
      </c>
      <c r="AG453" s="26" t="str">
        <f t="shared" si="79"/>
        <v/>
      </c>
    </row>
    <row r="454" ht="15.75" customHeight="1">
      <c r="A454" s="9" t="s">
        <v>610</v>
      </c>
      <c r="B454" s="7" t="s">
        <v>605</v>
      </c>
      <c r="C454" s="8">
        <f t="shared" si="1"/>
        <v>29</v>
      </c>
      <c r="D454" s="7">
        <v>2009.0</v>
      </c>
      <c r="E454" s="7"/>
      <c r="F454" s="7" t="b">
        <v>1</v>
      </c>
      <c r="G454" s="7" t="b">
        <v>0</v>
      </c>
      <c r="H454" s="7" t="b">
        <v>1</v>
      </c>
      <c r="I454" s="7" t="b">
        <v>0</v>
      </c>
      <c r="J454" s="9" t="b">
        <v>0</v>
      </c>
      <c r="K454" s="7">
        <v>1436.0</v>
      </c>
      <c r="L454" s="7">
        <v>1922.0</v>
      </c>
      <c r="M454" s="7">
        <v>327.8</v>
      </c>
      <c r="N454" s="7">
        <v>16.6</v>
      </c>
      <c r="O454" s="7">
        <v>0.999663</v>
      </c>
      <c r="P454" s="7">
        <v>0.999663</v>
      </c>
      <c r="Q454" s="10">
        <f t="shared" si="2"/>
        <v>136.4829078</v>
      </c>
      <c r="R454" s="11">
        <f t="shared" si="3"/>
        <v>0.4292403746</v>
      </c>
      <c r="S454" s="12">
        <f t="shared" si="4"/>
        <v>4</v>
      </c>
      <c r="T454" s="8">
        <f t="shared" si="119"/>
        <v>825</v>
      </c>
      <c r="U454" s="13" t="str">
        <f>T454/vlookup(A454,Max!$A$2:$AP$700,column(Max!$AP$2),false)</f>
        <v>#N/A</v>
      </c>
      <c r="V454" s="8">
        <f t="shared" si="6"/>
        <v>388.4158105</v>
      </c>
      <c r="W454" s="14">
        <f t="shared" si="7"/>
        <v>1.213691867</v>
      </c>
      <c r="X454" s="14">
        <f t="shared" si="8"/>
        <v>1.709567779</v>
      </c>
      <c r="Y454" s="14">
        <f t="shared" si="9"/>
        <v>1</v>
      </c>
      <c r="Z454" s="14">
        <f t="shared" si="10"/>
        <v>1.023717445</v>
      </c>
      <c r="AA454" s="27">
        <f t="shared" si="11"/>
        <v>29</v>
      </c>
      <c r="AB454" s="15">
        <f t="shared" si="125"/>
        <v>1</v>
      </c>
      <c r="AC454" s="15" t="str">
        <f t="shared" si="40"/>
        <v/>
      </c>
      <c r="AD454" s="15" t="str">
        <f t="shared" si="41"/>
        <v>$RD-277M-14D16M$: 29,</v>
      </c>
      <c r="AE454" s="15" t="str">
        <f t="shared" si="115"/>
        <v/>
      </c>
      <c r="AF454" s="15" t="str">
        <f t="shared" si="78"/>
        <v/>
      </c>
      <c r="AG454" s="15" t="str">
        <f t="shared" si="79"/>
        <v/>
      </c>
    </row>
    <row r="455" ht="15.75" customHeight="1">
      <c r="A455" s="16" t="s">
        <v>611</v>
      </c>
      <c r="B455" s="16" t="s">
        <v>605</v>
      </c>
      <c r="C455" s="17">
        <f t="shared" si="1"/>
        <v>188</v>
      </c>
      <c r="D455" s="16"/>
      <c r="E455" s="16"/>
      <c r="F455" s="16" t="b">
        <v>1</v>
      </c>
      <c r="G455" s="16" t="b">
        <v>0</v>
      </c>
      <c r="H455" s="16" t="b">
        <v>1</v>
      </c>
      <c r="I455" s="16" t="b">
        <v>0</v>
      </c>
      <c r="J455" s="18" t="b">
        <v>0</v>
      </c>
      <c r="K455" s="16">
        <v>1450.0</v>
      </c>
      <c r="L455" s="16">
        <v>1726.0</v>
      </c>
      <c r="M455" s="16">
        <v>357.0</v>
      </c>
      <c r="N455" s="16">
        <v>14.71</v>
      </c>
      <c r="O455" s="16">
        <v>0.997966</v>
      </c>
      <c r="P455" s="16">
        <v>0.997966</v>
      </c>
      <c r="Q455" s="19">
        <f t="shared" si="2"/>
        <v>121.3813916</v>
      </c>
      <c r="R455" s="20">
        <f t="shared" si="3"/>
        <v>0.5701042874</v>
      </c>
      <c r="S455" s="21">
        <f t="shared" si="4"/>
        <v>4</v>
      </c>
      <c r="T455" s="17">
        <f t="shared" si="119"/>
        <v>984</v>
      </c>
      <c r="U455" s="22">
        <f>T455/vlookup(A455,Max!$A$2:$AP$700,column(Max!$AP$2),false)</f>
        <v>1.426086957</v>
      </c>
      <c r="V455" s="17">
        <f t="shared" si="6"/>
        <v>390.7527905</v>
      </c>
      <c r="W455" s="23">
        <f t="shared" si="7"/>
        <v>1.512870547</v>
      </c>
      <c r="X455" s="23">
        <f t="shared" si="8"/>
        <v>1.663699383</v>
      </c>
      <c r="Y455" s="23">
        <f t="shared" si="9"/>
        <v>1</v>
      </c>
      <c r="Z455" s="23">
        <f t="shared" si="10"/>
        <v>1</v>
      </c>
      <c r="AA455" s="24">
        <f t="shared" si="11"/>
        <v>188</v>
      </c>
      <c r="AB455" s="26">
        <f t="shared" si="125"/>
        <v>1</v>
      </c>
      <c r="AC455" s="26" t="str">
        <f t="shared" si="40"/>
        <v/>
      </c>
      <c r="AD455" s="26" t="str">
        <f t="shared" si="41"/>
        <v>$RD-115$: 188,</v>
      </c>
      <c r="AE455" s="26" t="str">
        <f t="shared" si="115"/>
        <v/>
      </c>
      <c r="AF455" s="26" t="str">
        <f t="shared" si="78"/>
        <v/>
      </c>
      <c r="AG455" s="26" t="str">
        <f t="shared" si="79"/>
        <v/>
      </c>
    </row>
    <row r="456" ht="15.75" customHeight="1">
      <c r="A456" s="7" t="s">
        <v>612</v>
      </c>
      <c r="B456" s="7" t="s">
        <v>605</v>
      </c>
      <c r="C456" s="8">
        <f t="shared" si="1"/>
        <v>-86</v>
      </c>
      <c r="D456" s="7"/>
      <c r="E456" s="7"/>
      <c r="F456" s="7" t="b">
        <v>1</v>
      </c>
      <c r="G456" s="7" t="b">
        <v>0</v>
      </c>
      <c r="H456" s="7" t="b">
        <v>1</v>
      </c>
      <c r="I456" s="7" t="b">
        <v>0</v>
      </c>
      <c r="J456" s="9" t="b">
        <v>0</v>
      </c>
      <c r="K456" s="7">
        <v>1440.0</v>
      </c>
      <c r="L456" s="7">
        <v>1696.6</v>
      </c>
      <c r="M456" s="7">
        <v>314.0</v>
      </c>
      <c r="N456" s="7">
        <v>14.71</v>
      </c>
      <c r="O456" s="7">
        <v>0.997966</v>
      </c>
      <c r="P456" s="7">
        <v>0.997966</v>
      </c>
      <c r="Q456" s="10">
        <f t="shared" si="2"/>
        <v>120.1423974</v>
      </c>
      <c r="R456" s="11">
        <f t="shared" si="3"/>
        <v>0.4184840269</v>
      </c>
      <c r="S456" s="12">
        <f t="shared" si="4"/>
        <v>4</v>
      </c>
      <c r="T456" s="8">
        <f t="shared" si="119"/>
        <v>710</v>
      </c>
      <c r="U456" s="13">
        <f>T456/vlookup(A456,Max!$A$2:$AP$700,column(Max!$AP$2),false)</f>
        <v>1.731707317</v>
      </c>
      <c r="V456" s="8">
        <f t="shared" si="6"/>
        <v>389.0843849</v>
      </c>
      <c r="W456" s="14">
        <f t="shared" si="7"/>
        <v>1.096711703</v>
      </c>
      <c r="X456" s="14">
        <f t="shared" si="8"/>
        <v>1.663699383</v>
      </c>
      <c r="Y456" s="14">
        <f t="shared" si="9"/>
        <v>1</v>
      </c>
      <c r="Z456" s="14">
        <f t="shared" si="10"/>
        <v>1</v>
      </c>
      <c r="AA456" s="27">
        <f t="shared" si="11"/>
        <v>-86</v>
      </c>
      <c r="AB456" s="15">
        <f t="shared" si="125"/>
        <v>1</v>
      </c>
      <c r="AC456" s="15" t="str">
        <f t="shared" si="40"/>
        <v/>
      </c>
      <c r="AD456" s="15" t="str">
        <f t="shared" si="41"/>
        <v>$RD-223$: -86,</v>
      </c>
      <c r="AE456" s="15" t="str">
        <f t="shared" si="115"/>
        <v/>
      </c>
      <c r="AF456" s="15" t="str">
        <f t="shared" si="78"/>
        <v/>
      </c>
      <c r="AG456" s="15" t="str">
        <f t="shared" si="79"/>
        <v/>
      </c>
    </row>
    <row r="457" ht="15.75" customHeight="1">
      <c r="A457" s="16" t="s">
        <v>613</v>
      </c>
      <c r="B457" s="16" t="s">
        <v>614</v>
      </c>
      <c r="C457" s="17">
        <f t="shared" si="1"/>
        <v>721</v>
      </c>
      <c r="D457" s="16">
        <v>1975.0</v>
      </c>
      <c r="E457" s="16"/>
      <c r="F457" s="16" t="b">
        <v>1</v>
      </c>
      <c r="G457" s="16" t="b">
        <v>0</v>
      </c>
      <c r="H457" s="16" t="b">
        <v>0</v>
      </c>
      <c r="I457" s="16" t="b">
        <v>0</v>
      </c>
      <c r="J457" s="18" t="b">
        <v>0</v>
      </c>
      <c r="K457" s="16">
        <v>870.0</v>
      </c>
      <c r="L457" s="16">
        <v>1130.7</v>
      </c>
      <c r="M457" s="16">
        <v>318.4</v>
      </c>
      <c r="N457" s="16">
        <v>20.59</v>
      </c>
      <c r="O457" s="16">
        <v>0.998792</v>
      </c>
      <c r="P457" s="16">
        <v>0.998463</v>
      </c>
      <c r="Q457" s="19">
        <f t="shared" si="2"/>
        <v>132.5279447</v>
      </c>
      <c r="R457" s="20">
        <f t="shared" si="3"/>
        <v>0.6376580879</v>
      </c>
      <c r="S457" s="21">
        <f t="shared" si="4"/>
        <v>4</v>
      </c>
      <c r="T457" s="17">
        <f t="shared" si="119"/>
        <v>721</v>
      </c>
      <c r="U457" s="22">
        <f>T457/vlookup(A457,Max!$A$2:$AP$700,column(Max!$AP$2),false)</f>
        <v>1.360377358</v>
      </c>
      <c r="V457" s="17">
        <f t="shared" si="6"/>
        <v>285.1097702</v>
      </c>
      <c r="W457" s="23">
        <f t="shared" si="7"/>
        <v>1.134683562</v>
      </c>
      <c r="X457" s="23">
        <f t="shared" si="8"/>
        <v>2.180617917</v>
      </c>
      <c r="Y457" s="23">
        <f t="shared" si="9"/>
        <v>1</v>
      </c>
      <c r="Z457" s="23">
        <f t="shared" si="10"/>
        <v>1.021508426</v>
      </c>
      <c r="AA457" s="26">
        <f t="shared" si="11"/>
        <v>0</v>
      </c>
      <c r="AB457" s="25">
        <v>0.0</v>
      </c>
      <c r="AC457" s="26" t="str">
        <f t="shared" si="40"/>
        <v>{
$name$: $RD-263-15D117$,
$config$: $RD263$,
$cost$: 721
},</v>
      </c>
      <c r="AD457" s="26" t="str">
        <f t="shared" si="41"/>
        <v/>
      </c>
      <c r="AE457" s="26" t="str">
        <f t="shared" si="115"/>
        <v/>
      </c>
      <c r="AF457" s="26" t="str">
        <f t="shared" si="78"/>
        <v/>
      </c>
      <c r="AG457" s="26" t="str">
        <f t="shared" si="79"/>
        <v/>
      </c>
    </row>
    <row r="458" ht="15.75" customHeight="1">
      <c r="A458" s="7" t="s">
        <v>615</v>
      </c>
      <c r="B458" s="7" t="s">
        <v>614</v>
      </c>
      <c r="C458" s="8">
        <f t="shared" si="1"/>
        <v>-39</v>
      </c>
      <c r="D458" s="7">
        <v>1978.0</v>
      </c>
      <c r="E458" s="7"/>
      <c r="F458" s="7" t="b">
        <v>1</v>
      </c>
      <c r="G458" s="7" t="b">
        <v>0</v>
      </c>
      <c r="H458" s="7" t="b">
        <v>0</v>
      </c>
      <c r="I458" s="7" t="b">
        <v>0</v>
      </c>
      <c r="J458" s="9" t="b">
        <v>0</v>
      </c>
      <c r="K458" s="7">
        <v>770.0</v>
      </c>
      <c r="L458" s="7">
        <v>1235.7</v>
      </c>
      <c r="M458" s="7">
        <v>318.5</v>
      </c>
      <c r="N458" s="7">
        <v>22.55</v>
      </c>
      <c r="O458" s="7">
        <v>0.996957</v>
      </c>
      <c r="P458" s="7">
        <v>0.995175</v>
      </c>
      <c r="Q458" s="10">
        <f t="shared" si="2"/>
        <v>163.6445871</v>
      </c>
      <c r="R458" s="11">
        <f t="shared" si="3"/>
        <v>0.551913895</v>
      </c>
      <c r="S458" s="12">
        <f t="shared" si="4"/>
        <v>4</v>
      </c>
      <c r="T458" s="8">
        <f t="shared" si="119"/>
        <v>682</v>
      </c>
      <c r="U458" s="13">
        <f>T458/vlookup(A458,Max!$A$2:$AP$700,column(Max!$AP$2),false)</f>
        <v>1.337254902</v>
      </c>
      <c r="V458" s="8">
        <f t="shared" si="6"/>
        <v>264.4702437</v>
      </c>
      <c r="W458" s="14">
        <f t="shared" si="7"/>
        <v>1.135485449</v>
      </c>
      <c r="X458" s="14">
        <f t="shared" si="8"/>
        <v>2.240921462</v>
      </c>
      <c r="Y458" s="14">
        <f t="shared" si="9"/>
        <v>1</v>
      </c>
      <c r="Z458" s="14">
        <f t="shared" si="10"/>
        <v>1.01311946</v>
      </c>
      <c r="AA458" s="27">
        <f t="shared" si="11"/>
        <v>-39</v>
      </c>
      <c r="AB458" s="15">
        <f t="shared" ref="AB458:AB460" si="126">if(iserror(find("$",A458)),1,2)</f>
        <v>1</v>
      </c>
      <c r="AC458" s="15" t="str">
        <f t="shared" si="40"/>
        <v/>
      </c>
      <c r="AD458" s="15" t="str">
        <f t="shared" si="41"/>
        <v>$RD-268-15D168$: -39,</v>
      </c>
      <c r="AE458" s="15" t="str">
        <f t="shared" si="115"/>
        <v/>
      </c>
      <c r="AF458" s="15" t="str">
        <f t="shared" si="78"/>
        <v/>
      </c>
      <c r="AG458" s="15" t="str">
        <f t="shared" si="79"/>
        <v/>
      </c>
    </row>
    <row r="459" ht="15.75" customHeight="1">
      <c r="A459" s="16" t="s">
        <v>616</v>
      </c>
      <c r="B459" s="16" t="s">
        <v>614</v>
      </c>
      <c r="C459" s="17">
        <f t="shared" si="1"/>
        <v>27</v>
      </c>
      <c r="D459" s="16">
        <v>1986.0</v>
      </c>
      <c r="E459" s="16"/>
      <c r="F459" s="16" t="b">
        <v>1</v>
      </c>
      <c r="G459" s="16" t="b">
        <v>0</v>
      </c>
      <c r="H459" s="16" t="b">
        <v>0</v>
      </c>
      <c r="I459" s="16" t="b">
        <v>0</v>
      </c>
      <c r="J459" s="18" t="b">
        <v>0</v>
      </c>
      <c r="K459" s="16">
        <v>885.0</v>
      </c>
      <c r="L459" s="16">
        <v>1237.6</v>
      </c>
      <c r="M459" s="16">
        <v>318.7</v>
      </c>
      <c r="N459" s="16">
        <v>22.6</v>
      </c>
      <c r="O459" s="16">
        <v>0.998571</v>
      </c>
      <c r="P459" s="16">
        <v>0.996926</v>
      </c>
      <c r="Q459" s="19">
        <f t="shared" si="2"/>
        <v>142.5989584</v>
      </c>
      <c r="R459" s="20">
        <f t="shared" si="3"/>
        <v>0.6043956044</v>
      </c>
      <c r="S459" s="21">
        <f t="shared" si="4"/>
        <v>4</v>
      </c>
      <c r="T459" s="17">
        <f t="shared" si="119"/>
        <v>748</v>
      </c>
      <c r="U459" s="22">
        <f>T459/vlookup(A459,Max!$A$2:$AP$700,column(Max!$AP$2),false)</f>
        <v>1.739534884</v>
      </c>
      <c r="V459" s="17">
        <f t="shared" si="6"/>
        <v>288.1268574</v>
      </c>
      <c r="W459" s="23">
        <f t="shared" si="7"/>
        <v>1.137091636</v>
      </c>
      <c r="X459" s="23">
        <f t="shared" si="8"/>
        <v>2.242410942</v>
      </c>
      <c r="Y459" s="23">
        <f t="shared" si="9"/>
        <v>1</v>
      </c>
      <c r="Z459" s="23">
        <f t="shared" si="10"/>
        <v>1.017581775</v>
      </c>
      <c r="AA459" s="24">
        <f t="shared" si="11"/>
        <v>27</v>
      </c>
      <c r="AB459" s="26">
        <f t="shared" si="126"/>
        <v>1</v>
      </c>
      <c r="AC459" s="26" t="str">
        <f t="shared" si="40"/>
        <v/>
      </c>
      <c r="AD459" s="26" t="str">
        <f t="shared" si="41"/>
        <v>$RD-273-15D286$: 27,</v>
      </c>
      <c r="AE459" s="26" t="str">
        <f t="shared" si="115"/>
        <v/>
      </c>
      <c r="AF459" s="26" t="str">
        <f t="shared" si="78"/>
        <v/>
      </c>
      <c r="AG459" s="26" t="str">
        <f t="shared" si="79"/>
        <v/>
      </c>
    </row>
    <row r="460" ht="15.75" customHeight="1">
      <c r="A460" s="7" t="s">
        <v>617</v>
      </c>
      <c r="B460" s="7" t="s">
        <v>618</v>
      </c>
      <c r="C460" s="8">
        <f t="shared" si="1"/>
        <v>3026</v>
      </c>
      <c r="D460" s="7">
        <v>1974.0</v>
      </c>
      <c r="E460" s="7"/>
      <c r="F460" s="7" t="b">
        <v>1</v>
      </c>
      <c r="G460" s="7" t="b">
        <v>0</v>
      </c>
      <c r="H460" s="7" t="b">
        <v>0</v>
      </c>
      <c r="I460" s="7" t="b">
        <v>0</v>
      </c>
      <c r="J460" s="9" t="b">
        <v>0</v>
      </c>
      <c r="K460" s="7">
        <v>4470.0</v>
      </c>
      <c r="L460" s="7">
        <v>7159.0</v>
      </c>
      <c r="M460" s="7">
        <v>365.0</v>
      </c>
      <c r="N460" s="7">
        <v>26.08</v>
      </c>
      <c r="O460" s="7">
        <v>0.997966</v>
      </c>
      <c r="P460" s="7">
        <v>0.997966</v>
      </c>
      <c r="Q460" s="10">
        <f t="shared" si="2"/>
        <v>163.3142807</v>
      </c>
      <c r="R460" s="11">
        <f t="shared" si="3"/>
        <v>0.4226847325</v>
      </c>
      <c r="S460" s="12">
        <f t="shared" si="4"/>
        <v>4</v>
      </c>
      <c r="T460" s="8">
        <f t="shared" si="119"/>
        <v>3026</v>
      </c>
      <c r="U460" s="13">
        <f>T460/vlookup(A460,Max!$A$2:$AP$700,column(Max!$AP$2),false)</f>
        <v>0.530877193</v>
      </c>
      <c r="V460" s="8">
        <f t="shared" si="6"/>
        <v>786.1265824</v>
      </c>
      <c r="W460" s="14">
        <f t="shared" si="7"/>
        <v>1.611576467</v>
      </c>
      <c r="X460" s="14">
        <f t="shared" si="8"/>
        <v>2.340857346</v>
      </c>
      <c r="Y460" s="14">
        <f t="shared" si="9"/>
        <v>1</v>
      </c>
      <c r="Z460" s="14">
        <f t="shared" si="10"/>
        <v>1.020237722</v>
      </c>
      <c r="AA460" s="15">
        <f t="shared" si="11"/>
        <v>0</v>
      </c>
      <c r="AB460" s="15">
        <f t="shared" si="126"/>
        <v>1</v>
      </c>
      <c r="AC460" s="15" t="str">
        <f t="shared" si="40"/>
        <v/>
      </c>
      <c r="AD460" s="15" t="str">
        <f t="shared" si="41"/>
        <v>$RD-270M-8D420M$: 3026,</v>
      </c>
      <c r="AE460" s="15" t="str">
        <f t="shared" si="115"/>
        <v/>
      </c>
      <c r="AF460" s="15" t="str">
        <f t="shared" si="78"/>
        <v/>
      </c>
      <c r="AG460" s="15" t="str">
        <f t="shared" si="79"/>
        <v/>
      </c>
    </row>
    <row r="461" ht="15.75" customHeight="1">
      <c r="A461" s="16" t="s">
        <v>619</v>
      </c>
      <c r="B461" s="16" t="s">
        <v>618</v>
      </c>
      <c r="C461" s="17">
        <f t="shared" si="1"/>
        <v>-841</v>
      </c>
      <c r="D461" s="16">
        <v>1974.0</v>
      </c>
      <c r="E461" s="16"/>
      <c r="F461" s="16" t="b">
        <v>1</v>
      </c>
      <c r="G461" s="16" t="b">
        <v>0</v>
      </c>
      <c r="H461" s="16" t="b">
        <v>0</v>
      </c>
      <c r="I461" s="16" t="b">
        <v>0</v>
      </c>
      <c r="J461" s="18" t="b">
        <v>0</v>
      </c>
      <c r="K461" s="16">
        <v>4470.0</v>
      </c>
      <c r="L461" s="16">
        <v>6713.0</v>
      </c>
      <c r="M461" s="16">
        <v>322.0</v>
      </c>
      <c r="N461" s="16">
        <v>26.08</v>
      </c>
      <c r="O461" s="16">
        <v>0.997966</v>
      </c>
      <c r="P461" s="16">
        <v>0.997966</v>
      </c>
      <c r="Q461" s="19">
        <f t="shared" si="2"/>
        <v>153.139931</v>
      </c>
      <c r="R461" s="20">
        <f t="shared" si="3"/>
        <v>0.3254878594</v>
      </c>
      <c r="S461" s="21">
        <f t="shared" si="4"/>
        <v>4</v>
      </c>
      <c r="T461" s="17">
        <f t="shared" si="119"/>
        <v>2185</v>
      </c>
      <c r="U461" s="22">
        <f>T461/vlookup(A461,Max!$A$2:$AP$700,column(Max!$AP$2),false)</f>
        <v>0.7048387097</v>
      </c>
      <c r="V461" s="17">
        <f t="shared" si="6"/>
        <v>786.1265824</v>
      </c>
      <c r="W461" s="23">
        <f t="shared" si="7"/>
        <v>1.16406432</v>
      </c>
      <c r="X461" s="23">
        <f t="shared" si="8"/>
        <v>2.340857346</v>
      </c>
      <c r="Y461" s="23">
        <f t="shared" si="9"/>
        <v>1</v>
      </c>
      <c r="Z461" s="23">
        <f t="shared" si="10"/>
        <v>1.020237722</v>
      </c>
      <c r="AA461" s="24">
        <f t="shared" si="11"/>
        <v>-841</v>
      </c>
      <c r="AB461" s="25">
        <v>0.0</v>
      </c>
      <c r="AC461" s="26" t="str">
        <f t="shared" si="40"/>
        <v>{
$name$: $RD-270-8D420$,
$config$: $RD270$,
$cost$: -841
},</v>
      </c>
      <c r="AD461" s="26" t="str">
        <f t="shared" si="41"/>
        <v/>
      </c>
      <c r="AE461" s="26" t="str">
        <f t="shared" si="115"/>
        <v/>
      </c>
      <c r="AF461" s="26" t="str">
        <f t="shared" si="78"/>
        <v/>
      </c>
      <c r="AG461" s="26" t="str">
        <f t="shared" si="79"/>
        <v/>
      </c>
    </row>
    <row r="462" ht="15.75" customHeight="1">
      <c r="A462" s="7" t="s">
        <v>620</v>
      </c>
      <c r="B462" s="7" t="s">
        <v>618</v>
      </c>
      <c r="C462" s="8">
        <f t="shared" si="1"/>
        <v>-741</v>
      </c>
      <c r="D462" s="7">
        <v>1976.0</v>
      </c>
      <c r="E462" s="7"/>
      <c r="F462" s="7" t="b">
        <v>1</v>
      </c>
      <c r="G462" s="7" t="b">
        <v>0</v>
      </c>
      <c r="H462" s="7" t="b">
        <v>0</v>
      </c>
      <c r="I462" s="7" t="b">
        <v>0</v>
      </c>
      <c r="J462" s="9" t="b">
        <v>0</v>
      </c>
      <c r="K462" s="7">
        <v>4800.0</v>
      </c>
      <c r="L462" s="7">
        <v>6325.3</v>
      </c>
      <c r="M462" s="7">
        <v>333.0</v>
      </c>
      <c r="N462" s="7">
        <v>20.0</v>
      </c>
      <c r="O462" s="7">
        <v>0.997966</v>
      </c>
      <c r="P462" s="7">
        <v>0.997966</v>
      </c>
      <c r="Q462" s="10">
        <f t="shared" si="2"/>
        <v>134.375228</v>
      </c>
      <c r="R462" s="11">
        <f t="shared" si="3"/>
        <v>0.3612476879</v>
      </c>
      <c r="S462" s="12">
        <f t="shared" si="4"/>
        <v>4</v>
      </c>
      <c r="T462" s="8">
        <f t="shared" si="119"/>
        <v>2285</v>
      </c>
      <c r="U462" s="13">
        <f>T462/vlookup(A462,Max!$A$2:$AP$700,column(Max!$AP$2),false)</f>
        <v>0.7616666667</v>
      </c>
      <c r="V462" s="8">
        <f t="shared" si="6"/>
        <v>821.8281454</v>
      </c>
      <c r="W462" s="14">
        <f t="shared" si="7"/>
        <v>1.260715269</v>
      </c>
      <c r="X462" s="14">
        <f t="shared" si="8"/>
        <v>2.161681326</v>
      </c>
      <c r="Y462" s="14">
        <f t="shared" si="9"/>
        <v>1</v>
      </c>
      <c r="Z462" s="14">
        <f t="shared" si="10"/>
        <v>1.020237722</v>
      </c>
      <c r="AA462" s="27">
        <f t="shared" si="11"/>
        <v>-741</v>
      </c>
      <c r="AB462" s="15">
        <f>if(iserror(find("$",A462)),1,2)</f>
        <v>1</v>
      </c>
      <c r="AC462" s="15" t="str">
        <f t="shared" si="40"/>
        <v/>
      </c>
      <c r="AD462" s="15" t="str">
        <f t="shared" si="41"/>
        <v>$RD-116-8D420K$: -741,</v>
      </c>
      <c r="AE462" s="15" t="str">
        <f t="shared" si="115"/>
        <v/>
      </c>
      <c r="AF462" s="15" t="str">
        <f t="shared" si="78"/>
        <v/>
      </c>
      <c r="AG462" s="15" t="str">
        <f t="shared" si="79"/>
        <v/>
      </c>
    </row>
    <row r="463" ht="15.75" customHeight="1">
      <c r="A463" s="16" t="s">
        <v>621</v>
      </c>
      <c r="B463" s="16" t="s">
        <v>622</v>
      </c>
      <c r="C463" s="17">
        <f t="shared" si="1"/>
        <v>477</v>
      </c>
      <c r="D463" s="16">
        <v>1978.0</v>
      </c>
      <c r="E463" s="16" t="b">
        <v>1</v>
      </c>
      <c r="F463" s="16" t="b">
        <v>1</v>
      </c>
      <c r="G463" s="16" t="b">
        <v>0</v>
      </c>
      <c r="H463" s="16" t="b">
        <v>1</v>
      </c>
      <c r="I463" s="16" t="b">
        <v>0</v>
      </c>
      <c r="J463" s="18" t="b">
        <v>0</v>
      </c>
      <c r="K463" s="16">
        <v>183.0</v>
      </c>
      <c r="L463" s="16">
        <v>96.67</v>
      </c>
      <c r="M463" s="16">
        <v>400.0</v>
      </c>
      <c r="N463" s="16">
        <v>11.76</v>
      </c>
      <c r="O463" s="16">
        <v>0.990909</v>
      </c>
      <c r="P463" s="16">
        <v>0.988235</v>
      </c>
      <c r="Q463" s="19">
        <f t="shared" si="2"/>
        <v>53.8666481</v>
      </c>
      <c r="R463" s="20">
        <f t="shared" si="3"/>
        <v>4.93431261</v>
      </c>
      <c r="S463" s="21">
        <f t="shared" si="4"/>
        <v>4</v>
      </c>
      <c r="T463" s="17">
        <f t="shared" si="119"/>
        <v>477</v>
      </c>
      <c r="U463" s="22">
        <f>T463/vlookup(A463,Max!$A$2:$AP$700,column(Max!$AP$2),false)</f>
        <v>2.65</v>
      </c>
      <c r="V463" s="17">
        <f t="shared" si="6"/>
        <v>143.7670663</v>
      </c>
      <c r="W463" s="23">
        <f t="shared" si="7"/>
        <v>2.153624406</v>
      </c>
      <c r="X463" s="23">
        <f t="shared" si="8"/>
        <v>1.5819897</v>
      </c>
      <c r="Y463" s="23">
        <f t="shared" si="9"/>
        <v>1</v>
      </c>
      <c r="Z463" s="23">
        <f t="shared" si="10"/>
        <v>0.9730765878</v>
      </c>
      <c r="AA463" s="26">
        <f t="shared" si="11"/>
        <v>0</v>
      </c>
      <c r="AB463" s="25">
        <v>0.0</v>
      </c>
      <c r="AC463" s="26" t="str">
        <f t="shared" si="40"/>
        <v>{
$name$: $RD-301$,
$config$: $RD301$,
$cost$: 477
},</v>
      </c>
      <c r="AD463" s="26" t="str">
        <f t="shared" si="41"/>
        <v/>
      </c>
      <c r="AE463" s="26" t="str">
        <f t="shared" si="115"/>
        <v/>
      </c>
      <c r="AF463" s="26" t="str">
        <f t="shared" si="78"/>
        <v/>
      </c>
      <c r="AG463" s="26" t="str">
        <f t="shared" si="79"/>
        <v/>
      </c>
    </row>
    <row r="464" ht="15.75" customHeight="1">
      <c r="A464" s="7" t="s">
        <v>623</v>
      </c>
      <c r="B464" s="7" t="s">
        <v>624</v>
      </c>
      <c r="C464" s="8">
        <f t="shared" si="1"/>
        <v>383</v>
      </c>
      <c r="D464" s="7"/>
      <c r="E464" s="7"/>
      <c r="F464" s="7" t="b">
        <v>1</v>
      </c>
      <c r="G464" s="7" t="b">
        <v>0</v>
      </c>
      <c r="H464" s="7" t="b">
        <v>1</v>
      </c>
      <c r="I464" s="7" t="b">
        <v>1</v>
      </c>
      <c r="J464" s="9" t="b">
        <v>0</v>
      </c>
      <c r="K464" s="7">
        <v>222.0</v>
      </c>
      <c r="L464" s="7">
        <v>117.68</v>
      </c>
      <c r="M464" s="7">
        <v>331.0</v>
      </c>
      <c r="N464" s="7">
        <v>14.71</v>
      </c>
      <c r="O464" s="7">
        <v>0.996512</v>
      </c>
      <c r="P464" s="7">
        <v>0.99625</v>
      </c>
      <c r="Q464" s="10">
        <f t="shared" si="2"/>
        <v>54.05414576</v>
      </c>
      <c r="R464" s="11">
        <f t="shared" si="3"/>
        <v>3.254588715</v>
      </c>
      <c r="S464" s="12">
        <f t="shared" si="4"/>
        <v>4</v>
      </c>
      <c r="T464" s="8">
        <f t="shared" si="119"/>
        <v>383</v>
      </c>
      <c r="U464" s="13">
        <f>T464/vlookup(A464,Max!$A$2:$AP$700,column(Max!$AP$2),false)</f>
        <v>2.837037037</v>
      </c>
      <c r="V464" s="8">
        <f t="shared" si="6"/>
        <v>123.5913636</v>
      </c>
      <c r="W464" s="14">
        <f t="shared" si="7"/>
        <v>1.242337337</v>
      </c>
      <c r="X464" s="14">
        <f t="shared" si="8"/>
        <v>1.663699383</v>
      </c>
      <c r="Y464" s="14">
        <f t="shared" si="9"/>
        <v>1.5</v>
      </c>
      <c r="Z464" s="14">
        <f t="shared" si="10"/>
        <v>1</v>
      </c>
      <c r="AA464" s="15">
        <f t="shared" si="11"/>
        <v>0</v>
      </c>
      <c r="AB464" s="29">
        <v>0.0</v>
      </c>
      <c r="AC464" s="15" t="str">
        <f t="shared" si="40"/>
        <v>{
$name$: $RD-510$,
$config$: $RD510$,
$cost$: 383
},</v>
      </c>
      <c r="AD464" s="15" t="str">
        <f t="shared" si="41"/>
        <v/>
      </c>
      <c r="AE464" s="15" t="str">
        <f t="shared" si="115"/>
        <v/>
      </c>
      <c r="AF464" s="15" t="str">
        <f t="shared" si="78"/>
        <v/>
      </c>
      <c r="AG464" s="15" t="str">
        <f t="shared" si="79"/>
        <v/>
      </c>
    </row>
    <row r="465" ht="15.75" customHeight="1">
      <c r="A465" s="16" t="s">
        <v>625</v>
      </c>
      <c r="B465" s="16" t="s">
        <v>626</v>
      </c>
      <c r="C465" s="17">
        <f t="shared" si="1"/>
        <v>1601</v>
      </c>
      <c r="D465" s="16">
        <v>1973.0</v>
      </c>
      <c r="E465" s="16" t="b">
        <v>1</v>
      </c>
      <c r="F465" s="16" t="b">
        <v>1</v>
      </c>
      <c r="G465" s="16" t="b">
        <v>0</v>
      </c>
      <c r="H465" s="16" t="b">
        <v>1</v>
      </c>
      <c r="I465" s="16" t="b">
        <v>0</v>
      </c>
      <c r="J465" s="18" t="b">
        <v>0</v>
      </c>
      <c r="K465" s="16">
        <v>840.0</v>
      </c>
      <c r="L465" s="16">
        <v>392.3</v>
      </c>
      <c r="M465" s="16">
        <v>456.5</v>
      </c>
      <c r="N465" s="16">
        <v>10.0</v>
      </c>
      <c r="O465" s="16">
        <v>0.98125</v>
      </c>
      <c r="P465" s="16">
        <v>0.97</v>
      </c>
      <c r="Q465" s="19">
        <f t="shared" si="2"/>
        <v>47.6231749</v>
      </c>
      <c r="R465" s="20">
        <f t="shared" si="3"/>
        <v>4.081060413</v>
      </c>
      <c r="S465" s="21">
        <f t="shared" si="4"/>
        <v>4</v>
      </c>
      <c r="T465" s="17">
        <f t="shared" si="119"/>
        <v>1601</v>
      </c>
      <c r="U465" s="22">
        <f>T465/vlookup(A465,Max!$A$2:$AP$700,column(Max!$AP$2),false)</f>
        <v>1.617171717</v>
      </c>
      <c r="V465" s="17">
        <f t="shared" si="6"/>
        <v>322.7833828</v>
      </c>
      <c r="W465" s="23">
        <f t="shared" si="7"/>
        <v>3.588055023</v>
      </c>
      <c r="X465" s="23">
        <f t="shared" si="8"/>
        <v>1.52532365</v>
      </c>
      <c r="Y465" s="23">
        <f t="shared" si="9"/>
        <v>1</v>
      </c>
      <c r="Z465" s="23">
        <f t="shared" si="10"/>
        <v>0.9063386981</v>
      </c>
      <c r="AA465" s="26">
        <f t="shared" si="11"/>
        <v>0</v>
      </c>
      <c r="AB465" s="25">
        <v>0.0</v>
      </c>
      <c r="AC465" s="26" t="str">
        <f t="shared" si="40"/>
        <v>{
$name$: $RD-57$,
$config$: $RD57$,
$cost$: 1601
},</v>
      </c>
      <c r="AD465" s="26" t="str">
        <f t="shared" si="41"/>
        <v/>
      </c>
      <c r="AE465" s="26" t="str">
        <f t="shared" si="115"/>
        <v/>
      </c>
      <c r="AF465" s="26" t="str">
        <f t="shared" si="78"/>
        <v/>
      </c>
      <c r="AG465" s="26" t="str">
        <f t="shared" si="79"/>
        <v/>
      </c>
    </row>
    <row r="466" ht="15.75" customHeight="1">
      <c r="A466" s="7" t="s">
        <v>627</v>
      </c>
      <c r="B466" s="7" t="s">
        <v>626</v>
      </c>
      <c r="C466" s="8">
        <f t="shared" si="1"/>
        <v>238</v>
      </c>
      <c r="D466" s="7">
        <v>1994.0</v>
      </c>
      <c r="E466" s="7" t="b">
        <v>1</v>
      </c>
      <c r="F466" s="7" t="b">
        <v>1</v>
      </c>
      <c r="G466" s="7" t="b">
        <v>0</v>
      </c>
      <c r="H466" s="7" t="b">
        <v>1</v>
      </c>
      <c r="I466" s="7" t="b">
        <v>0</v>
      </c>
      <c r="J466" s="9" t="b">
        <v>0</v>
      </c>
      <c r="K466" s="7">
        <v>874.0</v>
      </c>
      <c r="L466" s="7">
        <v>432.0</v>
      </c>
      <c r="M466" s="7">
        <v>461.0</v>
      </c>
      <c r="N466" s="7">
        <v>11.5</v>
      </c>
      <c r="O466" s="7">
        <v>0.989286</v>
      </c>
      <c r="P466" s="7">
        <v>0.978571</v>
      </c>
      <c r="Q466" s="10">
        <f t="shared" si="2"/>
        <v>50.40244882</v>
      </c>
      <c r="R466" s="11">
        <f t="shared" si="3"/>
        <v>4.256944444</v>
      </c>
      <c r="S466" s="12">
        <f t="shared" si="4"/>
        <v>4</v>
      </c>
      <c r="T466" s="8">
        <f t="shared" si="119"/>
        <v>1839</v>
      </c>
      <c r="U466" s="13">
        <f>T466/vlookup(A466,Max!$A$2:$AP$700,column(Max!$AP$2),false)</f>
        <v>2.215662651</v>
      </c>
      <c r="V466" s="8">
        <f t="shared" si="6"/>
        <v>329.9412479</v>
      </c>
      <c r="W466" s="14">
        <f t="shared" si="7"/>
        <v>3.744738719</v>
      </c>
      <c r="X466" s="14">
        <f t="shared" si="8"/>
        <v>1.574051792</v>
      </c>
      <c r="Y466" s="14">
        <f t="shared" si="9"/>
        <v>1</v>
      </c>
      <c r="Z466" s="14">
        <f t="shared" si="10"/>
        <v>0.9455783599</v>
      </c>
      <c r="AA466" s="27">
        <f t="shared" si="11"/>
        <v>238</v>
      </c>
      <c r="AB466" s="15">
        <f t="shared" ref="AB466:AB467" si="127">if(iserror(find("$",A466)),1,2)</f>
        <v>1</v>
      </c>
      <c r="AC466" s="15" t="str">
        <f t="shared" si="40"/>
        <v/>
      </c>
      <c r="AD466" s="15" t="str">
        <f t="shared" si="41"/>
        <v>$RD-57M$: 238,</v>
      </c>
      <c r="AE466" s="15" t="str">
        <f t="shared" si="115"/>
        <v/>
      </c>
      <c r="AF466" s="15" t="str">
        <f t="shared" si="78"/>
        <v/>
      </c>
      <c r="AG466" s="15" t="str">
        <f t="shared" si="79"/>
        <v/>
      </c>
    </row>
    <row r="467" ht="15.75" customHeight="1">
      <c r="A467" s="16" t="s">
        <v>628</v>
      </c>
      <c r="B467" s="16" t="s">
        <v>626</v>
      </c>
      <c r="C467" s="17">
        <f t="shared" si="1"/>
        <v>-156</v>
      </c>
      <c r="D467" s="16">
        <v>2007.0</v>
      </c>
      <c r="E467" s="16" t="b">
        <v>1</v>
      </c>
      <c r="F467" s="16" t="b">
        <v>1</v>
      </c>
      <c r="G467" s="16" t="b">
        <v>0</v>
      </c>
      <c r="H467" s="16" t="b">
        <v>1</v>
      </c>
      <c r="I467" s="16" t="b">
        <v>0</v>
      </c>
      <c r="J467" s="18" t="b">
        <v>0</v>
      </c>
      <c r="K467" s="16">
        <v>550.0</v>
      </c>
      <c r="L467" s="16">
        <v>395.0</v>
      </c>
      <c r="M467" s="16">
        <v>460.0</v>
      </c>
      <c r="N467" s="16">
        <v>11.5</v>
      </c>
      <c r="O467" s="16">
        <v>0.989286</v>
      </c>
      <c r="P467" s="16">
        <v>0.987</v>
      </c>
      <c r="Q467" s="19">
        <f t="shared" si="2"/>
        <v>73.23416417</v>
      </c>
      <c r="R467" s="20">
        <f t="shared" si="3"/>
        <v>3.658227848</v>
      </c>
      <c r="S467" s="21">
        <f t="shared" si="4"/>
        <v>4</v>
      </c>
      <c r="T467" s="17">
        <f t="shared" si="119"/>
        <v>1445</v>
      </c>
      <c r="U467" s="22">
        <f>T467/vlookup(A467,Max!$A$2:$AP$700,column(Max!$AP$2),false)</f>
        <v>1.642045455</v>
      </c>
      <c r="V467" s="17">
        <f t="shared" si="6"/>
        <v>256.1058798</v>
      </c>
      <c r="W467" s="23">
        <f t="shared" si="7"/>
        <v>3.709244853</v>
      </c>
      <c r="X467" s="23">
        <f t="shared" si="8"/>
        <v>1.574051792</v>
      </c>
      <c r="Y467" s="23">
        <f t="shared" si="9"/>
        <v>1</v>
      </c>
      <c r="Z467" s="23">
        <f t="shared" si="10"/>
        <v>0.9660721292</v>
      </c>
      <c r="AA467" s="24">
        <f t="shared" si="11"/>
        <v>-156</v>
      </c>
      <c r="AB467" s="26">
        <f t="shared" si="127"/>
        <v>1</v>
      </c>
      <c r="AC467" s="26" t="str">
        <f t="shared" si="40"/>
        <v/>
      </c>
      <c r="AD467" s="26" t="str">
        <f t="shared" si="41"/>
        <v>$RD-57A-1$: -156,</v>
      </c>
      <c r="AE467" s="26" t="str">
        <f t="shared" si="115"/>
        <v/>
      </c>
      <c r="AF467" s="26" t="str">
        <f t="shared" si="78"/>
        <v/>
      </c>
      <c r="AG467" s="26" t="str">
        <f t="shared" si="79"/>
        <v/>
      </c>
    </row>
    <row r="468" ht="15.75" customHeight="1">
      <c r="A468" s="7" t="s">
        <v>629</v>
      </c>
      <c r="B468" s="7" t="s">
        <v>630</v>
      </c>
      <c r="C468" s="8">
        <f t="shared" si="1"/>
        <v>165</v>
      </c>
      <c r="D468" s="7">
        <v>1961.0</v>
      </c>
      <c r="E468" s="7"/>
      <c r="F468" s="7" t="b">
        <v>1</v>
      </c>
      <c r="G468" s="7" t="b">
        <v>0</v>
      </c>
      <c r="H468" s="7" t="b">
        <v>1</v>
      </c>
      <c r="I468" s="7" t="b">
        <v>0</v>
      </c>
      <c r="J468" s="9" t="b">
        <v>0</v>
      </c>
      <c r="K468" s="7">
        <v>153.0</v>
      </c>
      <c r="L468" s="7">
        <v>63.7</v>
      </c>
      <c r="M468" s="7">
        <v>338.6</v>
      </c>
      <c r="N468" s="7">
        <v>5.3</v>
      </c>
      <c r="O468" s="7">
        <v>0.98908</v>
      </c>
      <c r="P468" s="7">
        <v>0.986905</v>
      </c>
      <c r="Q468" s="10">
        <f t="shared" si="2"/>
        <v>42.45485136</v>
      </c>
      <c r="R468" s="11">
        <f t="shared" si="3"/>
        <v>2.590266876</v>
      </c>
      <c r="S468" s="12">
        <f t="shared" si="4"/>
        <v>4</v>
      </c>
      <c r="T468" s="8">
        <f t="shared" si="119"/>
        <v>165</v>
      </c>
      <c r="U468" s="13">
        <f>T468/vlookup(A468,Max!$A$2:$AP$700,column(Max!$AP$2),false)</f>
        <v>1.755319149</v>
      </c>
      <c r="V468" s="8">
        <f t="shared" si="6"/>
        <v>98.59860449</v>
      </c>
      <c r="W468" s="14">
        <f t="shared" si="7"/>
        <v>1.314190443</v>
      </c>
      <c r="X468" s="14">
        <f t="shared" si="8"/>
        <v>1.322281966</v>
      </c>
      <c r="Y468" s="14">
        <f t="shared" si="9"/>
        <v>1</v>
      </c>
      <c r="Z468" s="14">
        <f t="shared" si="10"/>
        <v>0.9653369659</v>
      </c>
      <c r="AA468" s="15">
        <f t="shared" si="11"/>
        <v>0</v>
      </c>
      <c r="AB468" s="29">
        <v>0.0</v>
      </c>
      <c r="AC468" s="15" t="str">
        <f t="shared" si="40"/>
        <v>{
$name$: $S1.5400$,
$config$: $RD58$,
$cost$: 165
},</v>
      </c>
      <c r="AD468" s="15" t="str">
        <f t="shared" si="41"/>
        <v/>
      </c>
      <c r="AE468" s="15" t="str">
        <f t="shared" si="115"/>
        <v/>
      </c>
      <c r="AF468" s="15" t="str">
        <f t="shared" si="78"/>
        <v/>
      </c>
      <c r="AG468" s="15" t="str">
        <f t="shared" si="79"/>
        <v/>
      </c>
    </row>
    <row r="469" ht="15.75" customHeight="1">
      <c r="A469" s="16" t="s">
        <v>631</v>
      </c>
      <c r="B469" s="16" t="s">
        <v>630</v>
      </c>
      <c r="C469" s="17">
        <f t="shared" si="1"/>
        <v>10</v>
      </c>
      <c r="D469" s="16">
        <v>1964.0</v>
      </c>
      <c r="E469" s="16"/>
      <c r="F469" s="16" t="b">
        <v>1</v>
      </c>
      <c r="G469" s="16" t="b">
        <v>0</v>
      </c>
      <c r="H469" s="16" t="b">
        <v>1</v>
      </c>
      <c r="I469" s="16" t="b">
        <v>0</v>
      </c>
      <c r="J469" s="18" t="b">
        <v>0</v>
      </c>
      <c r="K469" s="16">
        <v>153.0</v>
      </c>
      <c r="L469" s="16">
        <v>66.7</v>
      </c>
      <c r="M469" s="16">
        <v>340.0</v>
      </c>
      <c r="N469" s="16">
        <v>5.35</v>
      </c>
      <c r="O469" s="16">
        <v>0.995982</v>
      </c>
      <c r="P469" s="16">
        <v>0.997892</v>
      </c>
      <c r="Q469" s="19">
        <f t="shared" si="2"/>
        <v>44.45429491</v>
      </c>
      <c r="R469" s="20">
        <f t="shared" si="3"/>
        <v>2.623688156</v>
      </c>
      <c r="S469" s="21">
        <f t="shared" si="4"/>
        <v>4</v>
      </c>
      <c r="T469" s="17">
        <f t="shared" si="119"/>
        <v>175</v>
      </c>
      <c r="U469" s="22">
        <f>T469/vlookup(A469,Max!$A$2:$AP$700,column(Max!$AP$2),false)</f>
        <v>1.75</v>
      </c>
      <c r="V469" s="17">
        <f t="shared" si="6"/>
        <v>98.59860449</v>
      </c>
      <c r="W469" s="23">
        <f t="shared" si="7"/>
        <v>1.328038609</v>
      </c>
      <c r="X469" s="23">
        <f t="shared" si="8"/>
        <v>1.325078493</v>
      </c>
      <c r="Y469" s="23">
        <f t="shared" si="9"/>
        <v>1</v>
      </c>
      <c r="Z469" s="23">
        <f t="shared" si="10"/>
        <v>1.009833073</v>
      </c>
      <c r="AA469" s="24">
        <f t="shared" si="11"/>
        <v>10</v>
      </c>
      <c r="AB469" s="26">
        <f t="shared" ref="AB469:AB475" si="128">if(iserror(find("$",A469)),1,2)</f>
        <v>1</v>
      </c>
      <c r="AC469" s="26" t="str">
        <f t="shared" si="40"/>
        <v/>
      </c>
      <c r="AD469" s="26" t="str">
        <f t="shared" si="41"/>
        <v>$11D33$: 10,</v>
      </c>
      <c r="AE469" s="26" t="str">
        <f t="shared" si="115"/>
        <v/>
      </c>
      <c r="AF469" s="26" t="str">
        <f t="shared" si="78"/>
        <v/>
      </c>
      <c r="AG469" s="26" t="str">
        <f t="shared" si="79"/>
        <v/>
      </c>
    </row>
    <row r="470" ht="15.75" customHeight="1">
      <c r="A470" s="7" t="s">
        <v>632</v>
      </c>
      <c r="B470" s="7" t="s">
        <v>630</v>
      </c>
      <c r="C470" s="8">
        <f t="shared" si="1"/>
        <v>10</v>
      </c>
      <c r="D470" s="7">
        <v>1966.0</v>
      </c>
      <c r="E470" s="7"/>
      <c r="F470" s="7" t="b">
        <v>1</v>
      </c>
      <c r="G470" s="7" t="b">
        <v>0</v>
      </c>
      <c r="H470" s="7" t="b">
        <v>1</v>
      </c>
      <c r="I470" s="7" t="b">
        <v>0</v>
      </c>
      <c r="J470" s="9" t="b">
        <v>0</v>
      </c>
      <c r="K470" s="7">
        <v>148.0</v>
      </c>
      <c r="L470" s="7">
        <v>67.3</v>
      </c>
      <c r="M470" s="7">
        <v>342.2</v>
      </c>
      <c r="N470" s="7">
        <v>5.4</v>
      </c>
      <c r="O470" s="7">
        <v>0.996173</v>
      </c>
      <c r="P470" s="7">
        <v>0.998454</v>
      </c>
      <c r="Q470" s="10">
        <f t="shared" si="2"/>
        <v>46.36952766</v>
      </c>
      <c r="R470" s="11">
        <f t="shared" si="3"/>
        <v>2.600297177</v>
      </c>
      <c r="S470" s="12">
        <f t="shared" si="4"/>
        <v>4</v>
      </c>
      <c r="T470" s="8">
        <f t="shared" si="119"/>
        <v>175</v>
      </c>
      <c r="U470" s="13">
        <f>T470/vlookup(A470,Max!$A$2:$AP$700,column(Max!$AP$2),false)</f>
        <v>1.767676768</v>
      </c>
      <c r="V470" s="8">
        <f t="shared" si="6"/>
        <v>96.63426563</v>
      </c>
      <c r="W470" s="14">
        <f t="shared" si="7"/>
        <v>1.350200184</v>
      </c>
      <c r="X470" s="14">
        <f t="shared" si="8"/>
        <v>1.327854837</v>
      </c>
      <c r="Y470" s="14">
        <f t="shared" si="9"/>
        <v>1</v>
      </c>
      <c r="Z470" s="14">
        <f t="shared" si="10"/>
        <v>1.011740378</v>
      </c>
      <c r="AA470" s="27">
        <f t="shared" si="11"/>
        <v>10</v>
      </c>
      <c r="AB470" s="15">
        <f t="shared" si="128"/>
        <v>1</v>
      </c>
      <c r="AC470" s="15" t="str">
        <f t="shared" si="40"/>
        <v/>
      </c>
      <c r="AD470" s="15" t="str">
        <f t="shared" si="41"/>
        <v>$11D33M$: 10,</v>
      </c>
      <c r="AE470" s="15" t="str">
        <f t="shared" si="115"/>
        <v/>
      </c>
      <c r="AF470" s="15" t="str">
        <f t="shared" si="78"/>
        <v/>
      </c>
      <c r="AG470" s="15" t="str">
        <f t="shared" si="79"/>
        <v/>
      </c>
    </row>
    <row r="471" ht="15.75" customHeight="1">
      <c r="A471" s="16" t="s">
        <v>633</v>
      </c>
      <c r="B471" s="16" t="s">
        <v>630</v>
      </c>
      <c r="C471" s="17">
        <f t="shared" si="1"/>
        <v>76</v>
      </c>
      <c r="D471" s="16">
        <v>1967.0</v>
      </c>
      <c r="E471" s="16"/>
      <c r="F471" s="16" t="b">
        <v>1</v>
      </c>
      <c r="G471" s="16" t="b">
        <v>0</v>
      </c>
      <c r="H471" s="16" t="b">
        <v>1</v>
      </c>
      <c r="I471" s="16" t="b">
        <v>0</v>
      </c>
      <c r="J471" s="18" t="b">
        <v>0</v>
      </c>
      <c r="K471" s="16">
        <v>230.0</v>
      </c>
      <c r="L471" s="16">
        <v>83.36</v>
      </c>
      <c r="M471" s="16">
        <v>349.0</v>
      </c>
      <c r="N471" s="16">
        <v>6.98</v>
      </c>
      <c r="O471" s="16">
        <v>0.988281</v>
      </c>
      <c r="P471" s="16">
        <v>0.982813</v>
      </c>
      <c r="Q471" s="19">
        <f t="shared" si="2"/>
        <v>36.95806229</v>
      </c>
      <c r="R471" s="20">
        <f t="shared" si="3"/>
        <v>2.891074856</v>
      </c>
      <c r="S471" s="21">
        <f t="shared" si="4"/>
        <v>4</v>
      </c>
      <c r="T471" s="17">
        <f t="shared" si="119"/>
        <v>241</v>
      </c>
      <c r="U471" s="22">
        <f>T471/vlookup(A471,Max!$A$2:$AP$700,column(Max!$AP$2),false)</f>
        <v>2.190909091</v>
      </c>
      <c r="V471" s="17">
        <f t="shared" si="6"/>
        <v>126.2812344</v>
      </c>
      <c r="W471" s="23">
        <f t="shared" si="7"/>
        <v>1.421908687</v>
      </c>
      <c r="X471" s="23">
        <f t="shared" si="8"/>
        <v>1.406790653</v>
      </c>
      <c r="Y471" s="23">
        <f t="shared" si="9"/>
        <v>1</v>
      </c>
      <c r="Z471" s="23">
        <f t="shared" si="10"/>
        <v>0.9534333951</v>
      </c>
      <c r="AA471" s="24">
        <f t="shared" si="11"/>
        <v>76</v>
      </c>
      <c r="AB471" s="26">
        <f t="shared" si="128"/>
        <v>1</v>
      </c>
      <c r="AC471" s="26" t="str">
        <f t="shared" si="40"/>
        <v/>
      </c>
      <c r="AD471" s="26" t="str">
        <f t="shared" si="41"/>
        <v>$RD-58$: 76,</v>
      </c>
      <c r="AE471" s="26" t="str">
        <f t="shared" si="115"/>
        <v/>
      </c>
      <c r="AF471" s="26" t="str">
        <f t="shared" si="78"/>
        <v/>
      </c>
      <c r="AG471" s="26" t="str">
        <f t="shared" si="79"/>
        <v/>
      </c>
    </row>
    <row r="472" ht="15.75" customHeight="1">
      <c r="A472" s="7" t="s">
        <v>634</v>
      </c>
      <c r="B472" s="7" t="s">
        <v>630</v>
      </c>
      <c r="C472" s="8">
        <f t="shared" si="1"/>
        <v>111</v>
      </c>
      <c r="D472" s="7">
        <v>1974.0</v>
      </c>
      <c r="E472" s="7"/>
      <c r="F472" s="7" t="b">
        <v>1</v>
      </c>
      <c r="G472" s="7" t="b">
        <v>0</v>
      </c>
      <c r="H472" s="7" t="b">
        <v>1</v>
      </c>
      <c r="I472" s="7" t="b">
        <v>0</v>
      </c>
      <c r="J472" s="9" t="b">
        <v>0</v>
      </c>
      <c r="K472" s="7">
        <v>230.0</v>
      </c>
      <c r="L472" s="7">
        <v>83.36</v>
      </c>
      <c r="M472" s="7">
        <v>356.0</v>
      </c>
      <c r="N472" s="7">
        <v>7.74</v>
      </c>
      <c r="O472" s="7">
        <v>0.996521</v>
      </c>
      <c r="P472" s="7">
        <v>0.998177</v>
      </c>
      <c r="Q472" s="10">
        <f t="shared" si="2"/>
        <v>36.95806229</v>
      </c>
      <c r="R472" s="11">
        <f t="shared" si="3"/>
        <v>3.310940499</v>
      </c>
      <c r="S472" s="12">
        <f t="shared" si="4"/>
        <v>4</v>
      </c>
      <c r="T472" s="8">
        <f t="shared" si="119"/>
        <v>276</v>
      </c>
      <c r="U472" s="13">
        <f>T472/vlookup(A472,Max!$A$2:$AP$700,column(Max!$AP$2),false)</f>
        <v>2.4</v>
      </c>
      <c r="V472" s="8">
        <f t="shared" si="6"/>
        <v>126.2812344</v>
      </c>
      <c r="W472" s="14">
        <f t="shared" si="7"/>
        <v>1.501090526</v>
      </c>
      <c r="X472" s="14">
        <f t="shared" si="8"/>
        <v>1.439888026</v>
      </c>
      <c r="Y472" s="14">
        <f t="shared" si="9"/>
        <v>1</v>
      </c>
      <c r="Z472" s="14">
        <f t="shared" si="10"/>
        <v>1.011922023</v>
      </c>
      <c r="AA472" s="27">
        <f t="shared" si="11"/>
        <v>111</v>
      </c>
      <c r="AB472" s="15">
        <f t="shared" si="128"/>
        <v>1</v>
      </c>
      <c r="AC472" s="15" t="str">
        <f t="shared" si="40"/>
        <v/>
      </c>
      <c r="AD472" s="15" t="str">
        <f t="shared" si="41"/>
        <v>$RD-58M$: 111,</v>
      </c>
      <c r="AE472" s="15" t="str">
        <f t="shared" si="115"/>
        <v/>
      </c>
      <c r="AF472" s="15" t="str">
        <f t="shared" si="78"/>
        <v/>
      </c>
      <c r="AG472" s="15" t="str">
        <f t="shared" si="79"/>
        <v/>
      </c>
    </row>
    <row r="473" ht="15.75" customHeight="1">
      <c r="A473" s="16" t="s">
        <v>635</v>
      </c>
      <c r="B473" s="16" t="s">
        <v>630</v>
      </c>
      <c r="C473" s="17">
        <f t="shared" si="1"/>
        <v>127</v>
      </c>
      <c r="D473" s="16">
        <v>1981.0</v>
      </c>
      <c r="E473" s="16"/>
      <c r="F473" s="16" t="b">
        <v>1</v>
      </c>
      <c r="G473" s="16" t="b">
        <v>0</v>
      </c>
      <c r="H473" s="16" t="b">
        <v>1</v>
      </c>
      <c r="I473" s="16" t="b">
        <v>0</v>
      </c>
      <c r="J473" s="18" t="b">
        <v>0</v>
      </c>
      <c r="K473" s="16">
        <v>230.0</v>
      </c>
      <c r="L473" s="16">
        <v>86.24</v>
      </c>
      <c r="M473" s="16">
        <v>362.0</v>
      </c>
      <c r="N473" s="16">
        <v>7.94</v>
      </c>
      <c r="O473" s="16">
        <v>0.998</v>
      </c>
      <c r="P473" s="16">
        <v>0.998</v>
      </c>
      <c r="Q473" s="19">
        <f t="shared" si="2"/>
        <v>38.23492433</v>
      </c>
      <c r="R473" s="20">
        <f t="shared" si="3"/>
        <v>3.385899814</v>
      </c>
      <c r="S473" s="21">
        <f t="shared" si="4"/>
        <v>4</v>
      </c>
      <c r="T473" s="17">
        <f t="shared" si="119"/>
        <v>292</v>
      </c>
      <c r="U473" s="22">
        <f>T473/vlookup(A473,Max!$A$2:$AP$700,column(Max!$AP$2),false)</f>
        <v>2.539130435</v>
      </c>
      <c r="V473" s="17">
        <f t="shared" si="6"/>
        <v>126.2812344</v>
      </c>
      <c r="W473" s="23">
        <f t="shared" si="7"/>
        <v>1.573611022</v>
      </c>
      <c r="X473" s="23">
        <f t="shared" si="8"/>
        <v>1.448176905</v>
      </c>
      <c r="Y473" s="23">
        <f t="shared" si="9"/>
        <v>1</v>
      </c>
      <c r="Z473" s="23">
        <f t="shared" si="10"/>
        <v>1.015230648</v>
      </c>
      <c r="AA473" s="24">
        <f t="shared" si="11"/>
        <v>127</v>
      </c>
      <c r="AB473" s="26">
        <f t="shared" si="128"/>
        <v>1</v>
      </c>
      <c r="AC473" s="26" t="str">
        <f t="shared" si="40"/>
        <v/>
      </c>
      <c r="AD473" s="26" t="str">
        <f t="shared" si="41"/>
        <v>$17D12$: 127,</v>
      </c>
      <c r="AE473" s="26" t="str">
        <f t="shared" si="115"/>
        <v/>
      </c>
      <c r="AF473" s="26" t="str">
        <f t="shared" si="78"/>
        <v/>
      </c>
      <c r="AG473" s="26" t="str">
        <f t="shared" si="79"/>
        <v/>
      </c>
    </row>
    <row r="474" ht="15.75" customHeight="1">
      <c r="A474" s="7" t="s">
        <v>636</v>
      </c>
      <c r="B474" s="7" t="s">
        <v>630</v>
      </c>
      <c r="C474" s="8">
        <f t="shared" si="1"/>
        <v>120</v>
      </c>
      <c r="D474" s="7">
        <v>1995.0</v>
      </c>
      <c r="E474" s="7"/>
      <c r="F474" s="7" t="b">
        <v>1</v>
      </c>
      <c r="G474" s="7" t="b">
        <v>0</v>
      </c>
      <c r="H474" s="7" t="b">
        <v>1</v>
      </c>
      <c r="I474" s="7" t="b">
        <v>0</v>
      </c>
      <c r="J474" s="9" t="b">
        <v>0</v>
      </c>
      <c r="K474" s="7">
        <v>230.0</v>
      </c>
      <c r="L474" s="7">
        <v>86.3</v>
      </c>
      <c r="M474" s="7">
        <v>361.0</v>
      </c>
      <c r="N474" s="7">
        <v>7.94</v>
      </c>
      <c r="O474" s="7">
        <v>0.99321</v>
      </c>
      <c r="P474" s="7">
        <v>0.99625</v>
      </c>
      <c r="Q474" s="10">
        <f t="shared" si="2"/>
        <v>38.26152562</v>
      </c>
      <c r="R474" s="11">
        <f t="shared" si="3"/>
        <v>3.302433372</v>
      </c>
      <c r="S474" s="12">
        <f t="shared" si="4"/>
        <v>4</v>
      </c>
      <c r="T474" s="8">
        <f t="shared" si="119"/>
        <v>285</v>
      </c>
      <c r="U474" s="13">
        <f>T474/vlookup(A474,Max!$A$2:$AP$700,column(Max!$AP$2),false)</f>
        <v>3.8</v>
      </c>
      <c r="V474" s="8">
        <f t="shared" si="6"/>
        <v>126.2812344</v>
      </c>
      <c r="W474" s="14">
        <f t="shared" si="7"/>
        <v>1.561213074</v>
      </c>
      <c r="X474" s="14">
        <f t="shared" si="8"/>
        <v>1.448176905</v>
      </c>
      <c r="Y474" s="14">
        <f t="shared" si="9"/>
        <v>1</v>
      </c>
      <c r="Z474" s="14">
        <f t="shared" si="10"/>
        <v>0.9987011693</v>
      </c>
      <c r="AA474" s="27">
        <f t="shared" si="11"/>
        <v>120</v>
      </c>
      <c r="AB474" s="15">
        <f t="shared" si="128"/>
        <v>1</v>
      </c>
      <c r="AC474" s="15" t="str">
        <f t="shared" si="40"/>
        <v/>
      </c>
      <c r="AD474" s="15" t="str">
        <f t="shared" si="41"/>
        <v>$RD-58S$: 120,</v>
      </c>
      <c r="AE474" s="15" t="str">
        <f t="shared" si="115"/>
        <v/>
      </c>
      <c r="AF474" s="15" t="str">
        <f t="shared" si="78"/>
        <v/>
      </c>
      <c r="AG474" s="15" t="str">
        <f t="shared" si="79"/>
        <v/>
      </c>
    </row>
    <row r="475" ht="15.75" customHeight="1">
      <c r="A475" s="16" t="s">
        <v>637</v>
      </c>
      <c r="B475" s="16" t="s">
        <v>630</v>
      </c>
      <c r="C475" s="17">
        <f t="shared" si="1"/>
        <v>197</v>
      </c>
      <c r="D475" s="16">
        <v>2004.0</v>
      </c>
      <c r="E475" s="16"/>
      <c r="F475" s="16" t="b">
        <v>1</v>
      </c>
      <c r="G475" s="16" t="b">
        <v>0</v>
      </c>
      <c r="H475" s="16" t="b">
        <v>1</v>
      </c>
      <c r="I475" s="16" t="b">
        <v>0</v>
      </c>
      <c r="J475" s="18" t="b">
        <v>0</v>
      </c>
      <c r="K475" s="16">
        <v>340.0</v>
      </c>
      <c r="L475" s="16">
        <v>85.0</v>
      </c>
      <c r="M475" s="16">
        <v>361.0</v>
      </c>
      <c r="N475" s="16">
        <v>7.94</v>
      </c>
      <c r="O475" s="16">
        <v>0.998125</v>
      </c>
      <c r="P475" s="16">
        <v>0.991463</v>
      </c>
      <c r="Q475" s="19">
        <f t="shared" si="2"/>
        <v>25.49290525</v>
      </c>
      <c r="R475" s="20">
        <f t="shared" si="3"/>
        <v>4.258823529</v>
      </c>
      <c r="S475" s="21">
        <f t="shared" si="4"/>
        <v>4</v>
      </c>
      <c r="T475" s="17">
        <f t="shared" si="119"/>
        <v>362</v>
      </c>
      <c r="U475" s="22">
        <f>T475/vlookup(A475,Max!$A$2:$AP$700,column(Max!$AP$2),false)</f>
        <v>4.763157895</v>
      </c>
      <c r="V475" s="17">
        <f t="shared" si="6"/>
        <v>160.2484336</v>
      </c>
      <c r="W475" s="23">
        <f t="shared" si="7"/>
        <v>1.561213074</v>
      </c>
      <c r="X475" s="23">
        <f t="shared" si="8"/>
        <v>1.448176905</v>
      </c>
      <c r="Y475" s="23">
        <f t="shared" si="9"/>
        <v>1</v>
      </c>
      <c r="Z475" s="23">
        <f t="shared" si="10"/>
        <v>0.9990003173</v>
      </c>
      <c r="AA475" s="24">
        <f t="shared" si="11"/>
        <v>197</v>
      </c>
      <c r="AB475" s="26">
        <f t="shared" si="128"/>
        <v>1</v>
      </c>
      <c r="AC475" s="26" t="str">
        <f t="shared" si="40"/>
        <v/>
      </c>
      <c r="AD475" s="26" t="str">
        <f t="shared" si="41"/>
        <v>$RD-58M-CCN$: 197,</v>
      </c>
      <c r="AE475" s="26" t="str">
        <f t="shared" si="115"/>
        <v/>
      </c>
      <c r="AF475" s="26" t="str">
        <f t="shared" si="78"/>
        <v/>
      </c>
      <c r="AG475" s="26" t="str">
        <f t="shared" si="79"/>
        <v/>
      </c>
    </row>
    <row r="476" ht="15.75" customHeight="1">
      <c r="A476" s="7" t="s">
        <v>638</v>
      </c>
      <c r="B476" s="7" t="s">
        <v>639</v>
      </c>
      <c r="C476" s="8">
        <f t="shared" si="1"/>
        <v>2493</v>
      </c>
      <c r="D476" s="7">
        <v>2003.0</v>
      </c>
      <c r="E476" s="7" t="b">
        <v>1</v>
      </c>
      <c r="F476" s="7" t="b">
        <v>1</v>
      </c>
      <c r="G476" s="7" t="b">
        <v>0</v>
      </c>
      <c r="H476" s="7" t="b">
        <v>0</v>
      </c>
      <c r="I476" s="7" t="b">
        <v>0</v>
      </c>
      <c r="J476" s="9" t="b">
        <v>0</v>
      </c>
      <c r="K476" s="7">
        <v>4420.0</v>
      </c>
      <c r="L476" s="7">
        <v>4004.0</v>
      </c>
      <c r="M476" s="7">
        <v>415.0</v>
      </c>
      <c r="N476" s="7">
        <v>2.94</v>
      </c>
      <c r="O476" s="7"/>
      <c r="P476" s="7"/>
      <c r="Q476" s="10">
        <f t="shared" si="2"/>
        <v>92.37429196</v>
      </c>
      <c r="R476" s="11">
        <f t="shared" si="3"/>
        <v>0.6226273726</v>
      </c>
      <c r="S476" s="12">
        <f t="shared" si="4"/>
        <v>4</v>
      </c>
      <c r="T476" s="8">
        <f t="shared" si="119"/>
        <v>2493</v>
      </c>
      <c r="U476" s="13">
        <f>T476/vlookup(A476,Max!$A$2:$AP$700,column(Max!$AP$2),false)</f>
        <v>0.311625</v>
      </c>
      <c r="V476" s="8">
        <f t="shared" si="6"/>
        <v>835.1937593</v>
      </c>
      <c r="W476" s="14">
        <f t="shared" si="7"/>
        <v>2.454130179</v>
      </c>
      <c r="X476" s="14">
        <f t="shared" si="8"/>
        <v>1.216149236</v>
      </c>
      <c r="Y476" s="14">
        <f t="shared" si="9"/>
        <v>1</v>
      </c>
      <c r="Z476" s="14">
        <f t="shared" si="10"/>
        <v>1</v>
      </c>
      <c r="AA476" s="15">
        <f t="shared" si="11"/>
        <v>0</v>
      </c>
      <c r="AB476" s="29">
        <v>0.0</v>
      </c>
      <c r="AC476" s="15" t="str">
        <f t="shared" si="40"/>
        <v>{
$name$: $RD-701$,
$config$: $RD701$,
$cost$: 2493
},</v>
      </c>
      <c r="AD476" s="15" t="str">
        <f t="shared" si="41"/>
        <v/>
      </c>
      <c r="AE476" s="15" t="str">
        <f t="shared" si="115"/>
        <v/>
      </c>
      <c r="AF476" s="15" t="str">
        <f t="shared" si="78"/>
        <v/>
      </c>
      <c r="AG476" s="15" t="str">
        <f t="shared" si="79"/>
        <v/>
      </c>
    </row>
    <row r="477" ht="15.75" customHeight="1">
      <c r="A477" s="16" t="s">
        <v>640</v>
      </c>
      <c r="B477" s="16" t="s">
        <v>641</v>
      </c>
      <c r="C477" s="17">
        <f t="shared" si="1"/>
        <v>1634</v>
      </c>
      <c r="D477" s="16">
        <v>2003.0</v>
      </c>
      <c r="E477" s="16" t="b">
        <v>1</v>
      </c>
      <c r="F477" s="16" t="b">
        <v>1</v>
      </c>
      <c r="G477" s="16" t="b">
        <v>0</v>
      </c>
      <c r="H477" s="16" t="b">
        <v>0</v>
      </c>
      <c r="I477" s="16" t="b">
        <v>0</v>
      </c>
      <c r="J477" s="18" t="b">
        <v>0</v>
      </c>
      <c r="K477" s="16">
        <v>2420.0</v>
      </c>
      <c r="L477" s="16">
        <v>2002.0</v>
      </c>
      <c r="M477" s="16">
        <v>407.0</v>
      </c>
      <c r="N477" s="16">
        <v>2.94</v>
      </c>
      <c r="O477" s="16"/>
      <c r="P477" s="16"/>
      <c r="Q477" s="19">
        <f t="shared" si="2"/>
        <v>84.35834101</v>
      </c>
      <c r="R477" s="20">
        <f t="shared" si="3"/>
        <v>0.8161838162</v>
      </c>
      <c r="S477" s="21">
        <f t="shared" si="4"/>
        <v>4</v>
      </c>
      <c r="T477" s="17">
        <f t="shared" si="119"/>
        <v>1634</v>
      </c>
      <c r="U477" s="22">
        <f>T477/vlookup(A477,Max!$A$2:$AP$700,column(Max!$AP$2),false)</f>
        <v>0.3713636364</v>
      </c>
      <c r="V477" s="17">
        <f t="shared" si="6"/>
        <v>587.3235516</v>
      </c>
      <c r="W477" s="23">
        <f t="shared" si="7"/>
        <v>2.287935758</v>
      </c>
      <c r="X477" s="23">
        <f t="shared" si="8"/>
        <v>1.216149236</v>
      </c>
      <c r="Y477" s="23">
        <f t="shared" si="9"/>
        <v>1</v>
      </c>
      <c r="Z477" s="23">
        <f t="shared" si="10"/>
        <v>1</v>
      </c>
      <c r="AA477" s="26">
        <f t="shared" si="11"/>
        <v>0</v>
      </c>
      <c r="AB477" s="25">
        <v>0.0</v>
      </c>
      <c r="AC477" s="26" t="str">
        <f t="shared" si="40"/>
        <v>{
$name$: $RD-704$,
$config$: $RD704$,
$cost$: 1634
},</v>
      </c>
      <c r="AD477" s="26" t="str">
        <f t="shared" si="41"/>
        <v/>
      </c>
      <c r="AE477" s="26" t="str">
        <f t="shared" si="115"/>
        <v/>
      </c>
      <c r="AF477" s="26" t="str">
        <f t="shared" si="78"/>
        <v/>
      </c>
      <c r="AG477" s="26" t="str">
        <f t="shared" si="79"/>
        <v/>
      </c>
    </row>
    <row r="478" ht="15.75" customHeight="1">
      <c r="A478" s="7" t="s">
        <v>642</v>
      </c>
      <c r="B478" s="7" t="s">
        <v>643</v>
      </c>
      <c r="C478" s="8">
        <f t="shared" si="1"/>
        <v>194</v>
      </c>
      <c r="D478" s="7">
        <v>1985.0</v>
      </c>
      <c r="E478" s="7"/>
      <c r="F478" s="7" t="b">
        <v>1</v>
      </c>
      <c r="G478" s="7" t="b">
        <v>0</v>
      </c>
      <c r="H478" s="7" t="b">
        <v>1</v>
      </c>
      <c r="I478" s="7" t="b">
        <v>0</v>
      </c>
      <c r="J478" s="9" t="b">
        <v>0</v>
      </c>
      <c r="K478" s="7">
        <v>380.0</v>
      </c>
      <c r="L478" s="7">
        <v>78.4</v>
      </c>
      <c r="M478" s="7">
        <v>342.0</v>
      </c>
      <c r="N478" s="7">
        <v>0.7</v>
      </c>
      <c r="O478" s="7">
        <v>0.996541</v>
      </c>
      <c r="P478" s="7">
        <v>0.99321</v>
      </c>
      <c r="Q478" s="10">
        <f t="shared" si="2"/>
        <v>21.03835549</v>
      </c>
      <c r="R478" s="11">
        <f t="shared" si="3"/>
        <v>2.474489796</v>
      </c>
      <c r="S478" s="12">
        <f t="shared" si="4"/>
        <v>4</v>
      </c>
      <c r="T478" s="8">
        <f t="shared" si="119"/>
        <v>194</v>
      </c>
      <c r="U478" s="13">
        <f>T478/vlookup(A478,Max!$A$2:$AP$700,column(Max!$AP$2),false)</f>
        <v>3.660377358</v>
      </c>
      <c r="V478" s="8">
        <f t="shared" si="6"/>
        <v>171.5157461</v>
      </c>
      <c r="W478" s="14">
        <f t="shared" si="7"/>
        <v>1.34816504</v>
      </c>
      <c r="X478" s="14">
        <f t="shared" si="8"/>
        <v>0.838511577</v>
      </c>
      <c r="Y478" s="14">
        <f t="shared" si="9"/>
        <v>1</v>
      </c>
      <c r="Z478" s="14">
        <f t="shared" si="10"/>
        <v>0.999430619</v>
      </c>
      <c r="AA478" s="15">
        <f t="shared" si="11"/>
        <v>0</v>
      </c>
      <c r="AB478" s="29">
        <v>0.0</v>
      </c>
      <c r="AC478" s="15" t="str">
        <f t="shared" si="40"/>
        <v>{
$name$: $RD-8$,
$config$: $RD8$,
$cost$: 194
},</v>
      </c>
      <c r="AD478" s="15" t="str">
        <f t="shared" si="41"/>
        <v/>
      </c>
      <c r="AE478" s="15" t="str">
        <f t="shared" si="115"/>
        <v/>
      </c>
      <c r="AF478" s="15" t="str">
        <f t="shared" si="78"/>
        <v/>
      </c>
      <c r="AG478" s="15" t="str">
        <f t="shared" si="79"/>
        <v/>
      </c>
    </row>
    <row r="479" ht="15.75" customHeight="1">
      <c r="A479" s="16" t="s">
        <v>644</v>
      </c>
      <c r="B479" s="16" t="s">
        <v>645</v>
      </c>
      <c r="C479" s="17">
        <f t="shared" si="1"/>
        <v>88</v>
      </c>
      <c r="D479" s="16">
        <v>1985.0</v>
      </c>
      <c r="E479" s="16"/>
      <c r="F479" s="16" t="b">
        <v>1</v>
      </c>
      <c r="G479" s="16" t="b">
        <v>0</v>
      </c>
      <c r="H479" s="16" t="b">
        <v>1</v>
      </c>
      <c r="I479" s="16" t="b">
        <v>0</v>
      </c>
      <c r="J479" s="18" t="b">
        <v>0</v>
      </c>
      <c r="K479" s="16">
        <v>40.0</v>
      </c>
      <c r="L479" s="16">
        <v>19.6</v>
      </c>
      <c r="M479" s="16">
        <v>344.0</v>
      </c>
      <c r="N479" s="16">
        <v>7.8</v>
      </c>
      <c r="O479" s="16">
        <v>0.997</v>
      </c>
      <c r="P479" s="16">
        <v>0.997</v>
      </c>
      <c r="Q479" s="19">
        <f t="shared" si="2"/>
        <v>49.96609429</v>
      </c>
      <c r="R479" s="20">
        <f t="shared" si="3"/>
        <v>4.489795918</v>
      </c>
      <c r="S479" s="21">
        <f t="shared" si="4"/>
        <v>4</v>
      </c>
      <c r="T479" s="17">
        <f t="shared" si="119"/>
        <v>88</v>
      </c>
      <c r="U479" s="22">
        <f>T479/vlookup(A479,Max!$A$2:$AP$700,column(Max!$AP$2),false)</f>
        <v>2.666666667</v>
      </c>
      <c r="V479" s="17">
        <f t="shared" si="6"/>
        <v>44.00508574</v>
      </c>
      <c r="W479" s="23">
        <f t="shared" si="7"/>
        <v>1.368703205</v>
      </c>
      <c r="X479" s="23">
        <f t="shared" si="8"/>
        <v>1.442391949</v>
      </c>
      <c r="Y479" s="23">
        <f t="shared" si="9"/>
        <v>1</v>
      </c>
      <c r="Z479" s="23">
        <f t="shared" si="10"/>
        <v>1.010154505</v>
      </c>
      <c r="AA479" s="26">
        <f t="shared" si="11"/>
        <v>0</v>
      </c>
      <c r="AB479" s="25">
        <v>0.0</v>
      </c>
      <c r="AC479" s="26" t="str">
        <f t="shared" si="40"/>
        <v>{
$name$: $RD-805$,
$config$: $RD805$,
$cost$: 88
},</v>
      </c>
      <c r="AD479" s="26" t="str">
        <f t="shared" si="41"/>
        <v/>
      </c>
      <c r="AE479" s="26" t="str">
        <f t="shared" si="115"/>
        <v/>
      </c>
      <c r="AF479" s="26" t="str">
        <f t="shared" si="78"/>
        <v/>
      </c>
      <c r="AG479" s="26" t="str">
        <f t="shared" si="79"/>
        <v/>
      </c>
    </row>
    <row r="480" ht="15.75" customHeight="1">
      <c r="A480" s="7" t="s">
        <v>646</v>
      </c>
      <c r="B480" s="7" t="s">
        <v>647</v>
      </c>
      <c r="C480" s="8">
        <f t="shared" si="1"/>
        <v>96</v>
      </c>
      <c r="D480" s="7">
        <v>1961.0</v>
      </c>
      <c r="E480" s="7"/>
      <c r="F480" s="7" t="b">
        <v>1</v>
      </c>
      <c r="G480" s="7" t="b">
        <v>0</v>
      </c>
      <c r="H480" s="7" t="b">
        <v>1</v>
      </c>
      <c r="I480" s="7" t="b">
        <v>0</v>
      </c>
      <c r="J480" s="9" t="b">
        <v>0</v>
      </c>
      <c r="K480" s="7">
        <v>101.0</v>
      </c>
      <c r="L480" s="7">
        <v>81.2</v>
      </c>
      <c r="M480" s="7">
        <v>279.0</v>
      </c>
      <c r="N480" s="7">
        <v>6.62</v>
      </c>
      <c r="O480" s="7">
        <v>0.984807</v>
      </c>
      <c r="P480" s="7">
        <v>0.984807</v>
      </c>
      <c r="Q480" s="10">
        <f t="shared" si="2"/>
        <v>81.9811448</v>
      </c>
      <c r="R480" s="11">
        <f t="shared" si="3"/>
        <v>1.18226601</v>
      </c>
      <c r="S480" s="12">
        <f t="shared" si="4"/>
        <v>4</v>
      </c>
      <c r="T480" s="8">
        <f t="shared" si="119"/>
        <v>96</v>
      </c>
      <c r="U480" s="13">
        <f>T480/vlookup(A480,Max!$A$2:$AP$700,column(Max!$AP$2),false)</f>
        <v>1.959183673</v>
      </c>
      <c r="V480" s="8">
        <f t="shared" si="6"/>
        <v>76.70909269</v>
      </c>
      <c r="W480" s="14">
        <f t="shared" si="7"/>
        <v>0.9480699621</v>
      </c>
      <c r="X480" s="14">
        <f t="shared" si="8"/>
        <v>1.390128835</v>
      </c>
      <c r="Y480" s="14">
        <f t="shared" si="9"/>
        <v>1</v>
      </c>
      <c r="Z480" s="14">
        <f t="shared" si="10"/>
        <v>0.9498776038</v>
      </c>
      <c r="AA480" s="15">
        <f t="shared" si="11"/>
        <v>0</v>
      </c>
      <c r="AB480" s="29">
        <v>0.0</v>
      </c>
      <c r="AC480" s="15" t="str">
        <f t="shared" si="40"/>
        <v>{
$name$: $RD-851$,
$config$: $RD855$,
$cost$: 96
},</v>
      </c>
      <c r="AD480" s="15" t="str">
        <f t="shared" si="41"/>
        <v/>
      </c>
      <c r="AE480" s="15" t="str">
        <f t="shared" si="115"/>
        <v/>
      </c>
      <c r="AF480" s="15" t="str">
        <f t="shared" si="78"/>
        <v/>
      </c>
      <c r="AG480" s="15" t="str">
        <f t="shared" si="79"/>
        <v/>
      </c>
    </row>
    <row r="481" ht="15.75" customHeight="1">
      <c r="A481" s="16" t="s">
        <v>648</v>
      </c>
      <c r="B481" s="16" t="s">
        <v>647</v>
      </c>
      <c r="C481" s="17">
        <f t="shared" si="1"/>
        <v>22</v>
      </c>
      <c r="D481" s="16">
        <v>1964.0</v>
      </c>
      <c r="E481" s="16"/>
      <c r="F481" s="16" t="b">
        <v>1</v>
      </c>
      <c r="G481" s="16" t="b">
        <v>0</v>
      </c>
      <c r="H481" s="16" t="b">
        <v>1</v>
      </c>
      <c r="I481" s="16" t="b">
        <v>0</v>
      </c>
      <c r="J481" s="18" t="b">
        <v>0</v>
      </c>
      <c r="K481" s="16">
        <v>120.0</v>
      </c>
      <c r="L481" s="16">
        <v>82.0</v>
      </c>
      <c r="M481" s="16">
        <v>292.0</v>
      </c>
      <c r="N481" s="16">
        <v>6.57</v>
      </c>
      <c r="O481" s="16">
        <v>0.999046</v>
      </c>
      <c r="P481" s="16">
        <v>0.999046</v>
      </c>
      <c r="Q481" s="19">
        <f t="shared" si="2"/>
        <v>69.68060768</v>
      </c>
      <c r="R481" s="20">
        <f t="shared" si="3"/>
        <v>1.43902439</v>
      </c>
      <c r="S481" s="21">
        <f t="shared" si="4"/>
        <v>4</v>
      </c>
      <c r="T481" s="17">
        <f t="shared" si="119"/>
        <v>118</v>
      </c>
      <c r="U481" s="22">
        <f>T481/vlookup(A481,Max!$A$2:$AP$700,column(Max!$AP$2),false)</f>
        <v>1.735294118</v>
      </c>
      <c r="V481" s="17">
        <f t="shared" si="6"/>
        <v>85.12105437</v>
      </c>
      <c r="W481" s="23">
        <f t="shared" si="7"/>
        <v>0.9777307799</v>
      </c>
      <c r="X481" s="23">
        <f t="shared" si="8"/>
        <v>1.38775951</v>
      </c>
      <c r="Y481" s="23">
        <f t="shared" si="9"/>
        <v>1</v>
      </c>
      <c r="Z481" s="23">
        <f t="shared" si="10"/>
        <v>1.020562109</v>
      </c>
      <c r="AA481" s="24">
        <f t="shared" si="11"/>
        <v>22</v>
      </c>
      <c r="AB481" s="26">
        <f>if(iserror(find("$",A481)),1,2)</f>
        <v>1</v>
      </c>
      <c r="AC481" s="26" t="str">
        <f t="shared" si="40"/>
        <v/>
      </c>
      <c r="AD481" s="26" t="str">
        <f t="shared" si="41"/>
        <v>$RD-855$: 22,</v>
      </c>
      <c r="AE481" s="26" t="str">
        <f t="shared" si="115"/>
        <v/>
      </c>
      <c r="AF481" s="26" t="str">
        <f t="shared" si="78"/>
        <v/>
      </c>
      <c r="AG481" s="26" t="str">
        <f t="shared" si="79"/>
        <v/>
      </c>
    </row>
    <row r="482" ht="15.75" customHeight="1">
      <c r="A482" s="7" t="s">
        <v>649</v>
      </c>
      <c r="B482" s="7" t="s">
        <v>650</v>
      </c>
      <c r="C482" s="8">
        <f t="shared" si="1"/>
        <v>50</v>
      </c>
      <c r="D482" s="7">
        <v>1961.0</v>
      </c>
      <c r="E482" s="7"/>
      <c r="F482" s="7" t="b">
        <v>1</v>
      </c>
      <c r="G482" s="7" t="b">
        <v>0</v>
      </c>
      <c r="H482" s="7" t="b">
        <v>1</v>
      </c>
      <c r="I482" s="7" t="b">
        <v>0</v>
      </c>
      <c r="J482" s="9" t="b">
        <v>0</v>
      </c>
      <c r="K482" s="7">
        <v>33.0</v>
      </c>
      <c r="L482" s="7">
        <v>12.06</v>
      </c>
      <c r="M482" s="7">
        <v>255.0</v>
      </c>
      <c r="N482" s="7">
        <v>6.62</v>
      </c>
      <c r="O482" s="7">
        <v>0.99717</v>
      </c>
      <c r="P482" s="7">
        <v>0.993396</v>
      </c>
      <c r="Q482" s="10">
        <f t="shared" si="2"/>
        <v>37.2659924</v>
      </c>
      <c r="R482" s="11">
        <f t="shared" si="3"/>
        <v>4.145936982</v>
      </c>
      <c r="S482" s="12">
        <f t="shared" si="4"/>
        <v>4</v>
      </c>
      <c r="T482" s="8">
        <f t="shared" si="119"/>
        <v>50</v>
      </c>
      <c r="U482" s="13">
        <f>T482/vlookup(A482,Max!$A$2:$AP$700,column(Max!$AP$2),false)</f>
        <v>2.777777778</v>
      </c>
      <c r="V482" s="8">
        <f t="shared" si="6"/>
        <v>39.23781131</v>
      </c>
      <c r="W482" s="14">
        <f t="shared" si="7"/>
        <v>0.909870738</v>
      </c>
      <c r="X482" s="14">
        <f t="shared" si="8"/>
        <v>1.390128835</v>
      </c>
      <c r="Y482" s="14">
        <f t="shared" si="9"/>
        <v>1</v>
      </c>
      <c r="Z482" s="14">
        <f t="shared" si="10"/>
        <v>1.001477142</v>
      </c>
      <c r="AA482" s="15">
        <f t="shared" si="11"/>
        <v>0</v>
      </c>
      <c r="AB482" s="29">
        <v>0.0</v>
      </c>
      <c r="AC482" s="15" t="str">
        <f t="shared" si="40"/>
        <v>{
$name$: $RD-852$,
$config$: $RD856$,
$cost$: 50
},</v>
      </c>
      <c r="AD482" s="15" t="str">
        <f t="shared" si="41"/>
        <v/>
      </c>
      <c r="AE482" s="15" t="str">
        <f t="shared" si="115"/>
        <v/>
      </c>
      <c r="AF482" s="15" t="str">
        <f t="shared" si="78"/>
        <v/>
      </c>
      <c r="AG482" s="15" t="str">
        <f t="shared" si="79"/>
        <v/>
      </c>
    </row>
    <row r="483" ht="15.75" customHeight="1">
      <c r="A483" s="16" t="s">
        <v>651</v>
      </c>
      <c r="B483" s="16" t="s">
        <v>650</v>
      </c>
      <c r="C483" s="17">
        <f t="shared" si="1"/>
        <v>-2</v>
      </c>
      <c r="D483" s="16">
        <v>1964.0</v>
      </c>
      <c r="E483" s="16"/>
      <c r="F483" s="16" t="b">
        <v>1</v>
      </c>
      <c r="G483" s="16" t="b">
        <v>0</v>
      </c>
      <c r="H483" s="16" t="b">
        <v>1</v>
      </c>
      <c r="I483" s="16" t="b">
        <v>0</v>
      </c>
      <c r="J483" s="18" t="b">
        <v>0</v>
      </c>
      <c r="K483" s="16">
        <v>28.0</v>
      </c>
      <c r="L483" s="16">
        <v>13.48</v>
      </c>
      <c r="M483" s="16">
        <v>280.5</v>
      </c>
      <c r="N483" s="16">
        <v>7.16</v>
      </c>
      <c r="O483" s="16">
        <v>0.998913</v>
      </c>
      <c r="P483" s="16">
        <v>0.994565</v>
      </c>
      <c r="Q483" s="19">
        <f t="shared" si="2"/>
        <v>49.09205182</v>
      </c>
      <c r="R483" s="20">
        <f t="shared" si="3"/>
        <v>3.560830861</v>
      </c>
      <c r="S483" s="21">
        <f t="shared" si="4"/>
        <v>4</v>
      </c>
      <c r="T483" s="17">
        <f t="shared" si="119"/>
        <v>48</v>
      </c>
      <c r="U483" s="22">
        <f>T483/vlookup(A483,Max!$A$2:$AP$700,column(Max!$AP$2),false)</f>
        <v>2.181818182</v>
      </c>
      <c r="V483" s="17">
        <f t="shared" si="6"/>
        <v>35.58483882</v>
      </c>
      <c r="W483" s="23">
        <f t="shared" si="7"/>
        <v>0.9511248763</v>
      </c>
      <c r="X483" s="23">
        <f t="shared" si="8"/>
        <v>1.414872919</v>
      </c>
      <c r="Y483" s="23">
        <f t="shared" si="9"/>
        <v>1</v>
      </c>
      <c r="Z483" s="23">
        <f t="shared" si="10"/>
        <v>1.008820981</v>
      </c>
      <c r="AA483" s="24">
        <f t="shared" si="11"/>
        <v>-2</v>
      </c>
      <c r="AB483" s="26">
        <f>if(iserror(find("$",A483)),1,2)</f>
        <v>1</v>
      </c>
      <c r="AC483" s="26" t="str">
        <f t="shared" si="40"/>
        <v/>
      </c>
      <c r="AD483" s="26" t="str">
        <f t="shared" si="41"/>
        <v>$RD-856$: -2,</v>
      </c>
      <c r="AE483" s="26" t="str">
        <f t="shared" si="115"/>
        <v/>
      </c>
      <c r="AF483" s="26" t="str">
        <f t="shared" si="78"/>
        <v/>
      </c>
      <c r="AG483" s="26" t="str">
        <f t="shared" si="79"/>
        <v/>
      </c>
    </row>
    <row r="484" ht="15.75" customHeight="1">
      <c r="A484" s="7" t="s">
        <v>652</v>
      </c>
      <c r="B484" s="7" t="s">
        <v>653</v>
      </c>
      <c r="C484" s="8">
        <f t="shared" si="1"/>
        <v>126</v>
      </c>
      <c r="D484" s="7">
        <v>1970.0</v>
      </c>
      <c r="E484" s="7"/>
      <c r="F484" s="7" t="b">
        <v>1</v>
      </c>
      <c r="G484" s="7" t="b">
        <v>0</v>
      </c>
      <c r="H484" s="7" t="b">
        <v>1</v>
      </c>
      <c r="I484" s="7" t="b">
        <v>1</v>
      </c>
      <c r="J484" s="9" t="b">
        <v>0</v>
      </c>
      <c r="K484" s="7">
        <v>53.0</v>
      </c>
      <c r="L484" s="7">
        <v>20.104</v>
      </c>
      <c r="M484" s="7">
        <v>314.9</v>
      </c>
      <c r="N484" s="7">
        <v>7.85</v>
      </c>
      <c r="O484" s="7">
        <v>0.996521</v>
      </c>
      <c r="P484" s="7">
        <v>0.998177</v>
      </c>
      <c r="Q484" s="10">
        <f t="shared" si="2"/>
        <v>38.67995224</v>
      </c>
      <c r="R484" s="11">
        <f t="shared" si="3"/>
        <v>6.267409471</v>
      </c>
      <c r="S484" s="12">
        <f t="shared" si="4"/>
        <v>4</v>
      </c>
      <c r="T484" s="8">
        <f t="shared" si="119"/>
        <v>126</v>
      </c>
      <c r="U484" s="13">
        <f>T484/vlookup(A484,Max!$A$2:$AP$700,column(Max!$AP$2),false)</f>
        <v>2.1</v>
      </c>
      <c r="V484" s="8">
        <f t="shared" si="6"/>
        <v>52.0662965</v>
      </c>
      <c r="W484" s="14">
        <f t="shared" si="7"/>
        <v>1.10674817</v>
      </c>
      <c r="X484" s="14">
        <f t="shared" si="8"/>
        <v>1.444467174</v>
      </c>
      <c r="Y484" s="14">
        <f t="shared" si="9"/>
        <v>1.5</v>
      </c>
      <c r="Z484" s="14">
        <f t="shared" si="10"/>
        <v>1.011922023</v>
      </c>
      <c r="AA484" s="15">
        <f t="shared" si="11"/>
        <v>0</v>
      </c>
      <c r="AB484" s="29">
        <v>0.0</v>
      </c>
      <c r="AC484" s="15" t="str">
        <f t="shared" si="40"/>
        <v>{
$name$: $RD-858$,
$config$: $RD858$,
$cost$: 126
},</v>
      </c>
      <c r="AD484" s="15" t="str">
        <f t="shared" si="41"/>
        <v/>
      </c>
      <c r="AE484" s="15" t="str">
        <f t="shared" si="115"/>
        <v/>
      </c>
      <c r="AF484" s="15" t="str">
        <f t="shared" si="78"/>
        <v/>
      </c>
      <c r="AG484" s="15" t="str">
        <f t="shared" si="79"/>
        <v/>
      </c>
    </row>
    <row r="485" ht="15.75" customHeight="1">
      <c r="A485" s="16" t="s">
        <v>654</v>
      </c>
      <c r="B485" s="16" t="s">
        <v>655</v>
      </c>
      <c r="C485" s="17">
        <f t="shared" si="1"/>
        <v>128</v>
      </c>
      <c r="D485" s="16">
        <v>1970.0</v>
      </c>
      <c r="E485" s="16"/>
      <c r="F485" s="16" t="b">
        <v>1</v>
      </c>
      <c r="G485" s="16" t="b">
        <v>0</v>
      </c>
      <c r="H485" s="16" t="b">
        <v>1</v>
      </c>
      <c r="I485" s="16" t="b">
        <v>1</v>
      </c>
      <c r="J485" s="18" t="b">
        <v>0</v>
      </c>
      <c r="K485" s="16">
        <v>57.0</v>
      </c>
      <c r="L485" s="16">
        <v>20.055</v>
      </c>
      <c r="M485" s="16">
        <v>311.9</v>
      </c>
      <c r="N485" s="16">
        <v>7.85</v>
      </c>
      <c r="O485" s="16">
        <v>0.996521</v>
      </c>
      <c r="P485" s="16">
        <v>0.998177</v>
      </c>
      <c r="Q485" s="19">
        <f t="shared" si="2"/>
        <v>35.87790981</v>
      </c>
      <c r="R485" s="20">
        <f t="shared" si="3"/>
        <v>6.382448267</v>
      </c>
      <c r="S485" s="21">
        <f t="shared" si="4"/>
        <v>4</v>
      </c>
      <c r="T485" s="17">
        <f t="shared" si="119"/>
        <v>128</v>
      </c>
      <c r="U485" s="22">
        <f>T485/vlookup(A485,Max!$A$2:$AP$700,column(Max!$AP$2),false)</f>
        <v>2.461538462</v>
      </c>
      <c r="V485" s="17">
        <f t="shared" si="6"/>
        <v>54.38561639</v>
      </c>
      <c r="W485" s="23">
        <f t="shared" si="7"/>
        <v>1.075111294</v>
      </c>
      <c r="X485" s="23">
        <f t="shared" si="8"/>
        <v>1.444467174</v>
      </c>
      <c r="Y485" s="23">
        <f t="shared" si="9"/>
        <v>1.5</v>
      </c>
      <c r="Z485" s="23">
        <f t="shared" si="10"/>
        <v>1.011922023</v>
      </c>
      <c r="AA485" s="26">
        <f t="shared" si="11"/>
        <v>0</v>
      </c>
      <c r="AB485" s="25">
        <v>0.0</v>
      </c>
      <c r="AC485" s="26" t="str">
        <f t="shared" si="40"/>
        <v>{
$name$: $RD-859$,
$config$: $RD859$,
$cost$: 128
},</v>
      </c>
      <c r="AD485" s="26" t="str">
        <f t="shared" si="41"/>
        <v/>
      </c>
      <c r="AE485" s="26" t="str">
        <f t="shared" si="115"/>
        <v/>
      </c>
      <c r="AF485" s="26" t="str">
        <f t="shared" si="78"/>
        <v/>
      </c>
      <c r="AG485" s="26" t="str">
        <f t="shared" si="79"/>
        <v/>
      </c>
    </row>
    <row r="486" ht="15.75" customHeight="1">
      <c r="A486" s="7" t="s">
        <v>656</v>
      </c>
      <c r="B486" s="7" t="s">
        <v>657</v>
      </c>
      <c r="C486" s="8">
        <f t="shared" si="1"/>
        <v>163</v>
      </c>
      <c r="D486" s="7">
        <v>1977.0</v>
      </c>
      <c r="E486" s="7"/>
      <c r="F486" s="7" t="b">
        <v>1</v>
      </c>
      <c r="G486" s="7" t="b">
        <v>0</v>
      </c>
      <c r="H486" s="7" t="b">
        <v>1</v>
      </c>
      <c r="I486" s="7" t="b">
        <v>0</v>
      </c>
      <c r="J486" s="9" t="b">
        <v>0</v>
      </c>
      <c r="K486" s="7">
        <v>199.0</v>
      </c>
      <c r="L486" s="7">
        <v>20.2</v>
      </c>
      <c r="M486" s="7">
        <v>316.0</v>
      </c>
      <c r="N486" s="7">
        <v>4.1</v>
      </c>
      <c r="O486" s="7">
        <v>0.999694</v>
      </c>
      <c r="P486" s="7">
        <v>0.994262</v>
      </c>
      <c r="Q486" s="10">
        <f t="shared" si="2"/>
        <v>10.35088816</v>
      </c>
      <c r="R486" s="11">
        <f t="shared" si="3"/>
        <v>8.069306931</v>
      </c>
      <c r="S486" s="12">
        <f t="shared" si="4"/>
        <v>4</v>
      </c>
      <c r="T486" s="8">
        <f t="shared" si="119"/>
        <v>163</v>
      </c>
      <c r="U486" s="13">
        <f>T486/vlookup(A486,Max!$A$2:$AP$700,column(Max!$AP$2),false)</f>
        <v>6.791666667</v>
      </c>
      <c r="V486" s="8">
        <f t="shared" si="6"/>
        <v>115.6433045</v>
      </c>
      <c r="W486" s="14">
        <f t="shared" si="7"/>
        <v>1.115677507</v>
      </c>
      <c r="X486" s="14">
        <f t="shared" si="8"/>
        <v>1.248068355</v>
      </c>
      <c r="Y486" s="14">
        <f t="shared" si="9"/>
        <v>1</v>
      </c>
      <c r="Z486" s="14">
        <f t="shared" si="10"/>
        <v>1.010024319</v>
      </c>
      <c r="AA486" s="15">
        <f t="shared" si="11"/>
        <v>0</v>
      </c>
      <c r="AB486" s="29">
        <v>0.0</v>
      </c>
      <c r="AC486" s="15" t="str">
        <f t="shared" si="40"/>
        <v>{
$name$: $RD-864-15D177$,
$config$: $RD864$,
$cost$: 163
},</v>
      </c>
      <c r="AD486" s="15" t="str">
        <f t="shared" si="41"/>
        <v/>
      </c>
      <c r="AE486" s="15" t="str">
        <f t="shared" si="115"/>
        <v/>
      </c>
      <c r="AF486" s="15" t="str">
        <f t="shared" si="78"/>
        <v/>
      </c>
      <c r="AG486" s="15" t="str">
        <f t="shared" si="79"/>
        <v/>
      </c>
    </row>
    <row r="487" ht="15.75" customHeight="1">
      <c r="A487" s="16" t="s">
        <v>658</v>
      </c>
      <c r="B487" s="16" t="s">
        <v>657</v>
      </c>
      <c r="C487" s="17">
        <f t="shared" si="1"/>
        <v>2</v>
      </c>
      <c r="D487" s="16">
        <v>1986.0</v>
      </c>
      <c r="E487" s="16"/>
      <c r="F487" s="16" t="b">
        <v>1</v>
      </c>
      <c r="G487" s="16" t="b">
        <v>0</v>
      </c>
      <c r="H487" s="16" t="b">
        <v>1</v>
      </c>
      <c r="I487" s="16" t="b">
        <v>0</v>
      </c>
      <c r="J487" s="18" t="b">
        <v>0</v>
      </c>
      <c r="K487" s="16">
        <v>196.0</v>
      </c>
      <c r="L487" s="16">
        <v>20.47</v>
      </c>
      <c r="M487" s="16">
        <v>320.0</v>
      </c>
      <c r="N487" s="16">
        <v>4.1</v>
      </c>
      <c r="O487" s="16">
        <v>0.999354</v>
      </c>
      <c r="P487" s="16">
        <v>0.99375</v>
      </c>
      <c r="Q487" s="19">
        <f t="shared" si="2"/>
        <v>10.64979123</v>
      </c>
      <c r="R487" s="20">
        <f t="shared" si="3"/>
        <v>8.060576453</v>
      </c>
      <c r="S487" s="21">
        <f t="shared" si="4"/>
        <v>4</v>
      </c>
      <c r="T487" s="17">
        <f t="shared" si="119"/>
        <v>165</v>
      </c>
      <c r="U487" s="22">
        <f>T487/vlookup(A487,Max!$A$2:$AP$700,column(Max!$AP$2),false)</f>
        <v>7.5</v>
      </c>
      <c r="V487" s="17">
        <f t="shared" si="6"/>
        <v>114.581297</v>
      </c>
      <c r="W487" s="23">
        <f t="shared" si="7"/>
        <v>1.147610757</v>
      </c>
      <c r="X487" s="23">
        <f t="shared" si="8"/>
        <v>1.248068355</v>
      </c>
      <c r="Y487" s="23">
        <f t="shared" si="9"/>
        <v>1</v>
      </c>
      <c r="Z487" s="23">
        <f t="shared" si="10"/>
        <v>1.007867069</v>
      </c>
      <c r="AA487" s="24">
        <f t="shared" si="11"/>
        <v>2</v>
      </c>
      <c r="AB487" s="26">
        <f>if(iserror(find("$",A487)),1,2)</f>
        <v>1</v>
      </c>
      <c r="AC487" s="26" t="str">
        <f t="shared" si="40"/>
        <v/>
      </c>
      <c r="AD487" s="26" t="str">
        <f t="shared" si="41"/>
        <v>$RD-869-15D300$: 2,</v>
      </c>
      <c r="AE487" s="26" t="str">
        <f t="shared" si="115"/>
        <v/>
      </c>
      <c r="AF487" s="26" t="str">
        <f t="shared" si="78"/>
        <v/>
      </c>
      <c r="AG487" s="26" t="str">
        <f t="shared" si="79"/>
        <v/>
      </c>
    </row>
    <row r="488" ht="15.75" customHeight="1">
      <c r="A488" s="7" t="s">
        <v>659</v>
      </c>
      <c r="B488" s="7" t="s">
        <v>660</v>
      </c>
      <c r="C488" s="8">
        <f t="shared" si="1"/>
        <v>294</v>
      </c>
      <c r="D488" s="7">
        <v>1962.0</v>
      </c>
      <c r="E488" s="7" t="b">
        <v>1</v>
      </c>
      <c r="F488" s="7" t="b">
        <v>1</v>
      </c>
      <c r="G488" s="7" t="b">
        <v>0</v>
      </c>
      <c r="H488" s="7" t="b">
        <v>1</v>
      </c>
      <c r="I488" s="7" t="b">
        <v>0</v>
      </c>
      <c r="J488" s="9" t="b">
        <v>0</v>
      </c>
      <c r="K488" s="7">
        <v>131.0</v>
      </c>
      <c r="L488" s="7">
        <v>65.6</v>
      </c>
      <c r="M488" s="7">
        <v>422.0</v>
      </c>
      <c r="N488" s="7">
        <v>2.07</v>
      </c>
      <c r="O488" s="7">
        <v>0.983333</v>
      </c>
      <c r="P488" s="7">
        <v>0.95</v>
      </c>
      <c r="Q488" s="10">
        <f t="shared" si="2"/>
        <v>51.06365143</v>
      </c>
      <c r="R488" s="11">
        <f t="shared" si="3"/>
        <v>4.481707317</v>
      </c>
      <c r="S488" s="12">
        <f t="shared" si="4"/>
        <v>4</v>
      </c>
      <c r="T488" s="8">
        <f t="shared" si="119"/>
        <v>294</v>
      </c>
      <c r="U488" s="13">
        <f>T488/vlookup(A488,Max!$A$2:$AP$700,column(Max!$AP$2),false)</f>
        <v>1.013793103</v>
      </c>
      <c r="V488" s="8">
        <f t="shared" si="6"/>
        <v>121.4446052</v>
      </c>
      <c r="W488" s="14">
        <f t="shared" si="7"/>
        <v>2.611627495</v>
      </c>
      <c r="X488" s="14">
        <f t="shared" si="8"/>
        <v>1.070176307</v>
      </c>
      <c r="Y488" s="14">
        <f t="shared" si="9"/>
        <v>1</v>
      </c>
      <c r="Z488" s="14">
        <f t="shared" si="10"/>
        <v>0.8649132729</v>
      </c>
      <c r="AA488" s="15">
        <f t="shared" si="11"/>
        <v>0</v>
      </c>
      <c r="AB488" s="29">
        <v>0.0</v>
      </c>
      <c r="AC488" s="15" t="str">
        <f t="shared" si="40"/>
        <v>{
$name$: $RL10A-1$,
$config$: $RL10$,
$cost$: 294
},</v>
      </c>
      <c r="AD488" s="15" t="str">
        <f t="shared" si="41"/>
        <v/>
      </c>
      <c r="AE488" s="15" t="str">
        <f t="shared" si="115"/>
        <v/>
      </c>
      <c r="AF488" s="15" t="str">
        <f t="shared" si="78"/>
        <v/>
      </c>
      <c r="AG488" s="15" t="str">
        <f t="shared" si="79"/>
        <v/>
      </c>
    </row>
    <row r="489" ht="15.75" customHeight="1">
      <c r="A489" s="16" t="s">
        <v>661</v>
      </c>
      <c r="B489" s="16" t="s">
        <v>660</v>
      </c>
      <c r="C489" s="17">
        <f t="shared" si="1"/>
        <v>56</v>
      </c>
      <c r="D489" s="16">
        <v>1963.0</v>
      </c>
      <c r="E489" s="16" t="b">
        <v>1</v>
      </c>
      <c r="F489" s="16" t="b">
        <v>1</v>
      </c>
      <c r="G489" s="16" t="b">
        <v>0</v>
      </c>
      <c r="H489" s="16" t="b">
        <v>1</v>
      </c>
      <c r="I489" s="16" t="b">
        <v>0</v>
      </c>
      <c r="J489" s="18" t="b">
        <v>0</v>
      </c>
      <c r="K489" s="16">
        <v>131.0</v>
      </c>
      <c r="L489" s="16">
        <v>66.7</v>
      </c>
      <c r="M489" s="16">
        <v>427.0</v>
      </c>
      <c r="N489" s="16">
        <v>2.07</v>
      </c>
      <c r="O489" s="16">
        <v>0.994828</v>
      </c>
      <c r="P489" s="16">
        <v>0.99</v>
      </c>
      <c r="Q489" s="19">
        <f t="shared" si="2"/>
        <v>51.91990168</v>
      </c>
      <c r="R489" s="20">
        <f t="shared" si="3"/>
        <v>5.247376312</v>
      </c>
      <c r="S489" s="21">
        <f t="shared" si="4"/>
        <v>4</v>
      </c>
      <c r="T489" s="17">
        <f t="shared" si="119"/>
        <v>350</v>
      </c>
      <c r="U489" s="22">
        <f>T489/vlookup(A489,Max!$A$2:$AP$700,column(Max!$AP$2),false)</f>
        <v>0.8974358974</v>
      </c>
      <c r="V489" s="17">
        <f t="shared" si="6"/>
        <v>121.4446052</v>
      </c>
      <c r="W489" s="23">
        <f t="shared" si="7"/>
        <v>2.731573217</v>
      </c>
      <c r="X489" s="23">
        <f t="shared" si="8"/>
        <v>1.070176307</v>
      </c>
      <c r="Y489" s="23">
        <f t="shared" si="9"/>
        <v>1</v>
      </c>
      <c r="Z489" s="23">
        <f t="shared" si="10"/>
        <v>0.9871201122</v>
      </c>
      <c r="AA489" s="24">
        <f t="shared" si="11"/>
        <v>56</v>
      </c>
      <c r="AB489" s="26">
        <f t="shared" ref="AB489:AB512" si="129">if(iserror(find("$",A489)),1,2)</f>
        <v>1</v>
      </c>
      <c r="AC489" s="26" t="str">
        <f t="shared" si="40"/>
        <v/>
      </c>
      <c r="AD489" s="26" t="str">
        <f t="shared" si="41"/>
        <v>$RL10A-3-1$: 56,</v>
      </c>
      <c r="AE489" s="26" t="str">
        <f t="shared" si="115"/>
        <v/>
      </c>
      <c r="AF489" s="26" t="str">
        <f t="shared" si="78"/>
        <v/>
      </c>
      <c r="AG489" s="26" t="str">
        <f t="shared" si="79"/>
        <v/>
      </c>
    </row>
    <row r="490" ht="15.75" customHeight="1">
      <c r="A490" s="7" t="s">
        <v>662</v>
      </c>
      <c r="B490" s="7" t="s">
        <v>660</v>
      </c>
      <c r="C490" s="8">
        <f t="shared" si="1"/>
        <v>145</v>
      </c>
      <c r="D490" s="7">
        <v>1966.0</v>
      </c>
      <c r="E490" s="7" t="b">
        <v>1</v>
      </c>
      <c r="F490" s="7" t="b">
        <v>1</v>
      </c>
      <c r="G490" s="7" t="b">
        <v>0</v>
      </c>
      <c r="H490" s="7" t="b">
        <v>1</v>
      </c>
      <c r="I490" s="7" t="b">
        <v>0</v>
      </c>
      <c r="J490" s="9" t="b">
        <v>0</v>
      </c>
      <c r="K490" s="7">
        <v>131.0</v>
      </c>
      <c r="L490" s="7">
        <v>70.05</v>
      </c>
      <c r="M490" s="7">
        <v>442.2</v>
      </c>
      <c r="N490" s="7">
        <v>2.72</v>
      </c>
      <c r="O490" s="7">
        <v>0.998128</v>
      </c>
      <c r="P490" s="7">
        <v>0.996316</v>
      </c>
      <c r="Q490" s="10">
        <f t="shared" si="2"/>
        <v>54.52757291</v>
      </c>
      <c r="R490" s="11">
        <f t="shared" si="3"/>
        <v>6.266952177</v>
      </c>
      <c r="S490" s="12">
        <f t="shared" si="4"/>
        <v>4</v>
      </c>
      <c r="T490" s="8">
        <f t="shared" si="119"/>
        <v>439</v>
      </c>
      <c r="U490" s="13">
        <f>T490/vlookup(A490,Max!$A$2:$AP$700,column(Max!$AP$2),false)</f>
        <v>0.9340425532</v>
      </c>
      <c r="V490" s="8">
        <f t="shared" si="6"/>
        <v>121.4446052</v>
      </c>
      <c r="W490" s="14">
        <f t="shared" si="7"/>
        <v>3.138561055</v>
      </c>
      <c r="X490" s="14">
        <f t="shared" si="8"/>
        <v>1.137994092</v>
      </c>
      <c r="Y490" s="14">
        <f t="shared" si="9"/>
        <v>1</v>
      </c>
      <c r="Z490" s="14">
        <f t="shared" si="10"/>
        <v>1.011277565</v>
      </c>
      <c r="AA490" s="27">
        <f t="shared" si="11"/>
        <v>145</v>
      </c>
      <c r="AB490" s="15">
        <f t="shared" si="129"/>
        <v>1</v>
      </c>
      <c r="AC490" s="15" t="str">
        <f t="shared" si="40"/>
        <v/>
      </c>
      <c r="AD490" s="15" t="str">
        <f t="shared" si="41"/>
        <v>$RL10A-3-3$: 145,</v>
      </c>
      <c r="AE490" s="15" t="str">
        <f t="shared" si="115"/>
        <v/>
      </c>
      <c r="AF490" s="15" t="str">
        <f t="shared" si="78"/>
        <v/>
      </c>
      <c r="AG490" s="15" t="str">
        <f t="shared" si="79"/>
        <v/>
      </c>
    </row>
    <row r="491" ht="15.75" customHeight="1">
      <c r="A491" s="16" t="s">
        <v>663</v>
      </c>
      <c r="B491" s="16" t="s">
        <v>660</v>
      </c>
      <c r="C491" s="17">
        <f t="shared" si="1"/>
        <v>524</v>
      </c>
      <c r="D491" s="16">
        <v>1970.0</v>
      </c>
      <c r="E491" s="16" t="b">
        <v>1</v>
      </c>
      <c r="F491" s="16" t="b">
        <v>1</v>
      </c>
      <c r="G491" s="16" t="b">
        <v>0</v>
      </c>
      <c r="H491" s="16" t="b">
        <v>1</v>
      </c>
      <c r="I491" s="16" t="b">
        <v>1</v>
      </c>
      <c r="J491" s="18" t="b">
        <v>0</v>
      </c>
      <c r="K491" s="16">
        <v>204.0</v>
      </c>
      <c r="L491" s="16">
        <v>66.7</v>
      </c>
      <c r="M491" s="16">
        <v>442.2</v>
      </c>
      <c r="N491" s="16">
        <v>2.72</v>
      </c>
      <c r="O491" s="16">
        <v>0.99486</v>
      </c>
      <c r="P491" s="16">
        <v>0.99717</v>
      </c>
      <c r="Q491" s="19">
        <f t="shared" si="2"/>
        <v>33.34072118</v>
      </c>
      <c r="R491" s="20">
        <f t="shared" si="3"/>
        <v>12.26386807</v>
      </c>
      <c r="S491" s="21">
        <f t="shared" si="4"/>
        <v>4</v>
      </c>
      <c r="T491" s="17">
        <f t="shared" si="119"/>
        <v>818</v>
      </c>
      <c r="U491" s="22">
        <f>T491/vlookup(A491,Max!$A$2:$AP$700,column(Max!$AP$2),false)</f>
        <v>1.947619048</v>
      </c>
      <c r="V491" s="17">
        <f t="shared" si="6"/>
        <v>151.9675893</v>
      </c>
      <c r="W491" s="23">
        <f t="shared" si="7"/>
        <v>3.138561055</v>
      </c>
      <c r="X491" s="23">
        <f t="shared" si="8"/>
        <v>1.137994092</v>
      </c>
      <c r="Y491" s="23">
        <f t="shared" si="9"/>
        <v>1.5</v>
      </c>
      <c r="Z491" s="23">
        <f t="shared" si="10"/>
        <v>1.005170995</v>
      </c>
      <c r="AA491" s="24">
        <f t="shared" si="11"/>
        <v>524</v>
      </c>
      <c r="AB491" s="26">
        <f t="shared" si="129"/>
        <v>1</v>
      </c>
      <c r="AC491" s="26" t="str">
        <f t="shared" si="40"/>
        <v/>
      </c>
      <c r="AD491" s="26" t="str">
        <f t="shared" si="41"/>
        <v>$RL10A-3-7$: 524,</v>
      </c>
      <c r="AE491" s="26" t="str">
        <f t="shared" si="115"/>
        <v/>
      </c>
      <c r="AF491" s="26" t="str">
        <f t="shared" si="78"/>
        <v/>
      </c>
      <c r="AG491" s="26" t="str">
        <f t="shared" si="79"/>
        <v/>
      </c>
    </row>
    <row r="492" ht="15.75" customHeight="1">
      <c r="A492" s="7" t="s">
        <v>664</v>
      </c>
      <c r="B492" s="7" t="s">
        <v>660</v>
      </c>
      <c r="C492" s="8">
        <f t="shared" si="1"/>
        <v>405</v>
      </c>
      <c r="D492" s="7">
        <v>1972.0</v>
      </c>
      <c r="E492" s="7" t="b">
        <v>1</v>
      </c>
      <c r="F492" s="7" t="b">
        <v>1</v>
      </c>
      <c r="G492" s="7" t="b">
        <v>0</v>
      </c>
      <c r="H492" s="7" t="b">
        <v>1</v>
      </c>
      <c r="I492" s="7" t="b">
        <v>1</v>
      </c>
      <c r="J492" s="9" t="b">
        <v>0</v>
      </c>
      <c r="K492" s="7">
        <v>205.0</v>
      </c>
      <c r="L492" s="7">
        <v>101.0</v>
      </c>
      <c r="M492" s="7">
        <v>424.0</v>
      </c>
      <c r="N492" s="7">
        <v>2.72</v>
      </c>
      <c r="O492" s="7">
        <v>0.998128</v>
      </c>
      <c r="P492" s="7">
        <v>0.996316</v>
      </c>
      <c r="Q492" s="10">
        <f t="shared" si="2"/>
        <v>50.23967669</v>
      </c>
      <c r="R492" s="11">
        <f t="shared" si="3"/>
        <v>6.920792079</v>
      </c>
      <c r="S492" s="12">
        <f t="shared" si="4"/>
        <v>4</v>
      </c>
      <c r="T492" s="8">
        <f t="shared" si="119"/>
        <v>699</v>
      </c>
      <c r="U492" s="13">
        <f>T492/vlookup(A492,Max!$A$2:$AP$700,column(Max!$AP$2),false)</f>
        <v>1.588636364</v>
      </c>
      <c r="V492" s="8">
        <f t="shared" si="6"/>
        <v>152.3486909</v>
      </c>
      <c r="W492" s="14">
        <f t="shared" si="7"/>
        <v>2.658835128</v>
      </c>
      <c r="X492" s="14">
        <f t="shared" si="8"/>
        <v>1.137994092</v>
      </c>
      <c r="Y492" s="14">
        <f t="shared" si="9"/>
        <v>1.5</v>
      </c>
      <c r="Z492" s="14">
        <f t="shared" si="10"/>
        <v>1.011277565</v>
      </c>
      <c r="AA492" s="27">
        <f t="shared" si="11"/>
        <v>405</v>
      </c>
      <c r="AB492" s="15">
        <f t="shared" si="129"/>
        <v>1</v>
      </c>
      <c r="AC492" s="15" t="str">
        <f t="shared" si="40"/>
        <v/>
      </c>
      <c r="AD492" s="15" t="str">
        <f t="shared" si="41"/>
        <v>$RL10A-3-9$: 405,</v>
      </c>
      <c r="AE492" s="15" t="str">
        <f t="shared" si="115"/>
        <v/>
      </c>
      <c r="AF492" s="15" t="str">
        <f t="shared" si="78"/>
        <v/>
      </c>
      <c r="AG492" s="15" t="str">
        <f t="shared" si="79"/>
        <v/>
      </c>
    </row>
    <row r="493" ht="15.75" customHeight="1">
      <c r="A493" s="16" t="s">
        <v>665</v>
      </c>
      <c r="B493" s="16" t="s">
        <v>660</v>
      </c>
      <c r="C493" s="17">
        <f t="shared" si="1"/>
        <v>188</v>
      </c>
      <c r="D493" s="16">
        <v>1975.0</v>
      </c>
      <c r="E493" s="16" t="b">
        <v>1</v>
      </c>
      <c r="F493" s="16" t="b">
        <v>1</v>
      </c>
      <c r="G493" s="16" t="b">
        <v>0</v>
      </c>
      <c r="H493" s="16" t="b">
        <v>1</v>
      </c>
      <c r="I493" s="16" t="b">
        <v>0</v>
      </c>
      <c r="J493" s="18" t="b">
        <v>0</v>
      </c>
      <c r="K493" s="16">
        <v>141.0</v>
      </c>
      <c r="L493" s="16">
        <v>73.4</v>
      </c>
      <c r="M493" s="16">
        <v>444.4</v>
      </c>
      <c r="N493" s="16">
        <v>3.28</v>
      </c>
      <c r="O493" s="16">
        <v>0.99486</v>
      </c>
      <c r="P493" s="16">
        <v>0.99717</v>
      </c>
      <c r="Q493" s="19">
        <f t="shared" si="2"/>
        <v>53.08309916</v>
      </c>
      <c r="R493" s="20">
        <f t="shared" si="3"/>
        <v>6.566757493</v>
      </c>
      <c r="S493" s="21">
        <f t="shared" si="4"/>
        <v>4</v>
      </c>
      <c r="T493" s="17">
        <f t="shared" si="119"/>
        <v>482</v>
      </c>
      <c r="U493" s="22">
        <f>T493/vlookup(A493,Max!$A$2:$AP$700,column(Max!$AP$2),false)</f>
        <v>1.417647059</v>
      </c>
      <c r="V493" s="17">
        <f t="shared" si="6"/>
        <v>126.0077508</v>
      </c>
      <c r="W493" s="23">
        <f t="shared" si="7"/>
        <v>3.203224289</v>
      </c>
      <c r="X493" s="23">
        <f t="shared" si="8"/>
        <v>1.186953264</v>
      </c>
      <c r="Y493" s="23">
        <f t="shared" si="9"/>
        <v>1</v>
      </c>
      <c r="Z493" s="23">
        <f t="shared" si="10"/>
        <v>1.005170995</v>
      </c>
      <c r="AA493" s="24">
        <f t="shared" si="11"/>
        <v>188</v>
      </c>
      <c r="AB493" s="26">
        <f t="shared" si="129"/>
        <v>1</v>
      </c>
      <c r="AC493" s="26" t="str">
        <f t="shared" si="40"/>
        <v/>
      </c>
      <c r="AD493" s="26" t="str">
        <f t="shared" si="41"/>
        <v>$RL10A-3-3A$: 188,</v>
      </c>
      <c r="AE493" s="26" t="str">
        <f t="shared" si="115"/>
        <v/>
      </c>
      <c r="AF493" s="26" t="str">
        <f t="shared" si="78"/>
        <v/>
      </c>
      <c r="AG493" s="26" t="str">
        <f t="shared" si="79"/>
        <v/>
      </c>
    </row>
    <row r="494" ht="15.75" customHeight="1">
      <c r="A494" s="7" t="s">
        <v>666</v>
      </c>
      <c r="B494" s="7" t="s">
        <v>660</v>
      </c>
      <c r="C494" s="8">
        <f t="shared" si="1"/>
        <v>154</v>
      </c>
      <c r="D494" s="7">
        <v>1985.0</v>
      </c>
      <c r="E494" s="7" t="b">
        <v>1</v>
      </c>
      <c r="F494" s="7" t="b">
        <v>1</v>
      </c>
      <c r="G494" s="7" t="b">
        <v>0</v>
      </c>
      <c r="H494" s="7" t="b">
        <v>1</v>
      </c>
      <c r="I494" s="7" t="b">
        <v>0</v>
      </c>
      <c r="J494" s="9" t="b">
        <v>0</v>
      </c>
      <c r="K494" s="7">
        <v>141.0</v>
      </c>
      <c r="L494" s="7">
        <v>66.7</v>
      </c>
      <c r="M494" s="7">
        <v>440.0</v>
      </c>
      <c r="N494" s="7">
        <v>2.86</v>
      </c>
      <c r="O494" s="7">
        <v>0.99486</v>
      </c>
      <c r="P494" s="7">
        <v>0.99717</v>
      </c>
      <c r="Q494" s="10">
        <f t="shared" si="2"/>
        <v>48.23763915</v>
      </c>
      <c r="R494" s="11">
        <f t="shared" si="3"/>
        <v>6.716641679</v>
      </c>
      <c r="S494" s="12">
        <f t="shared" si="4"/>
        <v>4</v>
      </c>
      <c r="T494" s="8">
        <f t="shared" si="119"/>
        <v>448</v>
      </c>
      <c r="U494" s="13">
        <f>T494/vlookup(A494,Max!$A$2:$AP$700,column(Max!$AP$2),false)</f>
        <v>1.947826087</v>
      </c>
      <c r="V494" s="8">
        <f t="shared" si="6"/>
        <v>126.0077508</v>
      </c>
      <c r="W494" s="14">
        <f t="shared" si="7"/>
        <v>3.075427574</v>
      </c>
      <c r="X494" s="14">
        <f t="shared" si="8"/>
        <v>1.150917945</v>
      </c>
      <c r="Y494" s="14">
        <f t="shared" si="9"/>
        <v>1</v>
      </c>
      <c r="Z494" s="14">
        <f t="shared" si="10"/>
        <v>1.005170995</v>
      </c>
      <c r="AA494" s="27">
        <f t="shared" si="11"/>
        <v>154</v>
      </c>
      <c r="AB494" s="15">
        <f t="shared" si="129"/>
        <v>1</v>
      </c>
      <c r="AC494" s="15" t="str">
        <f t="shared" si="40"/>
        <v/>
      </c>
      <c r="AD494" s="15" t="str">
        <f t="shared" si="41"/>
        <v>$RL10A-3-3B$: 154,</v>
      </c>
      <c r="AE494" s="15" t="str">
        <f t="shared" si="115"/>
        <v/>
      </c>
      <c r="AF494" s="15" t="str">
        <f t="shared" si="78"/>
        <v/>
      </c>
      <c r="AG494" s="15" t="str">
        <f t="shared" si="79"/>
        <v/>
      </c>
    </row>
    <row r="495" ht="15.75" customHeight="1">
      <c r="A495" s="16" t="s">
        <v>667</v>
      </c>
      <c r="B495" s="16" t="s">
        <v>660</v>
      </c>
      <c r="C495" s="17">
        <f t="shared" si="1"/>
        <v>241</v>
      </c>
      <c r="D495" s="16">
        <v>1992.0</v>
      </c>
      <c r="E495" s="16" t="b">
        <v>1</v>
      </c>
      <c r="F495" s="16" t="b">
        <v>1</v>
      </c>
      <c r="G495" s="16" t="b">
        <v>0</v>
      </c>
      <c r="H495" s="16" t="b">
        <v>1</v>
      </c>
      <c r="I495" s="16" t="b">
        <v>0</v>
      </c>
      <c r="J495" s="18" t="b">
        <v>0</v>
      </c>
      <c r="K495" s="18">
        <v>149.0</v>
      </c>
      <c r="L495" s="16">
        <v>91.2</v>
      </c>
      <c r="M495" s="16">
        <v>446.4</v>
      </c>
      <c r="N495" s="16">
        <v>3.98</v>
      </c>
      <c r="O495" s="16">
        <v>0.999296</v>
      </c>
      <c r="P495" s="16">
        <v>0.998598</v>
      </c>
      <c r="Q495" s="19">
        <f t="shared" si="2"/>
        <v>62.41484453</v>
      </c>
      <c r="R495" s="20">
        <f t="shared" si="3"/>
        <v>5.86622807</v>
      </c>
      <c r="S495" s="21">
        <f t="shared" si="4"/>
        <v>4</v>
      </c>
      <c r="T495" s="17">
        <f t="shared" si="119"/>
        <v>535</v>
      </c>
      <c r="U495" s="22">
        <f>T495/vlookup(A495,Max!$A$2:$AP$700,column(Max!$AP$2),false)</f>
        <v>1.621212121</v>
      </c>
      <c r="V495" s="17">
        <f t="shared" si="6"/>
        <v>129.5547982</v>
      </c>
      <c r="W495" s="23">
        <f t="shared" si="7"/>
        <v>3.263370049</v>
      </c>
      <c r="X495" s="23">
        <f t="shared" si="8"/>
        <v>1.239754506</v>
      </c>
      <c r="Y495" s="23">
        <f t="shared" si="9"/>
        <v>1</v>
      </c>
      <c r="Z495" s="23">
        <f t="shared" si="10"/>
        <v>1.020056237</v>
      </c>
      <c r="AA495" s="24">
        <f t="shared" si="11"/>
        <v>241</v>
      </c>
      <c r="AB495" s="26">
        <f t="shared" si="129"/>
        <v>1</v>
      </c>
      <c r="AC495" s="26" t="str">
        <f t="shared" si="40"/>
        <v/>
      </c>
      <c r="AD495" s="26" t="str">
        <f t="shared" si="41"/>
        <v>$RL10A-4$: 241,</v>
      </c>
      <c r="AE495" s="26" t="str">
        <f t="shared" si="115"/>
        <v/>
      </c>
      <c r="AF495" s="26" t="str">
        <f t="shared" si="78"/>
        <v/>
      </c>
      <c r="AG495" s="26" t="str">
        <f t="shared" si="79"/>
        <v/>
      </c>
    </row>
    <row r="496" ht="15.75" customHeight="1">
      <c r="A496" s="7" t="s">
        <v>668</v>
      </c>
      <c r="B496" s="7" t="s">
        <v>660</v>
      </c>
      <c r="C496" s="8">
        <f t="shared" si="1"/>
        <v>288</v>
      </c>
      <c r="D496" s="7">
        <v>1992.0</v>
      </c>
      <c r="E496" s="7" t="b">
        <v>1</v>
      </c>
      <c r="F496" s="7" t="b">
        <v>1</v>
      </c>
      <c r="G496" s="7" t="b">
        <v>0</v>
      </c>
      <c r="H496" s="7" t="b">
        <v>1</v>
      </c>
      <c r="I496" s="7" t="b">
        <v>0</v>
      </c>
      <c r="J496" s="9" t="b">
        <v>0</v>
      </c>
      <c r="K496" s="7">
        <v>168.0</v>
      </c>
      <c r="L496" s="7">
        <v>92.5</v>
      </c>
      <c r="M496" s="7">
        <v>448.9</v>
      </c>
      <c r="N496" s="7">
        <v>3.98</v>
      </c>
      <c r="O496" s="7">
        <v>0.999296</v>
      </c>
      <c r="P496" s="7">
        <v>0.998598</v>
      </c>
      <c r="Q496" s="10">
        <f t="shared" si="2"/>
        <v>56.14508894</v>
      </c>
      <c r="R496" s="11">
        <f t="shared" si="3"/>
        <v>6.291891892</v>
      </c>
      <c r="S496" s="12">
        <f t="shared" si="4"/>
        <v>4</v>
      </c>
      <c r="T496" s="8">
        <f t="shared" si="119"/>
        <v>582</v>
      </c>
      <c r="U496" s="13">
        <f>T496/vlookup(A496,Max!$A$2:$AP$700,column(Max!$AP$2),false)</f>
        <v>1.763636364</v>
      </c>
      <c r="V496" s="8">
        <f t="shared" si="6"/>
        <v>137.6546695</v>
      </c>
      <c r="W496" s="14">
        <f t="shared" si="7"/>
        <v>3.34042335</v>
      </c>
      <c r="X496" s="14">
        <f t="shared" si="8"/>
        <v>1.239754506</v>
      </c>
      <c r="Y496" s="14">
        <f t="shared" si="9"/>
        <v>1</v>
      </c>
      <c r="Z496" s="14">
        <f t="shared" si="10"/>
        <v>1.020056237</v>
      </c>
      <c r="AA496" s="27">
        <f t="shared" si="11"/>
        <v>288</v>
      </c>
      <c r="AB496" s="15">
        <f t="shared" si="129"/>
        <v>1</v>
      </c>
      <c r="AC496" s="15" t="str">
        <f t="shared" si="40"/>
        <v/>
      </c>
      <c r="AD496" s="15" t="str">
        <f t="shared" si="41"/>
        <v>$RL10A-4N$: 288,</v>
      </c>
      <c r="AE496" s="15" t="str">
        <f t="shared" si="115"/>
        <v/>
      </c>
      <c r="AF496" s="15" t="str">
        <f t="shared" si="78"/>
        <v/>
      </c>
      <c r="AG496" s="15" t="str">
        <f t="shared" si="79"/>
        <v/>
      </c>
    </row>
    <row r="497" ht="15.75" customHeight="1">
      <c r="A497" s="16" t="s">
        <v>669</v>
      </c>
      <c r="B497" s="16" t="s">
        <v>660</v>
      </c>
      <c r="C497" s="17">
        <f t="shared" si="1"/>
        <v>298</v>
      </c>
      <c r="D497" s="16">
        <v>1993.0</v>
      </c>
      <c r="E497" s="16" t="b">
        <v>1</v>
      </c>
      <c r="F497" s="16" t="b">
        <v>1</v>
      </c>
      <c r="G497" s="16" t="b">
        <v>0</v>
      </c>
      <c r="H497" s="16" t="b">
        <v>1</v>
      </c>
      <c r="I497" s="16" t="b">
        <v>0</v>
      </c>
      <c r="J497" s="18" t="b">
        <v>0</v>
      </c>
      <c r="K497" s="16">
        <v>167.0</v>
      </c>
      <c r="L497" s="16">
        <v>99.2</v>
      </c>
      <c r="M497" s="16">
        <v>450.5</v>
      </c>
      <c r="N497" s="16">
        <v>4.2</v>
      </c>
      <c r="O497" s="16">
        <v>0.998485</v>
      </c>
      <c r="P497" s="16">
        <v>0.997</v>
      </c>
      <c r="Q497" s="19">
        <f t="shared" si="2"/>
        <v>60.57236409</v>
      </c>
      <c r="R497" s="20">
        <f t="shared" si="3"/>
        <v>5.967741935</v>
      </c>
      <c r="S497" s="21">
        <f t="shared" si="4"/>
        <v>4</v>
      </c>
      <c r="T497" s="17">
        <f t="shared" si="119"/>
        <v>592</v>
      </c>
      <c r="U497" s="22">
        <f>T497/vlookup(A497,Max!$A$2:$AP$700,column(Max!$AP$2),false)</f>
        <v>1.557894737</v>
      </c>
      <c r="V497" s="17">
        <f t="shared" si="6"/>
        <v>137.2388079</v>
      </c>
      <c r="W497" s="23">
        <f t="shared" si="7"/>
        <v>3.390854855</v>
      </c>
      <c r="X497" s="23">
        <f t="shared" si="8"/>
        <v>1.254853697</v>
      </c>
      <c r="Y497" s="23">
        <f t="shared" si="9"/>
        <v>1</v>
      </c>
      <c r="Z497" s="23">
        <f t="shared" si="10"/>
        <v>1.013920191</v>
      </c>
      <c r="AA497" s="24">
        <f t="shared" si="11"/>
        <v>298</v>
      </c>
      <c r="AB497" s="26">
        <f t="shared" si="129"/>
        <v>1</v>
      </c>
      <c r="AC497" s="26" t="str">
        <f t="shared" si="40"/>
        <v/>
      </c>
      <c r="AD497" s="26" t="str">
        <f t="shared" si="41"/>
        <v>$RL10A-4-1N$: 298,</v>
      </c>
      <c r="AE497" s="26" t="str">
        <f t="shared" si="115"/>
        <v/>
      </c>
      <c r="AF497" s="26" t="str">
        <f t="shared" si="78"/>
        <v/>
      </c>
      <c r="AG497" s="26" t="str">
        <f t="shared" si="79"/>
        <v/>
      </c>
    </row>
    <row r="498" ht="15.75" customHeight="1">
      <c r="A498" s="7" t="s">
        <v>670</v>
      </c>
      <c r="B498" s="7" t="s">
        <v>660</v>
      </c>
      <c r="C498" s="8">
        <f t="shared" si="1"/>
        <v>93</v>
      </c>
      <c r="D498" s="7">
        <v>1993.0</v>
      </c>
      <c r="E498" s="7" t="b">
        <v>1</v>
      </c>
      <c r="F498" s="7" t="b">
        <v>1</v>
      </c>
      <c r="G498" s="7" t="b">
        <v>0</v>
      </c>
      <c r="H498" s="7" t="b">
        <v>1</v>
      </c>
      <c r="I498" s="7" t="b">
        <v>1</v>
      </c>
      <c r="J498" s="9" t="b">
        <v>0</v>
      </c>
      <c r="K498" s="7">
        <v>143.0</v>
      </c>
      <c r="L498" s="7">
        <v>64.75</v>
      </c>
      <c r="M498" s="7">
        <v>368.0</v>
      </c>
      <c r="N498" s="7">
        <v>3.91</v>
      </c>
      <c r="O498" s="7">
        <v>0.996667</v>
      </c>
      <c r="P498" s="7">
        <v>0.992222</v>
      </c>
      <c r="Q498" s="10">
        <f t="shared" si="2"/>
        <v>46.17246475</v>
      </c>
      <c r="R498" s="11">
        <f t="shared" si="3"/>
        <v>5.976833977</v>
      </c>
      <c r="S498" s="12">
        <f t="shared" si="4"/>
        <v>4</v>
      </c>
      <c r="T498" s="8">
        <f t="shared" si="119"/>
        <v>387</v>
      </c>
      <c r="U498" s="13">
        <f>T498/vlookup(A498,Max!$A$2:$AP$700,column(Max!$AP$2),false)</f>
        <v>2.15</v>
      </c>
      <c r="V498" s="8">
        <f t="shared" si="6"/>
        <v>126.9027619</v>
      </c>
      <c r="W498" s="14">
        <f t="shared" si="7"/>
        <v>1.650729212</v>
      </c>
      <c r="X498" s="14">
        <f t="shared" si="8"/>
        <v>1.234814653</v>
      </c>
      <c r="Y498" s="14">
        <f t="shared" si="9"/>
        <v>1.5</v>
      </c>
      <c r="Z498" s="14">
        <f t="shared" si="10"/>
        <v>0.9972621613</v>
      </c>
      <c r="AA498" s="27">
        <f t="shared" si="11"/>
        <v>93</v>
      </c>
      <c r="AB498" s="15">
        <f t="shared" si="129"/>
        <v>1</v>
      </c>
      <c r="AC498" s="15" t="str">
        <f t="shared" si="40"/>
        <v/>
      </c>
      <c r="AD498" s="15" t="str">
        <f t="shared" si="41"/>
        <v>$RL10A-5$: 93,</v>
      </c>
      <c r="AE498" s="15" t="str">
        <f t="shared" si="115"/>
        <v/>
      </c>
      <c r="AF498" s="15" t="str">
        <f t="shared" si="78"/>
        <v/>
      </c>
      <c r="AG498" s="15" t="str">
        <f t="shared" si="79"/>
        <v/>
      </c>
    </row>
    <row r="499" ht="15.75" customHeight="1">
      <c r="A499" s="16" t="s">
        <v>671</v>
      </c>
      <c r="B499" s="16" t="s">
        <v>660</v>
      </c>
      <c r="C499" s="17">
        <f t="shared" si="1"/>
        <v>635</v>
      </c>
      <c r="D499" s="16">
        <v>1998.0</v>
      </c>
      <c r="E499" s="16" t="b">
        <v>1</v>
      </c>
      <c r="F499" s="16" t="b">
        <v>1</v>
      </c>
      <c r="G499" s="16" t="b">
        <v>0</v>
      </c>
      <c r="H499" s="16" t="b">
        <v>1</v>
      </c>
      <c r="I499" s="16" t="b">
        <v>0</v>
      </c>
      <c r="J499" s="18" t="b">
        <v>0</v>
      </c>
      <c r="K499" s="18">
        <v>302.0</v>
      </c>
      <c r="L499" s="16">
        <v>110.1</v>
      </c>
      <c r="M499" s="16">
        <v>465.5</v>
      </c>
      <c r="N499" s="18">
        <v>4.36</v>
      </c>
      <c r="O499" s="18">
        <v>0.996316</v>
      </c>
      <c r="P499" s="18">
        <v>0.996875</v>
      </c>
      <c r="Q499" s="19">
        <f t="shared" si="2"/>
        <v>37.1757466</v>
      </c>
      <c r="R499" s="20">
        <f t="shared" si="3"/>
        <v>8.437783833</v>
      </c>
      <c r="S499" s="21">
        <f t="shared" si="4"/>
        <v>4</v>
      </c>
      <c r="T499" s="17">
        <f t="shared" si="119"/>
        <v>929</v>
      </c>
      <c r="U499" s="22">
        <f>T499/vlookup(A499,Max!$A$2:$AP$700,column(Max!$AP$2),false)</f>
        <v>1.935416667</v>
      </c>
      <c r="V499" s="17">
        <f t="shared" si="6"/>
        <v>186.1852303</v>
      </c>
      <c r="W499" s="23">
        <f t="shared" si="7"/>
        <v>3.909409191</v>
      </c>
      <c r="X499" s="23">
        <f t="shared" si="8"/>
        <v>1.265454295</v>
      </c>
      <c r="Y499" s="23">
        <f t="shared" si="9"/>
        <v>1</v>
      </c>
      <c r="Z499" s="23">
        <f t="shared" si="10"/>
        <v>1.008106784</v>
      </c>
      <c r="AA499" s="24">
        <f t="shared" si="11"/>
        <v>635</v>
      </c>
      <c r="AB499" s="26">
        <f t="shared" si="129"/>
        <v>1</v>
      </c>
      <c r="AC499" s="26" t="str">
        <f t="shared" si="40"/>
        <v/>
      </c>
      <c r="AD499" s="26" t="str">
        <f t="shared" si="41"/>
        <v>$RL10B-2$: 635,</v>
      </c>
      <c r="AE499" s="26" t="str">
        <f t="shared" si="115"/>
        <v/>
      </c>
      <c r="AF499" s="26" t="str">
        <f t="shared" si="78"/>
        <v/>
      </c>
      <c r="AG499" s="26" t="str">
        <f t="shared" si="79"/>
        <v/>
      </c>
    </row>
    <row r="500" ht="15.75" customHeight="1">
      <c r="A500" s="7" t="s">
        <v>672</v>
      </c>
      <c r="B500" s="7" t="s">
        <v>660</v>
      </c>
      <c r="C500" s="8">
        <f t="shared" si="1"/>
        <v>244</v>
      </c>
      <c r="D500" s="7">
        <v>2000.0</v>
      </c>
      <c r="E500" s="7" t="b">
        <v>1</v>
      </c>
      <c r="F500" s="7" t="b">
        <v>1</v>
      </c>
      <c r="G500" s="7" t="b">
        <v>0</v>
      </c>
      <c r="H500" s="7" t="b">
        <v>1</v>
      </c>
      <c r="I500" s="7" t="b">
        <v>0</v>
      </c>
      <c r="J500" s="9" t="b">
        <v>0</v>
      </c>
      <c r="K500" s="9">
        <v>149.0</v>
      </c>
      <c r="L500" s="7">
        <v>97.9</v>
      </c>
      <c r="M500" s="7">
        <v>446.4</v>
      </c>
      <c r="N500" s="7">
        <v>4.2</v>
      </c>
      <c r="O500" s="7">
        <v>0.998485</v>
      </c>
      <c r="P500" s="7">
        <v>0.997</v>
      </c>
      <c r="Q500" s="10">
        <f t="shared" si="2"/>
        <v>67.00014561</v>
      </c>
      <c r="R500" s="11">
        <f t="shared" si="3"/>
        <v>5.495403473</v>
      </c>
      <c r="S500" s="12">
        <f t="shared" si="4"/>
        <v>4</v>
      </c>
      <c r="T500" s="8">
        <f t="shared" si="119"/>
        <v>538</v>
      </c>
      <c r="U500" s="13">
        <f>T500/vlookup(A500,Max!$A$2:$AP$700,column(Max!$AP$2),false)</f>
        <v>1.494444444</v>
      </c>
      <c r="V500" s="8">
        <f t="shared" si="6"/>
        <v>129.5547982</v>
      </c>
      <c r="W500" s="14">
        <f t="shared" si="7"/>
        <v>3.263370049</v>
      </c>
      <c r="X500" s="14">
        <f t="shared" si="8"/>
        <v>1.254853697</v>
      </c>
      <c r="Y500" s="14">
        <f t="shared" si="9"/>
        <v>1</v>
      </c>
      <c r="Z500" s="14">
        <f t="shared" si="10"/>
        <v>1.013920191</v>
      </c>
      <c r="AA500" s="27">
        <f t="shared" si="11"/>
        <v>244</v>
      </c>
      <c r="AB500" s="15">
        <f t="shared" si="129"/>
        <v>1</v>
      </c>
      <c r="AC500" s="15" t="str">
        <f t="shared" si="40"/>
        <v/>
      </c>
      <c r="AD500" s="15" t="str">
        <f t="shared" si="41"/>
        <v>$RL10A-4-1-2$: 244,</v>
      </c>
      <c r="AE500" s="15" t="str">
        <f t="shared" si="115"/>
        <v/>
      </c>
      <c r="AF500" s="15" t="str">
        <f t="shared" si="78"/>
        <v/>
      </c>
      <c r="AG500" s="15" t="str">
        <f t="shared" si="79"/>
        <v/>
      </c>
    </row>
    <row r="501" ht="15.75" customHeight="1">
      <c r="A501" s="16" t="s">
        <v>673</v>
      </c>
      <c r="B501" s="16" t="s">
        <v>660</v>
      </c>
      <c r="C501" s="17">
        <f t="shared" si="1"/>
        <v>303</v>
      </c>
      <c r="D501" s="16">
        <v>2000.0</v>
      </c>
      <c r="E501" s="16" t="b">
        <v>1</v>
      </c>
      <c r="F501" s="16" t="b">
        <v>1</v>
      </c>
      <c r="G501" s="16" t="b">
        <v>0</v>
      </c>
      <c r="H501" s="16" t="b">
        <v>1</v>
      </c>
      <c r="I501" s="16" t="b">
        <v>0</v>
      </c>
      <c r="J501" s="18" t="b">
        <v>0</v>
      </c>
      <c r="K501" s="16">
        <v>168.0</v>
      </c>
      <c r="L501" s="16">
        <v>99.2</v>
      </c>
      <c r="M501" s="16">
        <v>451.0</v>
      </c>
      <c r="N501" s="16">
        <v>4.2</v>
      </c>
      <c r="O501" s="16">
        <v>0.998485</v>
      </c>
      <c r="P501" s="16">
        <v>0.997</v>
      </c>
      <c r="Q501" s="19">
        <f t="shared" si="2"/>
        <v>60.2118143</v>
      </c>
      <c r="R501" s="20">
        <f t="shared" si="3"/>
        <v>6.018145161</v>
      </c>
      <c r="S501" s="21">
        <f t="shared" si="4"/>
        <v>4</v>
      </c>
      <c r="T501" s="17">
        <f t="shared" si="119"/>
        <v>597</v>
      </c>
      <c r="U501" s="22">
        <f>T501/vlookup(A501,Max!$A$2:$AP$700,column(Max!$AP$2),false)</f>
        <v>1.571052632</v>
      </c>
      <c r="V501" s="17">
        <f t="shared" si="6"/>
        <v>137.6546695</v>
      </c>
      <c r="W501" s="23">
        <f t="shared" si="7"/>
        <v>3.406796795</v>
      </c>
      <c r="X501" s="23">
        <f t="shared" si="8"/>
        <v>1.254853697</v>
      </c>
      <c r="Y501" s="23">
        <f t="shared" si="9"/>
        <v>1</v>
      </c>
      <c r="Z501" s="23">
        <f t="shared" si="10"/>
        <v>1.013920191</v>
      </c>
      <c r="AA501" s="24">
        <f t="shared" si="11"/>
        <v>303</v>
      </c>
      <c r="AB501" s="26">
        <f t="shared" si="129"/>
        <v>1</v>
      </c>
      <c r="AC501" s="26" t="str">
        <f t="shared" si="40"/>
        <v/>
      </c>
      <c r="AD501" s="26" t="str">
        <f t="shared" si="41"/>
        <v>$RL10A-4-2N$: 303,</v>
      </c>
      <c r="AE501" s="26" t="str">
        <f t="shared" si="115"/>
        <v/>
      </c>
      <c r="AF501" s="26" t="str">
        <f t="shared" si="78"/>
        <v/>
      </c>
      <c r="AG501" s="26" t="str">
        <f t="shared" si="79"/>
        <v/>
      </c>
    </row>
    <row r="502" ht="15.75" customHeight="1">
      <c r="A502" s="7" t="s">
        <v>674</v>
      </c>
      <c r="B502" s="7" t="s">
        <v>660</v>
      </c>
      <c r="C502" s="8">
        <f t="shared" si="1"/>
        <v>331</v>
      </c>
      <c r="D502" s="7">
        <v>2014.0</v>
      </c>
      <c r="E502" s="7" t="b">
        <v>1</v>
      </c>
      <c r="F502" s="7" t="b">
        <v>1</v>
      </c>
      <c r="G502" s="7" t="b">
        <v>0</v>
      </c>
      <c r="H502" s="7" t="b">
        <v>1</v>
      </c>
      <c r="I502" s="7" t="b">
        <v>0</v>
      </c>
      <c r="J502" s="9" t="b">
        <v>0</v>
      </c>
      <c r="K502" s="9">
        <v>186.0</v>
      </c>
      <c r="L502" s="7">
        <v>101.85</v>
      </c>
      <c r="M502" s="7">
        <v>449.7</v>
      </c>
      <c r="N502" s="9">
        <v>4.23</v>
      </c>
      <c r="O502" s="9">
        <v>0.999261</v>
      </c>
      <c r="P502" s="9">
        <v>0.998529</v>
      </c>
      <c r="Q502" s="10">
        <f t="shared" si="2"/>
        <v>55.83768602</v>
      </c>
      <c r="R502" s="11">
        <f t="shared" si="3"/>
        <v>6.136475209</v>
      </c>
      <c r="S502" s="12">
        <f t="shared" si="4"/>
        <v>4</v>
      </c>
      <c r="T502" s="8">
        <f t="shared" si="119"/>
        <v>625</v>
      </c>
      <c r="U502" s="13">
        <f>T502/vlookup(A502,Max!$A$2:$AP$700,column(Max!$AP$2),false)</f>
        <v>1.689189189</v>
      </c>
      <c r="V502" s="8">
        <f t="shared" si="6"/>
        <v>144.9628056</v>
      </c>
      <c r="W502" s="14">
        <f t="shared" si="7"/>
        <v>3.365528676</v>
      </c>
      <c r="X502" s="14">
        <f t="shared" si="8"/>
        <v>1.256864867</v>
      </c>
      <c r="Y502" s="14">
        <f t="shared" si="9"/>
        <v>1</v>
      </c>
      <c r="Z502" s="14">
        <f t="shared" si="10"/>
        <v>1.01979074</v>
      </c>
      <c r="AA502" s="27">
        <f t="shared" si="11"/>
        <v>331</v>
      </c>
      <c r="AB502" s="15">
        <f t="shared" si="129"/>
        <v>1</v>
      </c>
      <c r="AC502" s="15" t="str">
        <f t="shared" si="40"/>
        <v/>
      </c>
      <c r="AD502" s="15" t="str">
        <f t="shared" si="41"/>
        <v>$RL10C-1$: 331,</v>
      </c>
      <c r="AE502" s="15" t="str">
        <f>if(AB502=2,if(AF501&lt;&gt;AF502,char(9)&amp;char(9)&amp;"@CONFIG["&amp;AF502&amp;"]"&amp;char(10)&amp;char(9)&amp;char(9)&amp;"{"&amp;char(10),"")&amp;char(9)&amp;char(9)&amp;char(9)&amp;"@SUBCONFIG["&amp;AG502&amp;"] { %cost = "&amp;AA502&amp;" }"&amp;if(AF504&lt;&gt;AF502,char(10)&amp;char(9)&amp;char(9)&amp;"}",""),"")</f>
        <v/>
      </c>
      <c r="AF502" s="15" t="str">
        <f t="shared" si="78"/>
        <v/>
      </c>
      <c r="AG502" s="15" t="str">
        <f t="shared" si="79"/>
        <v/>
      </c>
    </row>
    <row r="503" ht="15.75" customHeight="1">
      <c r="A503" s="16" t="s">
        <v>675</v>
      </c>
      <c r="B503" s="16" t="s">
        <v>660</v>
      </c>
      <c r="C503" s="17">
        <f t="shared" si="1"/>
        <v>568</v>
      </c>
      <c r="D503" s="16">
        <v>2017.0</v>
      </c>
      <c r="E503" s="16" t="b">
        <v>1</v>
      </c>
      <c r="F503" s="16" t="b">
        <v>1</v>
      </c>
      <c r="G503" s="16" t="b">
        <v>0</v>
      </c>
      <c r="H503" s="16" t="b">
        <v>1</v>
      </c>
      <c r="I503" s="16" t="b">
        <v>0</v>
      </c>
      <c r="J503" s="18" t="b">
        <v>0</v>
      </c>
      <c r="K503" s="16">
        <v>256.0</v>
      </c>
      <c r="L503" s="16">
        <v>110.0</v>
      </c>
      <c r="M503" s="16">
        <v>465.0</v>
      </c>
      <c r="N503" s="18">
        <v>4.36</v>
      </c>
      <c r="O503" s="16">
        <v>0.99995</v>
      </c>
      <c r="P503" s="16">
        <v>0.99995</v>
      </c>
      <c r="Q503" s="19">
        <f t="shared" si="2"/>
        <v>43.8159309</v>
      </c>
      <c r="R503" s="20">
        <f t="shared" si="3"/>
        <v>7.836363636</v>
      </c>
      <c r="S503" s="21">
        <f t="shared" si="4"/>
        <v>4</v>
      </c>
      <c r="T503" s="17">
        <f t="shared" si="119"/>
        <v>862</v>
      </c>
      <c r="U503" s="22">
        <f>T503/vlookup(A503,Max!$A$2:$AP$700,column(Max!$AP$2),false)</f>
        <v>1.134210526</v>
      </c>
      <c r="V503" s="17">
        <f t="shared" si="6"/>
        <v>170.8302027</v>
      </c>
      <c r="W503" s="23">
        <f t="shared" si="7"/>
        <v>3.890704653</v>
      </c>
      <c r="X503" s="23">
        <f t="shared" si="8"/>
        <v>1.265454295</v>
      </c>
      <c r="Y503" s="23">
        <f t="shared" si="9"/>
        <v>1</v>
      </c>
      <c r="Z503" s="23">
        <f t="shared" si="10"/>
        <v>1.025187819</v>
      </c>
      <c r="AA503" s="24">
        <f t="shared" si="11"/>
        <v>568</v>
      </c>
      <c r="AB503" s="26">
        <f t="shared" si="129"/>
        <v>1</v>
      </c>
      <c r="AC503" s="26" t="str">
        <f t="shared" si="40"/>
        <v/>
      </c>
      <c r="AD503" s="26" t="str">
        <f t="shared" si="41"/>
        <v>$CECE-High$: 568,</v>
      </c>
      <c r="AE503" s="26" t="str">
        <f>if(AB503=2,if(AF502&lt;&gt;AF503,char(9)&amp;char(9)&amp;"@CONFIG["&amp;AF503&amp;"]"&amp;char(10)&amp;char(9)&amp;char(9)&amp;"{"&amp;char(10),"")&amp;char(9)&amp;char(9)&amp;char(9)&amp;"@SUBCONFIG["&amp;AG503&amp;"] { %cost = "&amp;AA503&amp;" }"&amp;if(AF504&lt;&gt;AF503,char(10)&amp;char(9)&amp;char(9)&amp;"}",""),"")</f>
        <v/>
      </c>
      <c r="AF503" s="26" t="str">
        <f t="shared" si="78"/>
        <v/>
      </c>
      <c r="AG503" s="26" t="str">
        <f t="shared" si="79"/>
        <v/>
      </c>
    </row>
    <row r="504" ht="15.75" customHeight="1">
      <c r="A504" s="7" t="s">
        <v>676</v>
      </c>
      <c r="B504" s="7" t="s">
        <v>660</v>
      </c>
      <c r="C504" s="8">
        <f t="shared" si="1"/>
        <v>810</v>
      </c>
      <c r="D504" s="7">
        <v>2017.0</v>
      </c>
      <c r="E504" s="7" t="b">
        <v>1</v>
      </c>
      <c r="F504" s="7" t="b">
        <v>1</v>
      </c>
      <c r="G504" s="7" t="b">
        <v>0</v>
      </c>
      <c r="H504" s="7" t="b">
        <v>1</v>
      </c>
      <c r="I504" s="7" t="b">
        <v>1</v>
      </c>
      <c r="J504" s="9" t="b">
        <v>0</v>
      </c>
      <c r="K504" s="7">
        <v>210.0</v>
      </c>
      <c r="L504" s="7">
        <v>67.0</v>
      </c>
      <c r="M504" s="7">
        <v>460.0</v>
      </c>
      <c r="N504" s="7">
        <v>4.2</v>
      </c>
      <c r="O504" s="7">
        <v>0.99995</v>
      </c>
      <c r="P504" s="7">
        <v>0.99995</v>
      </c>
      <c r="Q504" s="10">
        <f t="shared" si="2"/>
        <v>32.53380289</v>
      </c>
      <c r="R504" s="11">
        <f t="shared" si="3"/>
        <v>16.47761194</v>
      </c>
      <c r="S504" s="12">
        <f t="shared" si="4"/>
        <v>4</v>
      </c>
      <c r="T504" s="8">
        <f t="shared" si="119"/>
        <v>1104</v>
      </c>
      <c r="U504" s="13">
        <f>T504/vlookup(A504,Max!$A$2:$AP$700,column(Max!$AP$2),false)</f>
        <v>1.346341463</v>
      </c>
      <c r="V504" s="8">
        <f t="shared" si="6"/>
        <v>154.2422318</v>
      </c>
      <c r="W504" s="14">
        <f t="shared" si="7"/>
        <v>3.709244853</v>
      </c>
      <c r="X504" s="14">
        <f t="shared" si="8"/>
        <v>1.254853697</v>
      </c>
      <c r="Y504" s="14">
        <f t="shared" si="9"/>
        <v>1.5</v>
      </c>
      <c r="Z504" s="14">
        <f t="shared" si="10"/>
        <v>1.025187819</v>
      </c>
      <c r="AA504" s="27">
        <f t="shared" si="11"/>
        <v>810</v>
      </c>
      <c r="AB504" s="15">
        <f t="shared" si="129"/>
        <v>1</v>
      </c>
      <c r="AC504" s="15" t="str">
        <f t="shared" si="40"/>
        <v/>
      </c>
      <c r="AD504" s="15" t="str">
        <f t="shared" si="41"/>
        <v>$CECE-Base$: 810,</v>
      </c>
      <c r="AE504" s="15" t="str">
        <f>if(AB504=2,if(AF502&lt;&gt;AF504,char(9)&amp;char(9)&amp;"@CONFIG["&amp;AF504&amp;"]"&amp;char(10)&amp;char(9)&amp;char(9)&amp;"{"&amp;char(10),"")&amp;char(9)&amp;char(9)&amp;char(9)&amp;"@SUBCONFIG["&amp;AG504&amp;"] { %cost = "&amp;AA504&amp;" }"&amp;if(AF505&lt;&gt;AF504,char(10)&amp;char(9)&amp;char(9)&amp;"}",""),"")</f>
        <v/>
      </c>
      <c r="AF504" s="15" t="str">
        <f t="shared" si="78"/>
        <v/>
      </c>
      <c r="AG504" s="15" t="str">
        <f t="shared" si="79"/>
        <v/>
      </c>
    </row>
    <row r="505" ht="15.75" customHeight="1">
      <c r="A505" s="16" t="s">
        <v>677</v>
      </c>
      <c r="B505" s="16" t="s">
        <v>660</v>
      </c>
      <c r="C505" s="17">
        <f t="shared" si="1"/>
        <v>167</v>
      </c>
      <c r="D505" s="16">
        <v>2017.0</v>
      </c>
      <c r="E505" s="16" t="b">
        <v>1</v>
      </c>
      <c r="F505" s="16" t="b">
        <v>1</v>
      </c>
      <c r="G505" s="16" t="b">
        <v>0</v>
      </c>
      <c r="H505" s="16" t="b">
        <v>1</v>
      </c>
      <c r="I505" s="16" t="b">
        <v>1</v>
      </c>
      <c r="J505" s="18" t="b">
        <v>0</v>
      </c>
      <c r="K505" s="16">
        <v>210.0</v>
      </c>
      <c r="L505" s="16">
        <v>67.0</v>
      </c>
      <c r="M505" s="16">
        <v>360.0</v>
      </c>
      <c r="N505" s="16">
        <v>4.2</v>
      </c>
      <c r="O505" s="16">
        <v>0.99995</v>
      </c>
      <c r="P505" s="16">
        <v>0.99995</v>
      </c>
      <c r="Q505" s="19">
        <f t="shared" si="2"/>
        <v>32.53380289</v>
      </c>
      <c r="R505" s="20">
        <f t="shared" si="3"/>
        <v>6.880597015</v>
      </c>
      <c r="S505" s="21">
        <f t="shared" si="4"/>
        <v>4</v>
      </c>
      <c r="T505" s="17">
        <f t="shared" si="119"/>
        <v>461</v>
      </c>
      <c r="U505" s="22">
        <f>T505/vlookup(A505,Max!$A$2:$AP$700,column(Max!$AP$2),false)</f>
        <v>2.095454545</v>
      </c>
      <c r="V505" s="17">
        <f t="shared" si="6"/>
        <v>154.2422318</v>
      </c>
      <c r="W505" s="23">
        <f t="shared" si="7"/>
        <v>1.54894141</v>
      </c>
      <c r="X505" s="23">
        <f t="shared" si="8"/>
        <v>1.254853697</v>
      </c>
      <c r="Y505" s="23">
        <f t="shared" si="9"/>
        <v>1.5</v>
      </c>
      <c r="Z505" s="23">
        <f t="shared" si="10"/>
        <v>1.025187819</v>
      </c>
      <c r="AA505" s="24">
        <f t="shared" si="11"/>
        <v>167</v>
      </c>
      <c r="AB505" s="26">
        <f t="shared" si="129"/>
        <v>1</v>
      </c>
      <c r="AC505" s="26" t="str">
        <f t="shared" si="40"/>
        <v/>
      </c>
      <c r="AD505" s="26" t="str">
        <f t="shared" si="41"/>
        <v>$CECE-Methane$: 167,</v>
      </c>
      <c r="AE505" s="26" t="str">
        <f>if(AB505=2,if(AF504&lt;&gt;AF505,char(9)&amp;char(9)&amp;"@CONFIG["&amp;AF505&amp;"]"&amp;char(10)&amp;char(9)&amp;char(9)&amp;"{"&amp;char(10),"")&amp;char(9)&amp;char(9)&amp;char(9)&amp;"@SUBCONFIG["&amp;AG505&amp;"] { %cost = "&amp;AA505&amp;" }"&amp;if(AF506&lt;&gt;AF505,char(10)&amp;char(9)&amp;char(9)&amp;"}",""),"")</f>
        <v/>
      </c>
      <c r="AF505" s="26" t="str">
        <f t="shared" si="78"/>
        <v/>
      </c>
      <c r="AG505" s="26" t="str">
        <f t="shared" si="79"/>
        <v/>
      </c>
    </row>
    <row r="506" ht="15.75" customHeight="1">
      <c r="A506" s="9" t="s">
        <v>678</v>
      </c>
      <c r="B506" s="9" t="s">
        <v>660</v>
      </c>
      <c r="C506" s="9">
        <v>328.0</v>
      </c>
      <c r="D506" s="9">
        <v>2018.0</v>
      </c>
      <c r="E506" s="9" t="b">
        <v>1</v>
      </c>
      <c r="F506" s="9" t="b">
        <v>1</v>
      </c>
      <c r="G506" s="9" t="b">
        <v>0</v>
      </c>
      <c r="H506" s="9" t="b">
        <v>1</v>
      </c>
      <c r="I506" s="9" t="b">
        <v>0</v>
      </c>
      <c r="J506" s="9" t="b">
        <v>0</v>
      </c>
      <c r="K506" s="9">
        <v>192.0</v>
      </c>
      <c r="L506" s="9">
        <v>102.78</v>
      </c>
      <c r="M506" s="9">
        <v>453.8</v>
      </c>
      <c r="N506" s="9">
        <v>4.23</v>
      </c>
      <c r="O506" s="9">
        <v>0.999261</v>
      </c>
      <c r="P506" s="9">
        <v>0.998529</v>
      </c>
      <c r="Q506" s="10">
        <f t="shared" si="2"/>
        <v>54.58668337</v>
      </c>
      <c r="R506" s="11">
        <f t="shared" si="3"/>
        <v>6.421482779</v>
      </c>
      <c r="S506" s="12">
        <f t="shared" si="4"/>
        <v>4</v>
      </c>
      <c r="T506" s="8">
        <f t="shared" si="119"/>
        <v>660</v>
      </c>
      <c r="U506" s="13" t="str">
        <f>T506/vlookup(A506,Max!$A$2:$AP$700,column(Max!$AP$2),false)</f>
        <v>#N/A</v>
      </c>
      <c r="V506" s="8">
        <f t="shared" si="6"/>
        <v>147.329281</v>
      </c>
      <c r="W506" s="14">
        <f t="shared" si="7"/>
        <v>3.497705225</v>
      </c>
      <c r="X506" s="14">
        <f t="shared" si="8"/>
        <v>1.256864867</v>
      </c>
      <c r="Y506" s="14">
        <f t="shared" si="9"/>
        <v>1</v>
      </c>
      <c r="Z506" s="14">
        <f t="shared" si="10"/>
        <v>1.01979074</v>
      </c>
      <c r="AA506" s="27">
        <f t="shared" si="11"/>
        <v>366</v>
      </c>
      <c r="AB506" s="15">
        <f t="shared" si="129"/>
        <v>1</v>
      </c>
      <c r="AC506" s="15" t="str">
        <f t="shared" si="40"/>
        <v/>
      </c>
      <c r="AD506" s="15" t="str">
        <f t="shared" si="41"/>
        <v>$RL10C-1A$: 328,</v>
      </c>
      <c r="AE506" s="15"/>
      <c r="AF506" s="15"/>
      <c r="AG506" s="15"/>
    </row>
    <row r="507" ht="15.75" customHeight="1">
      <c r="A507" s="16" t="s">
        <v>679</v>
      </c>
      <c r="B507" s="16" t="s">
        <v>660</v>
      </c>
      <c r="C507" s="17">
        <f t="shared" ref="C507:C508" si="130">if(countif(B$2:B507,B507)&gt;1,T507-vlookup(B507,$B$2:$T507,column(C507)-1,false),T507)</f>
        <v>363</v>
      </c>
      <c r="D507" s="16">
        <v>2021.0</v>
      </c>
      <c r="E507" s="16" t="b">
        <v>1</v>
      </c>
      <c r="F507" s="16" t="b">
        <v>1</v>
      </c>
      <c r="G507" s="16" t="b">
        <v>0</v>
      </c>
      <c r="H507" s="16" t="b">
        <v>1</v>
      </c>
      <c r="I507" s="16" t="b">
        <v>0</v>
      </c>
      <c r="J507" s="18" t="b">
        <v>0</v>
      </c>
      <c r="K507" s="16">
        <v>188.0</v>
      </c>
      <c r="L507" s="18">
        <v>106.0</v>
      </c>
      <c r="M507" s="16">
        <v>453.8</v>
      </c>
      <c r="N507" s="18">
        <v>4.34</v>
      </c>
      <c r="O507" s="18">
        <v>0.999261</v>
      </c>
      <c r="P507" s="18">
        <v>0.998529</v>
      </c>
      <c r="Q507" s="19">
        <f t="shared" si="2"/>
        <v>57.49463737</v>
      </c>
      <c r="R507" s="20">
        <f t="shared" si="3"/>
        <v>6.198113208</v>
      </c>
      <c r="S507" s="21">
        <f t="shared" si="4"/>
        <v>4</v>
      </c>
      <c r="T507" s="17">
        <f t="shared" si="119"/>
        <v>657</v>
      </c>
      <c r="U507" s="22">
        <f>T507/vlookup(A507,Max!$A$2:$AP$700,column(Max!$AP$2),false)</f>
        <v>1.6425</v>
      </c>
      <c r="V507" s="17">
        <f t="shared" si="6"/>
        <v>145.755285</v>
      </c>
      <c r="W507" s="23">
        <f t="shared" si="7"/>
        <v>3.497705225</v>
      </c>
      <c r="X507" s="23">
        <f t="shared" si="8"/>
        <v>1.264145879</v>
      </c>
      <c r="Y507" s="23">
        <f t="shared" si="9"/>
        <v>1</v>
      </c>
      <c r="Z507" s="23">
        <f t="shared" si="10"/>
        <v>1.01979074</v>
      </c>
      <c r="AA507" s="24">
        <f t="shared" si="11"/>
        <v>363</v>
      </c>
      <c r="AB507" s="26">
        <f t="shared" si="129"/>
        <v>1</v>
      </c>
      <c r="AC507" s="26" t="str">
        <f t="shared" si="40"/>
        <v/>
      </c>
      <c r="AD507" s="26" t="str">
        <f t="shared" si="41"/>
        <v>$RL10C-1-1$: 363,</v>
      </c>
      <c r="AE507" s="26" t="str">
        <f>if(AB507=2,if(AF506&lt;&gt;AF507,char(9)&amp;char(9)&amp;"@CONFIG["&amp;AF507&amp;"]"&amp;char(10)&amp;char(9)&amp;char(9)&amp;"{"&amp;char(10),"")&amp;char(9)&amp;char(9)&amp;char(9)&amp;"@SUBCONFIG["&amp;AG507&amp;"] { %cost = "&amp;AA507&amp;" }"&amp;if(AF509&lt;&gt;AF507,char(10)&amp;char(9)&amp;char(9)&amp;"}",""),"")</f>
        <v/>
      </c>
      <c r="AF507" s="26" t="str">
        <f t="shared" ref="AF507:AF508" si="131">if(AB507=2,left(A507,find("$",A507)-1),"")</f>
        <v/>
      </c>
      <c r="AG507" s="26" t="str">
        <f t="shared" ref="AG507:AG508" si="132">if(AB507=2,mid(A507,find("$",A507)+1,len(A507)),"")</f>
        <v/>
      </c>
    </row>
    <row r="508" ht="15.75" customHeight="1">
      <c r="A508" s="7" t="s">
        <v>680</v>
      </c>
      <c r="B508" s="7" t="s">
        <v>660</v>
      </c>
      <c r="C508" s="8">
        <f t="shared" si="130"/>
        <v>642</v>
      </c>
      <c r="D508" s="7">
        <v>2021.0</v>
      </c>
      <c r="E508" s="7" t="b">
        <v>1</v>
      </c>
      <c r="F508" s="7" t="b">
        <v>1</v>
      </c>
      <c r="G508" s="7" t="b">
        <v>0</v>
      </c>
      <c r="H508" s="7" t="b">
        <v>1</v>
      </c>
      <c r="I508" s="7" t="b">
        <v>0</v>
      </c>
      <c r="J508" s="9" t="b">
        <v>0</v>
      </c>
      <c r="K508" s="9">
        <v>300.0</v>
      </c>
      <c r="L508" s="9">
        <v>110.1</v>
      </c>
      <c r="M508" s="7">
        <v>465.5</v>
      </c>
      <c r="N508" s="9">
        <v>4.36</v>
      </c>
      <c r="O508" s="9">
        <v>0.999261</v>
      </c>
      <c r="P508" s="9">
        <v>0.998529</v>
      </c>
      <c r="Q508" s="10">
        <f t="shared" si="2"/>
        <v>37.42358491</v>
      </c>
      <c r="R508" s="11">
        <f t="shared" si="3"/>
        <v>8.501362398</v>
      </c>
      <c r="S508" s="12">
        <f t="shared" si="4"/>
        <v>4</v>
      </c>
      <c r="T508" s="8">
        <f t="shared" si="119"/>
        <v>936</v>
      </c>
      <c r="U508" s="13">
        <f>T508/vlookup(A508,Max!$A$2:$AP$700,column(Max!$AP$2),false)</f>
        <v>1.95</v>
      </c>
      <c r="V508" s="8">
        <f t="shared" si="6"/>
        <v>185.5391778</v>
      </c>
      <c r="W508" s="14">
        <f t="shared" si="7"/>
        <v>3.909409191</v>
      </c>
      <c r="X508" s="14">
        <f t="shared" si="8"/>
        <v>1.265454295</v>
      </c>
      <c r="Y508" s="14">
        <f t="shared" si="9"/>
        <v>1</v>
      </c>
      <c r="Z508" s="14">
        <f t="shared" si="10"/>
        <v>1.01979074</v>
      </c>
      <c r="AA508" s="27">
        <f t="shared" si="11"/>
        <v>642</v>
      </c>
      <c r="AB508" s="15">
        <f t="shared" si="129"/>
        <v>1</v>
      </c>
      <c r="AC508" s="15" t="str">
        <f t="shared" si="40"/>
        <v/>
      </c>
      <c r="AD508" s="15" t="str">
        <f t="shared" si="41"/>
        <v>$RL10C-2-1$: 642,</v>
      </c>
      <c r="AE508" s="15" t="str">
        <f>if(AB508=2,if(AF506&lt;&gt;AF508,char(9)&amp;char(9)&amp;"@CONFIG["&amp;AF508&amp;"]"&amp;char(10)&amp;char(9)&amp;char(9)&amp;"{"&amp;char(10),"")&amp;char(9)&amp;char(9)&amp;char(9)&amp;"@SUBCONFIG["&amp;AG508&amp;"] { %cost = "&amp;AA508&amp;" }"&amp;if(AF509&lt;&gt;AF508,char(10)&amp;char(9)&amp;char(9)&amp;"}",""),"")</f>
        <v/>
      </c>
      <c r="AF508" s="15" t="str">
        <f t="shared" si="131"/>
        <v/>
      </c>
      <c r="AG508" s="15" t="str">
        <f t="shared" si="132"/>
        <v/>
      </c>
    </row>
    <row r="509" ht="15.75" customHeight="1">
      <c r="A509" s="18" t="s">
        <v>681</v>
      </c>
      <c r="B509" s="18" t="s">
        <v>660</v>
      </c>
      <c r="C509" s="18">
        <v>602.0</v>
      </c>
      <c r="D509" s="18">
        <v>2022.0</v>
      </c>
      <c r="E509" s="18" t="b">
        <v>1</v>
      </c>
      <c r="F509" s="18" t="b">
        <v>1</v>
      </c>
      <c r="G509" s="18" t="b">
        <v>0</v>
      </c>
      <c r="H509" s="18" t="b">
        <v>1</v>
      </c>
      <c r="I509" s="18" t="b">
        <v>0</v>
      </c>
      <c r="J509" s="18" t="b">
        <v>0</v>
      </c>
      <c r="K509" s="18">
        <v>305.0</v>
      </c>
      <c r="L509" s="18">
        <v>110.1</v>
      </c>
      <c r="M509" s="18">
        <v>465.5</v>
      </c>
      <c r="N509" s="18">
        <v>4.34</v>
      </c>
      <c r="O509" s="18">
        <v>0.999261</v>
      </c>
      <c r="P509" s="18">
        <v>0.998529</v>
      </c>
      <c r="Q509" s="19">
        <f t="shared" si="2"/>
        <v>36.81008352</v>
      </c>
      <c r="R509" s="20">
        <f t="shared" si="3"/>
        <v>8.564940963</v>
      </c>
      <c r="S509" s="21">
        <f t="shared" si="4"/>
        <v>4</v>
      </c>
      <c r="T509" s="17">
        <f t="shared" si="119"/>
        <v>943</v>
      </c>
      <c r="U509" s="22" t="str">
        <f>T509/vlookup(A509,Max!$A$2:$AP$700,column(Max!$AP$2),false)</f>
        <v>#N/A</v>
      </c>
      <c r="V509" s="17">
        <f t="shared" si="6"/>
        <v>187.1509353</v>
      </c>
      <c r="W509" s="23">
        <f t="shared" si="7"/>
        <v>3.909409191</v>
      </c>
      <c r="X509" s="23">
        <f t="shared" si="8"/>
        <v>1.264145879</v>
      </c>
      <c r="Y509" s="23">
        <f t="shared" si="9"/>
        <v>1</v>
      </c>
      <c r="Z509" s="23">
        <f t="shared" si="10"/>
        <v>1.01979074</v>
      </c>
      <c r="AA509" s="24">
        <f t="shared" si="11"/>
        <v>649</v>
      </c>
      <c r="AB509" s="26">
        <f t="shared" si="129"/>
        <v>1</v>
      </c>
      <c r="AC509" s="26" t="str">
        <f t="shared" si="40"/>
        <v/>
      </c>
      <c r="AD509" s="26" t="str">
        <f t="shared" si="41"/>
        <v>$RL10C-2$: 602,</v>
      </c>
      <c r="AE509" s="26"/>
      <c r="AF509" s="26"/>
      <c r="AG509" s="26"/>
    </row>
    <row r="510" ht="15.75" customHeight="1">
      <c r="A510" s="7" t="s">
        <v>682</v>
      </c>
      <c r="B510" s="7" t="s">
        <v>660</v>
      </c>
      <c r="C510" s="8">
        <f t="shared" ref="C510:C657" si="133">if(countif(B$2:B510,B510)&gt;1,T510-vlookup(B510,$B$2:$T510,column(C510)-1,false),T510)</f>
        <v>460</v>
      </c>
      <c r="D510" s="9">
        <v>2028.0</v>
      </c>
      <c r="E510" s="7" t="b">
        <v>1</v>
      </c>
      <c r="F510" s="7" t="b">
        <v>1</v>
      </c>
      <c r="G510" s="7" t="b">
        <v>0</v>
      </c>
      <c r="H510" s="7" t="b">
        <v>1</v>
      </c>
      <c r="I510" s="7" t="b">
        <v>0</v>
      </c>
      <c r="J510" s="9" t="b">
        <v>0</v>
      </c>
      <c r="K510" s="9">
        <v>219.0</v>
      </c>
      <c r="L510" s="9">
        <v>108.3</v>
      </c>
      <c r="M510" s="7">
        <v>460.1</v>
      </c>
      <c r="N510" s="9">
        <v>4.34</v>
      </c>
      <c r="O510" s="9">
        <v>0.999261</v>
      </c>
      <c r="P510" s="9">
        <v>0.998529</v>
      </c>
      <c r="Q510" s="10">
        <f t="shared" si="2"/>
        <v>50.42706189</v>
      </c>
      <c r="R510" s="11">
        <f t="shared" si="3"/>
        <v>6.962142198</v>
      </c>
      <c r="S510" s="12">
        <f t="shared" si="4"/>
        <v>4</v>
      </c>
      <c r="T510" s="8">
        <f t="shared" si="119"/>
        <v>754</v>
      </c>
      <c r="U510" s="13">
        <f>T510/vlookup(A510,Max!$A$2:$AP$700,column(Max!$AP$2),false)</f>
        <v>1.795238095</v>
      </c>
      <c r="V510" s="8">
        <f t="shared" si="6"/>
        <v>157.6021159</v>
      </c>
      <c r="W510" s="14">
        <f t="shared" si="7"/>
        <v>3.712776628</v>
      </c>
      <c r="X510" s="14">
        <f t="shared" si="8"/>
        <v>1.264145879</v>
      </c>
      <c r="Y510" s="14">
        <f t="shared" si="9"/>
        <v>1</v>
      </c>
      <c r="Z510" s="14">
        <f t="shared" si="10"/>
        <v>1.01979074</v>
      </c>
      <c r="AA510" s="27">
        <f t="shared" si="11"/>
        <v>460</v>
      </c>
      <c r="AB510" s="15">
        <f t="shared" si="129"/>
        <v>1</v>
      </c>
      <c r="AC510" s="15" t="str">
        <f t="shared" si="40"/>
        <v/>
      </c>
      <c r="AD510" s="15" t="str">
        <f t="shared" si="41"/>
        <v>$RL10C-3$: 460,</v>
      </c>
      <c r="AE510" s="15" t="str">
        <f>if(AB510=2,if(AF509&lt;&gt;AF510,char(9)&amp;char(9)&amp;"@CONFIG["&amp;AF510&amp;"]"&amp;char(10)&amp;char(9)&amp;char(9)&amp;"{"&amp;char(10),"")&amp;char(9)&amp;char(9)&amp;char(9)&amp;"@SUBCONFIG["&amp;AG510&amp;"] { %cost = "&amp;AA510&amp;" }"&amp;if(AF514&lt;&gt;AF510,char(10)&amp;char(9)&amp;char(9)&amp;"}",""),"")</f>
        <v/>
      </c>
      <c r="AF510" s="15" t="str">
        <f>if(AB510=2,left(A510,find("$",A510)-1),"")</f>
        <v/>
      </c>
      <c r="AG510" s="15" t="str">
        <f>if(AB510=2,mid(A510,find("$",A510)+1,len(A510)),"")</f>
        <v/>
      </c>
    </row>
    <row r="511" ht="15.75" customHeight="1">
      <c r="A511" s="18" t="s">
        <v>683</v>
      </c>
      <c r="B511" s="18" t="s">
        <v>660</v>
      </c>
      <c r="C511" s="17">
        <f t="shared" si="133"/>
        <v>480</v>
      </c>
      <c r="D511" s="18">
        <v>2028.0</v>
      </c>
      <c r="E511" s="16" t="b">
        <v>1</v>
      </c>
      <c r="F511" s="16" t="b">
        <v>1</v>
      </c>
      <c r="G511" s="16" t="b">
        <v>0</v>
      </c>
      <c r="H511" s="16" t="b">
        <v>1</v>
      </c>
      <c r="I511" s="16" t="b">
        <v>0</v>
      </c>
      <c r="J511" s="18" t="b">
        <v>0</v>
      </c>
      <c r="K511" s="18">
        <v>227.0</v>
      </c>
      <c r="L511" s="18">
        <v>107.3</v>
      </c>
      <c r="M511" s="18">
        <v>460.9</v>
      </c>
      <c r="N511" s="18">
        <v>4.34</v>
      </c>
      <c r="O511" s="18">
        <v>0.999261</v>
      </c>
      <c r="P511" s="18">
        <v>0.998529</v>
      </c>
      <c r="Q511" s="19">
        <f t="shared" si="2"/>
        <v>48.20068253</v>
      </c>
      <c r="R511" s="20">
        <f t="shared" si="3"/>
        <v>7.213420317</v>
      </c>
      <c r="S511" s="21">
        <f t="shared" si="4"/>
        <v>4</v>
      </c>
      <c r="T511" s="17">
        <f t="shared" si="119"/>
        <v>774</v>
      </c>
      <c r="U511" s="22" t="str">
        <f>T511/vlookup(A511,Max!$A$2:$AP$700,column(Max!$AP$2),false)</f>
        <v>#N/A</v>
      </c>
      <c r="V511" s="17">
        <f t="shared" si="6"/>
        <v>160.5389605</v>
      </c>
      <c r="W511" s="23">
        <f t="shared" si="7"/>
        <v>3.741171666</v>
      </c>
      <c r="X511" s="23">
        <f t="shared" si="8"/>
        <v>1.264145879</v>
      </c>
      <c r="Y511" s="23">
        <f t="shared" si="9"/>
        <v>1</v>
      </c>
      <c r="Z511" s="23">
        <f t="shared" si="10"/>
        <v>1.01979074</v>
      </c>
      <c r="AA511" s="24">
        <f t="shared" si="11"/>
        <v>480</v>
      </c>
      <c r="AB511" s="26">
        <f t="shared" si="129"/>
        <v>1</v>
      </c>
      <c r="AC511" s="26" t="str">
        <f t="shared" si="40"/>
        <v/>
      </c>
      <c r="AD511" s="26" t="str">
        <f t="shared" si="41"/>
        <v>$RL10E-1$: 480,</v>
      </c>
      <c r="AE511" s="26"/>
      <c r="AF511" s="26"/>
      <c r="AG511" s="26"/>
    </row>
    <row r="512" ht="15.75" customHeight="1">
      <c r="A512" s="9" t="s">
        <v>684</v>
      </c>
      <c r="B512" s="9" t="s">
        <v>660</v>
      </c>
      <c r="C512" s="8">
        <f t="shared" si="133"/>
        <v>638</v>
      </c>
      <c r="D512" s="9">
        <v>2030.0</v>
      </c>
      <c r="E512" s="9" t="b">
        <v>1</v>
      </c>
      <c r="F512" s="9" t="b">
        <v>1</v>
      </c>
      <c r="G512" s="9" t="b">
        <v>0</v>
      </c>
      <c r="H512" s="9" t="b">
        <v>1</v>
      </c>
      <c r="I512" s="9" t="b">
        <v>0</v>
      </c>
      <c r="J512" s="9" t="b">
        <v>0</v>
      </c>
      <c r="K512" s="9">
        <v>272.0</v>
      </c>
      <c r="L512" s="9">
        <v>108.1</v>
      </c>
      <c r="M512" s="9">
        <v>470.5</v>
      </c>
      <c r="N512" s="9">
        <v>4.34</v>
      </c>
      <c r="O512" s="9">
        <v>0.999261</v>
      </c>
      <c r="P512" s="9">
        <v>0.998529</v>
      </c>
      <c r="Q512" s="10">
        <f t="shared" si="2"/>
        <v>40.52622143</v>
      </c>
      <c r="R512" s="11">
        <f t="shared" si="3"/>
        <v>8.621646623</v>
      </c>
      <c r="S512" s="12">
        <f t="shared" si="4"/>
        <v>4</v>
      </c>
      <c r="T512" s="8">
        <f t="shared" si="119"/>
        <v>932</v>
      </c>
      <c r="U512" s="13" t="str">
        <f>T512/vlookup(A512,Max!$A$2:$AP$700,column(Max!$AP$2),false)</f>
        <v>#N/A</v>
      </c>
      <c r="V512" s="8">
        <f t="shared" si="6"/>
        <v>176.294583</v>
      </c>
      <c r="W512" s="14">
        <f t="shared" si="7"/>
        <v>4.102277454</v>
      </c>
      <c r="X512" s="14">
        <f t="shared" si="8"/>
        <v>1.264145879</v>
      </c>
      <c r="Y512" s="14">
        <f t="shared" si="9"/>
        <v>1</v>
      </c>
      <c r="Z512" s="14">
        <f t="shared" si="10"/>
        <v>1.01979074</v>
      </c>
      <c r="AA512" s="27">
        <f t="shared" si="11"/>
        <v>638</v>
      </c>
      <c r="AB512" s="15">
        <f t="shared" si="129"/>
        <v>1</v>
      </c>
      <c r="AC512" s="15" t="str">
        <f t="shared" si="40"/>
        <v/>
      </c>
      <c r="AD512" s="15" t="str">
        <f t="shared" si="41"/>
        <v>$RL10E-3EL$: 638,</v>
      </c>
      <c r="AE512" s="15"/>
      <c r="AF512" s="15"/>
      <c r="AG512" s="15"/>
    </row>
    <row r="513" ht="15.75" customHeight="1">
      <c r="A513" s="18" t="s">
        <v>685</v>
      </c>
      <c r="B513" s="18" t="s">
        <v>660</v>
      </c>
      <c r="C513" s="17">
        <f t="shared" si="133"/>
        <v>1077</v>
      </c>
      <c r="D513" s="18">
        <v>2030.0</v>
      </c>
      <c r="E513" s="18" t="b">
        <v>1</v>
      </c>
      <c r="F513" s="18" t="b">
        <v>1</v>
      </c>
      <c r="G513" s="18" t="b">
        <v>0</v>
      </c>
      <c r="H513" s="18" t="b">
        <v>1</v>
      </c>
      <c r="I513" s="18" t="b">
        <v>1</v>
      </c>
      <c r="J513" s="18" t="b">
        <v>0</v>
      </c>
      <c r="K513" s="18">
        <v>291.0</v>
      </c>
      <c r="L513" s="18">
        <v>108.1</v>
      </c>
      <c r="M513" s="18">
        <v>464.8</v>
      </c>
      <c r="N513" s="18">
        <v>4.34</v>
      </c>
      <c r="O513" s="18">
        <v>0.999261</v>
      </c>
      <c r="P513" s="18">
        <v>0.998529</v>
      </c>
      <c r="Q513" s="19">
        <f t="shared" si="2"/>
        <v>37.88017948</v>
      </c>
      <c r="R513" s="20">
        <f t="shared" si="3"/>
        <v>12.6827012</v>
      </c>
      <c r="S513" s="21">
        <f t="shared" si="4"/>
        <v>4</v>
      </c>
      <c r="T513" s="17">
        <f t="shared" si="119"/>
        <v>1371</v>
      </c>
      <c r="U513" s="22" t="str">
        <f>T513/vlookup(A513,Max!$A$2:$AP$700,column(Max!$AP$2),false)</f>
        <v>#N/A</v>
      </c>
      <c r="V513" s="17">
        <f t="shared" si="6"/>
        <v>182.6091509</v>
      </c>
      <c r="W513" s="23">
        <f t="shared" si="7"/>
        <v>3.883251816</v>
      </c>
      <c r="X513" s="23">
        <f t="shared" si="8"/>
        <v>1.264145879</v>
      </c>
      <c r="Y513" s="23">
        <f t="shared" si="9"/>
        <v>1.5</v>
      </c>
      <c r="Z513" s="23">
        <f t="shared" si="10"/>
        <v>1.01979074</v>
      </c>
      <c r="AA513" s="24">
        <f t="shared" si="11"/>
        <v>1077</v>
      </c>
      <c r="AB513" s="25">
        <v>1.0</v>
      </c>
      <c r="AC513" s="26" t="str">
        <f t="shared" si="40"/>
        <v/>
      </c>
      <c r="AD513" s="26" t="str">
        <f t="shared" si="41"/>
        <v>$RL10E-3ELL$: 1077,</v>
      </c>
      <c r="AE513" s="26"/>
      <c r="AF513" s="26"/>
      <c r="AG513" s="26"/>
    </row>
    <row r="514" ht="15.75" customHeight="1">
      <c r="A514" s="7" t="s">
        <v>686</v>
      </c>
      <c r="B514" s="7" t="s">
        <v>687</v>
      </c>
      <c r="C514" s="8">
        <f t="shared" si="133"/>
        <v>1990</v>
      </c>
      <c r="D514" s="7"/>
      <c r="E514" s="7" t="b">
        <v>1</v>
      </c>
      <c r="F514" s="7" t="b">
        <v>1</v>
      </c>
      <c r="G514" s="7" t="b">
        <v>0</v>
      </c>
      <c r="H514" s="7" t="b">
        <v>1</v>
      </c>
      <c r="I514" s="7" t="b">
        <v>0</v>
      </c>
      <c r="J514" s="9" t="b">
        <v>0</v>
      </c>
      <c r="K514" s="7">
        <v>1845.0</v>
      </c>
      <c r="L514" s="7">
        <v>1178.7783</v>
      </c>
      <c r="M514" s="7">
        <v>444.0</v>
      </c>
      <c r="N514" s="7">
        <v>4.0</v>
      </c>
      <c r="O514" s="7"/>
      <c r="P514" s="7"/>
      <c r="Q514" s="10">
        <f t="shared" si="2"/>
        <v>65.15009976</v>
      </c>
      <c r="R514" s="11">
        <f t="shared" si="3"/>
        <v>1.688188525</v>
      </c>
      <c r="S514" s="12">
        <f t="shared" si="4"/>
        <v>4</v>
      </c>
      <c r="T514" s="8">
        <f t="shared" si="119"/>
        <v>1990</v>
      </c>
      <c r="U514" s="13">
        <f>T514/vlookup(A514,Max!$A$2:$AP$700,column(Max!$AP$2),false)</f>
        <v>1.658333333</v>
      </c>
      <c r="V514" s="8">
        <f t="shared" si="6"/>
        <v>502.4631632</v>
      </c>
      <c r="W514" s="14">
        <f t="shared" si="7"/>
        <v>3.191351771</v>
      </c>
      <c r="X514" s="14">
        <f t="shared" si="8"/>
        <v>1.241153517</v>
      </c>
      <c r="Y514" s="14">
        <f t="shared" si="9"/>
        <v>1</v>
      </c>
      <c r="Z514" s="14">
        <f t="shared" si="10"/>
        <v>1</v>
      </c>
      <c r="AA514" s="15">
        <f t="shared" si="11"/>
        <v>0</v>
      </c>
      <c r="AB514" s="15">
        <f t="shared" ref="AB514:AB516" si="134">if(iserror(find("$",A514)),1,2)</f>
        <v>1</v>
      </c>
      <c r="AC514" s="15" t="str">
        <f t="shared" si="40"/>
        <v/>
      </c>
      <c r="AD514" s="15" t="str">
        <f t="shared" si="41"/>
        <v>$RL200S$: 1990,</v>
      </c>
      <c r="AE514" s="15" t="str">
        <f>if(AB514=2,if(AF512&lt;&gt;AF514,char(9)&amp;char(9)&amp;"@CONFIG["&amp;AF514&amp;"]"&amp;char(10)&amp;char(9)&amp;char(9)&amp;"{"&amp;char(10),"")&amp;char(9)&amp;char(9)&amp;char(9)&amp;"@SUBCONFIG["&amp;AG514&amp;"] { %cost = "&amp;AA514&amp;" }"&amp;if(AF515&lt;&gt;AF514,char(10)&amp;char(9)&amp;char(9)&amp;"}",""),"")</f>
        <v/>
      </c>
      <c r="AF514" s="15" t="str">
        <f t="shared" ref="AF514:AF657" si="135">if(AB514=2,left(A514,find("$",A514)-1),"")</f>
        <v/>
      </c>
      <c r="AG514" s="15" t="str">
        <f t="shared" ref="AG514:AG657" si="136">if(AB514=2,mid(A514,find("$",A514)+1,len(A514)),"")</f>
        <v/>
      </c>
    </row>
    <row r="515" ht="15.75" customHeight="1">
      <c r="A515" s="16" t="s">
        <v>688</v>
      </c>
      <c r="B515" s="16" t="s">
        <v>687</v>
      </c>
      <c r="C515" s="17">
        <f t="shared" si="133"/>
        <v>-375</v>
      </c>
      <c r="D515" s="16"/>
      <c r="E515" s="16" t="b">
        <v>1</v>
      </c>
      <c r="F515" s="16" t="b">
        <v>1</v>
      </c>
      <c r="G515" s="16" t="b">
        <v>0</v>
      </c>
      <c r="H515" s="16" t="b">
        <v>1</v>
      </c>
      <c r="I515" s="16" t="b">
        <v>0</v>
      </c>
      <c r="J515" s="18" t="b">
        <v>0</v>
      </c>
      <c r="K515" s="16">
        <v>1780.0</v>
      </c>
      <c r="L515" s="16">
        <v>1023.0906</v>
      </c>
      <c r="M515" s="16">
        <v>435.0</v>
      </c>
      <c r="N515" s="16">
        <v>2.5</v>
      </c>
      <c r="O515" s="16"/>
      <c r="P515" s="16"/>
      <c r="Q515" s="19">
        <f t="shared" si="2"/>
        <v>58.6102286</v>
      </c>
      <c r="R515" s="20">
        <f t="shared" si="3"/>
        <v>1.578550326</v>
      </c>
      <c r="S515" s="21">
        <f t="shared" si="4"/>
        <v>4</v>
      </c>
      <c r="T515" s="17">
        <f t="shared" si="119"/>
        <v>1615</v>
      </c>
      <c r="U515" s="22">
        <f>T515/vlookup(A515,Max!$A$2:$AP$700,column(Max!$AP$2),false)</f>
        <v>1.73655914</v>
      </c>
      <c r="V515" s="17">
        <f t="shared" si="6"/>
        <v>492.2650132</v>
      </c>
      <c r="W515" s="23">
        <f t="shared" si="7"/>
        <v>2.937427839</v>
      </c>
      <c r="X515" s="23">
        <f t="shared" si="8"/>
        <v>1.116602269</v>
      </c>
      <c r="Y515" s="23">
        <f t="shared" si="9"/>
        <v>1</v>
      </c>
      <c r="Z515" s="23">
        <f t="shared" si="10"/>
        <v>1</v>
      </c>
      <c r="AA515" s="24">
        <f t="shared" si="11"/>
        <v>-375</v>
      </c>
      <c r="AB515" s="26">
        <f t="shared" si="134"/>
        <v>1</v>
      </c>
      <c r="AC515" s="26" t="str">
        <f t="shared" si="40"/>
        <v/>
      </c>
      <c r="AD515" s="26" t="str">
        <f t="shared" si="41"/>
        <v>$RL200-230k$: -375,</v>
      </c>
      <c r="AE515" s="26" t="str">
        <f t="shared" ref="AE515:AE516" si="137">if(AB515=2,if(AF514&lt;&gt;AF515,char(9)&amp;char(9)&amp;"@CONFIG["&amp;AF515&amp;"]"&amp;char(10)&amp;char(9)&amp;char(9)&amp;"{"&amp;char(10),"")&amp;char(9)&amp;char(9)&amp;char(9)&amp;"@SUBCONFIG["&amp;AG515&amp;"] { %cost = "&amp;AA515&amp;" }"&amp;if(AF516&lt;&gt;AF515,char(10)&amp;char(9)&amp;char(9)&amp;"}",""),"")</f>
        <v/>
      </c>
      <c r="AF515" s="26" t="str">
        <f t="shared" si="135"/>
        <v/>
      </c>
      <c r="AG515" s="26" t="str">
        <f t="shared" si="136"/>
        <v/>
      </c>
    </row>
    <row r="516" ht="15.75" customHeight="1">
      <c r="A516" s="7" t="s">
        <v>689</v>
      </c>
      <c r="B516" s="7" t="s">
        <v>687</v>
      </c>
      <c r="C516" s="8">
        <f t="shared" si="133"/>
        <v>-489</v>
      </c>
      <c r="D516" s="7"/>
      <c r="E516" s="7" t="b">
        <v>1</v>
      </c>
      <c r="F516" s="7" t="b">
        <v>1</v>
      </c>
      <c r="G516" s="7" t="b">
        <v>0</v>
      </c>
      <c r="H516" s="7" t="b">
        <v>1</v>
      </c>
      <c r="I516" s="7" t="b">
        <v>0</v>
      </c>
      <c r="J516" s="9" t="b">
        <v>0</v>
      </c>
      <c r="K516" s="7">
        <v>1780.0</v>
      </c>
      <c r="L516" s="7">
        <v>1000.8495</v>
      </c>
      <c r="M516" s="7">
        <v>427.0</v>
      </c>
      <c r="N516" s="7">
        <v>2.5</v>
      </c>
      <c r="O516" s="7"/>
      <c r="P516" s="7"/>
      <c r="Q516" s="10">
        <f t="shared" si="2"/>
        <v>57.3360932</v>
      </c>
      <c r="R516" s="11">
        <f t="shared" si="3"/>
        <v>1.499725983</v>
      </c>
      <c r="S516" s="12">
        <f t="shared" si="4"/>
        <v>4</v>
      </c>
      <c r="T516" s="8">
        <f t="shared" si="119"/>
        <v>1501</v>
      </c>
      <c r="U516" s="13">
        <f>T516/vlookup(A516,Max!$A$2:$AP$700,column(Max!$AP$2),false)</f>
        <v>1.830487805</v>
      </c>
      <c r="V516" s="8">
        <f t="shared" si="6"/>
        <v>492.2650132</v>
      </c>
      <c r="W516" s="14">
        <f t="shared" si="7"/>
        <v>2.731573217</v>
      </c>
      <c r="X516" s="14">
        <f t="shared" si="8"/>
        <v>1.116602269</v>
      </c>
      <c r="Y516" s="14">
        <f t="shared" si="9"/>
        <v>1</v>
      </c>
      <c r="Z516" s="14">
        <f t="shared" si="10"/>
        <v>1</v>
      </c>
      <c r="AA516" s="27">
        <f t="shared" si="11"/>
        <v>-489</v>
      </c>
      <c r="AB516" s="15">
        <f t="shared" si="134"/>
        <v>1</v>
      </c>
      <c r="AC516" s="15" t="str">
        <f t="shared" si="40"/>
        <v/>
      </c>
      <c r="AD516" s="15" t="str">
        <f t="shared" si="41"/>
        <v>$RL200-225k$: -489,</v>
      </c>
      <c r="AE516" s="15" t="str">
        <f t="shared" si="137"/>
        <v/>
      </c>
      <c r="AF516" s="15" t="str">
        <f t="shared" si="135"/>
        <v/>
      </c>
      <c r="AG516" s="15" t="str">
        <f t="shared" si="136"/>
        <v/>
      </c>
    </row>
    <row r="517" ht="15.75" customHeight="1">
      <c r="A517" s="16" t="s">
        <v>690</v>
      </c>
      <c r="B517" s="16" t="s">
        <v>687</v>
      </c>
      <c r="C517" s="17">
        <f t="shared" si="133"/>
        <v>-554</v>
      </c>
      <c r="D517" s="16"/>
      <c r="E517" s="16" t="b">
        <v>1</v>
      </c>
      <c r="F517" s="16" t="b">
        <v>1</v>
      </c>
      <c r="G517" s="16" t="b">
        <v>0</v>
      </c>
      <c r="H517" s="16" t="b">
        <v>1</v>
      </c>
      <c r="I517" s="16" t="b">
        <v>0</v>
      </c>
      <c r="J517" s="18" t="b">
        <v>0</v>
      </c>
      <c r="K517" s="16">
        <v>1780.0</v>
      </c>
      <c r="L517" s="16">
        <v>889.644</v>
      </c>
      <c r="M517" s="16">
        <v>422.0</v>
      </c>
      <c r="N517" s="16">
        <v>2.5</v>
      </c>
      <c r="O517" s="16"/>
      <c r="P517" s="16"/>
      <c r="Q517" s="19">
        <f t="shared" si="2"/>
        <v>50.96541618</v>
      </c>
      <c r="R517" s="20">
        <f t="shared" si="3"/>
        <v>1.614128798</v>
      </c>
      <c r="S517" s="21">
        <f t="shared" si="4"/>
        <v>4</v>
      </c>
      <c r="T517" s="17">
        <f t="shared" si="119"/>
        <v>1436</v>
      </c>
      <c r="U517" s="22">
        <f>T517/vlookup(A517,Max!$A$2:$AP$700,column(Max!$AP$2),false)</f>
        <v>2.143283582</v>
      </c>
      <c r="V517" s="17">
        <f t="shared" si="6"/>
        <v>492.2650132</v>
      </c>
      <c r="W517" s="23">
        <f t="shared" si="7"/>
        <v>2.611627495</v>
      </c>
      <c r="X517" s="23">
        <f t="shared" si="8"/>
        <v>1.116602269</v>
      </c>
      <c r="Y517" s="23">
        <f t="shared" si="9"/>
        <v>1</v>
      </c>
      <c r="Z517" s="23">
        <f t="shared" si="10"/>
        <v>1</v>
      </c>
      <c r="AA517" s="24">
        <f t="shared" si="11"/>
        <v>-554</v>
      </c>
      <c r="AB517" s="25">
        <v>0.0</v>
      </c>
      <c r="AC517" s="26" t="str">
        <f t="shared" si="40"/>
        <v>{
$name$: $RL200-200k$,
$config$: $RL200$,
$cost$: -554
},</v>
      </c>
      <c r="AD517" s="26" t="str">
        <f t="shared" si="41"/>
        <v/>
      </c>
      <c r="AE517" s="26" t="str">
        <f>if(AB517=2,if(AF514&lt;&gt;AF517,char(9)&amp;char(9)&amp;"@CONFIG["&amp;AF517&amp;"]"&amp;char(10)&amp;char(9)&amp;char(9)&amp;"{"&amp;char(10),"")&amp;char(9)&amp;char(9)&amp;char(9)&amp;"@SUBCONFIG["&amp;AG517&amp;"] { %cost = "&amp;AA517&amp;" }"&amp;if(AF518&lt;&gt;AF517,char(10)&amp;char(9)&amp;char(9)&amp;"}",""),"")</f>
        <v/>
      </c>
      <c r="AF517" s="26" t="str">
        <f t="shared" si="135"/>
        <v/>
      </c>
      <c r="AG517" s="26" t="str">
        <f t="shared" si="136"/>
        <v/>
      </c>
    </row>
    <row r="518" ht="15.75" customHeight="1">
      <c r="A518" s="7" t="s">
        <v>691</v>
      </c>
      <c r="B518" s="7" t="s">
        <v>691</v>
      </c>
      <c r="C518" s="8">
        <f t="shared" si="133"/>
        <v>1050</v>
      </c>
      <c r="D518" s="7">
        <v>2020.0</v>
      </c>
      <c r="E518" s="7" t="b">
        <v>1</v>
      </c>
      <c r="F518" s="7" t="b">
        <v>1</v>
      </c>
      <c r="G518" s="7" t="b">
        <v>0</v>
      </c>
      <c r="H518" s="7" t="b">
        <v>1</v>
      </c>
      <c r="I518" s="7" t="b">
        <v>0</v>
      </c>
      <c r="J518" s="9" t="b">
        <v>0</v>
      </c>
      <c r="K518" s="7">
        <v>499.0</v>
      </c>
      <c r="L518" s="7">
        <v>289.1</v>
      </c>
      <c r="M518" s="7">
        <v>465.0</v>
      </c>
      <c r="N518" s="7">
        <v>8.27</v>
      </c>
      <c r="O518" s="7">
        <v>0.998454</v>
      </c>
      <c r="P518" s="7">
        <v>0.996939</v>
      </c>
      <c r="Q518" s="10">
        <f t="shared" si="2"/>
        <v>59.07814756</v>
      </c>
      <c r="R518" s="11">
        <f t="shared" si="3"/>
        <v>3.631961259</v>
      </c>
      <c r="S518" s="12">
        <f t="shared" si="4"/>
        <v>4</v>
      </c>
      <c r="T518" s="28">
        <v>1050.0</v>
      </c>
      <c r="U518" s="13">
        <f>T518/vlookup(A518,Max!$A$2:$AP$700,column(Max!$AP$2),false)</f>
        <v>1.129032258</v>
      </c>
      <c r="V518" s="8">
        <f t="shared" si="6"/>
        <v>243.0170978</v>
      </c>
      <c r="W518" s="14">
        <f t="shared" si="7"/>
        <v>3.890704653</v>
      </c>
      <c r="X518" s="14">
        <f t="shared" si="8"/>
        <v>1.461506475</v>
      </c>
      <c r="Y518" s="14">
        <f t="shared" si="9"/>
        <v>1</v>
      </c>
      <c r="Z518" s="14">
        <f t="shared" si="10"/>
        <v>1.013686426</v>
      </c>
      <c r="AA518" s="15">
        <f t="shared" si="11"/>
        <v>0</v>
      </c>
      <c r="AB518" s="29">
        <v>0.0</v>
      </c>
      <c r="AC518" s="15" t="str">
        <f t="shared" si="40"/>
        <v>{
$name$: $RL60$,
$config$: $RL60$,
$cost$: 1050
},</v>
      </c>
      <c r="AD518" s="15" t="str">
        <f t="shared" si="41"/>
        <v/>
      </c>
      <c r="AE518" s="15" t="str">
        <f t="shared" ref="AE518:AE546" si="138">if(AB518=2,if(AF517&lt;&gt;AF518,char(9)&amp;char(9)&amp;"@CONFIG["&amp;AF518&amp;"]"&amp;char(10)&amp;char(9)&amp;char(9)&amp;"{"&amp;char(10),"")&amp;char(9)&amp;char(9)&amp;char(9)&amp;"@SUBCONFIG["&amp;AG518&amp;"] { %cost = "&amp;AA518&amp;" }"&amp;if(AF519&lt;&gt;AF518,char(10)&amp;char(9)&amp;char(9)&amp;"}",""),"")</f>
        <v/>
      </c>
      <c r="AF518" s="15" t="str">
        <f t="shared" si="135"/>
        <v/>
      </c>
      <c r="AG518" s="15" t="str">
        <f t="shared" si="136"/>
        <v/>
      </c>
    </row>
    <row r="519" ht="15.75" customHeight="1">
      <c r="A519" s="16" t="s">
        <v>692</v>
      </c>
      <c r="B519" s="16" t="s">
        <v>691</v>
      </c>
      <c r="C519" s="17">
        <f t="shared" si="133"/>
        <v>-60</v>
      </c>
      <c r="D519" s="16">
        <v>2020.0</v>
      </c>
      <c r="E519" s="16" t="b">
        <v>1</v>
      </c>
      <c r="F519" s="16" t="b">
        <v>1</v>
      </c>
      <c r="G519" s="16" t="b">
        <v>0</v>
      </c>
      <c r="H519" s="16" t="b">
        <v>1</v>
      </c>
      <c r="I519" s="16" t="b">
        <v>0</v>
      </c>
      <c r="J519" s="18" t="b">
        <v>0</v>
      </c>
      <c r="K519" s="16">
        <v>548.0</v>
      </c>
      <c r="L519" s="16">
        <v>180.0</v>
      </c>
      <c r="M519" s="16">
        <v>465.0</v>
      </c>
      <c r="N519" s="16">
        <v>6.08</v>
      </c>
      <c r="O519" s="16">
        <v>0.998454</v>
      </c>
      <c r="P519" s="16">
        <v>0.996939</v>
      </c>
      <c r="Q519" s="19">
        <f t="shared" si="2"/>
        <v>33.49432807</v>
      </c>
      <c r="R519" s="20">
        <f t="shared" si="3"/>
        <v>5.5</v>
      </c>
      <c r="S519" s="21">
        <f t="shared" si="4"/>
        <v>4</v>
      </c>
      <c r="T519" s="32">
        <v>990.0</v>
      </c>
      <c r="U519" s="22">
        <f>T519/vlookup(A519,Max!$A$2:$AP$700,column(Max!$AP$2),false)</f>
        <v>1.523076923</v>
      </c>
      <c r="V519" s="17">
        <f t="shared" si="6"/>
        <v>255.6021738</v>
      </c>
      <c r="W519" s="23">
        <f t="shared" si="7"/>
        <v>3.890704653</v>
      </c>
      <c r="X519" s="23">
        <f t="shared" si="8"/>
        <v>1.363767415</v>
      </c>
      <c r="Y519" s="23">
        <f t="shared" si="9"/>
        <v>1</v>
      </c>
      <c r="Z519" s="23">
        <f t="shared" si="10"/>
        <v>1.013686426</v>
      </c>
      <c r="AA519" s="24">
        <f t="shared" si="11"/>
        <v>-60</v>
      </c>
      <c r="AB519" s="26">
        <f>if(iserror(find("$",A519)),1,2)</f>
        <v>1</v>
      </c>
      <c r="AC519" s="26" t="str">
        <f t="shared" si="40"/>
        <v/>
      </c>
      <c r="AD519" s="26" t="str">
        <f t="shared" si="41"/>
        <v>$Vinci-180$: -60,</v>
      </c>
      <c r="AE519" s="26" t="str">
        <f t="shared" si="138"/>
        <v/>
      </c>
      <c r="AF519" s="26" t="str">
        <f t="shared" si="135"/>
        <v/>
      </c>
      <c r="AG519" s="26" t="str">
        <f t="shared" si="136"/>
        <v/>
      </c>
    </row>
    <row r="520" ht="15.75" customHeight="1">
      <c r="A520" s="7" t="s">
        <v>693</v>
      </c>
      <c r="B520" s="7" t="s">
        <v>694</v>
      </c>
      <c r="C520" s="8">
        <f t="shared" si="133"/>
        <v>5097</v>
      </c>
      <c r="D520" s="7">
        <v>2005.0</v>
      </c>
      <c r="E520" s="7" t="b">
        <v>1</v>
      </c>
      <c r="F520" s="7" t="b">
        <v>1</v>
      </c>
      <c r="G520" s="7" t="b">
        <v>0</v>
      </c>
      <c r="H520" s="7" t="b">
        <v>0</v>
      </c>
      <c r="I520" s="7" t="b">
        <v>0</v>
      </c>
      <c r="J520" s="9" t="b">
        <v>0</v>
      </c>
      <c r="K520" s="7">
        <v>2948.0</v>
      </c>
      <c r="L520" s="7">
        <v>2399.5</v>
      </c>
      <c r="M520" s="7">
        <v>450.0</v>
      </c>
      <c r="N520" s="7">
        <v>22.4</v>
      </c>
      <c r="O520" s="7">
        <v>0.99995</v>
      </c>
      <c r="P520" s="7">
        <v>0.99995</v>
      </c>
      <c r="Q520" s="10">
        <f t="shared" si="2"/>
        <v>82.99895</v>
      </c>
      <c r="R520" s="11">
        <f t="shared" si="3"/>
        <v>2.12419254</v>
      </c>
      <c r="S520" s="12">
        <f t="shared" si="4"/>
        <v>4</v>
      </c>
      <c r="T520" s="8">
        <f t="shared" ref="T520:T535" si="139">round(V520*W520*X520*Y520*Z520,0)</f>
        <v>5097</v>
      </c>
      <c r="U520" s="13">
        <f>T520/vlookup(A520,Max!$A$2:$AP$700,column(Max!$AP$2),false)</f>
        <v>0.8638983051</v>
      </c>
      <c r="V520" s="8">
        <f t="shared" si="6"/>
        <v>658.6018769</v>
      </c>
      <c r="W520" s="14">
        <f t="shared" si="7"/>
        <v>3.375</v>
      </c>
      <c r="X520" s="14">
        <f t="shared" si="8"/>
        <v>2.236439106</v>
      </c>
      <c r="Y520" s="14">
        <f t="shared" si="9"/>
        <v>1</v>
      </c>
      <c r="Z520" s="14">
        <f t="shared" si="10"/>
        <v>1.025315978</v>
      </c>
      <c r="AA520" s="15">
        <f t="shared" si="11"/>
        <v>0</v>
      </c>
      <c r="AB520" s="29">
        <v>0.0</v>
      </c>
      <c r="AC520" s="15" t="str">
        <f t="shared" si="40"/>
        <v>{
$name$: $RS-2100$,
$config$: $RS2100$,
$cost$: 5097
},</v>
      </c>
      <c r="AD520" s="15" t="str">
        <f t="shared" si="41"/>
        <v/>
      </c>
      <c r="AE520" s="15" t="str">
        <f t="shared" si="138"/>
        <v/>
      </c>
      <c r="AF520" s="15" t="str">
        <f t="shared" si="135"/>
        <v/>
      </c>
      <c r="AG520" s="15" t="str">
        <f t="shared" si="136"/>
        <v/>
      </c>
    </row>
    <row r="521" ht="15.75" customHeight="1">
      <c r="A521" s="16" t="s">
        <v>695</v>
      </c>
      <c r="B521" s="16" t="s">
        <v>696</v>
      </c>
      <c r="C521" s="17">
        <f t="shared" si="133"/>
        <v>994</v>
      </c>
      <c r="D521" s="16">
        <v>1979.0</v>
      </c>
      <c r="E521" s="16" t="b">
        <v>1</v>
      </c>
      <c r="F521" s="16" t="b">
        <v>1</v>
      </c>
      <c r="G521" s="16" t="b">
        <v>0</v>
      </c>
      <c r="H521" s="16" t="b">
        <v>1</v>
      </c>
      <c r="I521" s="16" t="b">
        <v>0</v>
      </c>
      <c r="J521" s="18" t="b">
        <v>0</v>
      </c>
      <c r="K521" s="16">
        <v>174.0</v>
      </c>
      <c r="L521" s="16">
        <v>88.964</v>
      </c>
      <c r="M521" s="16">
        <v>473.4</v>
      </c>
      <c r="N521" s="16">
        <v>15.4</v>
      </c>
      <c r="O521" s="16">
        <v>0.993333</v>
      </c>
      <c r="P521" s="16">
        <v>0.996667</v>
      </c>
      <c r="Q521" s="19">
        <f t="shared" si="2"/>
        <v>52.13680052</v>
      </c>
      <c r="R521" s="20">
        <f t="shared" si="3"/>
        <v>11.17305877</v>
      </c>
      <c r="S521" s="21">
        <f t="shared" si="4"/>
        <v>4</v>
      </c>
      <c r="T521" s="17">
        <f t="shared" si="139"/>
        <v>994</v>
      </c>
      <c r="U521" s="22">
        <f>T521/vlookup(A521,Max!$A$2:$AP$700,column(Max!$AP$2),false)</f>
        <v>1.461764706</v>
      </c>
      <c r="V521" s="17">
        <f t="shared" si="6"/>
        <v>140.1272934</v>
      </c>
      <c r="W521" s="23">
        <f t="shared" si="7"/>
        <v>4.219157021</v>
      </c>
      <c r="X521" s="23">
        <f t="shared" si="8"/>
        <v>1.680947565</v>
      </c>
      <c r="Y521" s="23">
        <f t="shared" si="9"/>
        <v>1</v>
      </c>
      <c r="Z521" s="23">
        <f t="shared" si="10"/>
        <v>1.000056115</v>
      </c>
      <c r="AA521" s="26">
        <f t="shared" si="11"/>
        <v>0</v>
      </c>
      <c r="AB521" s="25">
        <v>0.0</v>
      </c>
      <c r="AC521" s="26" t="str">
        <f t="shared" si="40"/>
        <v>{
$name$: $RS-30$,
$config$: $RS30$,
$cost$: 994
},</v>
      </c>
      <c r="AD521" s="26" t="str">
        <f t="shared" si="41"/>
        <v/>
      </c>
      <c r="AE521" s="26" t="str">
        <f t="shared" si="138"/>
        <v/>
      </c>
      <c r="AF521" s="26" t="str">
        <f t="shared" si="135"/>
        <v/>
      </c>
      <c r="AG521" s="26" t="str">
        <f t="shared" si="136"/>
        <v/>
      </c>
    </row>
    <row r="522" ht="15.75" customHeight="1">
      <c r="A522" s="7" t="s">
        <v>697</v>
      </c>
      <c r="B522" s="7" t="s">
        <v>698</v>
      </c>
      <c r="C522" s="8">
        <f t="shared" si="133"/>
        <v>784</v>
      </c>
      <c r="D522" s="7">
        <v>1991.0</v>
      </c>
      <c r="E522" s="7" t="b">
        <v>1</v>
      </c>
      <c r="F522" s="7" t="b">
        <v>1</v>
      </c>
      <c r="G522" s="7" t="b">
        <v>0</v>
      </c>
      <c r="H522" s="7" t="b">
        <v>1</v>
      </c>
      <c r="I522" s="7" t="b">
        <v>0</v>
      </c>
      <c r="J522" s="9" t="b">
        <v>0</v>
      </c>
      <c r="K522" s="7">
        <v>155.1</v>
      </c>
      <c r="L522" s="7">
        <v>66.7</v>
      </c>
      <c r="M522" s="7">
        <v>463.0</v>
      </c>
      <c r="N522" s="7">
        <v>10.61</v>
      </c>
      <c r="O522" s="7">
        <v>0.99486</v>
      </c>
      <c r="P522" s="7">
        <v>0.99717</v>
      </c>
      <c r="Q522" s="10">
        <f t="shared" si="2"/>
        <v>43.85239923</v>
      </c>
      <c r="R522" s="11">
        <f t="shared" si="3"/>
        <v>11.75412294</v>
      </c>
      <c r="S522" s="12">
        <f t="shared" si="4"/>
        <v>4</v>
      </c>
      <c r="T522" s="8">
        <f t="shared" si="139"/>
        <v>784</v>
      </c>
      <c r="U522" s="13">
        <f>T522/vlookup(A522,Max!$A$2:$AP$700,column(Max!$AP$2),false)</f>
        <v>1.507692308</v>
      </c>
      <c r="V522" s="8">
        <f t="shared" si="6"/>
        <v>132.2027152</v>
      </c>
      <c r="W522" s="14">
        <f t="shared" si="7"/>
        <v>3.816914098</v>
      </c>
      <c r="X522" s="14">
        <f t="shared" si="8"/>
        <v>1.545781002</v>
      </c>
      <c r="Y522" s="14">
        <f t="shared" si="9"/>
        <v>1</v>
      </c>
      <c r="Z522" s="14">
        <f t="shared" si="10"/>
        <v>1.005170995</v>
      </c>
      <c r="AA522" s="15">
        <f t="shared" si="11"/>
        <v>0</v>
      </c>
      <c r="AB522" s="29">
        <v>0.0</v>
      </c>
      <c r="AC522" s="15" t="str">
        <f t="shared" si="40"/>
        <v>{
$name$: $RS-44-Core$,
$config$: $RS44$,
$cost$: 784
},</v>
      </c>
      <c r="AD522" s="15" t="str">
        <f t="shared" si="41"/>
        <v/>
      </c>
      <c r="AE522" s="15" t="str">
        <f t="shared" si="138"/>
        <v/>
      </c>
      <c r="AF522" s="15" t="str">
        <f t="shared" si="135"/>
        <v/>
      </c>
      <c r="AG522" s="15" t="str">
        <f t="shared" si="136"/>
        <v/>
      </c>
    </row>
    <row r="523" ht="15.75" customHeight="1">
      <c r="A523" s="16" t="s">
        <v>699</v>
      </c>
      <c r="B523" s="16" t="s">
        <v>698</v>
      </c>
      <c r="C523" s="17">
        <f t="shared" si="133"/>
        <v>303</v>
      </c>
      <c r="D523" s="16">
        <v>1993.0</v>
      </c>
      <c r="E523" s="16" t="b">
        <v>1</v>
      </c>
      <c r="F523" s="16" t="b">
        <v>1</v>
      </c>
      <c r="G523" s="16" t="b">
        <v>0</v>
      </c>
      <c r="H523" s="16" t="b">
        <v>1</v>
      </c>
      <c r="I523" s="16" t="b">
        <v>0</v>
      </c>
      <c r="J523" s="18" t="b">
        <v>0</v>
      </c>
      <c r="K523" s="16">
        <v>209.1</v>
      </c>
      <c r="L523" s="16">
        <v>66.7</v>
      </c>
      <c r="M523" s="16">
        <v>481.0</v>
      </c>
      <c r="N523" s="16">
        <v>10.61</v>
      </c>
      <c r="O523" s="16">
        <v>0.99486</v>
      </c>
      <c r="P523" s="16">
        <v>0.99717</v>
      </c>
      <c r="Q523" s="19">
        <f t="shared" si="2"/>
        <v>32.52753286</v>
      </c>
      <c r="R523" s="20">
        <f t="shared" si="3"/>
        <v>16.29685157</v>
      </c>
      <c r="S523" s="21">
        <f t="shared" si="4"/>
        <v>4</v>
      </c>
      <c r="T523" s="17">
        <f t="shared" si="139"/>
        <v>1087</v>
      </c>
      <c r="U523" s="22">
        <f>T523/vlookup(A523,Max!$A$2:$AP$700,column(Max!$AP$2),false)</f>
        <v>1.725396825</v>
      </c>
      <c r="V523" s="17">
        <f t="shared" si="6"/>
        <v>153.9028482</v>
      </c>
      <c r="W523" s="23">
        <f t="shared" si="7"/>
        <v>4.544049512</v>
      </c>
      <c r="X523" s="23">
        <f t="shared" si="8"/>
        <v>1.545781002</v>
      </c>
      <c r="Y523" s="23">
        <f t="shared" si="9"/>
        <v>1</v>
      </c>
      <c r="Z523" s="23">
        <f t="shared" si="10"/>
        <v>1.005170995</v>
      </c>
      <c r="AA523" s="24">
        <f t="shared" si="11"/>
        <v>303</v>
      </c>
      <c r="AB523" s="26">
        <f t="shared" ref="AB523:AB524" si="140">if(iserror(find("$",A523)),1,2)</f>
        <v>1</v>
      </c>
      <c r="AC523" s="26" t="str">
        <f t="shared" si="40"/>
        <v/>
      </c>
      <c r="AD523" s="26" t="str">
        <f t="shared" si="41"/>
        <v>$RS-44-Incremental$: 303,</v>
      </c>
      <c r="AE523" s="26" t="str">
        <f t="shared" si="138"/>
        <v/>
      </c>
      <c r="AF523" s="26" t="str">
        <f t="shared" si="135"/>
        <v/>
      </c>
      <c r="AG523" s="26" t="str">
        <f t="shared" si="136"/>
        <v/>
      </c>
    </row>
    <row r="524" ht="15.75" customHeight="1">
      <c r="A524" s="7" t="s">
        <v>700</v>
      </c>
      <c r="B524" s="7" t="s">
        <v>698</v>
      </c>
      <c r="C524" s="8">
        <f t="shared" si="133"/>
        <v>429</v>
      </c>
      <c r="D524" s="7">
        <v>1998.0</v>
      </c>
      <c r="E524" s="7" t="b">
        <v>1</v>
      </c>
      <c r="F524" s="7" t="b">
        <v>1</v>
      </c>
      <c r="G524" s="7" t="b">
        <v>0</v>
      </c>
      <c r="H524" s="7" t="b">
        <v>1</v>
      </c>
      <c r="I524" s="7" t="b">
        <v>0</v>
      </c>
      <c r="J524" s="9" t="b">
        <v>0</v>
      </c>
      <c r="K524" s="7">
        <v>184.6</v>
      </c>
      <c r="L524" s="7">
        <v>66.7</v>
      </c>
      <c r="M524" s="7">
        <v>492.0</v>
      </c>
      <c r="N524" s="7">
        <v>14.15</v>
      </c>
      <c r="O524" s="7">
        <v>0.99486</v>
      </c>
      <c r="P524" s="7">
        <v>0.99717</v>
      </c>
      <c r="Q524" s="10">
        <f t="shared" si="2"/>
        <v>36.84456728</v>
      </c>
      <c r="R524" s="11">
        <f t="shared" si="3"/>
        <v>18.18590705</v>
      </c>
      <c r="S524" s="12">
        <f t="shared" si="4"/>
        <v>4</v>
      </c>
      <c r="T524" s="8">
        <f t="shared" si="139"/>
        <v>1213</v>
      </c>
      <c r="U524" s="13">
        <f>T524/vlookup(A524,Max!$A$2:$AP$700,column(Max!$AP$2),false)</f>
        <v>1.732857143</v>
      </c>
      <c r="V524" s="8">
        <f t="shared" si="6"/>
        <v>144.405852</v>
      </c>
      <c r="W524" s="14">
        <f t="shared" si="7"/>
        <v>5.066264055</v>
      </c>
      <c r="X524" s="14">
        <f t="shared" si="8"/>
        <v>1.64923371</v>
      </c>
      <c r="Y524" s="14">
        <f t="shared" si="9"/>
        <v>1</v>
      </c>
      <c r="Z524" s="14">
        <f t="shared" si="10"/>
        <v>1.005170995</v>
      </c>
      <c r="AA524" s="27">
        <f t="shared" si="11"/>
        <v>429</v>
      </c>
      <c r="AB524" s="15">
        <f t="shared" si="140"/>
        <v>1</v>
      </c>
      <c r="AC524" s="15" t="str">
        <f t="shared" si="40"/>
        <v/>
      </c>
      <c r="AD524" s="15" t="str">
        <f t="shared" si="41"/>
        <v>$RS-44-Full$: 429,</v>
      </c>
      <c r="AE524" s="15" t="str">
        <f t="shared" si="138"/>
        <v/>
      </c>
      <c r="AF524" s="15" t="str">
        <f t="shared" si="135"/>
        <v/>
      </c>
      <c r="AG524" s="15" t="str">
        <f t="shared" si="136"/>
        <v/>
      </c>
    </row>
    <row r="525" ht="15.75" customHeight="1">
      <c r="A525" s="16" t="s">
        <v>701</v>
      </c>
      <c r="B525" s="16" t="s">
        <v>702</v>
      </c>
      <c r="C525" s="17">
        <f t="shared" si="133"/>
        <v>3953</v>
      </c>
      <c r="D525" s="16">
        <v>2002.0</v>
      </c>
      <c r="E525" s="16" t="b">
        <v>1</v>
      </c>
      <c r="F525" s="16" t="b">
        <v>1</v>
      </c>
      <c r="G525" s="16" t="b">
        <v>0</v>
      </c>
      <c r="H525" s="16" t="b">
        <v>0</v>
      </c>
      <c r="I525" s="16" t="b">
        <v>0</v>
      </c>
      <c r="J525" s="18" t="b">
        <v>0</v>
      </c>
      <c r="K525" s="16">
        <v>5500.0</v>
      </c>
      <c r="L525" s="16">
        <v>3313.9</v>
      </c>
      <c r="M525" s="16">
        <v>410.0</v>
      </c>
      <c r="N525" s="16">
        <v>9.73</v>
      </c>
      <c r="O525" s="16">
        <v>0.996512</v>
      </c>
      <c r="P525" s="16">
        <v>0.996512</v>
      </c>
      <c r="Q525" s="19">
        <f t="shared" si="2"/>
        <v>61.4406827</v>
      </c>
      <c r="R525" s="20">
        <f t="shared" si="3"/>
        <v>1.192854341</v>
      </c>
      <c r="S525" s="21">
        <f t="shared" si="4"/>
        <v>4</v>
      </c>
      <c r="T525" s="17">
        <f t="shared" si="139"/>
        <v>3953</v>
      </c>
      <c r="U525" s="22">
        <f>T525/vlookup(A525,Max!$A$2:$AP$700,column(Max!$AP$2),false)</f>
        <v>1.363103448</v>
      </c>
      <c r="V525" s="17">
        <f t="shared" si="6"/>
        <v>950.6683174</v>
      </c>
      <c r="W525" s="23">
        <f t="shared" si="7"/>
        <v>2.348611116</v>
      </c>
      <c r="X525" s="23">
        <f t="shared" si="8"/>
        <v>1.741472113</v>
      </c>
      <c r="Y525" s="23">
        <f t="shared" si="9"/>
        <v>1</v>
      </c>
      <c r="Z525" s="23">
        <f t="shared" si="10"/>
        <v>1.016525659</v>
      </c>
      <c r="AA525" s="26">
        <f t="shared" si="11"/>
        <v>0</v>
      </c>
      <c r="AB525" s="25">
        <v>0.0</v>
      </c>
      <c r="AC525" s="26" t="str">
        <f t="shared" si="40"/>
        <v>{
$name$: $RS-68$,
$config$: $RS68$,
$cost$: 3953
},</v>
      </c>
      <c r="AD525" s="26" t="str">
        <f t="shared" si="41"/>
        <v/>
      </c>
      <c r="AE525" s="26" t="str">
        <f t="shared" si="138"/>
        <v/>
      </c>
      <c r="AF525" s="26" t="str">
        <f t="shared" si="135"/>
        <v/>
      </c>
      <c r="AG525" s="26" t="str">
        <f t="shared" si="136"/>
        <v/>
      </c>
    </row>
    <row r="526" ht="15.75" customHeight="1">
      <c r="A526" s="7" t="s">
        <v>703</v>
      </c>
      <c r="B526" s="7" t="s">
        <v>702</v>
      </c>
      <c r="C526" s="8">
        <f t="shared" si="133"/>
        <v>89</v>
      </c>
      <c r="D526" s="7">
        <v>2010.0</v>
      </c>
      <c r="E526" s="7" t="b">
        <v>1</v>
      </c>
      <c r="F526" s="7" t="b">
        <v>1</v>
      </c>
      <c r="G526" s="7" t="b">
        <v>0</v>
      </c>
      <c r="H526" s="7" t="b">
        <v>0</v>
      </c>
      <c r="I526" s="7" t="b">
        <v>0</v>
      </c>
      <c r="J526" s="9" t="b">
        <v>0</v>
      </c>
      <c r="K526" s="7">
        <v>5497.0</v>
      </c>
      <c r="L526" s="7">
        <v>3570.0</v>
      </c>
      <c r="M526" s="7">
        <v>412.0</v>
      </c>
      <c r="N526" s="7">
        <v>9.9</v>
      </c>
      <c r="O526" s="7">
        <v>0.996512</v>
      </c>
      <c r="P526" s="7">
        <v>0.996512</v>
      </c>
      <c r="Q526" s="10">
        <f t="shared" si="2"/>
        <v>66.22497489</v>
      </c>
      <c r="R526" s="11">
        <f t="shared" si="3"/>
        <v>1.132212885</v>
      </c>
      <c r="S526" s="12">
        <f t="shared" si="4"/>
        <v>4</v>
      </c>
      <c r="T526" s="8">
        <f t="shared" si="139"/>
        <v>4042</v>
      </c>
      <c r="U526" s="13">
        <f>T526/vlookup(A526,Max!$A$2:$AP$700,column(Max!$AP$2),false)</f>
        <v>1.303870968</v>
      </c>
      <c r="V526" s="8">
        <f t="shared" si="6"/>
        <v>950.360099</v>
      </c>
      <c r="W526" s="14">
        <f t="shared" si="7"/>
        <v>2.390147157</v>
      </c>
      <c r="X526" s="14">
        <f t="shared" si="8"/>
        <v>1.750544803</v>
      </c>
      <c r="Y526" s="14">
        <f t="shared" si="9"/>
        <v>1</v>
      </c>
      <c r="Z526" s="14">
        <f t="shared" si="10"/>
        <v>1.016525659</v>
      </c>
      <c r="AA526" s="27">
        <f t="shared" si="11"/>
        <v>89</v>
      </c>
      <c r="AB526" s="15">
        <f t="shared" ref="AB526:AB529" si="141">if(iserror(find("$",A526)),1,2)</f>
        <v>1</v>
      </c>
      <c r="AC526" s="15" t="str">
        <f t="shared" si="40"/>
        <v/>
      </c>
      <c r="AD526" s="15" t="str">
        <f t="shared" si="41"/>
        <v>$RS-68A$: 89,</v>
      </c>
      <c r="AE526" s="15" t="str">
        <f t="shared" si="138"/>
        <v/>
      </c>
      <c r="AF526" s="15" t="str">
        <f t="shared" si="135"/>
        <v/>
      </c>
      <c r="AG526" s="15" t="str">
        <f t="shared" si="136"/>
        <v/>
      </c>
    </row>
    <row r="527" ht="15.75" customHeight="1">
      <c r="A527" s="16" t="s">
        <v>704</v>
      </c>
      <c r="B527" s="16" t="s">
        <v>702</v>
      </c>
      <c r="C527" s="17">
        <f t="shared" si="133"/>
        <v>218</v>
      </c>
      <c r="D527" s="16">
        <v>2014.0</v>
      </c>
      <c r="E527" s="16" t="b">
        <v>1</v>
      </c>
      <c r="F527" s="16" t="b">
        <v>1</v>
      </c>
      <c r="G527" s="16" t="b">
        <v>0</v>
      </c>
      <c r="H527" s="16" t="b">
        <v>0</v>
      </c>
      <c r="I527" s="16" t="b">
        <v>0</v>
      </c>
      <c r="J527" s="18" t="b">
        <v>0</v>
      </c>
      <c r="K527" s="16">
        <v>5565.0</v>
      </c>
      <c r="L527" s="16">
        <v>3570.0</v>
      </c>
      <c r="M527" s="16">
        <v>414.2</v>
      </c>
      <c r="N527" s="16">
        <v>9.9</v>
      </c>
      <c r="O527" s="16">
        <v>0.998404</v>
      </c>
      <c r="P527" s="16">
        <v>0.998404</v>
      </c>
      <c r="Q527" s="19">
        <f t="shared" si="2"/>
        <v>65.41575687</v>
      </c>
      <c r="R527" s="20">
        <f t="shared" si="3"/>
        <v>1.168347339</v>
      </c>
      <c r="S527" s="21">
        <f t="shared" si="4"/>
        <v>4</v>
      </c>
      <c r="T527" s="17">
        <f t="shared" si="139"/>
        <v>4171</v>
      </c>
      <c r="U527" s="22">
        <f>T527/vlookup(A527,Max!$A$2:$AP$700,column(Max!$AP$2),false)</f>
        <v>1.191714286</v>
      </c>
      <c r="V527" s="17">
        <f t="shared" si="6"/>
        <v>957.3309212</v>
      </c>
      <c r="W527" s="23">
        <f t="shared" si="7"/>
        <v>2.436867877</v>
      </c>
      <c r="X527" s="23">
        <f t="shared" si="8"/>
        <v>1.750544803</v>
      </c>
      <c r="Y527" s="23">
        <f t="shared" si="9"/>
        <v>1</v>
      </c>
      <c r="Z527" s="23">
        <f t="shared" si="10"/>
        <v>1.021357528</v>
      </c>
      <c r="AA527" s="24">
        <f t="shared" si="11"/>
        <v>218</v>
      </c>
      <c r="AB527" s="26">
        <f t="shared" si="141"/>
        <v>1</v>
      </c>
      <c r="AC527" s="26" t="str">
        <f t="shared" si="40"/>
        <v/>
      </c>
      <c r="AD527" s="26" t="str">
        <f t="shared" si="41"/>
        <v>$RS-68B$: 218,</v>
      </c>
      <c r="AE527" s="26" t="str">
        <f t="shared" si="138"/>
        <v/>
      </c>
      <c r="AF527" s="26" t="str">
        <f t="shared" si="135"/>
        <v/>
      </c>
      <c r="AG527" s="26" t="str">
        <f t="shared" si="136"/>
        <v/>
      </c>
    </row>
    <row r="528" ht="15.75" customHeight="1">
      <c r="A528" s="7" t="s">
        <v>705</v>
      </c>
      <c r="B528" s="7" t="s">
        <v>702</v>
      </c>
      <c r="C528" s="8">
        <f t="shared" si="133"/>
        <v>37</v>
      </c>
      <c r="D528" s="7">
        <v>2015.0</v>
      </c>
      <c r="E528" s="7" t="b">
        <v>1</v>
      </c>
      <c r="F528" s="7" t="b">
        <v>1</v>
      </c>
      <c r="G528" s="7" t="b">
        <v>0</v>
      </c>
      <c r="H528" s="7" t="b">
        <v>0</v>
      </c>
      <c r="I528" s="7" t="b">
        <v>0</v>
      </c>
      <c r="J528" s="9" t="b">
        <v>0</v>
      </c>
      <c r="K528" s="7">
        <v>4862.0</v>
      </c>
      <c r="L528" s="7">
        <v>3647.0</v>
      </c>
      <c r="M528" s="7">
        <v>418.0</v>
      </c>
      <c r="N528" s="7">
        <v>10.26</v>
      </c>
      <c r="O528" s="7">
        <v>0.995</v>
      </c>
      <c r="P528" s="7">
        <v>0.995</v>
      </c>
      <c r="Q528" s="10">
        <f t="shared" si="2"/>
        <v>76.48920234</v>
      </c>
      <c r="R528" s="11">
        <f t="shared" si="3"/>
        <v>1.094049904</v>
      </c>
      <c r="S528" s="12">
        <f t="shared" si="4"/>
        <v>4</v>
      </c>
      <c r="T528" s="8">
        <f t="shared" si="139"/>
        <v>3990</v>
      </c>
      <c r="U528" s="13">
        <f>T528/vlookup(A528,Max!$A$2:$AP$700,column(Max!$AP$2),false)</f>
        <v>1.078378378</v>
      </c>
      <c r="V528" s="8">
        <f t="shared" si="6"/>
        <v>883.6129301</v>
      </c>
      <c r="W528" s="14">
        <f t="shared" si="7"/>
        <v>2.520190337</v>
      </c>
      <c r="X528" s="14">
        <f t="shared" si="8"/>
        <v>1.769403493</v>
      </c>
      <c r="Y528" s="14">
        <f t="shared" si="9"/>
        <v>1</v>
      </c>
      <c r="Z528" s="14">
        <f t="shared" si="10"/>
        <v>1.01267413</v>
      </c>
      <c r="AA528" s="27">
        <f t="shared" si="11"/>
        <v>37</v>
      </c>
      <c r="AB528" s="15">
        <f t="shared" si="141"/>
        <v>1</v>
      </c>
      <c r="AC528" s="15" t="str">
        <f t="shared" si="40"/>
        <v/>
      </c>
      <c r="AD528" s="15" t="str">
        <f t="shared" si="41"/>
        <v>$RS-68K$: 37,</v>
      </c>
      <c r="AE528" s="15" t="str">
        <f t="shared" si="138"/>
        <v/>
      </c>
      <c r="AF528" s="15" t="str">
        <f t="shared" si="135"/>
        <v/>
      </c>
      <c r="AG528" s="15" t="str">
        <f t="shared" si="136"/>
        <v/>
      </c>
    </row>
    <row r="529" ht="15.75" customHeight="1">
      <c r="A529" s="16" t="s">
        <v>706</v>
      </c>
      <c r="B529" s="16" t="s">
        <v>702</v>
      </c>
      <c r="C529" s="17">
        <f t="shared" si="133"/>
        <v>1040</v>
      </c>
      <c r="D529" s="16">
        <v>2020.0</v>
      </c>
      <c r="E529" s="16" t="b">
        <v>1</v>
      </c>
      <c r="F529" s="16" t="b">
        <v>1</v>
      </c>
      <c r="G529" s="16" t="b">
        <v>0</v>
      </c>
      <c r="H529" s="16" t="b">
        <v>0</v>
      </c>
      <c r="I529" s="16" t="b">
        <v>0</v>
      </c>
      <c r="J529" s="18" t="b">
        <v>0</v>
      </c>
      <c r="K529" s="16">
        <v>4862.0</v>
      </c>
      <c r="L529" s="16">
        <v>4110.0</v>
      </c>
      <c r="M529" s="16">
        <v>435.0</v>
      </c>
      <c r="N529" s="16">
        <v>13.0</v>
      </c>
      <c r="O529" s="16">
        <v>0.995</v>
      </c>
      <c r="P529" s="16">
        <v>0.995</v>
      </c>
      <c r="Q529" s="19">
        <f t="shared" si="2"/>
        <v>86.19978657</v>
      </c>
      <c r="R529" s="20">
        <f t="shared" si="3"/>
        <v>1.214841849</v>
      </c>
      <c r="S529" s="21">
        <f t="shared" si="4"/>
        <v>4</v>
      </c>
      <c r="T529" s="17">
        <f t="shared" si="139"/>
        <v>4993</v>
      </c>
      <c r="U529" s="22">
        <f>T529/vlookup(A529,Max!$A$2:$AP$700,column(Max!$AP$2),false)</f>
        <v>1.040208333</v>
      </c>
      <c r="V529" s="17">
        <f t="shared" si="6"/>
        <v>883.6129301</v>
      </c>
      <c r="W529" s="23">
        <f t="shared" si="7"/>
        <v>2.937427839</v>
      </c>
      <c r="X529" s="23">
        <f t="shared" si="8"/>
        <v>1.899615383</v>
      </c>
      <c r="Y529" s="23">
        <f t="shared" si="9"/>
        <v>1</v>
      </c>
      <c r="Z529" s="23">
        <f t="shared" si="10"/>
        <v>1.01267413</v>
      </c>
      <c r="AA529" s="24">
        <f t="shared" si="11"/>
        <v>1040</v>
      </c>
      <c r="AB529" s="26">
        <f t="shared" si="141"/>
        <v>1</v>
      </c>
      <c r="AC529" s="26" t="str">
        <f t="shared" si="40"/>
        <v/>
      </c>
      <c r="AD529" s="26" t="str">
        <f t="shared" si="41"/>
        <v>$RS-800$: 1040,</v>
      </c>
      <c r="AE529" s="26" t="str">
        <f t="shared" si="138"/>
        <v/>
      </c>
      <c r="AF529" s="26" t="str">
        <f t="shared" si="135"/>
        <v/>
      </c>
      <c r="AG529" s="26" t="str">
        <f t="shared" si="136"/>
        <v/>
      </c>
    </row>
    <row r="530" ht="15.75" customHeight="1">
      <c r="A530" s="7" t="s">
        <v>707</v>
      </c>
      <c r="B530" s="7" t="s">
        <v>708</v>
      </c>
      <c r="C530" s="8">
        <f t="shared" si="133"/>
        <v>2912</v>
      </c>
      <c r="D530" s="7">
        <v>2001.0</v>
      </c>
      <c r="E530" s="7"/>
      <c r="F530" s="7" t="b">
        <v>1</v>
      </c>
      <c r="G530" s="7" t="b">
        <v>0</v>
      </c>
      <c r="H530" s="7" t="b">
        <v>0</v>
      </c>
      <c r="I530" s="7" t="b">
        <v>0</v>
      </c>
      <c r="J530" s="9" t="b">
        <v>0</v>
      </c>
      <c r="K530" s="7">
        <v>7087.0</v>
      </c>
      <c r="L530" s="7">
        <v>4378.81</v>
      </c>
      <c r="M530" s="7">
        <v>337.0</v>
      </c>
      <c r="N530" s="7">
        <v>19.31</v>
      </c>
      <c r="O530" s="7"/>
      <c r="P530" s="7"/>
      <c r="Q530" s="10">
        <f t="shared" si="2"/>
        <v>63.00470633</v>
      </c>
      <c r="R530" s="11">
        <f t="shared" si="3"/>
        <v>0.6650208618</v>
      </c>
      <c r="S530" s="12">
        <f t="shared" si="4"/>
        <v>4</v>
      </c>
      <c r="T530" s="8">
        <f t="shared" si="139"/>
        <v>2912</v>
      </c>
      <c r="U530" s="13">
        <f>T530/vlookup(A530,Max!$A$2:$AP$700,column(Max!$AP$2),false)</f>
        <v>1.213333333</v>
      </c>
      <c r="V530" s="8">
        <f t="shared" si="6"/>
        <v>1048.23111</v>
      </c>
      <c r="W530" s="14">
        <f t="shared" si="7"/>
        <v>1.298602073</v>
      </c>
      <c r="X530" s="14">
        <f t="shared" si="8"/>
        <v>2.139032358</v>
      </c>
      <c r="Y530" s="14">
        <f t="shared" si="9"/>
        <v>1</v>
      </c>
      <c r="Z530" s="14">
        <f t="shared" si="10"/>
        <v>1</v>
      </c>
      <c r="AA530" s="15">
        <f t="shared" si="11"/>
        <v>0</v>
      </c>
      <c r="AB530" s="29">
        <v>0.0</v>
      </c>
      <c r="AC530" s="15" t="str">
        <f t="shared" si="40"/>
        <v>{
$name$: $RS-76$,
$config$: $RS76$,
$cost$: 2912
},</v>
      </c>
      <c r="AD530" s="15" t="str">
        <f t="shared" si="41"/>
        <v/>
      </c>
      <c r="AE530" s="15" t="str">
        <f t="shared" si="138"/>
        <v/>
      </c>
      <c r="AF530" s="15" t="str">
        <f t="shared" si="135"/>
        <v/>
      </c>
      <c r="AG530" s="15" t="str">
        <f t="shared" si="136"/>
        <v/>
      </c>
    </row>
    <row r="531" ht="15.75" customHeight="1">
      <c r="A531" s="16" t="s">
        <v>709</v>
      </c>
      <c r="B531" s="16" t="s">
        <v>708</v>
      </c>
      <c r="C531" s="17">
        <f t="shared" si="133"/>
        <v>-56</v>
      </c>
      <c r="D531" s="16">
        <v>2009.0</v>
      </c>
      <c r="E531" s="16"/>
      <c r="F531" s="16" t="b">
        <v>1</v>
      </c>
      <c r="G531" s="16" t="b">
        <v>0</v>
      </c>
      <c r="H531" s="16" t="b">
        <v>0</v>
      </c>
      <c r="I531" s="16" t="b">
        <v>0</v>
      </c>
      <c r="J531" s="18" t="b">
        <v>0</v>
      </c>
      <c r="K531" s="16">
        <f>7087*0.95</f>
        <v>6732.65</v>
      </c>
      <c r="L531" s="16">
        <v>4621.29</v>
      </c>
      <c r="M531" s="16">
        <v>337.0</v>
      </c>
      <c r="N531" s="16">
        <v>19.31</v>
      </c>
      <c r="O531" s="16">
        <v>0.995</v>
      </c>
      <c r="P531" s="16">
        <v>0.995</v>
      </c>
      <c r="Q531" s="19">
        <f t="shared" si="2"/>
        <v>69.99330611</v>
      </c>
      <c r="R531" s="20">
        <f t="shared" si="3"/>
        <v>0.6180092572</v>
      </c>
      <c r="S531" s="21">
        <f t="shared" si="4"/>
        <v>4</v>
      </c>
      <c r="T531" s="17">
        <f t="shared" si="139"/>
        <v>2856</v>
      </c>
      <c r="U531" s="22">
        <f>T531/vlookup(A531,Max!$A$2:$AP$700,column(Max!$AP$2),false)</f>
        <v>1.503157895</v>
      </c>
      <c r="V531" s="17">
        <f t="shared" si="6"/>
        <v>1015.15109</v>
      </c>
      <c r="W531" s="23">
        <f t="shared" si="7"/>
        <v>1.298602073</v>
      </c>
      <c r="X531" s="23">
        <f t="shared" si="8"/>
        <v>2.139032358</v>
      </c>
      <c r="Y531" s="23">
        <f t="shared" si="9"/>
        <v>1</v>
      </c>
      <c r="Z531" s="23">
        <f t="shared" si="10"/>
        <v>1.01267413</v>
      </c>
      <c r="AA531" s="24">
        <f t="shared" si="11"/>
        <v>-56</v>
      </c>
      <c r="AB531" s="26">
        <f>if(iserror(find("$",A531)),1,2)</f>
        <v>1</v>
      </c>
      <c r="AC531" s="26" t="str">
        <f t="shared" si="40"/>
        <v/>
      </c>
      <c r="AD531" s="26" t="str">
        <f t="shared" si="41"/>
        <v>$RS-76A$: -56,</v>
      </c>
      <c r="AE531" s="26" t="str">
        <f t="shared" si="138"/>
        <v/>
      </c>
      <c r="AF531" s="26" t="str">
        <f t="shared" si="135"/>
        <v/>
      </c>
      <c r="AG531" s="26" t="str">
        <f t="shared" si="136"/>
        <v/>
      </c>
    </row>
    <row r="532" ht="15.75" customHeight="1">
      <c r="A532" s="7" t="s">
        <v>710</v>
      </c>
      <c r="B532" s="7" t="s">
        <v>711</v>
      </c>
      <c r="C532" s="8">
        <f t="shared" si="133"/>
        <v>6910</v>
      </c>
      <c r="D532" s="7">
        <v>2009.0</v>
      </c>
      <c r="E532" s="7" t="b">
        <v>1</v>
      </c>
      <c r="F532" s="7" t="b">
        <v>1</v>
      </c>
      <c r="G532" s="7" t="b">
        <v>0</v>
      </c>
      <c r="H532" s="7" t="b">
        <v>0</v>
      </c>
      <c r="I532" s="7" t="b">
        <v>0</v>
      </c>
      <c r="J532" s="9" t="b">
        <v>0</v>
      </c>
      <c r="K532" s="7">
        <v>5800.0</v>
      </c>
      <c r="L532" s="7">
        <v>3300.0</v>
      </c>
      <c r="M532" s="7">
        <v>446.0</v>
      </c>
      <c r="N532" s="7">
        <v>19.31</v>
      </c>
      <c r="O532" s="7">
        <v>0.995</v>
      </c>
      <c r="P532" s="7">
        <v>0.995</v>
      </c>
      <c r="Q532" s="10">
        <f t="shared" si="2"/>
        <v>58.01833609</v>
      </c>
      <c r="R532" s="11">
        <f t="shared" si="3"/>
        <v>2.093939394</v>
      </c>
      <c r="S532" s="12">
        <f t="shared" si="4"/>
        <v>4</v>
      </c>
      <c r="T532" s="8">
        <f t="shared" si="139"/>
        <v>6910</v>
      </c>
      <c r="U532" s="13">
        <f>T532/vlookup(A532,Max!$A$2:$AP$700,column(Max!$AP$2),false)</f>
        <v>1.470212766</v>
      </c>
      <c r="V532" s="8">
        <f t="shared" si="6"/>
        <v>981.1783202</v>
      </c>
      <c r="W532" s="14">
        <f t="shared" si="7"/>
        <v>3.251235656</v>
      </c>
      <c r="X532" s="14">
        <f t="shared" si="8"/>
        <v>2.139032358</v>
      </c>
      <c r="Y532" s="14">
        <f t="shared" si="9"/>
        <v>1</v>
      </c>
      <c r="Z532" s="14">
        <f t="shared" si="10"/>
        <v>1.01267413</v>
      </c>
      <c r="AA532" s="15">
        <f t="shared" si="11"/>
        <v>0</v>
      </c>
      <c r="AB532" s="29">
        <v>0.0</v>
      </c>
      <c r="AC532" s="15" t="str">
        <f t="shared" si="40"/>
        <v>{
$name$: $RS-83$,
$config$: $RS83$,
$cost$: 6910
},</v>
      </c>
      <c r="AD532" s="15" t="str">
        <f t="shared" si="41"/>
        <v/>
      </c>
      <c r="AE532" s="15" t="str">
        <f t="shared" si="138"/>
        <v/>
      </c>
      <c r="AF532" s="15" t="str">
        <f t="shared" si="135"/>
        <v/>
      </c>
      <c r="AG532" s="15" t="str">
        <f t="shared" si="136"/>
        <v/>
      </c>
    </row>
    <row r="533" ht="15.75" customHeight="1">
      <c r="A533" s="16" t="s">
        <v>712</v>
      </c>
      <c r="B533" s="16" t="s">
        <v>713</v>
      </c>
      <c r="C533" s="17">
        <f t="shared" si="133"/>
        <v>2713</v>
      </c>
      <c r="D533" s="16">
        <v>2009.0</v>
      </c>
      <c r="E533" s="16"/>
      <c r="F533" s="16" t="b">
        <v>1</v>
      </c>
      <c r="G533" s="16" t="b">
        <v>0</v>
      </c>
      <c r="H533" s="16" t="b">
        <v>0</v>
      </c>
      <c r="I533" s="16" t="b">
        <v>0</v>
      </c>
      <c r="J533" s="18" t="b">
        <v>0</v>
      </c>
      <c r="K533" s="16">
        <v>7223.0</v>
      </c>
      <c r="L533" s="16">
        <v>5026.49</v>
      </c>
      <c r="M533" s="16">
        <v>324.0</v>
      </c>
      <c r="N533" s="16">
        <v>19.31</v>
      </c>
      <c r="O533" s="16">
        <v>0.995</v>
      </c>
      <c r="P533" s="16">
        <v>0.995</v>
      </c>
      <c r="Q533" s="19">
        <f t="shared" si="2"/>
        <v>70.96211176</v>
      </c>
      <c r="R533" s="20">
        <f t="shared" si="3"/>
        <v>0.5397404551</v>
      </c>
      <c r="S533" s="21">
        <f t="shared" si="4"/>
        <v>4</v>
      </c>
      <c r="T533" s="17">
        <f t="shared" si="139"/>
        <v>2713</v>
      </c>
      <c r="U533" s="22">
        <f>T533/vlookup(A533,Max!$A$2:$AP$700,column(Max!$AP$2),false)</f>
        <v>1.695625</v>
      </c>
      <c r="V533" s="17">
        <f t="shared" si="6"/>
        <v>1060.764587</v>
      </c>
      <c r="W533" s="23">
        <f t="shared" si="7"/>
        <v>1.180851571</v>
      </c>
      <c r="X533" s="23">
        <f t="shared" si="8"/>
        <v>2.139032358</v>
      </c>
      <c r="Y533" s="23">
        <f t="shared" si="9"/>
        <v>1</v>
      </c>
      <c r="Z533" s="23">
        <f t="shared" si="10"/>
        <v>1.01267413</v>
      </c>
      <c r="AA533" s="26">
        <f t="shared" si="11"/>
        <v>0</v>
      </c>
      <c r="AB533" s="25">
        <v>0.0</v>
      </c>
      <c r="AC533" s="26" t="str">
        <f t="shared" si="40"/>
        <v>{
$name$: $RS-84$,
$config$: $RS84$,
$cost$: 2713
},</v>
      </c>
      <c r="AD533" s="26" t="str">
        <f t="shared" si="41"/>
        <v/>
      </c>
      <c r="AE533" s="26" t="str">
        <f t="shared" si="138"/>
        <v/>
      </c>
      <c r="AF533" s="26" t="str">
        <f t="shared" si="135"/>
        <v/>
      </c>
      <c r="AG533" s="26" t="str">
        <f t="shared" si="136"/>
        <v/>
      </c>
    </row>
    <row r="534" ht="15.75" customHeight="1">
      <c r="A534" s="7" t="s">
        <v>714</v>
      </c>
      <c r="B534" s="7" t="s">
        <v>715</v>
      </c>
      <c r="C534" s="8">
        <f t="shared" si="133"/>
        <v>164</v>
      </c>
      <c r="D534" s="7">
        <v>2018.0</v>
      </c>
      <c r="E534" s="7"/>
      <c r="F534" s="7" t="b">
        <v>0</v>
      </c>
      <c r="G534" s="7" t="b">
        <v>0</v>
      </c>
      <c r="H534" s="7" t="b">
        <v>0</v>
      </c>
      <c r="I534" s="7" t="b">
        <v>0</v>
      </c>
      <c r="J534" s="9" t="b">
        <v>0</v>
      </c>
      <c r="K534" s="7">
        <v>250.0</v>
      </c>
      <c r="L534" s="7">
        <v>255.77</v>
      </c>
      <c r="M534" s="7">
        <v>244.0</v>
      </c>
      <c r="N534" s="7">
        <v>4.45</v>
      </c>
      <c r="O534" s="7"/>
      <c r="P534" s="7"/>
      <c r="Q534" s="10">
        <f t="shared" si="2"/>
        <v>104.325126</v>
      </c>
      <c r="R534" s="11">
        <f t="shared" si="3"/>
        <v>0.6412010791</v>
      </c>
      <c r="S534" s="12">
        <f t="shared" si="4"/>
        <v>1.75</v>
      </c>
      <c r="T534" s="8">
        <f t="shared" si="139"/>
        <v>164</v>
      </c>
      <c r="U534" s="13">
        <f>T534/vlookup(A534,Max!$A$2:$AP$700,column(Max!$AP$2),false)</f>
        <v>2.075949367</v>
      </c>
      <c r="V534" s="8">
        <f t="shared" si="6"/>
        <v>132.8542115</v>
      </c>
      <c r="W534" s="14">
        <f t="shared" si="7"/>
        <v>0.8979541434</v>
      </c>
      <c r="X534" s="14">
        <f t="shared" si="8"/>
        <v>1.3771799</v>
      </c>
      <c r="Y534" s="14">
        <f t="shared" si="9"/>
        <v>1</v>
      </c>
      <c r="Z534" s="14">
        <f t="shared" si="10"/>
        <v>1</v>
      </c>
      <c r="AA534" s="15">
        <f t="shared" si="11"/>
        <v>0</v>
      </c>
      <c r="AB534" s="15">
        <f>if(iserror(find("$",A534)),1,2)</f>
        <v>1</v>
      </c>
      <c r="AC534" s="15" t="str">
        <f t="shared" si="40"/>
        <v/>
      </c>
      <c r="AD534" s="15" t="str">
        <f t="shared" si="41"/>
        <v>$RS-88$: 164,</v>
      </c>
      <c r="AE534" s="15" t="str">
        <f t="shared" si="138"/>
        <v/>
      </c>
      <c r="AF534" s="15" t="str">
        <f t="shared" si="135"/>
        <v/>
      </c>
      <c r="AG534" s="15" t="str">
        <f t="shared" si="136"/>
        <v/>
      </c>
    </row>
    <row r="535" ht="15.75" customHeight="1">
      <c r="A535" s="16" t="s">
        <v>716</v>
      </c>
      <c r="B535" s="16" t="s">
        <v>715</v>
      </c>
      <c r="C535" s="17">
        <f t="shared" si="133"/>
        <v>2</v>
      </c>
      <c r="D535" s="16">
        <v>2018.0</v>
      </c>
      <c r="E535" s="16"/>
      <c r="F535" s="16" t="b">
        <v>0</v>
      </c>
      <c r="G535" s="16" t="b">
        <v>0</v>
      </c>
      <c r="H535" s="16" t="b">
        <v>0</v>
      </c>
      <c r="I535" s="16" t="b">
        <v>0</v>
      </c>
      <c r="J535" s="18" t="b">
        <v>0</v>
      </c>
      <c r="K535" s="16">
        <v>250.0</v>
      </c>
      <c r="L535" s="16">
        <v>193.49</v>
      </c>
      <c r="M535" s="16">
        <v>252.0</v>
      </c>
      <c r="N535" s="16">
        <v>4.45</v>
      </c>
      <c r="O535" s="16"/>
      <c r="P535" s="16"/>
      <c r="Q535" s="19">
        <f t="shared" si="2"/>
        <v>78.92195579</v>
      </c>
      <c r="R535" s="20">
        <f t="shared" si="3"/>
        <v>0.8579254742</v>
      </c>
      <c r="S535" s="21">
        <f t="shared" si="4"/>
        <v>1.75</v>
      </c>
      <c r="T535" s="17">
        <f t="shared" si="139"/>
        <v>166</v>
      </c>
      <c r="U535" s="22">
        <f>T535/vlookup(A535,Max!$A$2:$AP$700,column(Max!$AP$2),false)</f>
        <v>2.721311475</v>
      </c>
      <c r="V535" s="17">
        <f t="shared" si="6"/>
        <v>132.8542115</v>
      </c>
      <c r="W535" s="23">
        <f t="shared" si="7"/>
        <v>0.9063165642</v>
      </c>
      <c r="X535" s="23">
        <f t="shared" si="8"/>
        <v>1.3771799</v>
      </c>
      <c r="Y535" s="23">
        <f t="shared" si="9"/>
        <v>1</v>
      </c>
      <c r="Z535" s="23">
        <f t="shared" si="10"/>
        <v>1</v>
      </c>
      <c r="AA535" s="24">
        <f t="shared" si="11"/>
        <v>2</v>
      </c>
      <c r="AB535" s="25">
        <v>0.0</v>
      </c>
      <c r="AC535" s="26" t="str">
        <f t="shared" si="40"/>
        <v>{
$name$: $LAE$,
$config$: $RS88$,
$cost$: 2
},</v>
      </c>
      <c r="AD535" s="26" t="str">
        <f t="shared" si="41"/>
        <v/>
      </c>
      <c r="AE535" s="26" t="str">
        <f t="shared" si="138"/>
        <v/>
      </c>
      <c r="AF535" s="26" t="str">
        <f t="shared" si="135"/>
        <v/>
      </c>
      <c r="AG535" s="26" t="str">
        <f t="shared" si="136"/>
        <v/>
      </c>
    </row>
    <row r="536" ht="15.75" customHeight="1">
      <c r="A536" s="7" t="s">
        <v>717</v>
      </c>
      <c r="B536" s="7" t="s">
        <v>718</v>
      </c>
      <c r="C536" s="8">
        <f t="shared" si="133"/>
        <v>60</v>
      </c>
      <c r="D536" s="7">
        <v>2017.0</v>
      </c>
      <c r="E536" s="7"/>
      <c r="F536" s="7" t="b">
        <v>1</v>
      </c>
      <c r="G536" s="7" t="b">
        <v>0</v>
      </c>
      <c r="H536" s="7" t="b">
        <v>0</v>
      </c>
      <c r="I536" s="7" t="b">
        <v>0</v>
      </c>
      <c r="J536" s="9" t="b">
        <v>0</v>
      </c>
      <c r="K536" s="7">
        <v>35.0</v>
      </c>
      <c r="L536" s="7">
        <v>26.19</v>
      </c>
      <c r="M536" s="7">
        <v>317.0</v>
      </c>
      <c r="N536" s="7">
        <v>12.0</v>
      </c>
      <c r="O536" s="7">
        <v>0.998624</v>
      </c>
      <c r="P536" s="7">
        <v>0.998624</v>
      </c>
      <c r="Q536" s="10">
        <f t="shared" si="2"/>
        <v>76.30390726</v>
      </c>
      <c r="R536" s="11">
        <f t="shared" si="3"/>
        <v>2.290950745</v>
      </c>
      <c r="S536" s="12">
        <f t="shared" si="4"/>
        <v>4</v>
      </c>
      <c r="T536" s="28">
        <v>60.0</v>
      </c>
      <c r="U536" s="13">
        <f>T536/vlookup(A536,Max!$A$2:$AP$700,column(Max!$AP$2),false)</f>
        <v>2.307692308</v>
      </c>
      <c r="V536" s="8">
        <f t="shared" si="6"/>
        <v>40.63723408</v>
      </c>
      <c r="W536" s="14">
        <f t="shared" si="7"/>
        <v>1.123541165</v>
      </c>
      <c r="X536" s="14">
        <f t="shared" si="8"/>
        <v>1.854543591</v>
      </c>
      <c r="Y536" s="14">
        <f t="shared" si="9"/>
        <v>1</v>
      </c>
      <c r="Z536" s="14">
        <f t="shared" si="10"/>
        <v>1.021920266</v>
      </c>
      <c r="AA536" s="15">
        <f t="shared" si="11"/>
        <v>0</v>
      </c>
      <c r="AB536" s="29">
        <v>0.0</v>
      </c>
      <c r="AC536" s="15" t="str">
        <f t="shared" si="40"/>
        <v>{
$name$: $Rutherford-SL$,
$config$: $Rutherford$,
$cost$: 60
},</v>
      </c>
      <c r="AD536" s="15" t="str">
        <f t="shared" si="41"/>
        <v/>
      </c>
      <c r="AE536" s="15" t="str">
        <f t="shared" si="138"/>
        <v/>
      </c>
      <c r="AF536" s="15" t="str">
        <f t="shared" si="135"/>
        <v/>
      </c>
      <c r="AG536" s="15" t="str">
        <f t="shared" si="136"/>
        <v/>
      </c>
    </row>
    <row r="537" ht="15.75" customHeight="1">
      <c r="A537" s="16" t="s">
        <v>719</v>
      </c>
      <c r="B537" s="16" t="s">
        <v>720</v>
      </c>
      <c r="C537" s="17">
        <f t="shared" si="133"/>
        <v>72</v>
      </c>
      <c r="D537" s="16">
        <v>2017.0</v>
      </c>
      <c r="E537" s="16"/>
      <c r="F537" s="16" t="b">
        <v>1</v>
      </c>
      <c r="G537" s="16" t="b">
        <v>0</v>
      </c>
      <c r="H537" s="16" t="b">
        <v>1</v>
      </c>
      <c r="I537" s="16" t="b">
        <v>0</v>
      </c>
      <c r="J537" s="18" t="b">
        <v>0</v>
      </c>
      <c r="K537" s="16">
        <v>40.0</v>
      </c>
      <c r="L537" s="16">
        <v>25.79</v>
      </c>
      <c r="M537" s="16">
        <v>343.0</v>
      </c>
      <c r="N537" s="16">
        <v>12.0</v>
      </c>
      <c r="O537" s="16">
        <v>0.998624</v>
      </c>
      <c r="P537" s="16">
        <v>0.998624</v>
      </c>
      <c r="Q537" s="19">
        <f t="shared" si="2"/>
        <v>65.74620264</v>
      </c>
      <c r="R537" s="20">
        <f t="shared" si="3"/>
        <v>2.79177976</v>
      </c>
      <c r="S537" s="21">
        <f t="shared" si="4"/>
        <v>4</v>
      </c>
      <c r="T537" s="32">
        <v>72.0</v>
      </c>
      <c r="U537" s="22">
        <f>T537/vlookup(A537,Max!$A$2:$AP$700,column(Max!$AP$2),false)</f>
        <v>2.571428571</v>
      </c>
      <c r="V537" s="17">
        <f t="shared" si="6"/>
        <v>44.00508574</v>
      </c>
      <c r="W537" s="23">
        <f t="shared" si="7"/>
        <v>1.358382106</v>
      </c>
      <c r="X537" s="23">
        <f t="shared" si="8"/>
        <v>1.589197175</v>
      </c>
      <c r="Y537" s="23">
        <f t="shared" si="9"/>
        <v>1</v>
      </c>
      <c r="Z537" s="23">
        <f t="shared" si="10"/>
        <v>1.018408487</v>
      </c>
      <c r="AA537" s="26">
        <f t="shared" si="11"/>
        <v>0</v>
      </c>
      <c r="AB537" s="25">
        <v>0.0</v>
      </c>
      <c r="AC537" s="26" t="str">
        <f t="shared" si="40"/>
        <v>{
$name$: $Rutherford-Vac$,
$config$: $RutherfordVac$,
$cost$: 72
},</v>
      </c>
      <c r="AD537" s="26" t="str">
        <f t="shared" si="41"/>
        <v/>
      </c>
      <c r="AE537" s="26" t="str">
        <f t="shared" si="138"/>
        <v/>
      </c>
      <c r="AF537" s="26" t="str">
        <f t="shared" si="135"/>
        <v/>
      </c>
      <c r="AG537" s="26" t="str">
        <f t="shared" si="136"/>
        <v/>
      </c>
    </row>
    <row r="538" ht="15.75" customHeight="1">
      <c r="A538" s="7" t="s">
        <v>721</v>
      </c>
      <c r="B538" s="9" t="s">
        <v>722</v>
      </c>
      <c r="C538" s="8">
        <f t="shared" si="133"/>
        <v>373</v>
      </c>
      <c r="D538" s="7">
        <v>1958.0</v>
      </c>
      <c r="E538" s="7"/>
      <c r="F538" s="7" t="b">
        <v>1</v>
      </c>
      <c r="G538" s="7" t="b">
        <v>0</v>
      </c>
      <c r="H538" s="7" t="b">
        <v>0</v>
      </c>
      <c r="I538" s="7" t="b">
        <v>0</v>
      </c>
      <c r="J538" s="9" t="b">
        <v>0</v>
      </c>
      <c r="K538" s="7">
        <v>945.3</v>
      </c>
      <c r="L538" s="7">
        <v>696.6</v>
      </c>
      <c r="M538" s="7">
        <v>288.0</v>
      </c>
      <c r="N538" s="7">
        <v>3.61</v>
      </c>
      <c r="O538" s="7">
        <v>0.962903</v>
      </c>
      <c r="P538" s="7">
        <v>0.962903</v>
      </c>
      <c r="Q538" s="10">
        <f t="shared" si="2"/>
        <v>75.14379688</v>
      </c>
      <c r="R538" s="11">
        <f t="shared" si="3"/>
        <v>0.5354579386</v>
      </c>
      <c r="S538" s="12">
        <f t="shared" si="4"/>
        <v>4</v>
      </c>
      <c r="T538" s="8">
        <f t="shared" ref="T538:T581" si="142">round(V538*W538*X538*Y538*Z538,0)</f>
        <v>373</v>
      </c>
      <c r="U538" s="13">
        <f>T538/vlookup(A538,Max!$A$2:$AP$700,column(Max!$AP$2),false)</f>
        <v>1.036111111</v>
      </c>
      <c r="V538" s="8">
        <f t="shared" si="6"/>
        <v>300.0666555</v>
      </c>
      <c r="W538" s="14">
        <f t="shared" si="7"/>
        <v>0.9678038641</v>
      </c>
      <c r="X538" s="14">
        <f t="shared" si="8"/>
        <v>1.293405885</v>
      </c>
      <c r="Y538" s="14">
        <f t="shared" si="9"/>
        <v>1</v>
      </c>
      <c r="Z538" s="14">
        <f t="shared" si="10"/>
        <v>0.9929075918</v>
      </c>
      <c r="AA538" s="15">
        <f t="shared" si="11"/>
        <v>0</v>
      </c>
      <c r="AB538" s="29">
        <v>0.0</v>
      </c>
      <c r="AC538" s="15" t="str">
        <f t="shared" si="40"/>
        <v>{
$name$: $RZ.1$,
$config$: $RZ.2$,
$cost$: 373
},</v>
      </c>
      <c r="AD538" s="15" t="str">
        <f t="shared" si="41"/>
        <v/>
      </c>
      <c r="AE538" s="15" t="str">
        <f t="shared" si="138"/>
        <v/>
      </c>
      <c r="AF538" s="15" t="str">
        <f t="shared" si="135"/>
        <v/>
      </c>
      <c r="AG538" s="15" t="str">
        <f t="shared" si="136"/>
        <v/>
      </c>
    </row>
    <row r="539" ht="15.75" customHeight="1">
      <c r="A539" s="16" t="s">
        <v>723</v>
      </c>
      <c r="B539" s="18" t="s">
        <v>722</v>
      </c>
      <c r="C539" s="17">
        <f t="shared" si="133"/>
        <v>-11</v>
      </c>
      <c r="D539" s="16">
        <v>1959.0</v>
      </c>
      <c r="E539" s="16"/>
      <c r="F539" s="16" t="b">
        <v>1</v>
      </c>
      <c r="G539" s="16" t="b">
        <v>0</v>
      </c>
      <c r="H539" s="16" t="b">
        <v>0</v>
      </c>
      <c r="I539" s="16" t="b">
        <v>0</v>
      </c>
      <c r="J539" s="18" t="b">
        <v>0</v>
      </c>
      <c r="K539" s="16">
        <v>945.3</v>
      </c>
      <c r="L539" s="16">
        <v>763.0</v>
      </c>
      <c r="M539" s="16">
        <v>282.0</v>
      </c>
      <c r="N539" s="16">
        <v>3.6</v>
      </c>
      <c r="O539" s="16">
        <v>0.965</v>
      </c>
      <c r="P539" s="16">
        <v>0.965</v>
      </c>
      <c r="Q539" s="19">
        <f t="shared" si="2"/>
        <v>82.30651309</v>
      </c>
      <c r="R539" s="20">
        <f t="shared" si="3"/>
        <v>0.4744429882</v>
      </c>
      <c r="S539" s="21">
        <f t="shared" si="4"/>
        <v>4</v>
      </c>
      <c r="T539" s="17">
        <f t="shared" si="142"/>
        <v>362</v>
      </c>
      <c r="U539" s="22">
        <f>T539/vlookup(A539,Max!$A$2:$AP$700,column(Max!$AP$2),false)</f>
        <v>1.034285714</v>
      </c>
      <c r="V539" s="17">
        <f t="shared" si="6"/>
        <v>300.0666555</v>
      </c>
      <c r="W539" s="23">
        <f t="shared" si="7"/>
        <v>0.9542702479</v>
      </c>
      <c r="X539" s="23">
        <f t="shared" si="8"/>
        <v>1.292329989</v>
      </c>
      <c r="Y539" s="23">
        <f t="shared" si="9"/>
        <v>1</v>
      </c>
      <c r="Z539" s="23">
        <f t="shared" si="10"/>
        <v>0.9784406906</v>
      </c>
      <c r="AA539" s="24">
        <f t="shared" si="11"/>
        <v>-11</v>
      </c>
      <c r="AB539" s="26">
        <f t="shared" ref="AB539:AB540" si="143">if(iserror(find("$",A539)),1,2)</f>
        <v>1</v>
      </c>
      <c r="AC539" s="26" t="str">
        <f t="shared" si="40"/>
        <v/>
      </c>
      <c r="AD539" s="26" t="str">
        <f t="shared" si="41"/>
        <v>$RZ.2-Mk3$: -11,</v>
      </c>
      <c r="AE539" s="26" t="str">
        <f t="shared" si="138"/>
        <v/>
      </c>
      <c r="AF539" s="26" t="str">
        <f t="shared" si="135"/>
        <v/>
      </c>
      <c r="AG539" s="26" t="str">
        <f t="shared" si="136"/>
        <v/>
      </c>
    </row>
    <row r="540" ht="15.75" customHeight="1">
      <c r="A540" s="7" t="s">
        <v>724</v>
      </c>
      <c r="B540" s="9" t="s">
        <v>722</v>
      </c>
      <c r="C540" s="8">
        <f t="shared" si="133"/>
        <v>16</v>
      </c>
      <c r="D540" s="7">
        <v>1960.0</v>
      </c>
      <c r="E540" s="7"/>
      <c r="F540" s="7" t="b">
        <v>1</v>
      </c>
      <c r="G540" s="7" t="b">
        <v>0</v>
      </c>
      <c r="H540" s="7" t="b">
        <v>0</v>
      </c>
      <c r="I540" s="7" t="b">
        <v>0</v>
      </c>
      <c r="J540" s="9" t="b">
        <v>0</v>
      </c>
      <c r="K540" s="7">
        <v>945.3</v>
      </c>
      <c r="L540" s="7">
        <v>791.2</v>
      </c>
      <c r="M540" s="7">
        <v>284.0</v>
      </c>
      <c r="N540" s="7">
        <v>3.96</v>
      </c>
      <c r="O540" s="7">
        <v>0.988462</v>
      </c>
      <c r="P540" s="7">
        <v>0.988462</v>
      </c>
      <c r="Q540" s="10">
        <f t="shared" si="2"/>
        <v>85.34851003</v>
      </c>
      <c r="R540" s="11">
        <f t="shared" si="3"/>
        <v>0.4916582406</v>
      </c>
      <c r="S540" s="12">
        <f t="shared" si="4"/>
        <v>4</v>
      </c>
      <c r="T540" s="8">
        <f t="shared" si="142"/>
        <v>389</v>
      </c>
      <c r="U540" s="13">
        <f>T540/vlookup(A540,Max!$A$2:$AP$700,column(Max!$AP$2),false)</f>
        <v>0.9261904762</v>
      </c>
      <c r="V540" s="8">
        <f t="shared" si="6"/>
        <v>300.0666555</v>
      </c>
      <c r="W540" s="14">
        <f t="shared" si="7"/>
        <v>0.9586088047</v>
      </c>
      <c r="X540" s="14">
        <f t="shared" si="8"/>
        <v>1.329815002</v>
      </c>
      <c r="Y540" s="14">
        <f t="shared" si="9"/>
        <v>1</v>
      </c>
      <c r="Z540" s="14">
        <f t="shared" si="10"/>
        <v>1.017609772</v>
      </c>
      <c r="AA540" s="27">
        <f t="shared" si="11"/>
        <v>16</v>
      </c>
      <c r="AB540" s="15">
        <f t="shared" si="143"/>
        <v>1</v>
      </c>
      <c r="AC540" s="15" t="str">
        <f t="shared" si="40"/>
        <v/>
      </c>
      <c r="AD540" s="15" t="str">
        <f t="shared" si="41"/>
        <v>$RZ.2-Mk4$: 16,</v>
      </c>
      <c r="AE540" s="15" t="str">
        <f t="shared" si="138"/>
        <v/>
      </c>
      <c r="AF540" s="15" t="str">
        <f t="shared" si="135"/>
        <v/>
      </c>
      <c r="AG540" s="15" t="str">
        <f t="shared" si="136"/>
        <v/>
      </c>
    </row>
    <row r="541" ht="15.75" customHeight="1">
      <c r="A541" s="18" t="s">
        <v>725</v>
      </c>
      <c r="B541" s="16" t="s">
        <v>726</v>
      </c>
      <c r="C541" s="17">
        <f t="shared" si="133"/>
        <v>301</v>
      </c>
      <c r="D541" s="16">
        <v>1963.0</v>
      </c>
      <c r="E541" s="16" t="b">
        <v>1</v>
      </c>
      <c r="F541" s="16" t="b">
        <v>1</v>
      </c>
      <c r="G541" s="16" t="b">
        <v>0</v>
      </c>
      <c r="H541" s="16" t="b">
        <v>1</v>
      </c>
      <c r="I541" s="16" t="b">
        <v>0</v>
      </c>
      <c r="J541" s="18" t="b">
        <v>0</v>
      </c>
      <c r="K541" s="16">
        <v>131.0</v>
      </c>
      <c r="L541" s="16">
        <v>70.0</v>
      </c>
      <c r="M541" s="16">
        <v>410.0</v>
      </c>
      <c r="N541" s="16">
        <v>2.07</v>
      </c>
      <c r="O541" s="16">
        <v>0.994828</v>
      </c>
      <c r="P541" s="16">
        <v>0.99</v>
      </c>
      <c r="Q541" s="19">
        <f t="shared" si="2"/>
        <v>54.48865244</v>
      </c>
      <c r="R541" s="20">
        <f t="shared" si="3"/>
        <v>4.3</v>
      </c>
      <c r="S541" s="21">
        <f t="shared" si="4"/>
        <v>4</v>
      </c>
      <c r="T541" s="17">
        <f t="shared" si="142"/>
        <v>301</v>
      </c>
      <c r="U541" s="22" t="str">
        <f>T541/vlookup(A541,Max!$A$2:$AP$700,column(Max!$AP$2),false)</f>
        <v>#N/A</v>
      </c>
      <c r="V541" s="17">
        <f t="shared" si="6"/>
        <v>121.4446052</v>
      </c>
      <c r="W541" s="23">
        <f t="shared" si="7"/>
        <v>2.348611116</v>
      </c>
      <c r="X541" s="23">
        <f t="shared" si="8"/>
        <v>1.070176307</v>
      </c>
      <c r="Y541" s="23">
        <f t="shared" si="9"/>
        <v>1</v>
      </c>
      <c r="Z541" s="23">
        <f t="shared" si="10"/>
        <v>0.9871201122</v>
      </c>
      <c r="AA541" s="26">
        <f t="shared" si="11"/>
        <v>0</v>
      </c>
      <c r="AB541" s="25">
        <v>0.0</v>
      </c>
      <c r="AC541" s="26" t="str">
        <f t="shared" si="40"/>
        <v>{
$name$: $RZ20-Mk1$,
$config$: $RZ20$,
$cost$: 301
},</v>
      </c>
      <c r="AD541" s="26" t="str">
        <f t="shared" si="41"/>
        <v/>
      </c>
      <c r="AE541" s="26" t="str">
        <f t="shared" si="138"/>
        <v/>
      </c>
      <c r="AF541" s="26" t="str">
        <f t="shared" si="135"/>
        <v/>
      </c>
      <c r="AG541" s="26" t="str">
        <f t="shared" si="136"/>
        <v/>
      </c>
    </row>
    <row r="542" ht="15.75" customHeight="1">
      <c r="A542" s="9" t="s">
        <v>727</v>
      </c>
      <c r="B542" s="7" t="s">
        <v>726</v>
      </c>
      <c r="C542" s="8">
        <f t="shared" si="133"/>
        <v>74</v>
      </c>
      <c r="D542" s="7">
        <v>1968.0</v>
      </c>
      <c r="E542" s="7" t="b">
        <v>1</v>
      </c>
      <c r="F542" s="7" t="b">
        <v>1</v>
      </c>
      <c r="G542" s="7" t="b">
        <v>0</v>
      </c>
      <c r="H542" s="7" t="b">
        <v>1</v>
      </c>
      <c r="I542" s="7" t="b">
        <v>0</v>
      </c>
      <c r="J542" s="9" t="b">
        <v>0</v>
      </c>
      <c r="K542" s="7">
        <v>131.0</v>
      </c>
      <c r="L542" s="7">
        <v>72.56</v>
      </c>
      <c r="M542" s="7">
        <v>425.0</v>
      </c>
      <c r="N542" s="7">
        <v>2.72</v>
      </c>
      <c r="O542" s="7">
        <v>0.998128</v>
      </c>
      <c r="P542" s="7">
        <v>0.996316</v>
      </c>
      <c r="Q542" s="10">
        <f t="shared" si="2"/>
        <v>56.4813803</v>
      </c>
      <c r="R542" s="11">
        <f t="shared" si="3"/>
        <v>5.168136714</v>
      </c>
      <c r="S542" s="12">
        <f t="shared" si="4"/>
        <v>4</v>
      </c>
      <c r="T542" s="8">
        <f t="shared" si="142"/>
        <v>375</v>
      </c>
      <c r="U542" s="13" t="str">
        <f>T542/vlookup(A542,Max!$A$2:$AP$700,column(Max!$AP$2),false)</f>
        <v>#N/A</v>
      </c>
      <c r="V542" s="8">
        <f t="shared" si="6"/>
        <v>121.4446052</v>
      </c>
      <c r="W542" s="14">
        <f t="shared" si="7"/>
        <v>2.682821306</v>
      </c>
      <c r="X542" s="14">
        <f t="shared" si="8"/>
        <v>1.137994092</v>
      </c>
      <c r="Y542" s="14">
        <f t="shared" si="9"/>
        <v>1</v>
      </c>
      <c r="Z542" s="14">
        <f t="shared" si="10"/>
        <v>1.011277565</v>
      </c>
      <c r="AA542" s="27">
        <f t="shared" si="11"/>
        <v>74</v>
      </c>
      <c r="AB542" s="15">
        <f>if(iserror(find("$",A542)),1,2)</f>
        <v>1</v>
      </c>
      <c r="AC542" s="15" t="str">
        <f t="shared" si="40"/>
        <v/>
      </c>
      <c r="AD542" s="15" t="str">
        <f t="shared" si="41"/>
        <v>$RZ20-Mk2$: 74,</v>
      </c>
      <c r="AE542" s="15" t="str">
        <f t="shared" si="138"/>
        <v/>
      </c>
      <c r="AF542" s="15" t="str">
        <f t="shared" si="135"/>
        <v/>
      </c>
      <c r="AG542" s="15" t="str">
        <f t="shared" si="136"/>
        <v/>
      </c>
    </row>
    <row r="543" ht="15.75" customHeight="1">
      <c r="A543" s="16" t="s">
        <v>728</v>
      </c>
      <c r="B543" s="16" t="s">
        <v>729</v>
      </c>
      <c r="C543" s="17">
        <f t="shared" si="133"/>
        <v>138</v>
      </c>
      <c r="D543" s="16">
        <v>1956.0</v>
      </c>
      <c r="E543" s="16"/>
      <c r="F543" s="16" t="b">
        <v>1</v>
      </c>
      <c r="G543" s="16" t="b">
        <v>0</v>
      </c>
      <c r="H543" s="16" t="b">
        <v>1</v>
      </c>
      <c r="I543" s="16" t="b">
        <v>1</v>
      </c>
      <c r="J543" s="18" t="b">
        <v>0</v>
      </c>
      <c r="K543" s="16">
        <v>100.0</v>
      </c>
      <c r="L543" s="16">
        <v>39.0</v>
      </c>
      <c r="M543" s="16">
        <v>255.0</v>
      </c>
      <c r="N543" s="16">
        <v>6.5</v>
      </c>
      <c r="O543" s="16">
        <v>0.95625</v>
      </c>
      <c r="P543" s="16">
        <v>0.978571</v>
      </c>
      <c r="Q543" s="19">
        <f t="shared" si="2"/>
        <v>39.76893219</v>
      </c>
      <c r="R543" s="20">
        <f t="shared" si="3"/>
        <v>3.538461538</v>
      </c>
      <c r="S543" s="21">
        <f t="shared" si="4"/>
        <v>4</v>
      </c>
      <c r="T543" s="17">
        <f t="shared" si="142"/>
        <v>138</v>
      </c>
      <c r="U543" s="22">
        <f>T543/vlookup(A543,Max!$A$2:$AP$700,column(Max!$AP$2),false)</f>
        <v>0.9857142857</v>
      </c>
      <c r="V543" s="17">
        <f t="shared" si="6"/>
        <v>76.2501611</v>
      </c>
      <c r="W543" s="23">
        <f t="shared" si="7"/>
        <v>0.909870738</v>
      </c>
      <c r="X543" s="23">
        <f t="shared" si="8"/>
        <v>1.384418867</v>
      </c>
      <c r="Y543" s="23">
        <f t="shared" si="9"/>
        <v>1.5</v>
      </c>
      <c r="Z543" s="23">
        <f t="shared" si="10"/>
        <v>0.9603006392</v>
      </c>
      <c r="AA543" s="26">
        <f t="shared" si="11"/>
        <v>0</v>
      </c>
      <c r="AB543" s="25">
        <v>0.0</v>
      </c>
      <c r="AC543" s="26" t="str">
        <f t="shared" si="40"/>
        <v>{
$name$: $S-155$,
$config$: $S155$,
$cost$: 138
},</v>
      </c>
      <c r="AD543" s="26" t="str">
        <f t="shared" si="41"/>
        <v/>
      </c>
      <c r="AE543" s="26" t="str">
        <f t="shared" si="138"/>
        <v/>
      </c>
      <c r="AF543" s="26" t="str">
        <f t="shared" si="135"/>
        <v/>
      </c>
      <c r="AG543" s="26" t="str">
        <f t="shared" si="136"/>
        <v/>
      </c>
    </row>
    <row r="544" ht="15.75" customHeight="1">
      <c r="A544" s="7" t="s">
        <v>730</v>
      </c>
      <c r="B544" s="7" t="s">
        <v>730</v>
      </c>
      <c r="C544" s="8">
        <f t="shared" si="133"/>
        <v>184</v>
      </c>
      <c r="D544" s="7">
        <v>1953.0</v>
      </c>
      <c r="E544" s="7"/>
      <c r="F544" s="7" t="b">
        <v>0</v>
      </c>
      <c r="G544" s="7" t="b">
        <v>0</v>
      </c>
      <c r="H544" s="7" t="b">
        <v>0</v>
      </c>
      <c r="I544" s="7" t="b">
        <v>0</v>
      </c>
      <c r="J544" s="9" t="b">
        <v>0</v>
      </c>
      <c r="K544" s="7">
        <v>300.0</v>
      </c>
      <c r="L544" s="7">
        <v>94.8</v>
      </c>
      <c r="M544" s="7">
        <v>255.0</v>
      </c>
      <c r="N544" s="7">
        <v>2.5</v>
      </c>
      <c r="O544" s="7">
        <v>0.994444</v>
      </c>
      <c r="P544" s="7">
        <v>0.994444</v>
      </c>
      <c r="Q544" s="10">
        <f t="shared" si="2"/>
        <v>32.22303224</v>
      </c>
      <c r="R544" s="11">
        <f t="shared" si="3"/>
        <v>1.94092827</v>
      </c>
      <c r="S544" s="12">
        <f t="shared" si="4"/>
        <v>1.75</v>
      </c>
      <c r="T544" s="8">
        <f t="shared" si="142"/>
        <v>184</v>
      </c>
      <c r="U544" s="13">
        <f>T544/vlookup(A544,Max!$A$2:$AP$700,column(Max!$AP$2),false)</f>
        <v>2.271604938</v>
      </c>
      <c r="V544" s="8">
        <f t="shared" si="6"/>
        <v>148.4645917</v>
      </c>
      <c r="W544" s="14">
        <f t="shared" si="7"/>
        <v>0.909870738</v>
      </c>
      <c r="X544" s="14">
        <f t="shared" si="8"/>
        <v>1.15841634</v>
      </c>
      <c r="Y544" s="14">
        <f t="shared" si="9"/>
        <v>1</v>
      </c>
      <c r="Z544" s="14">
        <f t="shared" si="10"/>
        <v>1.177157832</v>
      </c>
      <c r="AA544" s="15">
        <f t="shared" si="11"/>
        <v>0</v>
      </c>
      <c r="AB544" s="29">
        <v>0.0</v>
      </c>
      <c r="AC544" s="15" t="str">
        <f t="shared" si="40"/>
        <v>{
$name$: $S2.253$,
$config$: $S2.253$,
$cost$: 184
},</v>
      </c>
      <c r="AD544" s="15" t="str">
        <f t="shared" si="41"/>
        <v/>
      </c>
      <c r="AE544" s="15" t="str">
        <f t="shared" si="138"/>
        <v/>
      </c>
      <c r="AF544" s="15" t="str">
        <f t="shared" si="135"/>
        <v/>
      </c>
      <c r="AG544" s="15" t="str">
        <f t="shared" si="136"/>
        <v/>
      </c>
    </row>
    <row r="545" ht="15.75" customHeight="1">
      <c r="A545" s="16" t="s">
        <v>731</v>
      </c>
      <c r="B545" s="16" t="s">
        <v>730</v>
      </c>
      <c r="C545" s="17">
        <f t="shared" si="133"/>
        <v>-38</v>
      </c>
      <c r="D545" s="16">
        <v>1957.0</v>
      </c>
      <c r="E545" s="16"/>
      <c r="F545" s="16" t="b">
        <v>0</v>
      </c>
      <c r="G545" s="16" t="b">
        <v>0</v>
      </c>
      <c r="H545" s="16" t="b">
        <v>0</v>
      </c>
      <c r="I545" s="16" t="b">
        <v>0</v>
      </c>
      <c r="J545" s="18" t="b">
        <v>0</v>
      </c>
      <c r="K545" s="16">
        <v>160.0</v>
      </c>
      <c r="L545" s="16">
        <v>127.5</v>
      </c>
      <c r="M545" s="16">
        <v>258.0</v>
      </c>
      <c r="N545" s="16">
        <v>6.8</v>
      </c>
      <c r="O545" s="16">
        <v>0.960345</v>
      </c>
      <c r="P545" s="16">
        <v>0.960345</v>
      </c>
      <c r="Q545" s="19">
        <f t="shared" si="2"/>
        <v>81.25863548</v>
      </c>
      <c r="R545" s="20">
        <f t="shared" si="3"/>
        <v>1.145098039</v>
      </c>
      <c r="S545" s="21">
        <f t="shared" si="4"/>
        <v>1.75</v>
      </c>
      <c r="T545" s="17">
        <f t="shared" si="142"/>
        <v>146</v>
      </c>
      <c r="U545" s="22">
        <f>T545/vlookup(A545,Max!$A$2:$AP$700,column(Max!$AP$2),false)</f>
        <v>2.317460317</v>
      </c>
      <c r="V545" s="17">
        <f t="shared" si="6"/>
        <v>101.3077784</v>
      </c>
      <c r="W545" s="23">
        <f t="shared" si="7"/>
        <v>0.9136683524</v>
      </c>
      <c r="X545" s="23">
        <f t="shared" si="8"/>
        <v>1.563994948</v>
      </c>
      <c r="Y545" s="23">
        <f t="shared" si="9"/>
        <v>1</v>
      </c>
      <c r="Z545" s="23">
        <f t="shared" si="10"/>
        <v>1.00565828</v>
      </c>
      <c r="AA545" s="24">
        <f t="shared" si="11"/>
        <v>-38</v>
      </c>
      <c r="AB545" s="26">
        <f t="shared" ref="AB545:AB547" si="144">if(iserror(find("$",A545)),1,2)</f>
        <v>1</v>
      </c>
      <c r="AC545" s="26" t="str">
        <f t="shared" si="40"/>
        <v/>
      </c>
      <c r="AD545" s="26" t="str">
        <f t="shared" si="41"/>
        <v>$S3.42T$: -38,</v>
      </c>
      <c r="AE545" s="26" t="str">
        <f t="shared" si="138"/>
        <v/>
      </c>
      <c r="AF545" s="26" t="str">
        <f t="shared" si="135"/>
        <v/>
      </c>
      <c r="AG545" s="26" t="str">
        <f t="shared" si="136"/>
        <v/>
      </c>
    </row>
    <row r="546" ht="15.75" customHeight="1">
      <c r="A546" s="7" t="s">
        <v>732</v>
      </c>
      <c r="B546" s="7" t="s">
        <v>730</v>
      </c>
      <c r="C546" s="8">
        <f t="shared" si="133"/>
        <v>-50</v>
      </c>
      <c r="D546" s="7">
        <v>1961.0</v>
      </c>
      <c r="E546" s="7"/>
      <c r="F546" s="7" t="b">
        <v>0</v>
      </c>
      <c r="G546" s="7" t="b">
        <v>0</v>
      </c>
      <c r="H546" s="7" t="b">
        <v>0</v>
      </c>
      <c r="I546" s="7" t="b">
        <v>0</v>
      </c>
      <c r="J546" s="9" t="b">
        <v>0</v>
      </c>
      <c r="K546" s="7">
        <v>160.0</v>
      </c>
      <c r="L546" s="7">
        <v>146.3</v>
      </c>
      <c r="M546" s="7">
        <v>258.0</v>
      </c>
      <c r="N546" s="7">
        <v>6.8</v>
      </c>
      <c r="O546" s="7">
        <v>0.960345</v>
      </c>
      <c r="P546" s="7">
        <v>0.960345</v>
      </c>
      <c r="Q546" s="10">
        <f t="shared" si="2"/>
        <v>93.24030095</v>
      </c>
      <c r="R546" s="11">
        <f t="shared" si="3"/>
        <v>0.9159261791</v>
      </c>
      <c r="S546" s="12">
        <f t="shared" si="4"/>
        <v>1.75</v>
      </c>
      <c r="T546" s="8">
        <f t="shared" si="142"/>
        <v>134</v>
      </c>
      <c r="U546" s="13">
        <f>T546/vlookup(A546,Max!$A$2:$AP$700,column(Max!$AP$2),false)</f>
        <v>2.233333333</v>
      </c>
      <c r="V546" s="8">
        <f t="shared" si="6"/>
        <v>101.3077784</v>
      </c>
      <c r="W546" s="14">
        <f t="shared" si="7"/>
        <v>0.9136683524</v>
      </c>
      <c r="X546" s="14">
        <f t="shared" si="8"/>
        <v>1.563994948</v>
      </c>
      <c r="Y546" s="14">
        <f t="shared" si="9"/>
        <v>1</v>
      </c>
      <c r="Z546" s="14">
        <f t="shared" si="10"/>
        <v>0.9267875957</v>
      </c>
      <c r="AA546" s="27">
        <f t="shared" si="11"/>
        <v>-50</v>
      </c>
      <c r="AB546" s="15">
        <f t="shared" si="144"/>
        <v>1</v>
      </c>
      <c r="AC546" s="15" t="str">
        <f t="shared" si="40"/>
        <v/>
      </c>
      <c r="AD546" s="15" t="str">
        <f t="shared" si="41"/>
        <v>$S5.2$: -50,</v>
      </c>
      <c r="AE546" s="15" t="str">
        <f t="shared" si="138"/>
        <v/>
      </c>
      <c r="AF546" s="15" t="str">
        <f t="shared" si="135"/>
        <v/>
      </c>
      <c r="AG546" s="15" t="str">
        <f t="shared" si="136"/>
        <v/>
      </c>
    </row>
    <row r="547" ht="15.75" customHeight="1">
      <c r="A547" s="16" t="s">
        <v>733</v>
      </c>
      <c r="B547" s="16" t="s">
        <v>730</v>
      </c>
      <c r="C547" s="17">
        <f t="shared" si="133"/>
        <v>-48</v>
      </c>
      <c r="D547" s="16">
        <v>1965.0</v>
      </c>
      <c r="E547" s="16"/>
      <c r="F547" s="16" t="b">
        <v>0</v>
      </c>
      <c r="G547" s="16" t="b">
        <v>0</v>
      </c>
      <c r="H547" s="16" t="b">
        <v>0</v>
      </c>
      <c r="I547" s="16" t="b">
        <v>0</v>
      </c>
      <c r="J547" s="18" t="b">
        <v>0</v>
      </c>
      <c r="K547" s="16">
        <v>160.0</v>
      </c>
      <c r="L547" s="16">
        <v>165.5</v>
      </c>
      <c r="M547" s="16">
        <v>265.0</v>
      </c>
      <c r="N547" s="16">
        <v>6.8</v>
      </c>
      <c r="O547" s="16">
        <v>0.960345</v>
      </c>
      <c r="P547" s="16">
        <v>0.960345</v>
      </c>
      <c r="Q547" s="19">
        <f t="shared" si="2"/>
        <v>105.4768955</v>
      </c>
      <c r="R547" s="20">
        <f t="shared" si="3"/>
        <v>0.8217522659</v>
      </c>
      <c r="S547" s="21">
        <f t="shared" si="4"/>
        <v>1.75</v>
      </c>
      <c r="T547" s="17">
        <f t="shared" si="142"/>
        <v>136</v>
      </c>
      <c r="U547" s="22">
        <f>T547/vlookup(A547,Max!$A$2:$AP$700,column(Max!$AP$2),false)</f>
        <v>2.092307692</v>
      </c>
      <c r="V547" s="17">
        <f t="shared" si="6"/>
        <v>101.3077784</v>
      </c>
      <c r="W547" s="23">
        <f t="shared" si="7"/>
        <v>0.9235379953</v>
      </c>
      <c r="X547" s="23">
        <f t="shared" si="8"/>
        <v>1.563994948</v>
      </c>
      <c r="Y547" s="23">
        <f t="shared" si="9"/>
        <v>1</v>
      </c>
      <c r="Z547" s="23">
        <f t="shared" si="10"/>
        <v>0.9267875957</v>
      </c>
      <c r="AA547" s="24">
        <f t="shared" si="11"/>
        <v>-48</v>
      </c>
      <c r="AB547" s="26">
        <f t="shared" si="144"/>
        <v>1</v>
      </c>
      <c r="AC547" s="26" t="str">
        <f t="shared" si="40"/>
        <v/>
      </c>
      <c r="AD547" s="26" t="str">
        <f t="shared" si="41"/>
        <v>$Isayev-R17$: -48,</v>
      </c>
      <c r="AE547" s="26" t="str">
        <f>if(AB547=2,if(AF546&lt;&gt;AF547,char(9)&amp;char(9)&amp;"@CONFIG["&amp;AF547&amp;"]"&amp;char(10)&amp;char(9)&amp;char(9)&amp;"{"&amp;char(10),"")&amp;char(9)&amp;char(9)&amp;char(9)&amp;"@SUBCONFIG["&amp;AG547&amp;"] { %cost = "&amp;AA547&amp;" }"&amp;if(AF549&lt;&gt;AF547,char(10)&amp;char(9)&amp;char(9)&amp;"}",""),"")</f>
        <v/>
      </c>
      <c r="AF547" s="26" t="str">
        <f t="shared" si="135"/>
        <v/>
      </c>
      <c r="AG547" s="26" t="str">
        <f t="shared" si="136"/>
        <v/>
      </c>
    </row>
    <row r="548" ht="15.75" customHeight="1">
      <c r="A548" s="9" t="s">
        <v>734</v>
      </c>
      <c r="B548" s="9" t="s">
        <v>735</v>
      </c>
      <c r="C548" s="8">
        <f t="shared" si="133"/>
        <v>22</v>
      </c>
      <c r="D548" s="7">
        <v>1961.0</v>
      </c>
      <c r="E548" s="7"/>
      <c r="F548" s="7" t="b">
        <v>0</v>
      </c>
      <c r="G548" s="7" t="b">
        <v>0</v>
      </c>
      <c r="H548" s="7" t="b">
        <v>1</v>
      </c>
      <c r="I548" s="7" t="b">
        <v>0</v>
      </c>
      <c r="J548" s="9" t="b">
        <v>0</v>
      </c>
      <c r="K548" s="7">
        <v>15.7</v>
      </c>
      <c r="L548" s="7">
        <v>1.96</v>
      </c>
      <c r="M548" s="7">
        <v>272.0</v>
      </c>
      <c r="N548" s="7">
        <v>1.18</v>
      </c>
      <c r="O548" s="7">
        <v>0.996875</v>
      </c>
      <c r="P548" s="7">
        <v>0.996341</v>
      </c>
      <c r="Q548" s="10">
        <f t="shared" si="2"/>
        <v>12.73021511</v>
      </c>
      <c r="R548" s="11">
        <f t="shared" si="3"/>
        <v>11.2244898</v>
      </c>
      <c r="S548" s="12">
        <f t="shared" si="4"/>
        <v>1.75</v>
      </c>
      <c r="T548" s="8">
        <f t="shared" si="142"/>
        <v>22</v>
      </c>
      <c r="U548" s="13" t="str">
        <f>T548/vlookup(A548,Max!$A$2:$AP$700,column(Max!$AP$2),false)</f>
        <v>#N/A</v>
      </c>
      <c r="V548" s="8">
        <f t="shared" si="6"/>
        <v>25.2650465</v>
      </c>
      <c r="W548" s="14">
        <f t="shared" si="7"/>
        <v>0.9349458699</v>
      </c>
      <c r="X548" s="14">
        <f t="shared" si="8"/>
        <v>0.943051599</v>
      </c>
      <c r="Y548" s="14">
        <f t="shared" si="9"/>
        <v>1</v>
      </c>
      <c r="Z548" s="14">
        <f t="shared" si="10"/>
        <v>1.008170025</v>
      </c>
      <c r="AA548" s="15">
        <f t="shared" si="11"/>
        <v>0</v>
      </c>
      <c r="AB548" s="29">
        <v>0.0</v>
      </c>
      <c r="AC548" s="15" t="str">
        <f t="shared" si="40"/>
        <v>{
$name$: $S5.19$,
$config$: $S5_19$,
$cost$: 22
},</v>
      </c>
      <c r="AD548" s="15" t="str">
        <f t="shared" si="41"/>
        <v/>
      </c>
      <c r="AE548" s="15" t="str">
        <f>if(AB548=2,if(AF547&lt;&gt;AF548,char(9)&amp;char(9)&amp;"@CONFIG["&amp;AF548&amp;"]"&amp;char(10)&amp;char(9)&amp;char(9)&amp;"{"&amp;char(10),"")&amp;char(9)&amp;char(9)&amp;char(9)&amp;"@SUBCONFIG["&amp;AG548&amp;"] { %cost = "&amp;AA548&amp;" }"&amp;if(AF549&lt;&gt;AF548,char(10)&amp;char(9)&amp;char(9)&amp;"}",""),"")</f>
        <v/>
      </c>
      <c r="AF548" s="15" t="str">
        <f t="shared" si="135"/>
        <v/>
      </c>
      <c r="AG548" s="15" t="str">
        <f t="shared" si="136"/>
        <v/>
      </c>
    </row>
    <row r="549" ht="15.75" customHeight="1">
      <c r="A549" s="16" t="s">
        <v>736</v>
      </c>
      <c r="B549" s="16" t="s">
        <v>737</v>
      </c>
      <c r="C549" s="17">
        <f t="shared" si="133"/>
        <v>198</v>
      </c>
      <c r="D549" s="16">
        <v>1964.0</v>
      </c>
      <c r="E549" s="16"/>
      <c r="F549" s="16" t="b">
        <v>1</v>
      </c>
      <c r="G549" s="16" t="b">
        <v>0</v>
      </c>
      <c r="H549" s="16" t="b">
        <v>0</v>
      </c>
      <c r="I549" s="16" t="b">
        <v>0</v>
      </c>
      <c r="J549" s="18" t="b">
        <v>0</v>
      </c>
      <c r="K549" s="16">
        <v>185.0</v>
      </c>
      <c r="L549" s="16">
        <v>147.6</v>
      </c>
      <c r="M549" s="16">
        <v>303.0</v>
      </c>
      <c r="N549" s="16">
        <v>9.61</v>
      </c>
      <c r="O549" s="16">
        <v>0.999167</v>
      </c>
      <c r="P549" s="16">
        <v>0.997456</v>
      </c>
      <c r="Q549" s="19">
        <f t="shared" si="2"/>
        <v>81.35681762</v>
      </c>
      <c r="R549" s="20">
        <f t="shared" si="3"/>
        <v>1.341463415</v>
      </c>
      <c r="S549" s="21">
        <f t="shared" si="4"/>
        <v>4</v>
      </c>
      <c r="T549" s="17">
        <f t="shared" si="142"/>
        <v>198</v>
      </c>
      <c r="U549" s="22">
        <f>T549/vlookup(A549,Max!$A$2:$AP$700,column(Max!$AP$2),false)</f>
        <v>1.466666667</v>
      </c>
      <c r="V549" s="17">
        <f t="shared" si="6"/>
        <v>110.6328566</v>
      </c>
      <c r="W549" s="23">
        <f t="shared" si="7"/>
        <v>1.011468879</v>
      </c>
      <c r="X549" s="23">
        <f t="shared" si="8"/>
        <v>1.735000836</v>
      </c>
      <c r="Y549" s="23">
        <f t="shared" si="9"/>
        <v>1</v>
      </c>
      <c r="Z549" s="23">
        <f t="shared" si="10"/>
        <v>1.018934767</v>
      </c>
      <c r="AA549" s="26">
        <f t="shared" si="11"/>
        <v>0</v>
      </c>
      <c r="AB549" s="25">
        <v>0.0</v>
      </c>
      <c r="AC549" s="26" t="str">
        <f t="shared" si="40"/>
        <v>{
$name$: $S5.23$,
$config$: $S5_23$,
$cost$: 198
},</v>
      </c>
      <c r="AD549" s="26" t="str">
        <f t="shared" si="41"/>
        <v/>
      </c>
      <c r="AE549" s="26" t="str">
        <f>if(AB549=2,if(AF547&lt;&gt;AF549,char(9)&amp;char(9)&amp;"@CONFIG["&amp;AF549&amp;"]"&amp;char(10)&amp;char(9)&amp;char(9)&amp;"{"&amp;char(10),"")&amp;char(9)&amp;char(9)&amp;char(9)&amp;"@SUBCONFIG["&amp;AG549&amp;"] { %cost = "&amp;AA549&amp;" }"&amp;if(AF550&lt;&gt;AF549,char(10)&amp;char(9)&amp;char(9)&amp;"}",""),"")</f>
        <v/>
      </c>
      <c r="AF549" s="26" t="str">
        <f t="shared" si="135"/>
        <v/>
      </c>
      <c r="AG549" s="26" t="str">
        <f t="shared" si="136"/>
        <v/>
      </c>
    </row>
    <row r="550" ht="15.75" customHeight="1">
      <c r="A550" s="9" t="s">
        <v>738</v>
      </c>
      <c r="B550" s="9" t="s">
        <v>739</v>
      </c>
      <c r="C550" s="8">
        <f t="shared" si="133"/>
        <v>84</v>
      </c>
      <c r="D550" s="9">
        <v>1960.0</v>
      </c>
      <c r="E550" s="7"/>
      <c r="F550" s="9" t="b">
        <v>1</v>
      </c>
      <c r="G550" s="7" t="b">
        <v>0</v>
      </c>
      <c r="H550" s="9" t="b">
        <v>1</v>
      </c>
      <c r="I550" s="7" t="b">
        <v>0</v>
      </c>
      <c r="J550" s="9" t="b">
        <v>0</v>
      </c>
      <c r="K550" s="9">
        <v>78.0</v>
      </c>
      <c r="L550" s="9">
        <v>15.83</v>
      </c>
      <c r="M550" s="9">
        <v>266.0</v>
      </c>
      <c r="N550" s="9">
        <v>5.55</v>
      </c>
      <c r="O550" s="9">
        <v>0.997879</v>
      </c>
      <c r="P550" s="9">
        <v>0.999085</v>
      </c>
      <c r="Q550" s="10">
        <f t="shared" si="2"/>
        <v>20.69500975</v>
      </c>
      <c r="R550" s="11">
        <f t="shared" si="3"/>
        <v>5.306380291</v>
      </c>
      <c r="S550" s="12">
        <f t="shared" si="4"/>
        <v>4</v>
      </c>
      <c r="T550" s="8">
        <f t="shared" si="142"/>
        <v>84</v>
      </c>
      <c r="U550" s="13" t="str">
        <f>T550/vlookup(A550,Max!$A$2:$AP$700,column(Max!$AP$2),false)</f>
        <v>#N/A</v>
      </c>
      <c r="V550" s="8">
        <f t="shared" si="6"/>
        <v>65.65365205</v>
      </c>
      <c r="W550" s="14">
        <f t="shared" si="7"/>
        <v>0.9250696553</v>
      </c>
      <c r="X550" s="14">
        <f t="shared" si="8"/>
        <v>1.33606604</v>
      </c>
      <c r="Y550" s="14">
        <f t="shared" si="9"/>
        <v>1</v>
      </c>
      <c r="Z550" s="14">
        <f t="shared" si="10"/>
        <v>1.039637958</v>
      </c>
      <c r="AA550" s="15">
        <f t="shared" si="11"/>
        <v>0</v>
      </c>
      <c r="AB550" s="29">
        <v>0.0</v>
      </c>
      <c r="AC550" s="15" t="str">
        <f t="shared" si="40"/>
        <v>{
$name$: $S5.4$,
$config$: $S5_4$,
$cost$: 84
},</v>
      </c>
      <c r="AD550" s="15" t="str">
        <f t="shared" si="41"/>
        <v/>
      </c>
      <c r="AE550" s="15" t="str">
        <f>if(AB550=2,if(AF549&lt;&gt;AF550,char(9)&amp;char(9)&amp;"@CONFIG["&amp;AF550&amp;"]"&amp;char(10)&amp;char(9)&amp;char(9)&amp;"{"&amp;char(10),"")&amp;char(9)&amp;char(9)&amp;char(9)&amp;"@SUBCONFIG["&amp;AG550&amp;"] { %cost = "&amp;AA550&amp;" }"&amp;if(AF552&lt;&gt;AF550,char(10)&amp;char(9)&amp;char(9)&amp;"}",""),"")</f>
        <v/>
      </c>
      <c r="AF550" s="15" t="str">
        <f t="shared" si="135"/>
        <v/>
      </c>
      <c r="AG550" s="15" t="str">
        <f t="shared" si="136"/>
        <v/>
      </c>
    </row>
    <row r="551" ht="15.75" customHeight="1">
      <c r="A551" s="16" t="s">
        <v>740</v>
      </c>
      <c r="B551" s="16" t="s">
        <v>741</v>
      </c>
      <c r="C551" s="17">
        <f t="shared" si="133"/>
        <v>119</v>
      </c>
      <c r="D551" s="16">
        <v>2000.0</v>
      </c>
      <c r="E551" s="16"/>
      <c r="F551" s="16" t="b">
        <v>1</v>
      </c>
      <c r="G551" s="16" t="b">
        <v>0</v>
      </c>
      <c r="H551" s="16" t="b">
        <v>1</v>
      </c>
      <c r="I551" s="16" t="b">
        <v>0</v>
      </c>
      <c r="J551" s="18" t="b">
        <v>0</v>
      </c>
      <c r="K551" s="16">
        <v>75.0</v>
      </c>
      <c r="L551" s="16">
        <v>19.61</v>
      </c>
      <c r="M551" s="16">
        <v>327.0</v>
      </c>
      <c r="N551" s="16">
        <v>9.6</v>
      </c>
      <c r="O551" s="16">
        <v>0.999455</v>
      </c>
      <c r="P551" s="16">
        <v>0.996237</v>
      </c>
      <c r="Q551" s="19">
        <f t="shared" si="2"/>
        <v>26.66217984</v>
      </c>
      <c r="R551" s="20">
        <f t="shared" si="3"/>
        <v>6.068332483</v>
      </c>
      <c r="S551" s="21">
        <f t="shared" si="4"/>
        <v>4</v>
      </c>
      <c r="T551" s="17">
        <f t="shared" si="142"/>
        <v>119</v>
      </c>
      <c r="U551" s="22">
        <f>T551/vlookup(A551,Max!$A$2:$AP$700,column(Max!$AP$2),false)</f>
        <v>4.103448276</v>
      </c>
      <c r="V551" s="17">
        <f t="shared" si="6"/>
        <v>64.12355657</v>
      </c>
      <c r="W551" s="23">
        <f t="shared" si="7"/>
        <v>1.206673473</v>
      </c>
      <c r="X551" s="23">
        <f t="shared" si="8"/>
        <v>1.511377775</v>
      </c>
      <c r="Y551" s="23">
        <f t="shared" si="9"/>
        <v>1</v>
      </c>
      <c r="Z551" s="23">
        <f t="shared" si="10"/>
        <v>1.014441002</v>
      </c>
      <c r="AA551" s="26">
        <f t="shared" si="11"/>
        <v>0</v>
      </c>
      <c r="AB551" s="25">
        <v>0.0</v>
      </c>
      <c r="AC551" s="26" t="str">
        <f t="shared" si="40"/>
        <v>{
$name$: $S5.92$,
$config$: $S5_92$,
$cost$: 119
},</v>
      </c>
      <c r="AD551" s="26" t="str">
        <f t="shared" si="41"/>
        <v/>
      </c>
      <c r="AE551" s="26" t="str">
        <f t="shared" ref="AE551:AE630" si="145">if(AB551=2,if(AF550&lt;&gt;AF551,char(9)&amp;char(9)&amp;"@CONFIG["&amp;AF551&amp;"]"&amp;char(10)&amp;char(9)&amp;char(9)&amp;"{"&amp;char(10),"")&amp;char(9)&amp;char(9)&amp;char(9)&amp;"@SUBCONFIG["&amp;AG551&amp;"] { %cost = "&amp;AA551&amp;" }"&amp;if(AF552&lt;&gt;AF551,char(10)&amp;char(9)&amp;char(9)&amp;"}",""),"")</f>
        <v/>
      </c>
      <c r="AF551" s="26" t="str">
        <f t="shared" si="135"/>
        <v/>
      </c>
      <c r="AG551" s="26" t="str">
        <f t="shared" si="136"/>
        <v/>
      </c>
    </row>
    <row r="552" ht="15.75" customHeight="1">
      <c r="A552" s="7" t="s">
        <v>742</v>
      </c>
      <c r="B552" s="7" t="s">
        <v>741</v>
      </c>
      <c r="C552" s="8">
        <f t="shared" si="133"/>
        <v>65</v>
      </c>
      <c r="D552" s="7">
        <v>2000.0</v>
      </c>
      <c r="E552" s="7" t="b">
        <v>1</v>
      </c>
      <c r="F552" s="7" t="b">
        <v>1</v>
      </c>
      <c r="G552" s="7" t="b">
        <v>0</v>
      </c>
      <c r="H552" s="7" t="b">
        <v>1</v>
      </c>
      <c r="I552" s="7" t="b">
        <v>0</v>
      </c>
      <c r="J552" s="9" t="b">
        <v>0</v>
      </c>
      <c r="K552" s="7">
        <v>80.0</v>
      </c>
      <c r="L552" s="7">
        <v>20.01</v>
      </c>
      <c r="M552" s="7">
        <v>333.4</v>
      </c>
      <c r="N552" s="7">
        <v>9.6</v>
      </c>
      <c r="O552" s="7">
        <v>0.999455</v>
      </c>
      <c r="P552" s="7">
        <v>0.996237</v>
      </c>
      <c r="Q552" s="10">
        <f t="shared" si="2"/>
        <v>25.5056517</v>
      </c>
      <c r="R552" s="11">
        <f t="shared" si="3"/>
        <v>9.195402299</v>
      </c>
      <c r="S552" s="12">
        <f t="shared" si="4"/>
        <v>4</v>
      </c>
      <c r="T552" s="8">
        <f t="shared" si="142"/>
        <v>184</v>
      </c>
      <c r="U552" s="13">
        <f>T552/vlookup(A552,Max!$A$2:$AP$700,column(Max!$AP$2),false)</f>
        <v>5.935483871</v>
      </c>
      <c r="V552" s="8">
        <f t="shared" si="6"/>
        <v>95.14423821</v>
      </c>
      <c r="W552" s="14">
        <f t="shared" si="7"/>
        <v>1.264435522</v>
      </c>
      <c r="X552" s="14">
        <f t="shared" si="8"/>
        <v>1.511377775</v>
      </c>
      <c r="Y552" s="14">
        <f t="shared" si="9"/>
        <v>1</v>
      </c>
      <c r="Z552" s="14">
        <f t="shared" si="10"/>
        <v>1.014441002</v>
      </c>
      <c r="AA552" s="27">
        <f t="shared" si="11"/>
        <v>65</v>
      </c>
      <c r="AB552" s="15">
        <f>if(iserror(find("$",A552)),1,2)</f>
        <v>1</v>
      </c>
      <c r="AC552" s="15" t="str">
        <f t="shared" si="40"/>
        <v/>
      </c>
      <c r="AD552" s="15" t="str">
        <f t="shared" si="41"/>
        <v>$S5.92-l.n.$: 65,</v>
      </c>
      <c r="AE552" s="15" t="str">
        <f t="shared" si="145"/>
        <v/>
      </c>
      <c r="AF552" s="15" t="str">
        <f t="shared" si="135"/>
        <v/>
      </c>
      <c r="AG552" s="15" t="str">
        <f t="shared" si="136"/>
        <v/>
      </c>
    </row>
    <row r="553" ht="15.75" customHeight="1">
      <c r="A553" s="16" t="s">
        <v>743</v>
      </c>
      <c r="B553" s="16" t="s">
        <v>744</v>
      </c>
      <c r="C553" s="17">
        <f t="shared" si="133"/>
        <v>136</v>
      </c>
      <c r="D553" s="16">
        <v>1999.0</v>
      </c>
      <c r="E553" s="16"/>
      <c r="F553" s="16" t="b">
        <v>1</v>
      </c>
      <c r="G553" s="16" t="b">
        <v>0</v>
      </c>
      <c r="H553" s="16" t="b">
        <v>1</v>
      </c>
      <c r="I553" s="16" t="b">
        <v>0</v>
      </c>
      <c r="J553" s="18" t="b">
        <v>0</v>
      </c>
      <c r="K553" s="16">
        <v>95.0</v>
      </c>
      <c r="L553" s="16">
        <v>19.61</v>
      </c>
      <c r="M553" s="16">
        <v>328.0</v>
      </c>
      <c r="N553" s="16">
        <v>9.8</v>
      </c>
      <c r="O553" s="16">
        <v>0.999109</v>
      </c>
      <c r="P553" s="16">
        <v>0.990594</v>
      </c>
      <c r="Q553" s="19">
        <f t="shared" si="2"/>
        <v>21.04908935</v>
      </c>
      <c r="R553" s="20">
        <f t="shared" si="3"/>
        <v>6.935237124</v>
      </c>
      <c r="S553" s="21">
        <f t="shared" si="4"/>
        <v>4</v>
      </c>
      <c r="T553" s="17">
        <f t="shared" si="142"/>
        <v>136</v>
      </c>
      <c r="U553" s="22">
        <f>T553/vlookup(A553,Max!$A$2:$AP$700,column(Max!$AP$2),false)</f>
        <v>5.913043478</v>
      </c>
      <c r="V553" s="17">
        <f t="shared" si="6"/>
        <v>73.92836225</v>
      </c>
      <c r="W553" s="23">
        <f t="shared" si="7"/>
        <v>1.215455308</v>
      </c>
      <c r="X553" s="23">
        <f t="shared" si="8"/>
        <v>1.51840586</v>
      </c>
      <c r="Y553" s="23">
        <f t="shared" si="9"/>
        <v>1</v>
      </c>
      <c r="Z553" s="23">
        <f t="shared" si="10"/>
        <v>0.9992713229</v>
      </c>
      <c r="AA553" s="26">
        <f t="shared" si="11"/>
        <v>0</v>
      </c>
      <c r="AB553" s="25">
        <v>0.0</v>
      </c>
      <c r="AC553" s="26" t="str">
        <f t="shared" si="40"/>
        <v>{
$name$: $S5.98M$,
$config$: $S5_98M$,
$cost$: 136
},</v>
      </c>
      <c r="AD553" s="26" t="str">
        <f t="shared" si="41"/>
        <v/>
      </c>
      <c r="AE553" s="26" t="str">
        <f t="shared" si="145"/>
        <v/>
      </c>
      <c r="AF553" s="26" t="str">
        <f t="shared" si="135"/>
        <v/>
      </c>
      <c r="AG553" s="26" t="str">
        <f t="shared" si="136"/>
        <v/>
      </c>
    </row>
    <row r="554" ht="15.75" customHeight="1">
      <c r="A554" s="7" t="s">
        <v>745</v>
      </c>
      <c r="B554" s="7" t="s">
        <v>745</v>
      </c>
      <c r="C554" s="8">
        <f t="shared" si="133"/>
        <v>2836</v>
      </c>
      <c r="D554" s="7"/>
      <c r="E554" s="7" t="b">
        <v>1</v>
      </c>
      <c r="F554" s="7" t="b">
        <v>1</v>
      </c>
      <c r="G554" s="7" t="b">
        <v>0</v>
      </c>
      <c r="H554" s="7" t="b">
        <v>1</v>
      </c>
      <c r="I554" s="7" t="b">
        <v>0</v>
      </c>
      <c r="J554" s="9" t="b">
        <v>1</v>
      </c>
      <c r="K554" s="7">
        <v>2500.0</v>
      </c>
      <c r="L554" s="7">
        <v>72.95</v>
      </c>
      <c r="M554" s="7">
        <v>875.0</v>
      </c>
      <c r="N554" s="7">
        <v>3.1</v>
      </c>
      <c r="O554" s="7">
        <v>1.0</v>
      </c>
      <c r="P554" s="7">
        <v>1.0</v>
      </c>
      <c r="Q554" s="10">
        <f t="shared" si="2"/>
        <v>2.975531901</v>
      </c>
      <c r="R554" s="11">
        <f t="shared" si="3"/>
        <v>38.87594243</v>
      </c>
      <c r="S554" s="12">
        <f t="shared" si="4"/>
        <v>4</v>
      </c>
      <c r="T554" s="8">
        <f t="shared" si="142"/>
        <v>2836</v>
      </c>
      <c r="U554" s="13">
        <f>T554/vlookup(A554,Max!$A$2:$AP$700,column(Max!$AP$2),false)</f>
        <v>1.05037037</v>
      </c>
      <c r="V554" s="8">
        <f t="shared" si="6"/>
        <v>598.4806909</v>
      </c>
      <c r="W554" s="14">
        <f t="shared" si="7"/>
        <v>2.021452751</v>
      </c>
      <c r="X554" s="14">
        <f t="shared" si="8"/>
        <v>1.171975101</v>
      </c>
      <c r="Y554" s="14">
        <f t="shared" si="9"/>
        <v>2</v>
      </c>
      <c r="Z554" s="14">
        <f t="shared" si="10"/>
        <v>1</v>
      </c>
      <c r="AA554" s="15">
        <f t="shared" si="11"/>
        <v>0</v>
      </c>
      <c r="AB554" s="29">
        <v>0.0</v>
      </c>
      <c r="AC554" s="15" t="str">
        <f t="shared" si="40"/>
        <v>{
$name$: $SmallEngine$,
$config$: $SmallEngine$,
$cost$: 2836
},</v>
      </c>
      <c r="AD554" s="15" t="str">
        <f t="shared" si="41"/>
        <v/>
      </c>
      <c r="AE554" s="15" t="str">
        <f t="shared" si="145"/>
        <v/>
      </c>
      <c r="AF554" s="15" t="str">
        <f t="shared" si="135"/>
        <v/>
      </c>
      <c r="AG554" s="15" t="str">
        <f t="shared" si="136"/>
        <v/>
      </c>
    </row>
    <row r="555" ht="15.75" customHeight="1">
      <c r="A555" s="16" t="s">
        <v>746</v>
      </c>
      <c r="B555" s="16" t="s">
        <v>747</v>
      </c>
      <c r="C555" s="17">
        <f t="shared" si="133"/>
        <v>7102</v>
      </c>
      <c r="D555" s="16"/>
      <c r="E555" s="16" t="b">
        <v>1</v>
      </c>
      <c r="F555" s="16" t="b">
        <v>1</v>
      </c>
      <c r="G555" s="16" t="b">
        <v>0</v>
      </c>
      <c r="H555" s="16" t="b">
        <v>1</v>
      </c>
      <c r="I555" s="16" t="b">
        <v>0</v>
      </c>
      <c r="J555" s="18" t="b">
        <v>1</v>
      </c>
      <c r="K555" s="16">
        <v>1504.0</v>
      </c>
      <c r="L555" s="16">
        <v>245.0</v>
      </c>
      <c r="M555" s="16">
        <v>954.0</v>
      </c>
      <c r="N555" s="16">
        <v>6.8</v>
      </c>
      <c r="O555" s="16">
        <v>1.0</v>
      </c>
      <c r="P555" s="16">
        <v>1.0</v>
      </c>
      <c r="Q555" s="19">
        <f t="shared" si="2"/>
        <v>16.61106858</v>
      </c>
      <c r="R555" s="20">
        <f t="shared" si="3"/>
        <v>28.9877551</v>
      </c>
      <c r="S555" s="21">
        <f t="shared" si="4"/>
        <v>4</v>
      </c>
      <c r="T555" s="17">
        <f t="shared" si="142"/>
        <v>7102</v>
      </c>
      <c r="U555" s="22">
        <f>T555/vlookup(A555,Max!$A$2:$AP$700,column(Max!$AP$2),false)</f>
        <v>1.00028169</v>
      </c>
      <c r="V555" s="17">
        <f t="shared" si="6"/>
        <v>447.2422069</v>
      </c>
      <c r="W555" s="23">
        <f t="shared" si="7"/>
        <v>5.677546743</v>
      </c>
      <c r="X555" s="23">
        <f t="shared" si="8"/>
        <v>1.398545208</v>
      </c>
      <c r="Y555" s="23">
        <f t="shared" si="9"/>
        <v>2</v>
      </c>
      <c r="Z555" s="23">
        <f t="shared" si="10"/>
        <v>1</v>
      </c>
      <c r="AA555" s="26">
        <f t="shared" si="11"/>
        <v>0</v>
      </c>
      <c r="AB555" s="25">
        <v>0.0</v>
      </c>
      <c r="AC555" s="26" t="str">
        <f t="shared" si="40"/>
        <v>{
$name$: $SNTPPFE100-Hydrogen$,
$config$: $SNTPPFE100$,
$cost$: 7102
},</v>
      </c>
      <c r="AD555" s="26" t="str">
        <f t="shared" si="41"/>
        <v/>
      </c>
      <c r="AE555" s="26" t="str">
        <f t="shared" si="145"/>
        <v/>
      </c>
      <c r="AF555" s="26" t="str">
        <f t="shared" si="135"/>
        <v/>
      </c>
      <c r="AG555" s="26" t="str">
        <f t="shared" si="136"/>
        <v/>
      </c>
    </row>
    <row r="556" ht="15.75" customHeight="1">
      <c r="A556" s="7" t="s">
        <v>748</v>
      </c>
      <c r="B556" s="7" t="s">
        <v>747</v>
      </c>
      <c r="C556" s="8">
        <f t="shared" si="133"/>
        <v>-779</v>
      </c>
      <c r="D556" s="7"/>
      <c r="E556" s="7" t="b">
        <v>1</v>
      </c>
      <c r="F556" s="7" t="b">
        <v>1</v>
      </c>
      <c r="G556" s="7" t="b">
        <v>0</v>
      </c>
      <c r="H556" s="7" t="b">
        <v>1</v>
      </c>
      <c r="I556" s="7" t="b">
        <v>0</v>
      </c>
      <c r="J556" s="9" t="b">
        <v>1</v>
      </c>
      <c r="K556" s="7">
        <v>1504.0</v>
      </c>
      <c r="L556" s="7">
        <v>206.0</v>
      </c>
      <c r="M556" s="7">
        <v>940.0</v>
      </c>
      <c r="N556" s="7">
        <v>6.8</v>
      </c>
      <c r="O556" s="7">
        <v>1.0</v>
      </c>
      <c r="P556" s="7">
        <v>1.0</v>
      </c>
      <c r="Q556" s="10">
        <f t="shared" si="2"/>
        <v>13.96685766</v>
      </c>
      <c r="R556" s="11">
        <f t="shared" si="3"/>
        <v>30.69417476</v>
      </c>
      <c r="S556" s="12">
        <f t="shared" si="4"/>
        <v>4</v>
      </c>
      <c r="T556" s="8">
        <f t="shared" si="142"/>
        <v>6323</v>
      </c>
      <c r="U556" s="13">
        <f>T556/vlookup(A556,Max!$A$2:$AP$700,column(Max!$AP$2),false)</f>
        <v>1.317291667</v>
      </c>
      <c r="V556" s="8">
        <f t="shared" si="6"/>
        <v>447.2422069</v>
      </c>
      <c r="W556" s="14">
        <f t="shared" si="7"/>
        <v>5.054407398</v>
      </c>
      <c r="X556" s="14">
        <f t="shared" si="8"/>
        <v>1.398545208</v>
      </c>
      <c r="Y556" s="14">
        <f t="shared" si="9"/>
        <v>2</v>
      </c>
      <c r="Z556" s="14">
        <f t="shared" si="10"/>
        <v>1</v>
      </c>
      <c r="AA556" s="27">
        <f t="shared" si="11"/>
        <v>-779</v>
      </c>
      <c r="AB556" s="15">
        <f>if(iserror(find("$",A556)),1,2)</f>
        <v>1</v>
      </c>
      <c r="AC556" s="15" t="str">
        <f t="shared" si="40"/>
        <v/>
      </c>
      <c r="AD556" s="15" t="str">
        <f t="shared" si="41"/>
        <v>$SNTPPFE100-Prototype$: -779,</v>
      </c>
      <c r="AE556" s="15" t="str">
        <f t="shared" si="145"/>
        <v/>
      </c>
      <c r="AF556" s="15" t="str">
        <f t="shared" si="135"/>
        <v/>
      </c>
      <c r="AG556" s="15" t="str">
        <f t="shared" si="136"/>
        <v/>
      </c>
    </row>
    <row r="557" ht="15.75" customHeight="1">
      <c r="A557" s="16" t="s">
        <v>749</v>
      </c>
      <c r="B557" s="16" t="s">
        <v>749</v>
      </c>
      <c r="C557" s="17">
        <f t="shared" si="133"/>
        <v>2453</v>
      </c>
      <c r="D557" s="18">
        <v>1995.0</v>
      </c>
      <c r="E557" s="16"/>
      <c r="F557" s="16" t="b">
        <v>1</v>
      </c>
      <c r="G557" s="16" t="b">
        <v>0</v>
      </c>
      <c r="H557" s="16" t="b">
        <v>0</v>
      </c>
      <c r="I557" s="16" t="b">
        <v>0</v>
      </c>
      <c r="J557" s="18" t="b">
        <v>0</v>
      </c>
      <c r="K557" s="16">
        <v>3655.0</v>
      </c>
      <c r="L557" s="16">
        <v>2265.0</v>
      </c>
      <c r="M557" s="16">
        <v>361.0</v>
      </c>
      <c r="N557" s="16">
        <v>22.58</v>
      </c>
      <c r="O557" s="16">
        <v>0.990984</v>
      </c>
      <c r="P557" s="16">
        <v>0.994262</v>
      </c>
      <c r="Q557" s="19">
        <f t="shared" si="2"/>
        <v>63.19171589</v>
      </c>
      <c r="R557" s="20">
        <f t="shared" si="3"/>
        <v>1.083002208</v>
      </c>
      <c r="S557" s="21">
        <f t="shared" si="4"/>
        <v>4</v>
      </c>
      <c r="T557" s="17">
        <f t="shared" si="142"/>
        <v>2453</v>
      </c>
      <c r="U557" s="22">
        <f>T557/vlookup(A557,Max!$A$2:$AP$700,column(Max!$AP$2),false)</f>
        <v>2.336190476</v>
      </c>
      <c r="V557" s="17">
        <f t="shared" si="6"/>
        <v>693.4774136</v>
      </c>
      <c r="W557" s="23">
        <f t="shared" si="7"/>
        <v>1.561213074</v>
      </c>
      <c r="X557" s="23">
        <f t="shared" si="8"/>
        <v>2.241815427</v>
      </c>
      <c r="Y557" s="23">
        <f t="shared" si="9"/>
        <v>1</v>
      </c>
      <c r="Z557" s="23">
        <f t="shared" si="10"/>
        <v>1.010797401</v>
      </c>
      <c r="AA557" s="26">
        <f t="shared" si="11"/>
        <v>0</v>
      </c>
      <c r="AB557" s="25">
        <v>0.0</v>
      </c>
      <c r="AC557" s="26" t="str">
        <f t="shared" si="40"/>
        <v>{
$name$: $SSBE$,
$config$: $SSBE$,
$cost$: 2453
},</v>
      </c>
      <c r="AD557" s="26" t="str">
        <f t="shared" si="41"/>
        <v/>
      </c>
      <c r="AE557" s="26" t="str">
        <f t="shared" si="145"/>
        <v/>
      </c>
      <c r="AF557" s="26" t="str">
        <f t="shared" si="135"/>
        <v/>
      </c>
      <c r="AG557" s="26" t="str">
        <f t="shared" si="136"/>
        <v/>
      </c>
    </row>
    <row r="558" ht="15.75" customHeight="1">
      <c r="A558" s="7" t="s">
        <v>750</v>
      </c>
      <c r="B558" s="7" t="s">
        <v>749</v>
      </c>
      <c r="C558" s="8">
        <f t="shared" si="133"/>
        <v>24</v>
      </c>
      <c r="D558" s="9">
        <v>2006.0</v>
      </c>
      <c r="E558" s="7"/>
      <c r="F558" s="7" t="b">
        <v>1</v>
      </c>
      <c r="G558" s="7" t="b">
        <v>0</v>
      </c>
      <c r="H558" s="7" t="b">
        <v>0</v>
      </c>
      <c r="I558" s="7" t="b">
        <v>0</v>
      </c>
      <c r="J558" s="9" t="b">
        <v>0</v>
      </c>
      <c r="K558" s="7">
        <v>3889.0</v>
      </c>
      <c r="L558" s="7">
        <v>2306.0</v>
      </c>
      <c r="M558" s="7">
        <v>358.7</v>
      </c>
      <c r="N558" s="7">
        <v>21.02</v>
      </c>
      <c r="O558" s="7">
        <v>0.998404</v>
      </c>
      <c r="P558" s="7">
        <v>0.998404</v>
      </c>
      <c r="Q558" s="10">
        <f t="shared" si="2"/>
        <v>60.46453022</v>
      </c>
      <c r="R558" s="11">
        <f t="shared" si="3"/>
        <v>1.07415438</v>
      </c>
      <c r="S558" s="12">
        <f t="shared" si="4"/>
        <v>4</v>
      </c>
      <c r="T558" s="8">
        <f t="shared" si="142"/>
        <v>2477</v>
      </c>
      <c r="U558" s="13">
        <f>T558/vlookup(A558,Max!$A$2:$AP$700,column(Max!$AP$2),false)</f>
        <v>1.9816</v>
      </c>
      <c r="V558" s="8">
        <f t="shared" si="6"/>
        <v>720.7982942</v>
      </c>
      <c r="W558" s="14">
        <f t="shared" si="7"/>
        <v>1.533174797</v>
      </c>
      <c r="X558" s="14">
        <f t="shared" si="8"/>
        <v>2.19418118</v>
      </c>
      <c r="Y558" s="14">
        <f t="shared" si="9"/>
        <v>1</v>
      </c>
      <c r="Z558" s="14">
        <f t="shared" si="10"/>
        <v>1.021357528</v>
      </c>
      <c r="AA558" s="27">
        <f t="shared" si="11"/>
        <v>24</v>
      </c>
      <c r="AB558" s="15">
        <f t="shared" ref="AB558:AB560" si="146">if(iserror(find("$",A558)),1,2)</f>
        <v>1</v>
      </c>
      <c r="AC558" s="15" t="str">
        <f t="shared" si="40"/>
        <v/>
      </c>
      <c r="AD558" s="15" t="str">
        <f t="shared" si="41"/>
        <v>$SSBE-BlockII$: 24,</v>
      </c>
      <c r="AE558" s="15" t="str">
        <f t="shared" si="145"/>
        <v/>
      </c>
      <c r="AF558" s="15" t="str">
        <f t="shared" si="135"/>
        <v/>
      </c>
      <c r="AG558" s="15" t="str">
        <f t="shared" si="136"/>
        <v/>
      </c>
    </row>
    <row r="559" ht="15.75" customHeight="1">
      <c r="A559" s="18" t="s">
        <v>751</v>
      </c>
      <c r="B559" s="16" t="s">
        <v>752</v>
      </c>
      <c r="C559" s="17">
        <f t="shared" si="133"/>
        <v>5050</v>
      </c>
      <c r="D559" s="16">
        <v>1981.0</v>
      </c>
      <c r="E559" s="16" t="b">
        <v>1</v>
      </c>
      <c r="F559" s="16" t="b">
        <v>1</v>
      </c>
      <c r="G559" s="16" t="b">
        <v>0</v>
      </c>
      <c r="H559" s="16" t="b">
        <v>0</v>
      </c>
      <c r="I559" s="16" t="b">
        <v>0</v>
      </c>
      <c r="J559" s="18" t="b">
        <v>0</v>
      </c>
      <c r="K559" s="16">
        <v>3372.0</v>
      </c>
      <c r="L559" s="16">
        <v>2043.0</v>
      </c>
      <c r="M559" s="16">
        <v>445.0</v>
      </c>
      <c r="N559" s="16">
        <v>20.48</v>
      </c>
      <c r="O559" s="16">
        <v>0.990984</v>
      </c>
      <c r="P559" s="16">
        <v>0.994262</v>
      </c>
      <c r="Q559" s="19">
        <f t="shared" si="2"/>
        <v>61.78173835</v>
      </c>
      <c r="R559" s="20">
        <f t="shared" si="3"/>
        <v>2.471855115</v>
      </c>
      <c r="S559" s="21">
        <f t="shared" si="4"/>
        <v>4</v>
      </c>
      <c r="T559" s="17">
        <f t="shared" si="142"/>
        <v>5050</v>
      </c>
      <c r="U559" s="22" t="str">
        <f>T559/vlookup(A559,Max!$A$2:$AP$700,column(Max!$AP$2),false)</f>
        <v>#N/A</v>
      </c>
      <c r="V559" s="17">
        <f t="shared" si="6"/>
        <v>712.3540018</v>
      </c>
      <c r="W559" s="23">
        <f t="shared" si="7"/>
        <v>3.221130427</v>
      </c>
      <c r="X559" s="23">
        <f t="shared" si="8"/>
        <v>2.177116443</v>
      </c>
      <c r="Y559" s="23">
        <f t="shared" si="9"/>
        <v>1</v>
      </c>
      <c r="Z559" s="23">
        <f t="shared" si="10"/>
        <v>1.010797401</v>
      </c>
      <c r="AA559" s="26">
        <f t="shared" si="11"/>
        <v>0</v>
      </c>
      <c r="AB559" s="26">
        <f t="shared" si="146"/>
        <v>2</v>
      </c>
      <c r="AC559" s="26" t="str">
        <f t="shared" si="40"/>
        <v/>
      </c>
      <c r="AD559" s="26" t="str">
        <f t="shared" si="41"/>
        <v/>
      </c>
      <c r="AE559" s="26" t="str">
        <f t="shared" si="145"/>
        <v>		@CONFIG[RS-25]
		{
			@SUBCONFIG[35AR] { %cost = 0 }</v>
      </c>
      <c r="AF559" s="26" t="str">
        <f t="shared" si="135"/>
        <v>RS-25</v>
      </c>
      <c r="AG559" s="26" t="str">
        <f t="shared" si="136"/>
        <v>35AR</v>
      </c>
    </row>
    <row r="560" ht="15.75" customHeight="1">
      <c r="A560" s="9" t="s">
        <v>753</v>
      </c>
      <c r="B560" s="7" t="s">
        <v>752</v>
      </c>
      <c r="C560" s="8">
        <f t="shared" si="133"/>
        <v>303</v>
      </c>
      <c r="D560" s="7">
        <v>1981.0</v>
      </c>
      <c r="E560" s="7" t="b">
        <v>1</v>
      </c>
      <c r="F560" s="7" t="b">
        <v>1</v>
      </c>
      <c r="G560" s="7" t="b">
        <v>0</v>
      </c>
      <c r="H560" s="7" t="b">
        <v>0</v>
      </c>
      <c r="I560" s="7" t="b">
        <v>0</v>
      </c>
      <c r="J560" s="9" t="b">
        <v>0</v>
      </c>
      <c r="K560" s="7">
        <v>3440.0</v>
      </c>
      <c r="L560" s="7">
        <v>2066.0</v>
      </c>
      <c r="M560" s="7">
        <v>450.0</v>
      </c>
      <c r="N560" s="7">
        <v>20.48</v>
      </c>
      <c r="O560" s="7">
        <v>0.990984</v>
      </c>
      <c r="P560" s="7">
        <v>0.994262</v>
      </c>
      <c r="Q560" s="10">
        <f t="shared" si="2"/>
        <v>61.24225843</v>
      </c>
      <c r="R560" s="11">
        <f t="shared" si="3"/>
        <v>2.590997096</v>
      </c>
      <c r="S560" s="12">
        <f t="shared" si="4"/>
        <v>4</v>
      </c>
      <c r="T560" s="8">
        <f t="shared" si="142"/>
        <v>5353</v>
      </c>
      <c r="U560" s="13" t="str">
        <f>T560/vlookup(A560,Max!$A$2:$AP$700,column(Max!$AP$2),false)</f>
        <v>#N/A</v>
      </c>
      <c r="V560" s="8">
        <f t="shared" si="6"/>
        <v>720.728653</v>
      </c>
      <c r="W560" s="14">
        <f t="shared" si="7"/>
        <v>3.375</v>
      </c>
      <c r="X560" s="14">
        <f t="shared" si="8"/>
        <v>2.177116443</v>
      </c>
      <c r="Y560" s="14">
        <f t="shared" si="9"/>
        <v>1</v>
      </c>
      <c r="Z560" s="14">
        <f t="shared" si="10"/>
        <v>1.010797401</v>
      </c>
      <c r="AA560" s="27">
        <f t="shared" si="11"/>
        <v>303</v>
      </c>
      <c r="AB560" s="15">
        <f t="shared" si="146"/>
        <v>2</v>
      </c>
      <c r="AC560" s="15" t="str">
        <f t="shared" si="40"/>
        <v/>
      </c>
      <c r="AD560" s="15" t="str">
        <f t="shared" si="41"/>
        <v/>
      </c>
      <c r="AE560" s="15" t="str">
        <f t="shared" si="145"/>
        <v>			@SUBCONFIG[50AR] { %cost = 303 }
		}</v>
      </c>
      <c r="AF560" s="15" t="str">
        <f t="shared" si="135"/>
        <v>RS-25</v>
      </c>
      <c r="AG560" s="15" t="str">
        <f t="shared" si="136"/>
        <v>50AR</v>
      </c>
    </row>
    <row r="561" ht="15.75" customHeight="1">
      <c r="A561" s="16" t="s">
        <v>754</v>
      </c>
      <c r="B561" s="16" t="s">
        <v>752</v>
      </c>
      <c r="C561" s="17">
        <f t="shared" si="133"/>
        <v>654</v>
      </c>
      <c r="D561" s="16">
        <v>1981.0</v>
      </c>
      <c r="E561" s="16" t="b">
        <v>1</v>
      </c>
      <c r="F561" s="16" t="b">
        <v>1</v>
      </c>
      <c r="G561" s="16" t="b">
        <v>0</v>
      </c>
      <c r="H561" s="16" t="b">
        <v>0</v>
      </c>
      <c r="I561" s="16" t="b">
        <v>0</v>
      </c>
      <c r="J561" s="18" t="b">
        <v>0</v>
      </c>
      <c r="K561" s="16">
        <v>3527.0</v>
      </c>
      <c r="L561" s="16">
        <v>2090.0</v>
      </c>
      <c r="M561" s="16">
        <v>455.2</v>
      </c>
      <c r="N561" s="16">
        <v>20.48</v>
      </c>
      <c r="O561" s="16">
        <v>0.990984</v>
      </c>
      <c r="P561" s="16">
        <v>0.994262</v>
      </c>
      <c r="Q561" s="19">
        <f t="shared" si="2"/>
        <v>60.42548565</v>
      </c>
      <c r="R561" s="20">
        <f t="shared" si="3"/>
        <v>2.729186603</v>
      </c>
      <c r="S561" s="21">
        <f t="shared" si="4"/>
        <v>4</v>
      </c>
      <c r="T561" s="17">
        <f t="shared" si="142"/>
        <v>5704</v>
      </c>
      <c r="U561" s="22">
        <f>T561/vlookup(A561,Max!$A$2:$AP$700,column(Max!$AP$2),false)</f>
        <v>1.541621622</v>
      </c>
      <c r="V561" s="17">
        <f t="shared" si="6"/>
        <v>731.3520152</v>
      </c>
      <c r="W561" s="23">
        <f t="shared" si="7"/>
        <v>3.544218357</v>
      </c>
      <c r="X561" s="23">
        <f t="shared" si="8"/>
        <v>2.177116443</v>
      </c>
      <c r="Y561" s="23">
        <f t="shared" si="9"/>
        <v>1</v>
      </c>
      <c r="Z561" s="23">
        <f t="shared" si="10"/>
        <v>1.010797401</v>
      </c>
      <c r="AA561" s="24">
        <f t="shared" si="11"/>
        <v>654</v>
      </c>
      <c r="AB561" s="25">
        <v>0.0</v>
      </c>
      <c r="AC561" s="26" t="str">
        <f t="shared" si="40"/>
        <v>{
$name$: $RS-25$,
$config$: $SSME$,
$cost$: 654
},</v>
      </c>
      <c r="AD561" s="26" t="str">
        <f t="shared" si="41"/>
        <v/>
      </c>
      <c r="AE561" s="26" t="str">
        <f t="shared" si="145"/>
        <v/>
      </c>
      <c r="AF561" s="26" t="str">
        <f t="shared" si="135"/>
        <v/>
      </c>
      <c r="AG561" s="26" t="str">
        <f t="shared" si="136"/>
        <v/>
      </c>
    </row>
    <row r="562" ht="15.75" customHeight="1">
      <c r="A562" s="9" t="s">
        <v>755</v>
      </c>
      <c r="B562" s="7" t="s">
        <v>752</v>
      </c>
      <c r="C562" s="8">
        <f t="shared" si="133"/>
        <v>2014</v>
      </c>
      <c r="D562" s="7">
        <v>1981.0</v>
      </c>
      <c r="E562" s="7" t="b">
        <v>1</v>
      </c>
      <c r="F562" s="7" t="b">
        <v>1</v>
      </c>
      <c r="G562" s="7" t="b">
        <v>0</v>
      </c>
      <c r="H562" s="7" t="b">
        <v>0</v>
      </c>
      <c r="I562" s="7" t="b">
        <v>0</v>
      </c>
      <c r="J562" s="9" t="b">
        <v>0</v>
      </c>
      <c r="K562" s="7">
        <v>4400.0</v>
      </c>
      <c r="L562" s="7">
        <v>2130.0</v>
      </c>
      <c r="M562" s="7">
        <v>464.0</v>
      </c>
      <c r="N562" s="7">
        <v>20.48</v>
      </c>
      <c r="O562" s="7">
        <v>0.990984</v>
      </c>
      <c r="P562" s="7">
        <v>0.994262</v>
      </c>
      <c r="Q562" s="10">
        <f t="shared" si="2"/>
        <v>49.36353471</v>
      </c>
      <c r="R562" s="11">
        <f t="shared" si="3"/>
        <v>3.316431925</v>
      </c>
      <c r="S562" s="12">
        <f t="shared" si="4"/>
        <v>4</v>
      </c>
      <c r="T562" s="8">
        <f t="shared" si="142"/>
        <v>7064</v>
      </c>
      <c r="U562" s="13" t="str">
        <f>T562/vlookup(A562,Max!$A$2:$AP$700,column(Max!$AP$2),false)</f>
        <v>#N/A</v>
      </c>
      <c r="V562" s="8">
        <f t="shared" si="6"/>
        <v>832.9605947</v>
      </c>
      <c r="W562" s="14">
        <f t="shared" si="7"/>
        <v>3.853605075</v>
      </c>
      <c r="X562" s="14">
        <f t="shared" si="8"/>
        <v>2.177116443</v>
      </c>
      <c r="Y562" s="14">
        <f t="shared" si="9"/>
        <v>1</v>
      </c>
      <c r="Z562" s="14">
        <f t="shared" si="10"/>
        <v>1.010797401</v>
      </c>
      <c r="AA562" s="27">
        <f t="shared" si="11"/>
        <v>2014</v>
      </c>
      <c r="AB562" s="15">
        <f t="shared" ref="AB562:AB574" si="147">if(iserror(find("$",A562)),1,2)</f>
        <v>2</v>
      </c>
      <c r="AC562" s="15" t="str">
        <f t="shared" si="40"/>
        <v/>
      </c>
      <c r="AD562" s="15" t="str">
        <f t="shared" si="41"/>
        <v/>
      </c>
      <c r="AE562" s="15" t="str">
        <f t="shared" si="145"/>
        <v>		@CONFIG[RS-25]
		{
			@SUBCONFIG[150AR] { %cost = 2014 }
		}</v>
      </c>
      <c r="AF562" s="15" t="str">
        <f t="shared" si="135"/>
        <v>RS-25</v>
      </c>
      <c r="AG562" s="15" t="str">
        <f t="shared" si="136"/>
        <v>150AR</v>
      </c>
    </row>
    <row r="563" ht="15.75" customHeight="1">
      <c r="A563" s="18" t="s">
        <v>756</v>
      </c>
      <c r="B563" s="16" t="s">
        <v>752</v>
      </c>
      <c r="C563" s="17">
        <f t="shared" si="133"/>
        <v>60</v>
      </c>
      <c r="D563" s="16">
        <v>1988.0</v>
      </c>
      <c r="E563" s="16" t="b">
        <v>1</v>
      </c>
      <c r="F563" s="16" t="b">
        <v>1</v>
      </c>
      <c r="G563" s="16" t="b">
        <v>0</v>
      </c>
      <c r="H563" s="16" t="b">
        <v>0</v>
      </c>
      <c r="I563" s="16" t="b">
        <v>0</v>
      </c>
      <c r="J563" s="18" t="b">
        <v>0</v>
      </c>
      <c r="K563" s="16">
        <v>3372.0</v>
      </c>
      <c r="L563" s="16">
        <v>2124.7</v>
      </c>
      <c r="M563" s="16">
        <v>443.3</v>
      </c>
      <c r="N563" s="16">
        <v>21.55</v>
      </c>
      <c r="O563" s="16">
        <v>0.996053</v>
      </c>
      <c r="P563" s="16">
        <v>0.999211</v>
      </c>
      <c r="Q563" s="19">
        <f t="shared" si="2"/>
        <v>64.25240307</v>
      </c>
      <c r="R563" s="20">
        <f t="shared" si="3"/>
        <v>2.405045418</v>
      </c>
      <c r="S563" s="21">
        <f t="shared" si="4"/>
        <v>4</v>
      </c>
      <c r="T563" s="17">
        <f t="shared" si="142"/>
        <v>5110</v>
      </c>
      <c r="U563" s="22" t="str">
        <f>T563/vlookup(A563,Max!$A$2:$AP$700,column(Max!$AP$2),false)</f>
        <v>#N/A</v>
      </c>
      <c r="V563" s="17">
        <f t="shared" si="6"/>
        <v>712.3540018</v>
      </c>
      <c r="W563" s="23">
        <f t="shared" si="7"/>
        <v>3.170698986</v>
      </c>
      <c r="X563" s="23">
        <f t="shared" si="8"/>
        <v>2.210634047</v>
      </c>
      <c r="Y563" s="23">
        <f t="shared" si="9"/>
        <v>1</v>
      </c>
      <c r="Z563" s="23">
        <f t="shared" si="10"/>
        <v>1.023422662</v>
      </c>
      <c r="AA563" s="24">
        <f t="shared" si="11"/>
        <v>60</v>
      </c>
      <c r="AB563" s="26">
        <f t="shared" si="147"/>
        <v>2</v>
      </c>
      <c r="AC563" s="26" t="str">
        <f t="shared" si="40"/>
        <v/>
      </c>
      <c r="AD563" s="26" t="str">
        <f t="shared" si="41"/>
        <v/>
      </c>
      <c r="AE563" s="26" t="str">
        <f t="shared" si="145"/>
        <v>		@CONFIG[RS-25A]
		{
			@SUBCONFIG[35AR] { %cost = 60 }</v>
      </c>
      <c r="AF563" s="26" t="str">
        <f t="shared" si="135"/>
        <v>RS-25A</v>
      </c>
      <c r="AG563" s="26" t="str">
        <f t="shared" si="136"/>
        <v>35AR</v>
      </c>
    </row>
    <row r="564" ht="15.75" customHeight="1">
      <c r="A564" s="9" t="s">
        <v>757</v>
      </c>
      <c r="B564" s="7" t="s">
        <v>752</v>
      </c>
      <c r="C564" s="8">
        <f t="shared" si="133"/>
        <v>366</v>
      </c>
      <c r="D564" s="7">
        <v>1988.0</v>
      </c>
      <c r="E564" s="7" t="b">
        <v>1</v>
      </c>
      <c r="F564" s="7" t="b">
        <v>1</v>
      </c>
      <c r="G564" s="7" t="b">
        <v>0</v>
      </c>
      <c r="H564" s="7" t="b">
        <v>0</v>
      </c>
      <c r="I564" s="7" t="b">
        <v>0</v>
      </c>
      <c r="J564" s="9" t="b">
        <v>0</v>
      </c>
      <c r="K564" s="7">
        <v>3440.0</v>
      </c>
      <c r="L564" s="7">
        <v>2148.7</v>
      </c>
      <c r="M564" s="7">
        <v>448.3</v>
      </c>
      <c r="N564" s="7">
        <v>21.55</v>
      </c>
      <c r="O564" s="7">
        <v>0.996053</v>
      </c>
      <c r="P564" s="7">
        <v>0.999211</v>
      </c>
      <c r="Q564" s="10">
        <f t="shared" si="2"/>
        <v>63.69372734</v>
      </c>
      <c r="R564" s="11">
        <f t="shared" si="3"/>
        <v>2.520593847</v>
      </c>
      <c r="S564" s="12">
        <f t="shared" si="4"/>
        <v>4</v>
      </c>
      <c r="T564" s="8">
        <f t="shared" si="142"/>
        <v>5416</v>
      </c>
      <c r="U564" s="13" t="str">
        <f>T564/vlookup(A564,Max!$A$2:$AP$700,column(Max!$AP$2),false)</f>
        <v>#N/A</v>
      </c>
      <c r="V564" s="8">
        <f t="shared" si="6"/>
        <v>720.728653</v>
      </c>
      <c r="W564" s="14">
        <f t="shared" si="7"/>
        <v>3.321738047</v>
      </c>
      <c r="X564" s="14">
        <f t="shared" si="8"/>
        <v>2.210634047</v>
      </c>
      <c r="Y564" s="14">
        <f t="shared" si="9"/>
        <v>1</v>
      </c>
      <c r="Z564" s="14">
        <f t="shared" si="10"/>
        <v>1.023422662</v>
      </c>
      <c r="AA564" s="27">
        <f t="shared" si="11"/>
        <v>366</v>
      </c>
      <c r="AB564" s="15">
        <f t="shared" si="147"/>
        <v>2</v>
      </c>
      <c r="AC564" s="15" t="str">
        <f t="shared" si="40"/>
        <v/>
      </c>
      <c r="AD564" s="15" t="str">
        <f t="shared" si="41"/>
        <v/>
      </c>
      <c r="AE564" s="15" t="str">
        <f t="shared" si="145"/>
        <v>			@SUBCONFIG[50AR] { %cost = 366 }
		}</v>
      </c>
      <c r="AF564" s="15" t="str">
        <f t="shared" si="135"/>
        <v>RS-25A</v>
      </c>
      <c r="AG564" s="15" t="str">
        <f t="shared" si="136"/>
        <v>50AR</v>
      </c>
    </row>
    <row r="565" ht="15.75" customHeight="1">
      <c r="A565" s="16" t="s">
        <v>758</v>
      </c>
      <c r="B565" s="16" t="s">
        <v>752</v>
      </c>
      <c r="C565" s="17">
        <f t="shared" si="133"/>
        <v>721</v>
      </c>
      <c r="D565" s="16">
        <v>1988.0</v>
      </c>
      <c r="E565" s="16" t="b">
        <v>1</v>
      </c>
      <c r="F565" s="16" t="b">
        <v>1</v>
      </c>
      <c r="G565" s="16" t="b">
        <v>0</v>
      </c>
      <c r="H565" s="16" t="b">
        <v>0</v>
      </c>
      <c r="I565" s="16" t="b">
        <v>0</v>
      </c>
      <c r="J565" s="18" t="b">
        <v>0</v>
      </c>
      <c r="K565" s="16">
        <v>3527.0</v>
      </c>
      <c r="L565" s="16">
        <v>2173.6</v>
      </c>
      <c r="M565" s="16">
        <v>453.5</v>
      </c>
      <c r="N565" s="16">
        <v>21.55</v>
      </c>
      <c r="O565" s="16">
        <v>0.996053</v>
      </c>
      <c r="P565" s="16">
        <v>0.999211</v>
      </c>
      <c r="Q565" s="19">
        <f t="shared" si="2"/>
        <v>62.84250508</v>
      </c>
      <c r="R565" s="20">
        <f t="shared" si="3"/>
        <v>2.655042326</v>
      </c>
      <c r="S565" s="21">
        <f t="shared" si="4"/>
        <v>4</v>
      </c>
      <c r="T565" s="17">
        <f t="shared" si="142"/>
        <v>5771</v>
      </c>
      <c r="U565" s="22">
        <f>T565/vlookup(A565,Max!$A$2:$AP$700,column(Max!$AP$2),false)</f>
        <v>1.518684211</v>
      </c>
      <c r="V565" s="17">
        <f t="shared" si="6"/>
        <v>731.3520152</v>
      </c>
      <c r="W565" s="23">
        <f t="shared" si="7"/>
        <v>3.487830873</v>
      </c>
      <c r="X565" s="23">
        <f t="shared" si="8"/>
        <v>2.210634047</v>
      </c>
      <c r="Y565" s="23">
        <f t="shared" si="9"/>
        <v>1</v>
      </c>
      <c r="Z565" s="23">
        <f t="shared" si="10"/>
        <v>1.023422662</v>
      </c>
      <c r="AA565" s="24">
        <f t="shared" si="11"/>
        <v>721</v>
      </c>
      <c r="AB565" s="26">
        <f t="shared" si="147"/>
        <v>1</v>
      </c>
      <c r="AC565" s="26" t="str">
        <f t="shared" si="40"/>
        <v/>
      </c>
      <c r="AD565" s="26" t="str">
        <f t="shared" si="41"/>
        <v>$RS-25A$: 721,</v>
      </c>
      <c r="AE565" s="26" t="str">
        <f t="shared" si="145"/>
        <v/>
      </c>
      <c r="AF565" s="26" t="str">
        <f t="shared" si="135"/>
        <v/>
      </c>
      <c r="AG565" s="26" t="str">
        <f t="shared" si="136"/>
        <v/>
      </c>
    </row>
    <row r="566" ht="15.75" customHeight="1">
      <c r="A566" s="9" t="s">
        <v>759</v>
      </c>
      <c r="B566" s="7" t="s">
        <v>752</v>
      </c>
      <c r="C566" s="8">
        <f t="shared" si="133"/>
        <v>2095</v>
      </c>
      <c r="D566" s="7">
        <v>1988.0</v>
      </c>
      <c r="E566" s="7" t="b">
        <v>1</v>
      </c>
      <c r="F566" s="7" t="b">
        <v>1</v>
      </c>
      <c r="G566" s="7" t="b">
        <v>0</v>
      </c>
      <c r="H566" s="7" t="b">
        <v>0</v>
      </c>
      <c r="I566" s="7" t="b">
        <v>0</v>
      </c>
      <c r="J566" s="9" t="b">
        <v>0</v>
      </c>
      <c r="K566" s="7">
        <v>4400.0</v>
      </c>
      <c r="L566" s="7">
        <v>2215.8</v>
      </c>
      <c r="M566" s="7">
        <v>462.3</v>
      </c>
      <c r="N566" s="7">
        <v>21.55</v>
      </c>
      <c r="O566" s="7">
        <v>0.996053</v>
      </c>
      <c r="P566" s="7">
        <v>0.999211</v>
      </c>
      <c r="Q566" s="10">
        <f t="shared" si="2"/>
        <v>51.35198132</v>
      </c>
      <c r="R566" s="11">
        <f t="shared" si="3"/>
        <v>3.224569004</v>
      </c>
      <c r="S566" s="12">
        <f t="shared" si="4"/>
        <v>4</v>
      </c>
      <c r="T566" s="8">
        <f t="shared" si="142"/>
        <v>7145</v>
      </c>
      <c r="U566" s="13" t="str">
        <f>T566/vlookup(A566,Max!$A$2:$AP$700,column(Max!$AP$2),false)</f>
        <v>#N/A</v>
      </c>
      <c r="V566" s="8">
        <f t="shared" si="6"/>
        <v>832.9605947</v>
      </c>
      <c r="W566" s="14">
        <f t="shared" si="7"/>
        <v>3.791470948</v>
      </c>
      <c r="X566" s="14">
        <f t="shared" si="8"/>
        <v>2.210634047</v>
      </c>
      <c r="Y566" s="14">
        <f t="shared" si="9"/>
        <v>1</v>
      </c>
      <c r="Z566" s="14">
        <f t="shared" si="10"/>
        <v>1.023422662</v>
      </c>
      <c r="AA566" s="27">
        <f t="shared" si="11"/>
        <v>2095</v>
      </c>
      <c r="AB566" s="15">
        <f t="shared" si="147"/>
        <v>2</v>
      </c>
      <c r="AC566" s="15" t="str">
        <f t="shared" si="40"/>
        <v/>
      </c>
      <c r="AD566" s="15" t="str">
        <f t="shared" si="41"/>
        <v/>
      </c>
      <c r="AE566" s="15" t="str">
        <f t="shared" si="145"/>
        <v>		@CONFIG[RS-25A]
		{
			@SUBCONFIG[150AR] { %cost = 2095 }
		}</v>
      </c>
      <c r="AF566" s="15" t="str">
        <f t="shared" si="135"/>
        <v>RS-25A</v>
      </c>
      <c r="AG566" s="15" t="str">
        <f t="shared" si="136"/>
        <v>150AR</v>
      </c>
    </row>
    <row r="567" ht="15.75" customHeight="1">
      <c r="A567" s="18" t="s">
        <v>760</v>
      </c>
      <c r="B567" s="16" t="s">
        <v>752</v>
      </c>
      <c r="C567" s="17">
        <f t="shared" si="133"/>
        <v>54</v>
      </c>
      <c r="D567" s="16">
        <v>1997.0</v>
      </c>
      <c r="E567" s="16" t="b">
        <v>1</v>
      </c>
      <c r="F567" s="16" t="b">
        <v>1</v>
      </c>
      <c r="G567" s="16" t="b">
        <v>0</v>
      </c>
      <c r="H567" s="16" t="b">
        <v>0</v>
      </c>
      <c r="I567" s="16" t="b">
        <v>0</v>
      </c>
      <c r="J567" s="18" t="b">
        <v>0</v>
      </c>
      <c r="K567" s="16">
        <v>3589.0</v>
      </c>
      <c r="L567" s="16">
        <v>2227.2</v>
      </c>
      <c r="M567" s="16">
        <v>442.2</v>
      </c>
      <c r="N567" s="16">
        <v>20.74</v>
      </c>
      <c r="O567" s="16">
        <v>0.996939</v>
      </c>
      <c r="P567" s="16">
        <v>0.992857</v>
      </c>
      <c r="Q567" s="19">
        <f t="shared" si="2"/>
        <v>63.2797978</v>
      </c>
      <c r="R567" s="20">
        <f t="shared" si="3"/>
        <v>2.291666667</v>
      </c>
      <c r="S567" s="21">
        <f t="shared" si="4"/>
        <v>4</v>
      </c>
      <c r="T567" s="17">
        <f t="shared" si="142"/>
        <v>5104</v>
      </c>
      <c r="U567" s="22" t="str">
        <f>T567/vlookup(A567,Max!$A$2:$AP$700,column(Max!$AP$2),false)</f>
        <v>#N/A</v>
      </c>
      <c r="V567" s="17">
        <f t="shared" si="6"/>
        <v>738.8619639</v>
      </c>
      <c r="W567" s="23">
        <f t="shared" si="7"/>
        <v>3.138561055</v>
      </c>
      <c r="X567" s="23">
        <f t="shared" si="8"/>
        <v>2.185371614</v>
      </c>
      <c r="Y567" s="23">
        <f t="shared" si="9"/>
        <v>1</v>
      </c>
      <c r="Z567" s="23">
        <f t="shared" si="10"/>
        <v>1.007230269</v>
      </c>
      <c r="AA567" s="24">
        <f t="shared" si="11"/>
        <v>54</v>
      </c>
      <c r="AB567" s="26">
        <f t="shared" si="147"/>
        <v>2</v>
      </c>
      <c r="AC567" s="26" t="str">
        <f t="shared" si="40"/>
        <v/>
      </c>
      <c r="AD567" s="26" t="str">
        <f t="shared" si="41"/>
        <v/>
      </c>
      <c r="AE567" s="26" t="str">
        <f t="shared" si="145"/>
        <v>		@CONFIG[RS-25C]
		{
			@SUBCONFIG[35AR] { %cost = 54 }</v>
      </c>
      <c r="AF567" s="26" t="str">
        <f t="shared" si="135"/>
        <v>RS-25C</v>
      </c>
      <c r="AG567" s="26" t="str">
        <f t="shared" si="136"/>
        <v>35AR</v>
      </c>
    </row>
    <row r="568" ht="15.75" customHeight="1">
      <c r="A568" s="9" t="s">
        <v>761</v>
      </c>
      <c r="B568" s="7" t="s">
        <v>752</v>
      </c>
      <c r="C568" s="8">
        <f t="shared" si="133"/>
        <v>357</v>
      </c>
      <c r="D568" s="7">
        <v>1997.0</v>
      </c>
      <c r="E568" s="7" t="b">
        <v>1</v>
      </c>
      <c r="F568" s="7" t="b">
        <v>1</v>
      </c>
      <c r="G568" s="7" t="b">
        <v>0</v>
      </c>
      <c r="H568" s="7" t="b">
        <v>0</v>
      </c>
      <c r="I568" s="7" t="b">
        <v>0</v>
      </c>
      <c r="J568" s="9" t="b">
        <v>0</v>
      </c>
      <c r="K568" s="7">
        <v>3664.0</v>
      </c>
      <c r="L568" s="7">
        <v>2251.9</v>
      </c>
      <c r="M568" s="7">
        <v>447.1</v>
      </c>
      <c r="N568" s="7">
        <v>20.74</v>
      </c>
      <c r="O568" s="7">
        <v>0.996939</v>
      </c>
      <c r="P568" s="7">
        <v>0.992857</v>
      </c>
      <c r="Q568" s="10">
        <f t="shared" si="2"/>
        <v>62.67191412</v>
      </c>
      <c r="R568" s="11">
        <f t="shared" si="3"/>
        <v>2.401083529</v>
      </c>
      <c r="S568" s="12">
        <f t="shared" si="4"/>
        <v>4</v>
      </c>
      <c r="T568" s="8">
        <f t="shared" si="142"/>
        <v>5407</v>
      </c>
      <c r="U568" s="13" t="str">
        <f>T568/vlookup(A568,Max!$A$2:$AP$700,column(Max!$AP$2),false)</f>
        <v>#N/A</v>
      </c>
      <c r="V568" s="8">
        <f t="shared" si="6"/>
        <v>747.8810039</v>
      </c>
      <c r="W568" s="14">
        <f t="shared" si="7"/>
        <v>3.284733195</v>
      </c>
      <c r="X568" s="14">
        <f t="shared" si="8"/>
        <v>2.185371614</v>
      </c>
      <c r="Y568" s="14">
        <f t="shared" si="9"/>
        <v>1</v>
      </c>
      <c r="Z568" s="14">
        <f t="shared" si="10"/>
        <v>1.007230269</v>
      </c>
      <c r="AA568" s="27">
        <f t="shared" si="11"/>
        <v>357</v>
      </c>
      <c r="AB568" s="15">
        <f t="shared" si="147"/>
        <v>2</v>
      </c>
      <c r="AC568" s="15" t="str">
        <f t="shared" si="40"/>
        <v/>
      </c>
      <c r="AD568" s="15" t="str">
        <f t="shared" si="41"/>
        <v/>
      </c>
      <c r="AE568" s="15" t="str">
        <f t="shared" si="145"/>
        <v>			@SUBCONFIG[50AR] { %cost = 357 }
		}</v>
      </c>
      <c r="AF568" s="15" t="str">
        <f t="shared" si="135"/>
        <v>RS-25C</v>
      </c>
      <c r="AG568" s="15" t="str">
        <f t="shared" si="136"/>
        <v>50AR</v>
      </c>
    </row>
    <row r="569" ht="15.75" customHeight="1">
      <c r="A569" s="16" t="s">
        <v>762</v>
      </c>
      <c r="B569" s="16" t="s">
        <v>752</v>
      </c>
      <c r="C569" s="17">
        <f t="shared" si="133"/>
        <v>708</v>
      </c>
      <c r="D569" s="36">
        <v>1997.0</v>
      </c>
      <c r="E569" s="16" t="b">
        <v>1</v>
      </c>
      <c r="F569" s="16" t="b">
        <v>1</v>
      </c>
      <c r="G569" s="16" t="b">
        <v>0</v>
      </c>
      <c r="H569" s="16" t="b">
        <v>0</v>
      </c>
      <c r="I569" s="16" t="b">
        <v>0</v>
      </c>
      <c r="J569" s="18" t="b">
        <v>0</v>
      </c>
      <c r="K569" s="16">
        <v>3753.0</v>
      </c>
      <c r="L569" s="16">
        <v>2278.1</v>
      </c>
      <c r="M569" s="16">
        <v>452.3</v>
      </c>
      <c r="N569" s="16">
        <v>20.74</v>
      </c>
      <c r="O569" s="16">
        <v>0.996939</v>
      </c>
      <c r="P569" s="16">
        <v>0.992857</v>
      </c>
      <c r="Q569" s="19">
        <f t="shared" si="2"/>
        <v>61.8975619</v>
      </c>
      <c r="R569" s="20">
        <f t="shared" si="3"/>
        <v>2.527544884</v>
      </c>
      <c r="S569" s="21">
        <f t="shared" si="4"/>
        <v>4</v>
      </c>
      <c r="T569" s="17">
        <f t="shared" si="142"/>
        <v>5758</v>
      </c>
      <c r="U569" s="22">
        <f>T569/vlookup(A569,Max!$A$2:$AP$700,column(Max!$AP$2),false)</f>
        <v>1.693529412</v>
      </c>
      <c r="V569" s="17">
        <f t="shared" si="6"/>
        <v>758.4931164</v>
      </c>
      <c r="W569" s="23">
        <f t="shared" si="7"/>
        <v>3.448657097</v>
      </c>
      <c r="X569" s="23">
        <f t="shared" si="8"/>
        <v>2.185371614</v>
      </c>
      <c r="Y569" s="23">
        <f t="shared" si="9"/>
        <v>1</v>
      </c>
      <c r="Z569" s="23">
        <f t="shared" si="10"/>
        <v>1.007230269</v>
      </c>
      <c r="AA569" s="24">
        <f t="shared" si="11"/>
        <v>708</v>
      </c>
      <c r="AB569" s="26">
        <f t="shared" si="147"/>
        <v>1</v>
      </c>
      <c r="AC569" s="26" t="str">
        <f t="shared" si="40"/>
        <v/>
      </c>
      <c r="AD569" s="26" t="str">
        <f t="shared" si="41"/>
        <v>$RS-25C$: 708,</v>
      </c>
      <c r="AE569" s="26" t="str">
        <f t="shared" si="145"/>
        <v/>
      </c>
      <c r="AF569" s="26" t="str">
        <f t="shared" si="135"/>
        <v/>
      </c>
      <c r="AG569" s="26" t="str">
        <f t="shared" si="136"/>
        <v/>
      </c>
    </row>
    <row r="570" ht="15.75" customHeight="1">
      <c r="A570" s="9" t="s">
        <v>763</v>
      </c>
      <c r="B570" s="7" t="s">
        <v>752</v>
      </c>
      <c r="C570" s="8">
        <f t="shared" si="133"/>
        <v>2076</v>
      </c>
      <c r="D570" s="37">
        <v>1997.0</v>
      </c>
      <c r="E570" s="7" t="b">
        <v>1</v>
      </c>
      <c r="F570" s="7" t="b">
        <v>1</v>
      </c>
      <c r="G570" s="7" t="b">
        <v>0</v>
      </c>
      <c r="H570" s="7" t="b">
        <v>0</v>
      </c>
      <c r="I570" s="7" t="b">
        <v>0</v>
      </c>
      <c r="J570" s="9" t="b">
        <v>0</v>
      </c>
      <c r="K570" s="7">
        <v>4686.0</v>
      </c>
      <c r="L570" s="7">
        <v>2321.9</v>
      </c>
      <c r="M570" s="7">
        <v>461.0</v>
      </c>
      <c r="N570" s="7">
        <v>20.74</v>
      </c>
      <c r="O570" s="7">
        <v>0.996939</v>
      </c>
      <c r="P570" s="7">
        <v>0.992857</v>
      </c>
      <c r="Q570" s="10">
        <f t="shared" si="2"/>
        <v>50.52665531</v>
      </c>
      <c r="R570" s="11">
        <f t="shared" si="3"/>
        <v>3.069038288</v>
      </c>
      <c r="S570" s="12">
        <f t="shared" si="4"/>
        <v>4</v>
      </c>
      <c r="T570" s="8">
        <f t="shared" si="142"/>
        <v>7126</v>
      </c>
      <c r="U570" s="13" t="str">
        <f>T570/vlookup(A570,Max!$A$2:$AP$700,column(Max!$AP$2),false)</f>
        <v>#N/A</v>
      </c>
      <c r="V570" s="8">
        <f t="shared" si="6"/>
        <v>864.5408102</v>
      </c>
      <c r="W570" s="14">
        <f t="shared" si="7"/>
        <v>3.744738719</v>
      </c>
      <c r="X570" s="14">
        <f t="shared" si="8"/>
        <v>2.185371614</v>
      </c>
      <c r="Y570" s="14">
        <f t="shared" si="9"/>
        <v>1</v>
      </c>
      <c r="Z570" s="14">
        <f t="shared" si="10"/>
        <v>1.007230269</v>
      </c>
      <c r="AA570" s="27">
        <f t="shared" si="11"/>
        <v>2076</v>
      </c>
      <c r="AB570" s="15">
        <f t="shared" si="147"/>
        <v>2</v>
      </c>
      <c r="AC570" s="15" t="str">
        <f t="shared" si="40"/>
        <v/>
      </c>
      <c r="AD570" s="15" t="str">
        <f t="shared" si="41"/>
        <v/>
      </c>
      <c r="AE570" s="15" t="str">
        <f t="shared" si="145"/>
        <v>		@CONFIG[RS-25C]
		{
			@SUBCONFIG[150AR] { %cost = 2076 }
		}</v>
      </c>
      <c r="AF570" s="15" t="str">
        <f t="shared" si="135"/>
        <v>RS-25C</v>
      </c>
      <c r="AG570" s="15" t="str">
        <f t="shared" si="136"/>
        <v>150AR</v>
      </c>
    </row>
    <row r="571" ht="15.75" customHeight="1">
      <c r="A571" s="18" t="s">
        <v>764</v>
      </c>
      <c r="B571" s="16" t="s">
        <v>752</v>
      </c>
      <c r="C571" s="17">
        <f t="shared" si="133"/>
        <v>147</v>
      </c>
      <c r="D571" s="36">
        <v>2001.0</v>
      </c>
      <c r="E571" s="16" t="b">
        <v>1</v>
      </c>
      <c r="F571" s="16" t="b">
        <v>1</v>
      </c>
      <c r="G571" s="16" t="b">
        <v>0</v>
      </c>
      <c r="H571" s="16" t="b">
        <v>0</v>
      </c>
      <c r="I571" s="16" t="b">
        <v>0</v>
      </c>
      <c r="J571" s="18" t="b">
        <v>0</v>
      </c>
      <c r="K571" s="16">
        <v>3589.0</v>
      </c>
      <c r="L571" s="16">
        <v>2268.1</v>
      </c>
      <c r="M571" s="16">
        <v>442.2</v>
      </c>
      <c r="N571" s="16">
        <v>21.02</v>
      </c>
      <c r="O571" s="16">
        <v>0.998404</v>
      </c>
      <c r="P571" s="16">
        <v>0.998404</v>
      </c>
      <c r="Q571" s="19">
        <f t="shared" si="2"/>
        <v>64.44185946</v>
      </c>
      <c r="R571" s="20">
        <f t="shared" si="3"/>
        <v>2.291345179</v>
      </c>
      <c r="S571" s="21">
        <f t="shared" si="4"/>
        <v>4</v>
      </c>
      <c r="T571" s="17">
        <f t="shared" si="142"/>
        <v>5197</v>
      </c>
      <c r="U571" s="22" t="str">
        <f>T571/vlookup(A571,Max!$A$2:$AP$700,column(Max!$AP$2),false)</f>
        <v>#N/A</v>
      </c>
      <c r="V571" s="17">
        <f t="shared" si="6"/>
        <v>738.8619639</v>
      </c>
      <c r="W571" s="23">
        <f t="shared" si="7"/>
        <v>3.138561055</v>
      </c>
      <c r="X571" s="23">
        <f t="shared" si="8"/>
        <v>2.19418118</v>
      </c>
      <c r="Y571" s="23">
        <f t="shared" si="9"/>
        <v>1</v>
      </c>
      <c r="Z571" s="23">
        <f t="shared" si="10"/>
        <v>1.021357528</v>
      </c>
      <c r="AA571" s="24">
        <f t="shared" si="11"/>
        <v>147</v>
      </c>
      <c r="AB571" s="26">
        <f t="shared" si="147"/>
        <v>2</v>
      </c>
      <c r="AC571" s="26" t="str">
        <f t="shared" si="40"/>
        <v/>
      </c>
      <c r="AD571" s="26" t="str">
        <f t="shared" si="41"/>
        <v/>
      </c>
      <c r="AE571" s="26" t="str">
        <f t="shared" si="145"/>
        <v>		@CONFIG[RS-25D-E]
		{
			@SUBCONFIG[35AR] { %cost = 147 }</v>
      </c>
      <c r="AF571" s="26" t="str">
        <f t="shared" si="135"/>
        <v>RS-25D-E</v>
      </c>
      <c r="AG571" s="26" t="str">
        <f t="shared" si="136"/>
        <v>35AR</v>
      </c>
    </row>
    <row r="572" ht="15.75" customHeight="1">
      <c r="A572" s="9" t="s">
        <v>765</v>
      </c>
      <c r="B572" s="7" t="s">
        <v>752</v>
      </c>
      <c r="C572" s="8">
        <f t="shared" si="133"/>
        <v>455</v>
      </c>
      <c r="D572" s="37">
        <v>2001.0</v>
      </c>
      <c r="E572" s="7" t="b">
        <v>1</v>
      </c>
      <c r="F572" s="7" t="b">
        <v>1</v>
      </c>
      <c r="G572" s="7" t="b">
        <v>0</v>
      </c>
      <c r="H572" s="7" t="b">
        <v>0</v>
      </c>
      <c r="I572" s="7" t="b">
        <v>0</v>
      </c>
      <c r="J572" s="9" t="b">
        <v>0</v>
      </c>
      <c r="K572" s="7">
        <v>3664.0</v>
      </c>
      <c r="L572" s="7">
        <v>2293.2</v>
      </c>
      <c r="M572" s="7">
        <v>447.1</v>
      </c>
      <c r="N572" s="7">
        <v>21.02</v>
      </c>
      <c r="O572" s="7">
        <v>0.998404</v>
      </c>
      <c r="P572" s="7">
        <v>0.998404</v>
      </c>
      <c r="Q572" s="10">
        <f t="shared" si="2"/>
        <v>63.82132131</v>
      </c>
      <c r="R572" s="11">
        <f t="shared" si="3"/>
        <v>2.400575615</v>
      </c>
      <c r="S572" s="12">
        <f t="shared" si="4"/>
        <v>4</v>
      </c>
      <c r="T572" s="8">
        <f t="shared" si="142"/>
        <v>5505</v>
      </c>
      <c r="U572" s="13" t="str">
        <f>T572/vlookup(A572,Max!$A$2:$AP$700,column(Max!$AP$2),false)</f>
        <v>#N/A</v>
      </c>
      <c r="V572" s="8">
        <f t="shared" si="6"/>
        <v>747.8810039</v>
      </c>
      <c r="W572" s="14">
        <f t="shared" si="7"/>
        <v>3.284733195</v>
      </c>
      <c r="X572" s="14">
        <f t="shared" si="8"/>
        <v>2.19418118</v>
      </c>
      <c r="Y572" s="14">
        <f t="shared" si="9"/>
        <v>1</v>
      </c>
      <c r="Z572" s="14">
        <f t="shared" si="10"/>
        <v>1.021357528</v>
      </c>
      <c r="AA572" s="27">
        <f t="shared" si="11"/>
        <v>455</v>
      </c>
      <c r="AB572" s="15">
        <f t="shared" si="147"/>
        <v>2</v>
      </c>
      <c r="AC572" s="15" t="str">
        <f t="shared" si="40"/>
        <v/>
      </c>
      <c r="AD572" s="15" t="str">
        <f t="shared" si="41"/>
        <v/>
      </c>
      <c r="AE572" s="15" t="str">
        <f t="shared" si="145"/>
        <v>			@SUBCONFIG[50AR] { %cost = 455 }
		}</v>
      </c>
      <c r="AF572" s="15" t="str">
        <f t="shared" si="135"/>
        <v>RS-25D-E</v>
      </c>
      <c r="AG572" s="15" t="str">
        <f t="shared" si="136"/>
        <v>50AR</v>
      </c>
    </row>
    <row r="573" ht="15.75" customHeight="1">
      <c r="A573" s="18" t="s">
        <v>766</v>
      </c>
      <c r="B573" s="16" t="s">
        <v>752</v>
      </c>
      <c r="C573" s="17">
        <f t="shared" si="133"/>
        <v>812</v>
      </c>
      <c r="D573" s="16">
        <v>2001.0</v>
      </c>
      <c r="E573" s="16" t="b">
        <v>1</v>
      </c>
      <c r="F573" s="16" t="b">
        <v>1</v>
      </c>
      <c r="G573" s="16" t="b">
        <v>0</v>
      </c>
      <c r="H573" s="16" t="b">
        <v>0</v>
      </c>
      <c r="I573" s="16" t="b">
        <v>0</v>
      </c>
      <c r="J573" s="18" t="b">
        <v>0</v>
      </c>
      <c r="K573" s="16">
        <v>3753.0</v>
      </c>
      <c r="L573" s="16">
        <v>2319.9</v>
      </c>
      <c r="M573" s="16">
        <v>452.3</v>
      </c>
      <c r="N573" s="16">
        <v>21.02</v>
      </c>
      <c r="O573" s="16">
        <v>0.998404</v>
      </c>
      <c r="P573" s="16">
        <v>0.998404</v>
      </c>
      <c r="Q573" s="19">
        <f t="shared" si="2"/>
        <v>63.03329698</v>
      </c>
      <c r="R573" s="20">
        <f t="shared" si="3"/>
        <v>2.526833053</v>
      </c>
      <c r="S573" s="21">
        <f t="shared" si="4"/>
        <v>4</v>
      </c>
      <c r="T573" s="17">
        <f t="shared" si="142"/>
        <v>5862</v>
      </c>
      <c r="U573" s="22" t="str">
        <f>T573/vlookup(A573,Max!$A$2:$AP$700,column(Max!$AP$2),false)</f>
        <v>#N/A</v>
      </c>
      <c r="V573" s="17">
        <f t="shared" si="6"/>
        <v>758.4931164</v>
      </c>
      <c r="W573" s="23">
        <f t="shared" si="7"/>
        <v>3.448657097</v>
      </c>
      <c r="X573" s="23">
        <f t="shared" si="8"/>
        <v>2.19418118</v>
      </c>
      <c r="Y573" s="23">
        <f t="shared" si="9"/>
        <v>1</v>
      </c>
      <c r="Z573" s="23">
        <f t="shared" si="10"/>
        <v>1.021357528</v>
      </c>
      <c r="AA573" s="24">
        <f t="shared" si="11"/>
        <v>812</v>
      </c>
      <c r="AB573" s="26">
        <f t="shared" si="147"/>
        <v>1</v>
      </c>
      <c r="AC573" s="26" t="str">
        <f t="shared" si="40"/>
        <v/>
      </c>
      <c r="AD573" s="26" t="str">
        <f t="shared" si="41"/>
        <v>$RS-25D-E$: 812,</v>
      </c>
      <c r="AE573" s="26" t="str">
        <f t="shared" si="145"/>
        <v/>
      </c>
      <c r="AF573" s="26" t="str">
        <f t="shared" si="135"/>
        <v/>
      </c>
      <c r="AG573" s="26" t="str">
        <f t="shared" si="136"/>
        <v/>
      </c>
    </row>
    <row r="574" ht="15.75" customHeight="1">
      <c r="A574" s="9" t="s">
        <v>767</v>
      </c>
      <c r="B574" s="7" t="s">
        <v>752</v>
      </c>
      <c r="C574" s="8">
        <f t="shared" si="133"/>
        <v>2205</v>
      </c>
      <c r="D574" s="7">
        <v>2001.0</v>
      </c>
      <c r="E574" s="7" t="b">
        <v>1</v>
      </c>
      <c r="F574" s="7" t="b">
        <v>1</v>
      </c>
      <c r="G574" s="7" t="b">
        <v>0</v>
      </c>
      <c r="H574" s="7" t="b">
        <v>0</v>
      </c>
      <c r="I574" s="7" t="b">
        <v>0</v>
      </c>
      <c r="J574" s="9" t="b">
        <v>0</v>
      </c>
      <c r="K574" s="7">
        <v>4686.0</v>
      </c>
      <c r="L574" s="7">
        <v>2364.5</v>
      </c>
      <c r="M574" s="7">
        <v>461.0</v>
      </c>
      <c r="N574" s="7">
        <v>21.02</v>
      </c>
      <c r="O574" s="7">
        <v>0.998404</v>
      </c>
      <c r="P574" s="7">
        <v>0.998404</v>
      </c>
      <c r="Q574" s="10">
        <f t="shared" si="2"/>
        <v>51.45367005</v>
      </c>
      <c r="R574" s="11">
        <f t="shared" si="3"/>
        <v>3.068301967</v>
      </c>
      <c r="S574" s="12">
        <f t="shared" si="4"/>
        <v>4</v>
      </c>
      <c r="T574" s="8">
        <f t="shared" si="142"/>
        <v>7255</v>
      </c>
      <c r="U574" s="13" t="str">
        <f>T574/vlookup(A574,Max!$A$2:$AP$700,column(Max!$AP$2),false)</f>
        <v>#N/A</v>
      </c>
      <c r="V574" s="8">
        <f t="shared" si="6"/>
        <v>864.5408102</v>
      </c>
      <c r="W574" s="14">
        <f t="shared" si="7"/>
        <v>3.744738719</v>
      </c>
      <c r="X574" s="14">
        <f t="shared" si="8"/>
        <v>2.19418118</v>
      </c>
      <c r="Y574" s="14">
        <f t="shared" si="9"/>
        <v>1</v>
      </c>
      <c r="Z574" s="14">
        <f t="shared" si="10"/>
        <v>1.021357528</v>
      </c>
      <c r="AA574" s="27">
        <f t="shared" si="11"/>
        <v>2205</v>
      </c>
      <c r="AB574" s="15">
        <f t="shared" si="147"/>
        <v>2</v>
      </c>
      <c r="AC574" s="15" t="str">
        <f t="shared" si="40"/>
        <v/>
      </c>
      <c r="AD574" s="15" t="str">
        <f t="shared" si="41"/>
        <v/>
      </c>
      <c r="AE574" s="15" t="str">
        <f t="shared" si="145"/>
        <v>		@CONFIG[RS-25D-E]
		{
			@SUBCONFIG[150AR] { %cost = 2205 }
		}</v>
      </c>
      <c r="AF574" s="15" t="str">
        <f t="shared" si="135"/>
        <v>RS-25D-E</v>
      </c>
      <c r="AG574" s="15" t="str">
        <f t="shared" si="136"/>
        <v>150AR</v>
      </c>
    </row>
    <row r="575" ht="15.75" customHeight="1">
      <c r="A575" s="16" t="s">
        <v>768</v>
      </c>
      <c r="B575" s="16" t="s">
        <v>769</v>
      </c>
      <c r="C575" s="17">
        <f t="shared" si="133"/>
        <v>6875</v>
      </c>
      <c r="D575" s="18">
        <v>1990.0</v>
      </c>
      <c r="E575" s="16" t="b">
        <v>1</v>
      </c>
      <c r="F575" s="16" t="b">
        <v>1</v>
      </c>
      <c r="G575" s="16" t="b">
        <v>0</v>
      </c>
      <c r="H575" s="16" t="b">
        <v>0</v>
      </c>
      <c r="I575" s="16" t="b">
        <v>0</v>
      </c>
      <c r="J575" s="18" t="b">
        <v>0</v>
      </c>
      <c r="K575" s="16">
        <v>4203.0</v>
      </c>
      <c r="L575" s="16">
        <v>2130.0</v>
      </c>
      <c r="M575" s="16">
        <v>464.0</v>
      </c>
      <c r="N575" s="16">
        <v>20.48</v>
      </c>
      <c r="O575" s="16">
        <v>0.990984</v>
      </c>
      <c r="P575" s="16">
        <v>0.994262</v>
      </c>
      <c r="Q575" s="19">
        <f t="shared" si="2"/>
        <v>51.67726689</v>
      </c>
      <c r="R575" s="20">
        <f t="shared" si="3"/>
        <v>3.227699531</v>
      </c>
      <c r="S575" s="21">
        <f t="shared" si="4"/>
        <v>4</v>
      </c>
      <c r="T575" s="17">
        <f t="shared" si="142"/>
        <v>6875</v>
      </c>
      <c r="U575" s="22">
        <f>T575/vlookup(A575,Max!$A$2:$AP$700,column(Max!$AP$2),false)</f>
        <v>1.676829268</v>
      </c>
      <c r="V575" s="17">
        <f t="shared" si="6"/>
        <v>810.7546001</v>
      </c>
      <c r="W575" s="23">
        <f t="shared" si="7"/>
        <v>3.853605075</v>
      </c>
      <c r="X575" s="23">
        <f t="shared" si="8"/>
        <v>2.177116443</v>
      </c>
      <c r="Y575" s="23">
        <f t="shared" si="9"/>
        <v>1</v>
      </c>
      <c r="Z575" s="23">
        <f t="shared" si="10"/>
        <v>1.010797401</v>
      </c>
      <c r="AA575" s="26">
        <f t="shared" si="11"/>
        <v>0</v>
      </c>
      <c r="AB575" s="25">
        <v>0.0</v>
      </c>
      <c r="AC575" s="26" t="str">
        <f t="shared" si="40"/>
        <v>{
$name$: $RS-25A-50X$,
$config$: $SSME50X$,
$cost$: 6875
},</v>
      </c>
      <c r="AD575" s="26" t="str">
        <f t="shared" si="41"/>
        <v/>
      </c>
      <c r="AE575" s="26" t="str">
        <f t="shared" si="145"/>
        <v/>
      </c>
      <c r="AF575" s="26" t="str">
        <f t="shared" si="135"/>
        <v/>
      </c>
      <c r="AG575" s="26" t="str">
        <f t="shared" si="136"/>
        <v/>
      </c>
    </row>
    <row r="576" ht="15.75" customHeight="1">
      <c r="A576" s="7" t="s">
        <v>770</v>
      </c>
      <c r="B576" s="7" t="s">
        <v>769</v>
      </c>
      <c r="C576" s="8">
        <f t="shared" si="133"/>
        <v>177</v>
      </c>
      <c r="D576" s="9">
        <v>2001.0</v>
      </c>
      <c r="E576" s="7" t="b">
        <v>1</v>
      </c>
      <c r="F576" s="7" t="b">
        <v>1</v>
      </c>
      <c r="G576" s="7" t="b">
        <v>0</v>
      </c>
      <c r="H576" s="7" t="b">
        <v>0</v>
      </c>
      <c r="I576" s="7" t="b">
        <v>0</v>
      </c>
      <c r="J576" s="9" t="b">
        <v>0</v>
      </c>
      <c r="K576" s="7">
        <v>4476.0</v>
      </c>
      <c r="L576" s="7">
        <v>2364.5</v>
      </c>
      <c r="M576" s="7">
        <v>461.0</v>
      </c>
      <c r="N576" s="7">
        <v>21.02</v>
      </c>
      <c r="O576" s="7">
        <v>0.997872</v>
      </c>
      <c r="P576" s="7">
        <v>0.997872</v>
      </c>
      <c r="Q576" s="10">
        <f t="shared" si="2"/>
        <v>53.86771623</v>
      </c>
      <c r="R576" s="11">
        <f t="shared" si="3"/>
        <v>2.982448721</v>
      </c>
      <c r="S576" s="12">
        <f t="shared" si="4"/>
        <v>4</v>
      </c>
      <c r="T576" s="8">
        <f t="shared" si="142"/>
        <v>7052</v>
      </c>
      <c r="U576" s="13">
        <f>T576/vlookup(A576,Max!$A$2:$AP$700,column(Max!$AP$2),false)</f>
        <v>1.382745098</v>
      </c>
      <c r="V576" s="8">
        <f t="shared" si="6"/>
        <v>841.4263812</v>
      </c>
      <c r="W576" s="14">
        <f t="shared" si="7"/>
        <v>3.744738719</v>
      </c>
      <c r="X576" s="14">
        <f t="shared" si="8"/>
        <v>2.19418118</v>
      </c>
      <c r="Y576" s="14">
        <f t="shared" si="9"/>
        <v>1</v>
      </c>
      <c r="Z576" s="14">
        <f t="shared" si="10"/>
        <v>1.019997495</v>
      </c>
      <c r="AA576" s="27">
        <f t="shared" si="11"/>
        <v>177</v>
      </c>
      <c r="AB576" s="15">
        <f>if(iserror(find("$",A576)),1,2)</f>
        <v>1</v>
      </c>
      <c r="AC576" s="15" t="str">
        <f t="shared" si="40"/>
        <v/>
      </c>
      <c r="AD576" s="15" t="str">
        <f t="shared" si="41"/>
        <v>$RS-25D-50X$: 177,</v>
      </c>
      <c r="AE576" s="15" t="str">
        <f t="shared" si="145"/>
        <v/>
      </c>
      <c r="AF576" s="15" t="str">
        <f t="shared" si="135"/>
        <v/>
      </c>
      <c r="AG576" s="15" t="str">
        <f t="shared" si="136"/>
        <v/>
      </c>
    </row>
    <row r="577" ht="15.75" customHeight="1">
      <c r="A577" s="16" t="s">
        <v>771</v>
      </c>
      <c r="B577" s="16" t="s">
        <v>772</v>
      </c>
      <c r="C577" s="17">
        <f t="shared" si="133"/>
        <v>6337</v>
      </c>
      <c r="D577" s="18">
        <v>2009.0</v>
      </c>
      <c r="E577" s="16" t="b">
        <v>1</v>
      </c>
      <c r="F577" s="16" t="b">
        <v>1</v>
      </c>
      <c r="G577" s="16" t="b">
        <v>0</v>
      </c>
      <c r="H577" s="16" t="b">
        <v>1</v>
      </c>
      <c r="I577" s="16" t="b">
        <v>0</v>
      </c>
      <c r="J577" s="18" t="b">
        <v>0</v>
      </c>
      <c r="K577" s="16">
        <v>3962.0</v>
      </c>
      <c r="L577" s="16">
        <v>2093.0</v>
      </c>
      <c r="M577" s="16">
        <v>478.0</v>
      </c>
      <c r="N577" s="16">
        <v>21.02</v>
      </c>
      <c r="O577" s="16">
        <v>0.998404</v>
      </c>
      <c r="P577" s="16">
        <v>0.998404</v>
      </c>
      <c r="Q577" s="19">
        <f t="shared" si="2"/>
        <v>53.86840049</v>
      </c>
      <c r="R577" s="20">
        <f t="shared" si="3"/>
        <v>3.027711419</v>
      </c>
      <c r="S577" s="21">
        <f t="shared" si="4"/>
        <v>4</v>
      </c>
      <c r="T577" s="17">
        <f t="shared" si="142"/>
        <v>6337</v>
      </c>
      <c r="U577" s="22">
        <f>T577/vlookup(A577,Max!$A$2:$AP$700,column(Max!$AP$2),false)</f>
        <v>1.508809524</v>
      </c>
      <c r="V577" s="17">
        <f t="shared" si="6"/>
        <v>783.045131</v>
      </c>
      <c r="W577" s="23">
        <f t="shared" si="7"/>
        <v>4.412490996</v>
      </c>
      <c r="X577" s="23">
        <f t="shared" si="8"/>
        <v>1.802828289</v>
      </c>
      <c r="Y577" s="23">
        <f t="shared" si="9"/>
        <v>1</v>
      </c>
      <c r="Z577" s="23">
        <f t="shared" si="10"/>
        <v>1.017287188</v>
      </c>
      <c r="AA577" s="26">
        <f t="shared" si="11"/>
        <v>0</v>
      </c>
      <c r="AB577" s="25">
        <v>0.0</v>
      </c>
      <c r="AC577" s="26" t="str">
        <f t="shared" si="40"/>
        <v>{
$name$: $RS-25-650$,
$config$: $SSME650$,
$cost$: 6337
},</v>
      </c>
      <c r="AD577" s="26" t="str">
        <f t="shared" si="41"/>
        <v/>
      </c>
      <c r="AE577" s="26" t="str">
        <f t="shared" si="145"/>
        <v/>
      </c>
      <c r="AF577" s="26" t="str">
        <f t="shared" si="135"/>
        <v/>
      </c>
      <c r="AG577" s="26" t="str">
        <f t="shared" si="136"/>
        <v/>
      </c>
    </row>
    <row r="578" ht="15.75" customHeight="1">
      <c r="A578" s="7" t="s">
        <v>773</v>
      </c>
      <c r="B578" s="7" t="s">
        <v>773</v>
      </c>
      <c r="C578" s="8">
        <f t="shared" si="133"/>
        <v>3024</v>
      </c>
      <c r="D578" s="7">
        <v>1996.0</v>
      </c>
      <c r="E578" s="7"/>
      <c r="F578" s="7" t="b">
        <v>1</v>
      </c>
      <c r="G578" s="7" t="b">
        <v>0</v>
      </c>
      <c r="H578" s="7" t="b">
        <v>0</v>
      </c>
      <c r="I578" s="7" t="b">
        <v>0</v>
      </c>
      <c r="J578" s="9" t="b">
        <v>0</v>
      </c>
      <c r="K578" s="7">
        <v>10958.0</v>
      </c>
      <c r="L578" s="7">
        <v>8896.4</v>
      </c>
      <c r="M578" s="7">
        <v>316.0</v>
      </c>
      <c r="N578" s="7">
        <v>13.79</v>
      </c>
      <c r="O578" s="7">
        <v>0.9971</v>
      </c>
      <c r="P578" s="7">
        <v>0.9971</v>
      </c>
      <c r="Q578" s="10">
        <f t="shared" si="2"/>
        <v>82.78703496</v>
      </c>
      <c r="R578" s="11">
        <f t="shared" si="3"/>
        <v>0.3399127737</v>
      </c>
      <c r="S578" s="12">
        <f t="shared" si="4"/>
        <v>4</v>
      </c>
      <c r="T578" s="8">
        <f t="shared" si="142"/>
        <v>3024</v>
      </c>
      <c r="U578" s="13">
        <f>T578/vlookup(A578,Max!$A$2:$AP$700,column(Max!$AP$2),false)</f>
        <v>1.163076923</v>
      </c>
      <c r="V578" s="8">
        <f t="shared" si="6"/>
        <v>1377.077442</v>
      </c>
      <c r="W578" s="14">
        <f t="shared" si="7"/>
        <v>1.115677507</v>
      </c>
      <c r="X578" s="14">
        <f t="shared" si="8"/>
        <v>1.933534618</v>
      </c>
      <c r="Y578" s="14">
        <f t="shared" si="9"/>
        <v>1</v>
      </c>
      <c r="Z578" s="14">
        <f t="shared" si="10"/>
        <v>1.018025846</v>
      </c>
      <c r="AA578" s="15">
        <f t="shared" si="11"/>
        <v>0</v>
      </c>
      <c r="AB578" s="29">
        <v>0.0</v>
      </c>
      <c r="AC578" s="15" t="str">
        <f t="shared" si="40"/>
        <v>{
$name$: $STBE$,
$config$: $STBE$,
$cost$: 3024
},</v>
      </c>
      <c r="AD578" s="15" t="str">
        <f t="shared" si="41"/>
        <v/>
      </c>
      <c r="AE578" s="15" t="str">
        <f t="shared" si="145"/>
        <v/>
      </c>
      <c r="AF578" s="15" t="str">
        <f t="shared" si="135"/>
        <v/>
      </c>
      <c r="AG578" s="15" t="str">
        <f t="shared" si="136"/>
        <v/>
      </c>
    </row>
    <row r="579" ht="15.75" customHeight="1">
      <c r="A579" s="16" t="s">
        <v>774</v>
      </c>
      <c r="B579" s="16" t="s">
        <v>775</v>
      </c>
      <c r="C579" s="17">
        <f t="shared" si="133"/>
        <v>1200</v>
      </c>
      <c r="D579" s="16">
        <v>1995.0</v>
      </c>
      <c r="E579" s="16"/>
      <c r="F579" s="16" t="b">
        <v>1</v>
      </c>
      <c r="G579" s="16" t="b">
        <v>0</v>
      </c>
      <c r="H579" s="16" t="b">
        <v>0</v>
      </c>
      <c r="I579" s="16" t="b">
        <v>0</v>
      </c>
      <c r="J579" s="18" t="b">
        <v>0</v>
      </c>
      <c r="K579" s="16">
        <v>3062.0</v>
      </c>
      <c r="L579" s="16">
        <v>3275.0</v>
      </c>
      <c r="M579" s="16">
        <v>316.0</v>
      </c>
      <c r="N579" s="16">
        <v>8.79</v>
      </c>
      <c r="O579" s="16">
        <v>0.99995</v>
      </c>
      <c r="P579" s="16">
        <v>0.99995</v>
      </c>
      <c r="Q579" s="19">
        <f t="shared" si="2"/>
        <v>109.0650094</v>
      </c>
      <c r="R579" s="20">
        <f t="shared" si="3"/>
        <v>0.3664122137</v>
      </c>
      <c r="S579" s="21">
        <f t="shared" si="4"/>
        <v>4</v>
      </c>
      <c r="T579" s="17">
        <f t="shared" si="142"/>
        <v>1200</v>
      </c>
      <c r="U579" s="22">
        <f>T579/vlookup(A579,Max!$A$2:$AP$700,column(Max!$AP$2),false)</f>
        <v>0.8571428571</v>
      </c>
      <c r="V579" s="17">
        <f t="shared" si="6"/>
        <v>621.1542563</v>
      </c>
      <c r="W579" s="23">
        <f t="shared" si="7"/>
        <v>1.115677507</v>
      </c>
      <c r="X579" s="23">
        <f t="shared" si="8"/>
        <v>1.68919324</v>
      </c>
      <c r="Y579" s="23">
        <f t="shared" si="9"/>
        <v>1</v>
      </c>
      <c r="Z579" s="23">
        <f t="shared" si="10"/>
        <v>1.025315978</v>
      </c>
      <c r="AA579" s="26">
        <f t="shared" si="11"/>
        <v>0</v>
      </c>
      <c r="AB579" s="25">
        <v>0.0</v>
      </c>
      <c r="AC579" s="26" t="str">
        <f t="shared" si="40"/>
        <v>{
$name$: $STBE-1A$,
$config$: $STBE1$,
$cost$: 1200
},</v>
      </c>
      <c r="AD579" s="26" t="str">
        <f t="shared" si="41"/>
        <v/>
      </c>
      <c r="AE579" s="26" t="str">
        <f t="shared" si="145"/>
        <v/>
      </c>
      <c r="AF579" s="26" t="str">
        <f t="shared" si="135"/>
        <v/>
      </c>
      <c r="AG579" s="26" t="str">
        <f t="shared" si="136"/>
        <v/>
      </c>
    </row>
    <row r="580" ht="15.75" customHeight="1">
      <c r="A580" s="7" t="s">
        <v>776</v>
      </c>
      <c r="B580" s="7" t="s">
        <v>775</v>
      </c>
      <c r="C580" s="8">
        <f t="shared" si="133"/>
        <v>124</v>
      </c>
      <c r="D580" s="7">
        <v>2000.0</v>
      </c>
      <c r="E580" s="7"/>
      <c r="F580" s="7" t="b">
        <v>1</v>
      </c>
      <c r="G580" s="7" t="b">
        <v>0</v>
      </c>
      <c r="H580" s="7" t="b">
        <v>0</v>
      </c>
      <c r="I580" s="7" t="b">
        <v>0</v>
      </c>
      <c r="J580" s="9" t="b">
        <v>0</v>
      </c>
      <c r="K580" s="7">
        <v>3065.0</v>
      </c>
      <c r="L580" s="7">
        <v>3273.0</v>
      </c>
      <c r="M580" s="7">
        <v>318.4</v>
      </c>
      <c r="N580" s="7">
        <v>11.49</v>
      </c>
      <c r="O580" s="7">
        <v>0.99995</v>
      </c>
      <c r="P580" s="7">
        <v>0.99995</v>
      </c>
      <c r="Q580" s="10">
        <f t="shared" si="2"/>
        <v>108.891718</v>
      </c>
      <c r="R580" s="11">
        <f t="shared" si="3"/>
        <v>0.4045218454</v>
      </c>
      <c r="S580" s="12">
        <f t="shared" si="4"/>
        <v>4</v>
      </c>
      <c r="T580" s="8">
        <f t="shared" si="142"/>
        <v>1324</v>
      </c>
      <c r="U580" s="13">
        <f>T580/vlookup(A580,Max!$A$2:$AP$700,column(Max!$AP$2),false)</f>
        <v>0.9131034483</v>
      </c>
      <c r="V580" s="8">
        <f t="shared" si="6"/>
        <v>621.5325831</v>
      </c>
      <c r="W580" s="14">
        <f t="shared" si="7"/>
        <v>1.134683562</v>
      </c>
      <c r="X580" s="14">
        <f t="shared" si="8"/>
        <v>1.830537713</v>
      </c>
      <c r="Y580" s="14">
        <f t="shared" si="9"/>
        <v>1</v>
      </c>
      <c r="Z580" s="14">
        <f t="shared" si="10"/>
        <v>1.025315978</v>
      </c>
      <c r="AA580" s="27">
        <f t="shared" si="11"/>
        <v>124</v>
      </c>
      <c r="AB580" s="15">
        <f t="shared" ref="AB580:AB581" si="148">if(iserror(find("$",A580)),1,2)</f>
        <v>1</v>
      </c>
      <c r="AC580" s="15" t="str">
        <f t="shared" si="40"/>
        <v/>
      </c>
      <c r="AD580" s="15" t="str">
        <f t="shared" si="41"/>
        <v>$STBE-1B$: 124,</v>
      </c>
      <c r="AE580" s="15" t="str">
        <f t="shared" si="145"/>
        <v/>
      </c>
      <c r="AF580" s="15" t="str">
        <f t="shared" si="135"/>
        <v/>
      </c>
      <c r="AG580" s="15" t="str">
        <f t="shared" si="136"/>
        <v/>
      </c>
    </row>
    <row r="581" ht="15.75" customHeight="1">
      <c r="A581" s="16" t="s">
        <v>777</v>
      </c>
      <c r="B581" s="16" t="s">
        <v>775</v>
      </c>
      <c r="C581" s="17">
        <f t="shared" si="133"/>
        <v>516</v>
      </c>
      <c r="D581" s="16">
        <v>2000.0</v>
      </c>
      <c r="E581" s="16"/>
      <c r="F581" s="16" t="b">
        <v>1</v>
      </c>
      <c r="G581" s="16" t="b">
        <v>0</v>
      </c>
      <c r="H581" s="16" t="b">
        <v>0</v>
      </c>
      <c r="I581" s="16" t="b">
        <v>0</v>
      </c>
      <c r="J581" s="18" t="b">
        <v>0</v>
      </c>
      <c r="K581" s="16">
        <v>3016.0</v>
      </c>
      <c r="L581" s="16">
        <v>3172.0</v>
      </c>
      <c r="M581" s="16">
        <v>341.5</v>
      </c>
      <c r="N581" s="16">
        <v>16.08</v>
      </c>
      <c r="O581" s="16">
        <v>0.99995</v>
      </c>
      <c r="P581" s="16">
        <v>0.99995</v>
      </c>
      <c r="Q581" s="19">
        <f t="shared" si="2"/>
        <v>107.2460152</v>
      </c>
      <c r="R581" s="20">
        <f t="shared" si="3"/>
        <v>0.5409836066</v>
      </c>
      <c r="S581" s="21">
        <f t="shared" si="4"/>
        <v>4</v>
      </c>
      <c r="T581" s="17">
        <f t="shared" si="142"/>
        <v>1716</v>
      </c>
      <c r="U581" s="22">
        <f>T581/vlookup(A581,Max!$A$2:$AP$700,column(Max!$AP$2),false)</f>
        <v>0.9031578947</v>
      </c>
      <c r="V581" s="17">
        <f t="shared" si="6"/>
        <v>615.3359039</v>
      </c>
      <c r="W581" s="23">
        <f t="shared" si="7"/>
        <v>1.343095174</v>
      </c>
      <c r="X581" s="23">
        <f t="shared" si="8"/>
        <v>2.024736376</v>
      </c>
      <c r="Y581" s="23">
        <f t="shared" si="9"/>
        <v>1</v>
      </c>
      <c r="Z581" s="23">
        <f t="shared" si="10"/>
        <v>1.025315978</v>
      </c>
      <c r="AA581" s="24">
        <f t="shared" si="11"/>
        <v>516</v>
      </c>
      <c r="AB581" s="26">
        <f t="shared" si="148"/>
        <v>1</v>
      </c>
      <c r="AC581" s="26" t="str">
        <f t="shared" si="40"/>
        <v/>
      </c>
      <c r="AD581" s="26" t="str">
        <f t="shared" si="41"/>
        <v>$STBE-3$: 516,</v>
      </c>
      <c r="AE581" s="26" t="str">
        <f t="shared" si="145"/>
        <v/>
      </c>
      <c r="AF581" s="26" t="str">
        <f t="shared" si="135"/>
        <v/>
      </c>
      <c r="AG581" s="26" t="str">
        <f t="shared" si="136"/>
        <v/>
      </c>
    </row>
    <row r="582" ht="15.75" customHeight="1">
      <c r="A582" s="7" t="s">
        <v>778</v>
      </c>
      <c r="B582" s="7" t="s">
        <v>778</v>
      </c>
      <c r="C582" s="8">
        <f t="shared" si="133"/>
        <v>135</v>
      </c>
      <c r="D582" s="7">
        <v>1953.0</v>
      </c>
      <c r="E582" s="7"/>
      <c r="F582" s="7" t="b">
        <v>1</v>
      </c>
      <c r="G582" s="7" t="b">
        <v>0</v>
      </c>
      <c r="H582" s="7" t="b">
        <v>0</v>
      </c>
      <c r="I582" s="7" t="b">
        <v>0</v>
      </c>
      <c r="J582" s="9" t="b">
        <v>0</v>
      </c>
      <c r="K582" s="7">
        <v>339.0</v>
      </c>
      <c r="L582" s="7">
        <v>110.0</v>
      </c>
      <c r="M582" s="7">
        <v>220.0</v>
      </c>
      <c r="N582" s="7">
        <v>3.28</v>
      </c>
      <c r="O582" s="7">
        <v>0.995</v>
      </c>
      <c r="P582" s="7">
        <v>0.981667</v>
      </c>
      <c r="Q582" s="10">
        <f t="shared" si="2"/>
        <v>33.08813661</v>
      </c>
      <c r="R582" s="11">
        <f t="shared" si="3"/>
        <v>1.227272727</v>
      </c>
      <c r="S582" s="12">
        <f t="shared" si="4"/>
        <v>4</v>
      </c>
      <c r="T582" s="28">
        <v>135.0</v>
      </c>
      <c r="U582" s="13">
        <f>T582/vlookup(A582,Max!$A$2:$AP$700,column(Max!$AP$2),false)</f>
        <v>2.8125</v>
      </c>
      <c r="V582" s="8">
        <f t="shared" si="6"/>
        <v>159.9604863</v>
      </c>
      <c r="W582" s="14">
        <f t="shared" si="7"/>
        <v>0.8812590511</v>
      </c>
      <c r="X582" s="14">
        <f t="shared" si="8"/>
        <v>1.256738226</v>
      </c>
      <c r="Y582" s="14">
        <f t="shared" si="9"/>
        <v>1</v>
      </c>
      <c r="Z582" s="14">
        <f t="shared" si="10"/>
        <v>1.139709968</v>
      </c>
      <c r="AA582" s="15">
        <f t="shared" si="11"/>
        <v>0</v>
      </c>
      <c r="AB582" s="29">
        <v>0.0</v>
      </c>
      <c r="AC582" s="15" t="str">
        <f t="shared" si="40"/>
        <v>{
$name$: $Stentor$,
$config$: $Stentor$,
$cost$: 135
},</v>
      </c>
      <c r="AD582" s="15" t="str">
        <f t="shared" si="41"/>
        <v/>
      </c>
      <c r="AE582" s="15" t="str">
        <f t="shared" si="145"/>
        <v/>
      </c>
      <c r="AF582" s="15" t="str">
        <f t="shared" si="135"/>
        <v/>
      </c>
      <c r="AG582" s="15" t="str">
        <f t="shared" si="136"/>
        <v/>
      </c>
    </row>
    <row r="583" ht="15.75" customHeight="1">
      <c r="A583" s="16" t="s">
        <v>779</v>
      </c>
      <c r="B583" s="16" t="s">
        <v>779</v>
      </c>
      <c r="C583" s="17">
        <f t="shared" si="133"/>
        <v>4809</v>
      </c>
      <c r="D583" s="16">
        <v>1995.0</v>
      </c>
      <c r="E583" s="16" t="b">
        <v>1</v>
      </c>
      <c r="F583" s="16" t="b">
        <v>1</v>
      </c>
      <c r="G583" s="16" t="b">
        <v>0</v>
      </c>
      <c r="H583" s="16" t="b">
        <v>0</v>
      </c>
      <c r="I583" s="16" t="b">
        <v>0</v>
      </c>
      <c r="J583" s="18" t="b">
        <v>0</v>
      </c>
      <c r="K583" s="16">
        <v>4524.0</v>
      </c>
      <c r="L583" s="16">
        <v>2891.3</v>
      </c>
      <c r="M583" s="16">
        <v>428.5</v>
      </c>
      <c r="N583" s="16">
        <v>15.51</v>
      </c>
      <c r="O583" s="16">
        <v>0.992</v>
      </c>
      <c r="P583" s="16">
        <v>0.9995</v>
      </c>
      <c r="Q583" s="19">
        <f t="shared" si="2"/>
        <v>65.17032445</v>
      </c>
      <c r="R583" s="20">
        <f t="shared" si="3"/>
        <v>1.663265659</v>
      </c>
      <c r="S583" s="21">
        <f t="shared" si="4"/>
        <v>4</v>
      </c>
      <c r="T583" s="17">
        <f t="shared" ref="T583:T592" si="149">round(V583*W583*X583*Y583*Z583,0)</f>
        <v>4809</v>
      </c>
      <c r="U583" s="22">
        <f>T583/vlookup(A583,Max!$A$2:$AP$700,column(Max!$AP$2),false)</f>
        <v>1.414411765</v>
      </c>
      <c r="V583" s="17">
        <f t="shared" si="6"/>
        <v>846.7451956</v>
      </c>
      <c r="W583" s="23">
        <f t="shared" si="7"/>
        <v>2.768831174</v>
      </c>
      <c r="X583" s="23">
        <f t="shared" si="8"/>
        <v>2.002932029</v>
      </c>
      <c r="Y583" s="23">
        <f t="shared" si="9"/>
        <v>1</v>
      </c>
      <c r="Z583" s="23">
        <f t="shared" si="10"/>
        <v>1.024162829</v>
      </c>
      <c r="AA583" s="26">
        <f t="shared" si="11"/>
        <v>0</v>
      </c>
      <c r="AB583" s="25">
        <v>0.0</v>
      </c>
      <c r="AC583" s="26" t="str">
        <f t="shared" si="40"/>
        <v>{
$name$: $STME$,
$config$: $STME$,
$cost$: 4809
},</v>
      </c>
      <c r="AD583" s="26" t="str">
        <f t="shared" si="41"/>
        <v/>
      </c>
      <c r="AE583" s="26" t="str">
        <f t="shared" si="145"/>
        <v/>
      </c>
      <c r="AF583" s="26" t="str">
        <f t="shared" si="135"/>
        <v/>
      </c>
      <c r="AG583" s="26" t="str">
        <f t="shared" si="136"/>
        <v/>
      </c>
    </row>
    <row r="584" ht="15.75" customHeight="1">
      <c r="A584" s="7" t="s">
        <v>780</v>
      </c>
      <c r="B584" s="7" t="s">
        <v>780</v>
      </c>
      <c r="C584" s="8">
        <f t="shared" si="133"/>
        <v>89</v>
      </c>
      <c r="D584" s="7">
        <v>2018.0</v>
      </c>
      <c r="E584" s="7"/>
      <c r="F584" s="7" t="b">
        <v>0</v>
      </c>
      <c r="G584" s="7" t="b">
        <v>0</v>
      </c>
      <c r="H584" s="7" t="b">
        <v>0</v>
      </c>
      <c r="I584" s="7" t="b">
        <v>0</v>
      </c>
      <c r="J584" s="9" t="b">
        <v>0</v>
      </c>
      <c r="K584" s="7">
        <v>65.0</v>
      </c>
      <c r="L584" s="7">
        <v>85.0</v>
      </c>
      <c r="M584" s="7">
        <v>280.0</v>
      </c>
      <c r="N584" s="7">
        <v>6.89</v>
      </c>
      <c r="O584" s="7">
        <v>0.995</v>
      </c>
      <c r="P584" s="7">
        <v>0.995</v>
      </c>
      <c r="Q584" s="10">
        <f t="shared" si="2"/>
        <v>133.3475044</v>
      </c>
      <c r="R584" s="11">
        <f t="shared" si="3"/>
        <v>1.047058824</v>
      </c>
      <c r="S584" s="12">
        <f t="shared" si="4"/>
        <v>1.75</v>
      </c>
      <c r="T584" s="8">
        <f t="shared" si="149"/>
        <v>89</v>
      </c>
      <c r="U584" s="13">
        <f>T584/vlookup(A584,Max!$A$2:$AP$700,column(Max!$AP$2),false)</f>
        <v>1.534482759</v>
      </c>
      <c r="V584" s="8">
        <f t="shared" si="6"/>
        <v>58.8422958</v>
      </c>
      <c r="W584" s="14">
        <f t="shared" si="7"/>
        <v>0.9500966329</v>
      </c>
      <c r="X584" s="14">
        <f t="shared" si="8"/>
        <v>1.570176375</v>
      </c>
      <c r="Y584" s="14">
        <f t="shared" si="9"/>
        <v>1</v>
      </c>
      <c r="Z584" s="14">
        <f t="shared" si="10"/>
        <v>1.01267413</v>
      </c>
      <c r="AA584" s="15">
        <f t="shared" si="11"/>
        <v>0</v>
      </c>
      <c r="AB584" s="29">
        <v>0.0</v>
      </c>
      <c r="AC584" s="15" t="str">
        <f t="shared" si="40"/>
        <v>{
$name$: $SuperDraco$,
$config$: $SuperDraco$,
$cost$: 89
},</v>
      </c>
      <c r="AD584" s="15" t="str">
        <f t="shared" si="41"/>
        <v/>
      </c>
      <c r="AE584" s="15" t="str">
        <f t="shared" si="145"/>
        <v/>
      </c>
      <c r="AF584" s="15" t="str">
        <f t="shared" si="135"/>
        <v/>
      </c>
      <c r="AG584" s="15" t="str">
        <f t="shared" si="136"/>
        <v/>
      </c>
    </row>
    <row r="585" ht="15.75" customHeight="1">
      <c r="A585" s="16" t="s">
        <v>781</v>
      </c>
      <c r="B585" s="16" t="s">
        <v>782</v>
      </c>
      <c r="C585" s="17">
        <f t="shared" si="133"/>
        <v>27</v>
      </c>
      <c r="D585" s="16">
        <v>1965.0</v>
      </c>
      <c r="E585" s="16"/>
      <c r="F585" s="16" t="b">
        <v>0</v>
      </c>
      <c r="G585" s="16" t="b">
        <v>0</v>
      </c>
      <c r="H585" s="16" t="b">
        <v>1</v>
      </c>
      <c r="I585" s="16" t="b">
        <v>1</v>
      </c>
      <c r="J585" s="18" t="b">
        <v>0</v>
      </c>
      <c r="K585" s="16">
        <v>9.0</v>
      </c>
      <c r="L585" s="16">
        <v>0.462</v>
      </c>
      <c r="M585" s="16">
        <v>287.0</v>
      </c>
      <c r="N585" s="16">
        <v>1.72</v>
      </c>
      <c r="O585" s="16">
        <v>0.994531</v>
      </c>
      <c r="P585" s="16">
        <v>0.993182</v>
      </c>
      <c r="Q585" s="19">
        <f t="shared" si="2"/>
        <v>5.234543211</v>
      </c>
      <c r="R585" s="20">
        <f t="shared" si="3"/>
        <v>58.44155844</v>
      </c>
      <c r="S585" s="21">
        <f t="shared" si="4"/>
        <v>1.75</v>
      </c>
      <c r="T585" s="17">
        <f t="shared" si="149"/>
        <v>27</v>
      </c>
      <c r="U585" s="22">
        <f>T585/vlookup(A585,Max!$A$2:$AP$700,column(Max!$AP$2),false)</f>
        <v>2.076923077</v>
      </c>
      <c r="V585" s="17">
        <f t="shared" si="6"/>
        <v>18.2184742</v>
      </c>
      <c r="W585" s="23">
        <f t="shared" si="7"/>
        <v>0.965438477</v>
      </c>
      <c r="X585" s="23">
        <f t="shared" si="8"/>
        <v>1.026492793</v>
      </c>
      <c r="Y585" s="23">
        <f t="shared" si="9"/>
        <v>1.5</v>
      </c>
      <c r="Z585" s="23">
        <f t="shared" si="10"/>
        <v>0.994328587</v>
      </c>
      <c r="AA585" s="26">
        <f t="shared" si="11"/>
        <v>0</v>
      </c>
      <c r="AB585" s="25">
        <v>0.0</v>
      </c>
      <c r="AC585" s="26" t="str">
        <f t="shared" si="40"/>
        <v>{
$name$: $TD-339$,
$config$: $TD339$,
$cost$: 27
},</v>
      </c>
      <c r="AD585" s="26" t="str">
        <f t="shared" si="41"/>
        <v/>
      </c>
      <c r="AE585" s="26" t="str">
        <f t="shared" si="145"/>
        <v/>
      </c>
      <c r="AF585" s="26" t="str">
        <f t="shared" si="135"/>
        <v/>
      </c>
      <c r="AG585" s="26" t="str">
        <f t="shared" si="136"/>
        <v/>
      </c>
    </row>
    <row r="586" ht="15.75" customHeight="1">
      <c r="A586" s="7" t="s">
        <v>783</v>
      </c>
      <c r="B586" s="7" t="s">
        <v>784</v>
      </c>
      <c r="C586" s="8">
        <f t="shared" si="133"/>
        <v>2180</v>
      </c>
      <c r="D586" s="7">
        <v>2009.0</v>
      </c>
      <c r="E586" s="7"/>
      <c r="F586" s="7" t="b">
        <v>1</v>
      </c>
      <c r="G586" s="7" t="b">
        <v>0</v>
      </c>
      <c r="H586" s="7" t="b">
        <v>0</v>
      </c>
      <c r="I586" s="7" t="b">
        <v>0</v>
      </c>
      <c r="J586" s="9" t="b">
        <v>0</v>
      </c>
      <c r="K586" s="7">
        <v>5125.0</v>
      </c>
      <c r="L586" s="7">
        <v>5323.0</v>
      </c>
      <c r="M586" s="7">
        <v>327.0</v>
      </c>
      <c r="N586" s="7">
        <v>17.7</v>
      </c>
      <c r="O586" s="7">
        <v>0.995</v>
      </c>
      <c r="P586" s="7">
        <v>0.995</v>
      </c>
      <c r="Q586" s="10">
        <f t="shared" si="2"/>
        <v>105.9112075</v>
      </c>
      <c r="R586" s="11">
        <f t="shared" si="3"/>
        <v>0.4095434905</v>
      </c>
      <c r="S586" s="12">
        <f t="shared" si="4"/>
        <v>4</v>
      </c>
      <c r="T586" s="8">
        <f t="shared" si="149"/>
        <v>2180</v>
      </c>
      <c r="U586" s="13">
        <f>T586/vlookup(A586,Max!$A$2:$AP$700,column(Max!$AP$2),false)</f>
        <v>0.7785714286</v>
      </c>
      <c r="V586" s="8">
        <f t="shared" si="6"/>
        <v>856.1119062</v>
      </c>
      <c r="W586" s="14">
        <f t="shared" si="7"/>
        <v>1.206673473</v>
      </c>
      <c r="X586" s="14">
        <f t="shared" si="8"/>
        <v>2.083889335</v>
      </c>
      <c r="Y586" s="14">
        <f t="shared" si="9"/>
        <v>1</v>
      </c>
      <c r="Z586" s="14">
        <f t="shared" si="10"/>
        <v>1.01267413</v>
      </c>
      <c r="AA586" s="15">
        <f t="shared" si="11"/>
        <v>0</v>
      </c>
      <c r="AB586" s="29">
        <v>0.0</v>
      </c>
      <c r="AC586" s="15" t="str">
        <f t="shared" si="40"/>
        <v>{
$name$: $TR-107$,
$config$: $TR107$,
$cost$: 2180
},</v>
      </c>
      <c r="AD586" s="15" t="str">
        <f t="shared" si="41"/>
        <v/>
      </c>
      <c r="AE586" s="15" t="str">
        <f t="shared" si="145"/>
        <v/>
      </c>
      <c r="AF586" s="15" t="str">
        <f t="shared" si="135"/>
        <v/>
      </c>
      <c r="AG586" s="15" t="str">
        <f t="shared" si="136"/>
        <v/>
      </c>
    </row>
    <row r="587" ht="15.75" customHeight="1">
      <c r="A587" s="16" t="s">
        <v>785</v>
      </c>
      <c r="B587" s="16" t="s">
        <v>786</v>
      </c>
      <c r="C587" s="17">
        <f t="shared" si="133"/>
        <v>13</v>
      </c>
      <c r="D587" s="16"/>
      <c r="E587" s="16"/>
      <c r="F587" s="16" t="b">
        <v>0</v>
      </c>
      <c r="G587" s="16" t="b">
        <v>0</v>
      </c>
      <c r="H587" s="16" t="b">
        <v>0</v>
      </c>
      <c r="I587" s="16" t="b">
        <v>0</v>
      </c>
      <c r="J587" s="18" t="b">
        <v>0</v>
      </c>
      <c r="K587" s="16">
        <v>4.76</v>
      </c>
      <c r="L587" s="16">
        <v>0.4715</v>
      </c>
      <c r="M587" s="16">
        <v>322.0</v>
      </c>
      <c r="N587" s="16">
        <v>0.94</v>
      </c>
      <c r="O587" s="16"/>
      <c r="P587" s="16"/>
      <c r="Q587" s="19">
        <f t="shared" si="2"/>
        <v>10.10076036</v>
      </c>
      <c r="R587" s="20">
        <f t="shared" si="3"/>
        <v>27.57158006</v>
      </c>
      <c r="S587" s="21">
        <f t="shared" si="4"/>
        <v>1.75</v>
      </c>
      <c r="T587" s="17">
        <f t="shared" si="149"/>
        <v>13</v>
      </c>
      <c r="U587" s="22">
        <f>T587/vlookup(A587,Max!$A$2:$AP$700,column(Max!$AP$2),false)</f>
        <v>5.416666667</v>
      </c>
      <c r="V587" s="17">
        <f t="shared" si="6"/>
        <v>12.56801749</v>
      </c>
      <c r="W587" s="23">
        <f t="shared" si="7"/>
        <v>1.16406432</v>
      </c>
      <c r="X587" s="23">
        <f t="shared" si="8"/>
        <v>0.8638155709</v>
      </c>
      <c r="Y587" s="23">
        <f t="shared" si="9"/>
        <v>1</v>
      </c>
      <c r="Z587" s="23">
        <f t="shared" si="10"/>
        <v>1</v>
      </c>
      <c r="AA587" s="26">
        <f t="shared" si="11"/>
        <v>0</v>
      </c>
      <c r="AB587" s="25">
        <v>0.0</v>
      </c>
      <c r="AC587" s="26" t="str">
        <f t="shared" si="40"/>
        <v>{
$name$: $TR-308$,
$config$: $TR308$,
$cost$: 13
},</v>
      </c>
      <c r="AD587" s="26" t="str">
        <f t="shared" si="41"/>
        <v/>
      </c>
      <c r="AE587" s="26" t="str">
        <f t="shared" si="145"/>
        <v/>
      </c>
      <c r="AF587" s="26" t="str">
        <f t="shared" si="135"/>
        <v/>
      </c>
      <c r="AG587" s="26" t="str">
        <f t="shared" si="136"/>
        <v/>
      </c>
    </row>
    <row r="588" ht="15.75" customHeight="1">
      <c r="A588" s="7" t="s">
        <v>787</v>
      </c>
      <c r="B588" s="7" t="s">
        <v>786</v>
      </c>
      <c r="C588" s="8">
        <f t="shared" si="133"/>
        <v>3</v>
      </c>
      <c r="D588" s="7"/>
      <c r="E588" s="7"/>
      <c r="F588" s="7" t="b">
        <v>0</v>
      </c>
      <c r="G588" s="7" t="b">
        <v>0</v>
      </c>
      <c r="H588" s="7" t="b">
        <v>0</v>
      </c>
      <c r="I588" s="7" t="b">
        <v>0</v>
      </c>
      <c r="J588" s="9" t="b">
        <v>0</v>
      </c>
      <c r="K588" s="7">
        <v>6.03</v>
      </c>
      <c r="L588" s="7">
        <v>0.556</v>
      </c>
      <c r="M588" s="7">
        <v>330.0</v>
      </c>
      <c r="N588" s="7">
        <v>1.06</v>
      </c>
      <c r="O588" s="7"/>
      <c r="P588" s="7"/>
      <c r="Q588" s="10">
        <f t="shared" si="2"/>
        <v>9.402358421</v>
      </c>
      <c r="R588" s="11">
        <f t="shared" si="3"/>
        <v>28.77697842</v>
      </c>
      <c r="S588" s="12">
        <f t="shared" si="4"/>
        <v>1.75</v>
      </c>
      <c r="T588" s="8">
        <f t="shared" si="149"/>
        <v>16</v>
      </c>
      <c r="U588" s="13">
        <f>T588/vlookup(A588,Max!$A$2:$AP$700,column(Max!$AP$2),false)</f>
        <v>5.925925926</v>
      </c>
      <c r="V588" s="8">
        <f t="shared" si="6"/>
        <v>14.42006506</v>
      </c>
      <c r="W588" s="14">
        <f t="shared" si="7"/>
        <v>1.233286301</v>
      </c>
      <c r="X588" s="14">
        <f t="shared" si="8"/>
        <v>0.8955182311</v>
      </c>
      <c r="Y588" s="14">
        <f t="shared" si="9"/>
        <v>1</v>
      </c>
      <c r="Z588" s="14">
        <f t="shared" si="10"/>
        <v>1</v>
      </c>
      <c r="AA588" s="27">
        <f t="shared" si="11"/>
        <v>3</v>
      </c>
      <c r="AB588" s="15">
        <f t="shared" ref="AB588:AB589" si="150">if(iserror(find("$",A588)),1,2)</f>
        <v>1</v>
      </c>
      <c r="AC588" s="15" t="str">
        <f t="shared" si="40"/>
        <v/>
      </c>
      <c r="AD588" s="15" t="str">
        <f t="shared" si="41"/>
        <v>$TR-312-100YN$: 3,</v>
      </c>
      <c r="AE588" s="15" t="str">
        <f t="shared" si="145"/>
        <v/>
      </c>
      <c r="AF588" s="15" t="str">
        <f t="shared" si="135"/>
        <v/>
      </c>
      <c r="AG588" s="15" t="str">
        <f t="shared" si="136"/>
        <v/>
      </c>
    </row>
    <row r="589" ht="15.75" customHeight="1">
      <c r="A589" s="16" t="s">
        <v>788</v>
      </c>
      <c r="B589" s="16" t="s">
        <v>786</v>
      </c>
      <c r="C589" s="17">
        <f t="shared" si="133"/>
        <v>2</v>
      </c>
      <c r="D589" s="16"/>
      <c r="E589" s="16"/>
      <c r="F589" s="16" t="b">
        <v>0</v>
      </c>
      <c r="G589" s="16" t="b">
        <v>0</v>
      </c>
      <c r="H589" s="16" t="b">
        <v>0</v>
      </c>
      <c r="I589" s="16" t="b">
        <v>0</v>
      </c>
      <c r="J589" s="18" t="b">
        <v>0</v>
      </c>
      <c r="K589" s="16">
        <v>6.03</v>
      </c>
      <c r="L589" s="16">
        <v>0.5026</v>
      </c>
      <c r="M589" s="16">
        <v>325.0</v>
      </c>
      <c r="N589" s="16">
        <v>1.06</v>
      </c>
      <c r="O589" s="16"/>
      <c r="P589" s="16"/>
      <c r="Q589" s="19">
        <f t="shared" si="2"/>
        <v>8.499326155</v>
      </c>
      <c r="R589" s="20">
        <f t="shared" si="3"/>
        <v>29.844807</v>
      </c>
      <c r="S589" s="21">
        <f t="shared" si="4"/>
        <v>1.75</v>
      </c>
      <c r="T589" s="17">
        <f t="shared" si="149"/>
        <v>15</v>
      </c>
      <c r="U589" s="22">
        <f>T589/vlookup(A589,Max!$A$2:$AP$700,column(Max!$AP$2),false)</f>
        <v>6</v>
      </c>
      <c r="V589" s="17">
        <f t="shared" si="6"/>
        <v>14.42006506</v>
      </c>
      <c r="W589" s="23">
        <f t="shared" si="7"/>
        <v>1.189372511</v>
      </c>
      <c r="X589" s="23">
        <f t="shared" si="8"/>
        <v>0.8955182311</v>
      </c>
      <c r="Y589" s="23">
        <f t="shared" si="9"/>
        <v>1</v>
      </c>
      <c r="Z589" s="23">
        <f t="shared" si="10"/>
        <v>1</v>
      </c>
      <c r="AA589" s="24">
        <f t="shared" si="11"/>
        <v>2</v>
      </c>
      <c r="AB589" s="26">
        <f t="shared" si="150"/>
        <v>1</v>
      </c>
      <c r="AC589" s="26" t="str">
        <f t="shared" si="40"/>
        <v/>
      </c>
      <c r="AD589" s="26" t="str">
        <f t="shared" si="41"/>
        <v>$TR-312-100MN$: 2,</v>
      </c>
      <c r="AE589" s="26" t="str">
        <f t="shared" si="145"/>
        <v/>
      </c>
      <c r="AF589" s="26" t="str">
        <f t="shared" si="135"/>
        <v/>
      </c>
      <c r="AG589" s="26" t="str">
        <f t="shared" si="136"/>
        <v/>
      </c>
    </row>
    <row r="590" ht="15.75" customHeight="1">
      <c r="A590" s="7" t="s">
        <v>789</v>
      </c>
      <c r="B590" s="7" t="s">
        <v>790</v>
      </c>
      <c r="C590" s="8">
        <f t="shared" si="133"/>
        <v>26</v>
      </c>
      <c r="D590" s="7">
        <v>1945.0</v>
      </c>
      <c r="E590" s="7"/>
      <c r="F590" s="7" t="b">
        <v>0</v>
      </c>
      <c r="G590" s="7" t="b">
        <v>0</v>
      </c>
      <c r="H590" s="7" t="b">
        <v>0</v>
      </c>
      <c r="I590" s="7" t="b">
        <v>0</v>
      </c>
      <c r="J590" s="9" t="b">
        <v>0</v>
      </c>
      <c r="K590" s="7">
        <v>14.7</v>
      </c>
      <c r="L590" s="7">
        <v>14.417</v>
      </c>
      <c r="M590" s="7">
        <v>232.1</v>
      </c>
      <c r="N590" s="7">
        <v>2.1</v>
      </c>
      <c r="O590" s="7">
        <v>0.96</v>
      </c>
      <c r="P590" s="7">
        <v>0.93</v>
      </c>
      <c r="Q590" s="10">
        <f t="shared" si="2"/>
        <v>100.0084939</v>
      </c>
      <c r="R590" s="11">
        <f t="shared" si="3"/>
        <v>1.80342651</v>
      </c>
      <c r="S590" s="12">
        <f t="shared" si="4"/>
        <v>1.75</v>
      </c>
      <c r="T590" s="8">
        <f t="shared" si="149"/>
        <v>26</v>
      </c>
      <c r="U590" s="13">
        <f>T590/vlookup(A590,Max!$A$2:$AP$700,column(Max!$AP$2),false)</f>
        <v>0.8387096774</v>
      </c>
      <c r="V590" s="8">
        <f t="shared" si="6"/>
        <v>24.30352454</v>
      </c>
      <c r="W590" s="14">
        <f t="shared" si="7"/>
        <v>0.8882292431</v>
      </c>
      <c r="X590" s="14">
        <f t="shared" si="8"/>
        <v>1.099381591</v>
      </c>
      <c r="Y590" s="14">
        <f t="shared" si="9"/>
        <v>1</v>
      </c>
      <c r="Z590" s="14">
        <f t="shared" si="10"/>
        <v>1.10209077</v>
      </c>
      <c r="AA590" s="15">
        <f t="shared" si="11"/>
        <v>0</v>
      </c>
      <c r="AB590" s="29">
        <v>0.0</v>
      </c>
      <c r="AC590" s="15" t="str">
        <f t="shared" si="40"/>
        <v>{
$name$: $U-1250$,
$config$: $U1250$,
$cost$: 26
},</v>
      </c>
      <c r="AD590" s="15" t="str">
        <f t="shared" si="41"/>
        <v/>
      </c>
      <c r="AE590" s="15" t="str">
        <f t="shared" si="145"/>
        <v/>
      </c>
      <c r="AF590" s="15" t="str">
        <f t="shared" si="135"/>
        <v/>
      </c>
      <c r="AG590" s="15" t="str">
        <f t="shared" si="136"/>
        <v/>
      </c>
    </row>
    <row r="591" ht="15.75" customHeight="1">
      <c r="A591" s="16" t="s">
        <v>791</v>
      </c>
      <c r="B591" s="16" t="s">
        <v>790</v>
      </c>
      <c r="C591" s="17">
        <f t="shared" si="133"/>
        <v>2</v>
      </c>
      <c r="D591" s="16">
        <v>1948.0</v>
      </c>
      <c r="E591" s="16"/>
      <c r="F591" s="16" t="b">
        <v>0</v>
      </c>
      <c r="G591" s="16" t="b">
        <v>0</v>
      </c>
      <c r="H591" s="16" t="b">
        <v>0</v>
      </c>
      <c r="I591" s="16" t="b">
        <v>0</v>
      </c>
      <c r="J591" s="18" t="b">
        <v>0</v>
      </c>
      <c r="K591" s="16">
        <v>14.7</v>
      </c>
      <c r="L591" s="16">
        <v>19.411</v>
      </c>
      <c r="M591" s="16">
        <v>236.4</v>
      </c>
      <c r="N591" s="16">
        <v>2.2</v>
      </c>
      <c r="O591" s="16">
        <v>0.97</v>
      </c>
      <c r="P591" s="16">
        <v>0.955</v>
      </c>
      <c r="Q591" s="19">
        <f t="shared" si="2"/>
        <v>134.6510976</v>
      </c>
      <c r="R591" s="20">
        <f t="shared" si="3"/>
        <v>1.442481067</v>
      </c>
      <c r="S591" s="21">
        <f t="shared" si="4"/>
        <v>1.75</v>
      </c>
      <c r="T591" s="17">
        <f t="shared" si="149"/>
        <v>28</v>
      </c>
      <c r="U591" s="22">
        <f>T591/vlookup(A591,Max!$A$2:$AP$700,column(Max!$AP$2),false)</f>
        <v>0.8</v>
      </c>
      <c r="V591" s="17">
        <f t="shared" si="6"/>
        <v>24.30352454</v>
      </c>
      <c r="W591" s="23">
        <f t="shared" si="7"/>
        <v>0.8913931655</v>
      </c>
      <c r="X591" s="23">
        <f t="shared" si="8"/>
        <v>1.114832129</v>
      </c>
      <c r="Y591" s="23">
        <f t="shared" si="9"/>
        <v>1</v>
      </c>
      <c r="Z591" s="23">
        <f t="shared" si="10"/>
        <v>1.140903998</v>
      </c>
      <c r="AA591" s="24">
        <f t="shared" si="11"/>
        <v>2</v>
      </c>
      <c r="AB591" s="26">
        <f t="shared" ref="AB591:AB592" si="151">if(iserror(find("$",A591)),1,2)</f>
        <v>1</v>
      </c>
      <c r="AC591" s="26" t="str">
        <f t="shared" si="40"/>
        <v/>
      </c>
      <c r="AD591" s="26" t="str">
        <f t="shared" si="41"/>
        <v>$U-1700$: 2,</v>
      </c>
      <c r="AE591" s="26" t="str">
        <f t="shared" si="145"/>
        <v/>
      </c>
      <c r="AF591" s="26" t="str">
        <f t="shared" si="135"/>
        <v/>
      </c>
      <c r="AG591" s="26" t="str">
        <f t="shared" si="136"/>
        <v/>
      </c>
    </row>
    <row r="592" ht="15.75" customHeight="1">
      <c r="A592" s="7" t="s">
        <v>792</v>
      </c>
      <c r="B592" s="7" t="s">
        <v>790</v>
      </c>
      <c r="C592" s="8">
        <f t="shared" si="133"/>
        <v>-1</v>
      </c>
      <c r="D592" s="7">
        <v>1951.0</v>
      </c>
      <c r="E592" s="7"/>
      <c r="F592" s="7" t="b">
        <v>0</v>
      </c>
      <c r="G592" s="7" t="b">
        <v>0</v>
      </c>
      <c r="H592" s="7" t="b">
        <v>0</v>
      </c>
      <c r="I592" s="7" t="b">
        <v>0</v>
      </c>
      <c r="J592" s="9" t="b">
        <v>0</v>
      </c>
      <c r="K592" s="7">
        <v>12.9</v>
      </c>
      <c r="L592" s="7">
        <v>23.0</v>
      </c>
      <c r="M592" s="7">
        <v>241.3</v>
      </c>
      <c r="N592" s="7">
        <v>2.3</v>
      </c>
      <c r="O592" s="7">
        <v>0.98</v>
      </c>
      <c r="P592" s="7">
        <v>0.96</v>
      </c>
      <c r="Q592" s="10">
        <f t="shared" si="2"/>
        <v>181.8098669</v>
      </c>
      <c r="R592" s="11">
        <f t="shared" si="3"/>
        <v>1.086956522</v>
      </c>
      <c r="S592" s="12">
        <f t="shared" si="4"/>
        <v>1.75</v>
      </c>
      <c r="T592" s="8">
        <f t="shared" si="149"/>
        <v>25</v>
      </c>
      <c r="U592" s="13">
        <f>T592/vlookup(A592,Max!$A$2:$AP$700,column(Max!$AP$2),false)</f>
        <v>0.8620689655</v>
      </c>
      <c r="V592" s="8">
        <f t="shared" si="6"/>
        <v>22.50444417</v>
      </c>
      <c r="W592" s="14">
        <f t="shared" si="7"/>
        <v>0.8954760247</v>
      </c>
      <c r="X592" s="14">
        <f t="shared" si="8"/>
        <v>1.129798576</v>
      </c>
      <c r="Y592" s="14">
        <f t="shared" si="9"/>
        <v>1</v>
      </c>
      <c r="Z592" s="14">
        <f t="shared" si="10"/>
        <v>1.111170765</v>
      </c>
      <c r="AA592" s="27">
        <f t="shared" si="11"/>
        <v>-1</v>
      </c>
      <c r="AB592" s="15">
        <f t="shared" si="151"/>
        <v>1</v>
      </c>
      <c r="AC592" s="15" t="str">
        <f t="shared" si="40"/>
        <v/>
      </c>
      <c r="AD592" s="15" t="str">
        <f t="shared" si="41"/>
        <v>$U-2000$: -1,</v>
      </c>
      <c r="AE592" s="15" t="str">
        <f t="shared" si="145"/>
        <v/>
      </c>
      <c r="AF592" s="15" t="str">
        <f t="shared" si="135"/>
        <v/>
      </c>
      <c r="AG592" s="15" t="str">
        <f t="shared" si="136"/>
        <v/>
      </c>
    </row>
    <row r="593" ht="15.75" customHeight="1">
      <c r="A593" s="16" t="s">
        <v>793</v>
      </c>
      <c r="B593" s="16" t="s">
        <v>793</v>
      </c>
      <c r="C593" s="17">
        <f t="shared" si="133"/>
        <v>80</v>
      </c>
      <c r="D593" s="16">
        <v>1946.0</v>
      </c>
      <c r="E593" s="16"/>
      <c r="F593" s="16" t="b">
        <v>0</v>
      </c>
      <c r="G593" s="16" t="b">
        <v>0</v>
      </c>
      <c r="H593" s="16" t="b">
        <v>0</v>
      </c>
      <c r="I593" s="16" t="b">
        <v>0</v>
      </c>
      <c r="J593" s="18" t="b">
        <v>0</v>
      </c>
      <c r="K593" s="16">
        <v>150.0</v>
      </c>
      <c r="L593" s="16">
        <v>49.3</v>
      </c>
      <c r="M593" s="16">
        <v>249.0</v>
      </c>
      <c r="N593" s="16">
        <v>1.5</v>
      </c>
      <c r="O593" s="16">
        <v>0.95</v>
      </c>
      <c r="P593" s="16">
        <v>0.95</v>
      </c>
      <c r="Q593" s="19">
        <f t="shared" si="2"/>
        <v>33.51467277</v>
      </c>
      <c r="R593" s="20">
        <f t="shared" si="3"/>
        <v>1.622718053</v>
      </c>
      <c r="S593" s="21">
        <f t="shared" si="4"/>
        <v>1.75</v>
      </c>
      <c r="T593" s="32">
        <v>80.0</v>
      </c>
      <c r="U593" s="22">
        <f>T593/vlookup(A593,Max!$A$2:$AP$700,column(Max!$AP$2),false)</f>
        <v>1.777777778</v>
      </c>
      <c r="V593" s="17">
        <f t="shared" si="6"/>
        <v>97.42301249</v>
      </c>
      <c r="W593" s="23">
        <f t="shared" si="7"/>
        <v>0.9029957385</v>
      </c>
      <c r="X593" s="23">
        <f t="shared" si="8"/>
        <v>0.9938253032</v>
      </c>
      <c r="Y593" s="23">
        <f t="shared" si="9"/>
        <v>1</v>
      </c>
      <c r="Z593" s="23">
        <f t="shared" si="10"/>
        <v>1.151098054</v>
      </c>
      <c r="AA593" s="26">
        <f t="shared" si="11"/>
        <v>0</v>
      </c>
      <c r="AB593" s="25">
        <v>0.0</v>
      </c>
      <c r="AC593" s="26" t="str">
        <f t="shared" si="40"/>
        <v>{
$name$: $Veronique$,
$config$: $Veronique$,
$cost$: 80
},</v>
      </c>
      <c r="AD593" s="26" t="str">
        <f t="shared" si="41"/>
        <v/>
      </c>
      <c r="AE593" s="26" t="str">
        <f t="shared" si="145"/>
        <v/>
      </c>
      <c r="AF593" s="26" t="str">
        <f t="shared" si="135"/>
        <v/>
      </c>
      <c r="AG593" s="26" t="str">
        <f t="shared" si="136"/>
        <v/>
      </c>
    </row>
    <row r="594" ht="15.75" customHeight="1">
      <c r="A594" s="7" t="s">
        <v>794</v>
      </c>
      <c r="B594" s="7" t="s">
        <v>793</v>
      </c>
      <c r="C594" s="8">
        <f t="shared" si="133"/>
        <v>10</v>
      </c>
      <c r="D594" s="7">
        <v>1954.0</v>
      </c>
      <c r="E594" s="7"/>
      <c r="F594" s="7" t="b">
        <v>0</v>
      </c>
      <c r="G594" s="7" t="b">
        <v>0</v>
      </c>
      <c r="H594" s="7" t="b">
        <v>0</v>
      </c>
      <c r="I594" s="7" t="b">
        <v>0</v>
      </c>
      <c r="J594" s="9" t="b">
        <v>0</v>
      </c>
      <c r="K594" s="7">
        <v>150.0</v>
      </c>
      <c r="L594" s="7">
        <v>49.3</v>
      </c>
      <c r="M594" s="7">
        <v>261.0</v>
      </c>
      <c r="N594" s="7">
        <v>1.76</v>
      </c>
      <c r="O594" s="7">
        <v>0.964286</v>
      </c>
      <c r="P594" s="7">
        <v>0.964286</v>
      </c>
      <c r="Q594" s="10">
        <f t="shared" si="2"/>
        <v>33.51467277</v>
      </c>
      <c r="R594" s="11">
        <f t="shared" si="3"/>
        <v>1.825557809</v>
      </c>
      <c r="S594" s="12">
        <f t="shared" si="4"/>
        <v>1.75</v>
      </c>
      <c r="T594" s="28">
        <v>90.0</v>
      </c>
      <c r="U594" s="13">
        <f>T594/vlookup(A594,Max!$A$2:$AP$700,column(Max!$AP$2),false)</f>
        <v>4.285714286</v>
      </c>
      <c r="V594" s="8">
        <f t="shared" si="6"/>
        <v>97.42301249</v>
      </c>
      <c r="W594" s="14">
        <f t="shared" si="7"/>
        <v>0.9177201729</v>
      </c>
      <c r="X594" s="14">
        <f t="shared" si="8"/>
        <v>1.042645018</v>
      </c>
      <c r="Y594" s="14">
        <f t="shared" si="9"/>
        <v>1</v>
      </c>
      <c r="Z594" s="14">
        <f t="shared" si="10"/>
        <v>1.072186976</v>
      </c>
      <c r="AA594" s="27">
        <f t="shared" si="11"/>
        <v>10</v>
      </c>
      <c r="AB594" s="15">
        <f t="shared" ref="AB594:AB595" si="152">if(iserror(find("$",A594)),1,2)</f>
        <v>1</v>
      </c>
      <c r="AC594" s="15" t="str">
        <f t="shared" si="40"/>
        <v/>
      </c>
      <c r="AD594" s="15" t="str">
        <f t="shared" si="41"/>
        <v>$VeroniqueAGI$: 10,</v>
      </c>
      <c r="AE594" s="15" t="str">
        <f t="shared" si="145"/>
        <v/>
      </c>
      <c r="AF594" s="15" t="str">
        <f t="shared" si="135"/>
        <v/>
      </c>
      <c r="AG594" s="15" t="str">
        <f t="shared" si="136"/>
        <v/>
      </c>
    </row>
    <row r="595" ht="15.75" customHeight="1">
      <c r="A595" s="16" t="s">
        <v>795</v>
      </c>
      <c r="B595" s="16" t="s">
        <v>793</v>
      </c>
      <c r="C595" s="17">
        <f t="shared" si="133"/>
        <v>12</v>
      </c>
      <c r="D595" s="16">
        <v>1956.0</v>
      </c>
      <c r="E595" s="16"/>
      <c r="F595" s="16" t="b">
        <v>0</v>
      </c>
      <c r="G595" s="16" t="b">
        <v>0</v>
      </c>
      <c r="H595" s="16" t="b">
        <v>0</v>
      </c>
      <c r="I595" s="16" t="b">
        <v>0</v>
      </c>
      <c r="J595" s="18" t="b">
        <v>0</v>
      </c>
      <c r="K595" s="16">
        <v>150.0</v>
      </c>
      <c r="L595" s="16">
        <v>73.8</v>
      </c>
      <c r="M595" s="16">
        <v>261.0</v>
      </c>
      <c r="N595" s="16">
        <v>1.76</v>
      </c>
      <c r="O595" s="16">
        <v>0.984091</v>
      </c>
      <c r="P595" s="16">
        <v>0.984091</v>
      </c>
      <c r="Q595" s="19">
        <f t="shared" si="2"/>
        <v>50.17003753</v>
      </c>
      <c r="R595" s="20">
        <f t="shared" si="3"/>
        <v>1.246612466</v>
      </c>
      <c r="S595" s="21">
        <f t="shared" si="4"/>
        <v>1.75</v>
      </c>
      <c r="T595" s="32">
        <v>92.0</v>
      </c>
      <c r="U595" s="22">
        <f>T595/vlookup(A595,Max!$A$2:$AP$700,column(Max!$AP$2),false)</f>
        <v>2.628571429</v>
      </c>
      <c r="V595" s="17">
        <f t="shared" si="6"/>
        <v>97.42301249</v>
      </c>
      <c r="W595" s="23">
        <f t="shared" si="7"/>
        <v>0.9177201729</v>
      </c>
      <c r="X595" s="23">
        <f t="shared" si="8"/>
        <v>1.042645018</v>
      </c>
      <c r="Y595" s="23">
        <f t="shared" si="9"/>
        <v>1</v>
      </c>
      <c r="Z595" s="23">
        <f t="shared" si="10"/>
        <v>1.089145482</v>
      </c>
      <c r="AA595" s="24">
        <f t="shared" si="11"/>
        <v>12</v>
      </c>
      <c r="AB595" s="26">
        <f t="shared" si="152"/>
        <v>1</v>
      </c>
      <c r="AC595" s="26" t="str">
        <f t="shared" si="40"/>
        <v/>
      </c>
      <c r="AD595" s="26" t="str">
        <f t="shared" si="41"/>
        <v>$Veronique61$: 12,</v>
      </c>
      <c r="AE595" s="26" t="str">
        <f t="shared" si="145"/>
        <v/>
      </c>
      <c r="AF595" s="26" t="str">
        <f t="shared" si="135"/>
        <v/>
      </c>
      <c r="AG595" s="26" t="str">
        <f t="shared" si="136"/>
        <v/>
      </c>
    </row>
    <row r="596" ht="15.75" customHeight="1">
      <c r="A596" s="7" t="s">
        <v>796</v>
      </c>
      <c r="B596" s="7" t="s">
        <v>797</v>
      </c>
      <c r="C596" s="8">
        <f t="shared" si="133"/>
        <v>100</v>
      </c>
      <c r="D596" s="7">
        <v>1964.0</v>
      </c>
      <c r="E596" s="7"/>
      <c r="F596" s="7" t="b">
        <v>0</v>
      </c>
      <c r="G596" s="7" t="b">
        <v>0</v>
      </c>
      <c r="H596" s="7" t="b">
        <v>0</v>
      </c>
      <c r="I596" s="7" t="b">
        <v>0</v>
      </c>
      <c r="J596" s="9" t="b">
        <v>0</v>
      </c>
      <c r="K596" s="7">
        <v>200.0</v>
      </c>
      <c r="L596" s="7">
        <v>153.7</v>
      </c>
      <c r="M596" s="7">
        <v>208.0</v>
      </c>
      <c r="N596" s="7">
        <v>1.76</v>
      </c>
      <c r="O596" s="7">
        <v>0.9</v>
      </c>
      <c r="P596" s="7">
        <v>0.966667</v>
      </c>
      <c r="Q596" s="10">
        <f t="shared" si="2"/>
        <v>78.36519074</v>
      </c>
      <c r="R596" s="11">
        <f t="shared" si="3"/>
        <v>0.6506180872</v>
      </c>
      <c r="S596" s="12">
        <f t="shared" si="4"/>
        <v>1.75</v>
      </c>
      <c r="T596" s="8">
        <f t="shared" ref="T596:T627" si="153">round(V596*W596*X596*Y596*Z596,0)</f>
        <v>100</v>
      </c>
      <c r="U596" s="13">
        <f>T596/vlookup(A596,Max!$A$2:$AP$700,column(Max!$AP$2),false)</f>
        <v>4.166666667</v>
      </c>
      <c r="V596" s="8">
        <f t="shared" si="6"/>
        <v>115.9959436</v>
      </c>
      <c r="W596" s="14">
        <f t="shared" si="7"/>
        <v>0.8768869312</v>
      </c>
      <c r="X596" s="14">
        <f t="shared" si="8"/>
        <v>1.042645018</v>
      </c>
      <c r="Y596" s="14">
        <f t="shared" si="9"/>
        <v>1</v>
      </c>
      <c r="Z596" s="14">
        <f t="shared" si="10"/>
        <v>0.9421157101</v>
      </c>
      <c r="AA596" s="15">
        <f t="shared" si="11"/>
        <v>0</v>
      </c>
      <c r="AB596" s="29">
        <v>0.0</v>
      </c>
      <c r="AC596" s="15" t="str">
        <f t="shared" si="40"/>
        <v>{
$name$: $Vesta$,
$config$: $Vexin$,
$cost$: 100
},</v>
      </c>
      <c r="AD596" s="15" t="str">
        <f t="shared" si="41"/>
        <v/>
      </c>
      <c r="AE596" s="15" t="str">
        <f t="shared" si="145"/>
        <v/>
      </c>
      <c r="AF596" s="15" t="str">
        <f t="shared" si="135"/>
        <v/>
      </c>
      <c r="AG596" s="15" t="str">
        <f t="shared" si="136"/>
        <v/>
      </c>
    </row>
    <row r="597" ht="15.75" customHeight="1">
      <c r="A597" s="16" t="s">
        <v>797</v>
      </c>
      <c r="B597" s="16" t="s">
        <v>797</v>
      </c>
      <c r="C597" s="17">
        <f t="shared" si="133"/>
        <v>-12</v>
      </c>
      <c r="D597" s="16">
        <v>1965.0</v>
      </c>
      <c r="E597" s="16"/>
      <c r="F597" s="16" t="b">
        <v>0</v>
      </c>
      <c r="G597" s="16" t="b">
        <v>0</v>
      </c>
      <c r="H597" s="16" t="b">
        <v>0</v>
      </c>
      <c r="I597" s="16" t="b">
        <v>0</v>
      </c>
      <c r="J597" s="18" t="b">
        <v>0</v>
      </c>
      <c r="K597" s="16">
        <v>190.0</v>
      </c>
      <c r="L597" s="16">
        <v>320.6</v>
      </c>
      <c r="M597" s="16">
        <v>230.0</v>
      </c>
      <c r="N597" s="16">
        <v>1.76</v>
      </c>
      <c r="O597" s="16">
        <v>0.925</v>
      </c>
      <c r="P597" s="16">
        <v>0.925</v>
      </c>
      <c r="Q597" s="19">
        <f t="shared" si="2"/>
        <v>172.0636931</v>
      </c>
      <c r="R597" s="20">
        <f t="shared" si="3"/>
        <v>0.27448534</v>
      </c>
      <c r="S597" s="21">
        <f t="shared" si="4"/>
        <v>1.75</v>
      </c>
      <c r="T597" s="17">
        <f t="shared" si="153"/>
        <v>88</v>
      </c>
      <c r="U597" s="22">
        <f>T597/vlookup(A597,Max!$A$2:$AP$700,column(Max!$AP$2),false)</f>
        <v>1.073170732</v>
      </c>
      <c r="V597" s="17">
        <f t="shared" si="6"/>
        <v>112.4384342</v>
      </c>
      <c r="W597" s="23">
        <f t="shared" si="7"/>
        <v>0.8868200397</v>
      </c>
      <c r="X597" s="23">
        <f t="shared" si="8"/>
        <v>1.042645018</v>
      </c>
      <c r="Y597" s="23">
        <f t="shared" si="9"/>
        <v>1</v>
      </c>
      <c r="Z597" s="23">
        <f t="shared" si="10"/>
        <v>0.8438521191</v>
      </c>
      <c r="AA597" s="24">
        <f t="shared" si="11"/>
        <v>-12</v>
      </c>
      <c r="AB597" s="26">
        <f t="shared" ref="AB597:AB600" si="154">if(iserror(find("$",A597)),1,2)</f>
        <v>1</v>
      </c>
      <c r="AC597" s="26" t="str">
        <f t="shared" si="40"/>
        <v/>
      </c>
      <c r="AD597" s="26" t="str">
        <f t="shared" si="41"/>
        <v>$Vexin$: -12,</v>
      </c>
      <c r="AE597" s="26" t="str">
        <f t="shared" si="145"/>
        <v/>
      </c>
      <c r="AF597" s="26" t="str">
        <f t="shared" si="135"/>
        <v/>
      </c>
      <c r="AG597" s="26" t="str">
        <f t="shared" si="136"/>
        <v/>
      </c>
    </row>
    <row r="598" ht="15.75" customHeight="1">
      <c r="A598" s="9" t="s">
        <v>798</v>
      </c>
      <c r="B598" s="7" t="s">
        <v>797</v>
      </c>
      <c r="C598" s="8">
        <f t="shared" si="133"/>
        <v>29</v>
      </c>
      <c r="D598" s="7">
        <v>1970.0</v>
      </c>
      <c r="E598" s="7"/>
      <c r="F598" s="7" t="b">
        <v>0</v>
      </c>
      <c r="G598" s="7" t="b">
        <v>0</v>
      </c>
      <c r="H598" s="7" t="b">
        <v>0</v>
      </c>
      <c r="I598" s="7" t="b">
        <v>0</v>
      </c>
      <c r="J598" s="9" t="b">
        <v>0</v>
      </c>
      <c r="K598" s="7">
        <v>252.0</v>
      </c>
      <c r="L598" s="7">
        <v>406.8</v>
      </c>
      <c r="M598" s="7">
        <v>259.0</v>
      </c>
      <c r="N598" s="7">
        <v>1.96</v>
      </c>
      <c r="O598" s="7">
        <v>0.983333</v>
      </c>
      <c r="P598" s="7">
        <v>0.983333</v>
      </c>
      <c r="Q598" s="10">
        <f t="shared" si="2"/>
        <v>164.611331</v>
      </c>
      <c r="R598" s="11">
        <f t="shared" si="3"/>
        <v>0.3171091445</v>
      </c>
      <c r="S598" s="12">
        <f t="shared" si="4"/>
        <v>1.75</v>
      </c>
      <c r="T598" s="8">
        <f t="shared" si="153"/>
        <v>129</v>
      </c>
      <c r="U598" s="13" t="str">
        <f>T598/vlookup(A598,Max!$A$2:$AP$700,column(Max!$AP$2),false)</f>
        <v>#N/A</v>
      </c>
      <c r="V598" s="8">
        <f t="shared" si="6"/>
        <v>133.5002693</v>
      </c>
      <c r="W598" s="14">
        <f t="shared" si="7"/>
        <v>0.9149901622</v>
      </c>
      <c r="X598" s="14">
        <f t="shared" si="8"/>
        <v>1.076860615</v>
      </c>
      <c r="Y598" s="14">
        <f t="shared" si="9"/>
        <v>1</v>
      </c>
      <c r="Z598" s="14">
        <f t="shared" si="10"/>
        <v>0.9832490797</v>
      </c>
      <c r="AA598" s="27">
        <f t="shared" si="11"/>
        <v>29</v>
      </c>
      <c r="AB598" s="15">
        <f t="shared" si="154"/>
        <v>1</v>
      </c>
      <c r="AC598" s="15" t="str">
        <f t="shared" si="40"/>
        <v/>
      </c>
      <c r="AD598" s="15" t="str">
        <f t="shared" si="41"/>
        <v>$Valois-A$: 29,</v>
      </c>
      <c r="AE598" s="15" t="str">
        <f t="shared" si="145"/>
        <v/>
      </c>
      <c r="AF598" s="15" t="str">
        <f t="shared" si="135"/>
        <v/>
      </c>
      <c r="AG598" s="15" t="str">
        <f t="shared" si="136"/>
        <v/>
      </c>
    </row>
    <row r="599" ht="15.75" customHeight="1">
      <c r="A599" s="18" t="s">
        <v>799</v>
      </c>
      <c r="B599" s="16" t="s">
        <v>797</v>
      </c>
      <c r="C599" s="17">
        <f t="shared" si="133"/>
        <v>30</v>
      </c>
      <c r="D599" s="16"/>
      <c r="E599" s="16"/>
      <c r="F599" s="16" t="b">
        <v>0</v>
      </c>
      <c r="G599" s="16" t="b">
        <v>0</v>
      </c>
      <c r="H599" s="16" t="b">
        <v>0</v>
      </c>
      <c r="I599" s="16" t="b">
        <v>0</v>
      </c>
      <c r="J599" s="18" t="b">
        <v>0</v>
      </c>
      <c r="K599" s="16">
        <v>252.0</v>
      </c>
      <c r="L599" s="16">
        <v>373.5</v>
      </c>
      <c r="M599" s="16">
        <v>250.0</v>
      </c>
      <c r="N599" s="16">
        <v>1.96</v>
      </c>
      <c r="O599" s="16">
        <v>0.983333</v>
      </c>
      <c r="P599" s="16">
        <v>0.983333</v>
      </c>
      <c r="Q599" s="19">
        <f t="shared" si="2"/>
        <v>151.1365097</v>
      </c>
      <c r="R599" s="20">
        <f t="shared" si="3"/>
        <v>0.3480589023</v>
      </c>
      <c r="S599" s="21">
        <f t="shared" si="4"/>
        <v>1.75</v>
      </c>
      <c r="T599" s="17">
        <f t="shared" si="153"/>
        <v>130</v>
      </c>
      <c r="U599" s="22" t="str">
        <f>T599/vlookup(A599,Max!$A$2:$AP$700,column(Max!$AP$2),false)</f>
        <v>#N/A</v>
      </c>
      <c r="V599" s="17">
        <f t="shared" si="6"/>
        <v>133.5002693</v>
      </c>
      <c r="W599" s="23">
        <f t="shared" si="7"/>
        <v>0.9040773495</v>
      </c>
      <c r="X599" s="23">
        <f t="shared" si="8"/>
        <v>1.076860615</v>
      </c>
      <c r="Y599" s="23">
        <f t="shared" si="9"/>
        <v>1</v>
      </c>
      <c r="Z599" s="23">
        <f t="shared" si="10"/>
        <v>1</v>
      </c>
      <c r="AA599" s="24">
        <f t="shared" si="11"/>
        <v>30</v>
      </c>
      <c r="AB599" s="26">
        <f t="shared" si="154"/>
        <v>1</v>
      </c>
      <c r="AC599" s="26" t="str">
        <f t="shared" si="40"/>
        <v/>
      </c>
      <c r="AD599" s="26" t="str">
        <f t="shared" si="41"/>
        <v>$Valois-B$: 30,</v>
      </c>
      <c r="AE599" s="26" t="str">
        <f t="shared" si="145"/>
        <v/>
      </c>
      <c r="AF599" s="26" t="str">
        <f t="shared" si="135"/>
        <v/>
      </c>
      <c r="AG599" s="26" t="str">
        <f t="shared" si="136"/>
        <v/>
      </c>
    </row>
    <row r="600" ht="15.75" customHeight="1">
      <c r="A600" s="9" t="s">
        <v>800</v>
      </c>
      <c r="B600" s="7" t="s">
        <v>797</v>
      </c>
      <c r="C600" s="8">
        <f t="shared" si="133"/>
        <v>4</v>
      </c>
      <c r="D600" s="7"/>
      <c r="E600" s="7"/>
      <c r="F600" s="7" t="b">
        <v>0</v>
      </c>
      <c r="G600" s="7" t="b">
        <v>0</v>
      </c>
      <c r="H600" s="7" t="b">
        <v>0</v>
      </c>
      <c r="I600" s="7" t="b">
        <v>0</v>
      </c>
      <c r="J600" s="9" t="b">
        <v>0</v>
      </c>
      <c r="K600" s="7">
        <v>192.0</v>
      </c>
      <c r="L600" s="7">
        <v>262.0</v>
      </c>
      <c r="M600" s="7">
        <v>281.0</v>
      </c>
      <c r="N600" s="7">
        <v>1.38</v>
      </c>
      <c r="O600" s="7">
        <v>0.978571</v>
      </c>
      <c r="P600" s="7">
        <v>0.921429</v>
      </c>
      <c r="Q600" s="10">
        <f t="shared" si="2"/>
        <v>139.1487745</v>
      </c>
      <c r="R600" s="11">
        <f t="shared" si="3"/>
        <v>0.3969465649</v>
      </c>
      <c r="S600" s="12">
        <f t="shared" si="4"/>
        <v>1.75</v>
      </c>
      <c r="T600" s="8">
        <f t="shared" si="153"/>
        <v>104</v>
      </c>
      <c r="U600" s="13" t="str">
        <f>T600/vlookup(A600,Max!$A$2:$AP$700,column(Max!$AP$2),false)</f>
        <v>#N/A</v>
      </c>
      <c r="V600" s="8">
        <f t="shared" si="6"/>
        <v>113.1555611</v>
      </c>
      <c r="W600" s="14">
        <f t="shared" si="7"/>
        <v>0.9521631698</v>
      </c>
      <c r="X600" s="14">
        <f t="shared" si="8"/>
        <v>0.9692736313</v>
      </c>
      <c r="Y600" s="14">
        <f t="shared" si="9"/>
        <v>1</v>
      </c>
      <c r="Z600" s="14">
        <f t="shared" si="10"/>
        <v>1</v>
      </c>
      <c r="AA600" s="27">
        <f t="shared" si="11"/>
        <v>4</v>
      </c>
      <c r="AB600" s="15">
        <f t="shared" si="154"/>
        <v>1</v>
      </c>
      <c r="AC600" s="15" t="str">
        <f t="shared" si="40"/>
        <v/>
      </c>
      <c r="AD600" s="15" t="str">
        <f t="shared" si="41"/>
        <v>$Vexin-A$: 4,</v>
      </c>
      <c r="AE600" s="15" t="str">
        <f t="shared" si="145"/>
        <v/>
      </c>
      <c r="AF600" s="15" t="str">
        <f t="shared" si="135"/>
        <v/>
      </c>
      <c r="AG600" s="15" t="str">
        <f t="shared" si="136"/>
        <v/>
      </c>
    </row>
    <row r="601" ht="15.75" customHeight="1">
      <c r="A601" s="16" t="s">
        <v>801</v>
      </c>
      <c r="B601" s="16" t="s">
        <v>802</v>
      </c>
      <c r="C601" s="17">
        <f t="shared" si="133"/>
        <v>394</v>
      </c>
      <c r="D601" s="16">
        <v>1993.0</v>
      </c>
      <c r="E601" s="16"/>
      <c r="F601" s="16" t="b">
        <v>1</v>
      </c>
      <c r="G601" s="16" t="b">
        <v>0</v>
      </c>
      <c r="H601" s="16" t="b">
        <v>0</v>
      </c>
      <c r="I601" s="16" t="b">
        <v>0</v>
      </c>
      <c r="J601" s="18" t="b">
        <v>0</v>
      </c>
      <c r="K601" s="16">
        <v>876.0</v>
      </c>
      <c r="L601" s="16">
        <v>680.5</v>
      </c>
      <c r="M601" s="16">
        <v>280.9</v>
      </c>
      <c r="N601" s="16">
        <v>5.44</v>
      </c>
      <c r="O601" s="16">
        <v>0.98</v>
      </c>
      <c r="P601" s="16">
        <v>0.985</v>
      </c>
      <c r="Q601" s="19">
        <f t="shared" si="2"/>
        <v>79.21425581</v>
      </c>
      <c r="R601" s="20">
        <f t="shared" si="3"/>
        <v>0.5789860397</v>
      </c>
      <c r="S601" s="21">
        <f t="shared" si="4"/>
        <v>4</v>
      </c>
      <c r="T601" s="17">
        <f t="shared" si="153"/>
        <v>394</v>
      </c>
      <c r="U601" s="22">
        <f>T601/vlookup(A601,Max!$A$2:$AP$700,column(Max!$AP$2),false)</f>
        <v>3.752380952</v>
      </c>
      <c r="V601" s="17">
        <f t="shared" si="6"/>
        <v>286.3189328</v>
      </c>
      <c r="W601" s="23">
        <f t="shared" si="7"/>
        <v>0.951954703</v>
      </c>
      <c r="X601" s="23">
        <f t="shared" si="8"/>
        <v>1.462723848</v>
      </c>
      <c r="Y601" s="23">
        <f t="shared" si="9"/>
        <v>1</v>
      </c>
      <c r="Z601" s="23">
        <f t="shared" si="10"/>
        <v>0.9874215238</v>
      </c>
      <c r="AA601" s="26">
        <f t="shared" si="11"/>
        <v>0</v>
      </c>
      <c r="AB601" s="25">
        <v>0.0</v>
      </c>
      <c r="AC601" s="26" t="str">
        <f t="shared" si="40"/>
        <v>{
$name$: $Vikas-1$,
$config$: $Vikas$,
$cost$: 394
},</v>
      </c>
      <c r="AD601" s="26" t="str">
        <f t="shared" si="41"/>
        <v/>
      </c>
      <c r="AE601" s="26" t="str">
        <f t="shared" si="145"/>
        <v/>
      </c>
      <c r="AF601" s="26" t="str">
        <f t="shared" si="135"/>
        <v/>
      </c>
      <c r="AG601" s="26" t="str">
        <f t="shared" si="136"/>
        <v/>
      </c>
    </row>
    <row r="602" ht="15.75" customHeight="1">
      <c r="A602" s="7" t="s">
        <v>803</v>
      </c>
      <c r="B602" s="7" t="s">
        <v>802</v>
      </c>
      <c r="C602" s="8">
        <f t="shared" si="133"/>
        <v>18</v>
      </c>
      <c r="D602" s="7">
        <v>2004.0</v>
      </c>
      <c r="E602" s="7"/>
      <c r="F602" s="7" t="b">
        <v>1</v>
      </c>
      <c r="G602" s="7" t="b">
        <v>0</v>
      </c>
      <c r="H602" s="7" t="b">
        <v>0</v>
      </c>
      <c r="I602" s="7" t="b">
        <v>0</v>
      </c>
      <c r="J602" s="9" t="b">
        <v>0</v>
      </c>
      <c r="K602" s="7">
        <v>876.0</v>
      </c>
      <c r="L602" s="7">
        <v>765.5</v>
      </c>
      <c r="M602" s="7">
        <v>289.7</v>
      </c>
      <c r="N602" s="7">
        <v>5.44</v>
      </c>
      <c r="O602" s="7">
        <v>0.9965</v>
      </c>
      <c r="P602" s="7">
        <v>0.995</v>
      </c>
      <c r="Q602" s="10">
        <f t="shared" si="2"/>
        <v>89.10876241</v>
      </c>
      <c r="R602" s="11">
        <f t="shared" si="3"/>
        <v>0.5382103201</v>
      </c>
      <c r="S602" s="12">
        <f t="shared" si="4"/>
        <v>4</v>
      </c>
      <c r="T602" s="8">
        <f t="shared" si="153"/>
        <v>412</v>
      </c>
      <c r="U602" s="13">
        <f>T602/vlookup(A602,Max!$A$2:$AP$700,column(Max!$AP$2),false)</f>
        <v>2.575</v>
      </c>
      <c r="V602" s="8">
        <f t="shared" si="6"/>
        <v>286.3189328</v>
      </c>
      <c r="W602" s="14">
        <f t="shared" si="7"/>
        <v>0.9719303779</v>
      </c>
      <c r="X602" s="14">
        <f t="shared" si="8"/>
        <v>1.462723848</v>
      </c>
      <c r="Y602" s="14">
        <f t="shared" si="9"/>
        <v>1</v>
      </c>
      <c r="Z602" s="14">
        <f t="shared" si="10"/>
        <v>1.01267413</v>
      </c>
      <c r="AA602" s="27">
        <f t="shared" si="11"/>
        <v>18</v>
      </c>
      <c r="AB602" s="15">
        <f t="shared" ref="AB602:AB605" si="155">if(iserror(find("$",A602)),1,2)</f>
        <v>1</v>
      </c>
      <c r="AC602" s="15" t="str">
        <f t="shared" si="40"/>
        <v/>
      </c>
      <c r="AD602" s="15" t="str">
        <f t="shared" si="41"/>
        <v>$Vikas-1+$: 18,</v>
      </c>
      <c r="AE602" s="15" t="str">
        <f t="shared" si="145"/>
        <v/>
      </c>
      <c r="AF602" s="15" t="str">
        <f t="shared" si="135"/>
        <v/>
      </c>
      <c r="AG602" s="15" t="str">
        <f t="shared" si="136"/>
        <v/>
      </c>
    </row>
    <row r="603" ht="15.75" customHeight="1">
      <c r="A603" s="16" t="s">
        <v>804</v>
      </c>
      <c r="B603" s="16" t="s">
        <v>802</v>
      </c>
      <c r="C603" s="17">
        <f t="shared" si="133"/>
        <v>-28</v>
      </c>
      <c r="D603" s="16">
        <v>2004.0</v>
      </c>
      <c r="E603" s="16"/>
      <c r="F603" s="16" t="b">
        <v>1</v>
      </c>
      <c r="G603" s="16" t="b">
        <v>0</v>
      </c>
      <c r="H603" s="16" t="b">
        <v>1</v>
      </c>
      <c r="I603" s="16" t="b">
        <v>0</v>
      </c>
      <c r="J603" s="18" t="b">
        <v>0</v>
      </c>
      <c r="K603" s="16">
        <v>905.0</v>
      </c>
      <c r="L603" s="16">
        <v>725.0</v>
      </c>
      <c r="M603" s="16">
        <v>295.9</v>
      </c>
      <c r="N603" s="16">
        <v>5.85</v>
      </c>
      <c r="O603" s="16">
        <v>0.98</v>
      </c>
      <c r="P603" s="16">
        <v>0.985</v>
      </c>
      <c r="Q603" s="19">
        <f t="shared" si="2"/>
        <v>81.68997262</v>
      </c>
      <c r="R603" s="20">
        <f t="shared" si="3"/>
        <v>0.5048275862</v>
      </c>
      <c r="S603" s="21">
        <f t="shared" si="4"/>
        <v>4</v>
      </c>
      <c r="T603" s="17">
        <f t="shared" si="153"/>
        <v>366</v>
      </c>
      <c r="U603" s="22">
        <f>T603/vlookup(A603,Max!$A$2:$AP$700,column(Max!$AP$2),false)</f>
        <v>4.159090909</v>
      </c>
      <c r="V603" s="17">
        <f t="shared" si="6"/>
        <v>292.1199189</v>
      </c>
      <c r="W603" s="23">
        <f t="shared" si="7"/>
        <v>0.9881653635</v>
      </c>
      <c r="X603" s="23">
        <f t="shared" si="8"/>
        <v>1.351985625</v>
      </c>
      <c r="Y603" s="23">
        <f t="shared" si="9"/>
        <v>1</v>
      </c>
      <c r="Z603" s="23">
        <f t="shared" si="10"/>
        <v>0.938788539</v>
      </c>
      <c r="AA603" s="24">
        <f t="shared" si="11"/>
        <v>-28</v>
      </c>
      <c r="AB603" s="26">
        <f t="shared" si="155"/>
        <v>1</v>
      </c>
      <c r="AC603" s="26" t="str">
        <f t="shared" si="40"/>
        <v/>
      </c>
      <c r="AD603" s="26" t="str">
        <f t="shared" si="41"/>
        <v>$Vikas-2$: -28,</v>
      </c>
      <c r="AE603" s="26" t="str">
        <f t="shared" si="145"/>
        <v/>
      </c>
      <c r="AF603" s="26" t="str">
        <f t="shared" si="135"/>
        <v/>
      </c>
      <c r="AG603" s="26" t="str">
        <f t="shared" si="136"/>
        <v/>
      </c>
    </row>
    <row r="604" ht="15.75" customHeight="1">
      <c r="A604" s="7" t="s">
        <v>805</v>
      </c>
      <c r="B604" s="7" t="s">
        <v>802</v>
      </c>
      <c r="C604" s="8">
        <f t="shared" si="133"/>
        <v>5</v>
      </c>
      <c r="D604" s="7">
        <v>2010.0</v>
      </c>
      <c r="E604" s="7"/>
      <c r="F604" s="7" t="b">
        <v>1</v>
      </c>
      <c r="G604" s="7" t="b">
        <v>0</v>
      </c>
      <c r="H604" s="7" t="b">
        <v>1</v>
      </c>
      <c r="I604" s="7" t="b">
        <v>0</v>
      </c>
      <c r="J604" s="9" t="b">
        <v>0</v>
      </c>
      <c r="K604" s="7">
        <v>905.0</v>
      </c>
      <c r="L604" s="7">
        <v>804.5</v>
      </c>
      <c r="M604" s="7">
        <v>301.9</v>
      </c>
      <c r="N604" s="7">
        <v>5.85</v>
      </c>
      <c r="O604" s="7">
        <v>0.9965</v>
      </c>
      <c r="P604" s="7">
        <v>0.995</v>
      </c>
      <c r="Q604" s="10">
        <f t="shared" si="2"/>
        <v>90.64770066</v>
      </c>
      <c r="R604" s="11">
        <f t="shared" si="3"/>
        <v>0.4959602237</v>
      </c>
      <c r="S604" s="12">
        <f t="shared" si="4"/>
        <v>4</v>
      </c>
      <c r="T604" s="8">
        <f t="shared" si="153"/>
        <v>399</v>
      </c>
      <c r="U604" s="13">
        <f>T604/vlookup(A604,Max!$A$2:$AP$700,column(Max!$AP$2),false)</f>
        <v>2.85</v>
      </c>
      <c r="V604" s="8">
        <f t="shared" si="6"/>
        <v>292.1199189</v>
      </c>
      <c r="W604" s="14">
        <f t="shared" si="7"/>
        <v>1.006688354</v>
      </c>
      <c r="X604" s="14">
        <f t="shared" si="8"/>
        <v>1.351985625</v>
      </c>
      <c r="Y604" s="14">
        <f t="shared" si="9"/>
        <v>1</v>
      </c>
      <c r="Z604" s="14">
        <f t="shared" si="10"/>
        <v>1.003836477</v>
      </c>
      <c r="AA604" s="27">
        <f t="shared" si="11"/>
        <v>5</v>
      </c>
      <c r="AB604" s="15">
        <f t="shared" si="155"/>
        <v>1</v>
      </c>
      <c r="AC604" s="15" t="str">
        <f t="shared" si="40"/>
        <v/>
      </c>
      <c r="AD604" s="15" t="str">
        <f t="shared" si="41"/>
        <v>$Vikas-2B$: 5,</v>
      </c>
      <c r="AE604" s="15" t="str">
        <f t="shared" si="145"/>
        <v/>
      </c>
      <c r="AF604" s="15" t="str">
        <f t="shared" si="135"/>
        <v/>
      </c>
      <c r="AG604" s="15" t="str">
        <f t="shared" si="136"/>
        <v/>
      </c>
    </row>
    <row r="605" ht="15.75" customHeight="1">
      <c r="A605" s="16" t="s">
        <v>806</v>
      </c>
      <c r="B605" s="16" t="s">
        <v>802</v>
      </c>
      <c r="C605" s="17">
        <f t="shared" si="133"/>
        <v>33</v>
      </c>
      <c r="D605" s="16"/>
      <c r="E605" s="16"/>
      <c r="F605" s="16" t="b">
        <v>1</v>
      </c>
      <c r="G605" s="16" t="b">
        <v>0</v>
      </c>
      <c r="H605" s="16" t="b">
        <v>0</v>
      </c>
      <c r="I605" s="16" t="b">
        <v>0</v>
      </c>
      <c r="J605" s="18" t="b">
        <v>0</v>
      </c>
      <c r="K605" s="16">
        <v>876.0</v>
      </c>
      <c r="L605" s="16">
        <v>821.0</v>
      </c>
      <c r="M605" s="16">
        <v>292.9</v>
      </c>
      <c r="N605" s="16">
        <v>6.2</v>
      </c>
      <c r="O605" s="16">
        <v>0.9965</v>
      </c>
      <c r="P605" s="16">
        <v>0.995</v>
      </c>
      <c r="Q605" s="19">
        <f t="shared" si="2"/>
        <v>95.5692932</v>
      </c>
      <c r="R605" s="20">
        <f t="shared" si="3"/>
        <v>0.5200974421</v>
      </c>
      <c r="S605" s="21">
        <f t="shared" si="4"/>
        <v>4</v>
      </c>
      <c r="T605" s="17">
        <f t="shared" si="153"/>
        <v>427</v>
      </c>
      <c r="U605" s="22">
        <f>T605/vlookup(A605,Max!$A$2:$AP$700,column(Max!$AP$2),false)</f>
        <v>2.372222222</v>
      </c>
      <c r="V605" s="17">
        <f t="shared" si="6"/>
        <v>286.3189328</v>
      </c>
      <c r="W605" s="23">
        <f t="shared" si="7"/>
        <v>0.9800705801</v>
      </c>
      <c r="X605" s="23">
        <f t="shared" si="8"/>
        <v>1.521248556</v>
      </c>
      <c r="Y605" s="23">
        <f t="shared" si="9"/>
        <v>1</v>
      </c>
      <c r="Z605" s="23">
        <f t="shared" si="10"/>
        <v>1</v>
      </c>
      <c r="AA605" s="24">
        <f t="shared" si="11"/>
        <v>33</v>
      </c>
      <c r="AB605" s="26">
        <f t="shared" si="155"/>
        <v>1</v>
      </c>
      <c r="AC605" s="26" t="str">
        <f t="shared" si="40"/>
        <v/>
      </c>
      <c r="AD605" s="26" t="str">
        <f t="shared" si="41"/>
        <v>$Vikas-X$: 33,</v>
      </c>
      <c r="AE605" s="26" t="str">
        <f t="shared" si="145"/>
        <v/>
      </c>
      <c r="AF605" s="26" t="str">
        <f t="shared" si="135"/>
        <v/>
      </c>
      <c r="AG605" s="26" t="str">
        <f t="shared" si="136"/>
        <v/>
      </c>
    </row>
    <row r="606" ht="15.75" customHeight="1">
      <c r="A606" s="7" t="s">
        <v>807</v>
      </c>
      <c r="B606" s="7" t="s">
        <v>808</v>
      </c>
      <c r="C606" s="8">
        <f t="shared" si="133"/>
        <v>373</v>
      </c>
      <c r="D606" s="7">
        <v>1958.0</v>
      </c>
      <c r="E606" s="7"/>
      <c r="F606" s="7" t="b">
        <v>1</v>
      </c>
      <c r="G606" s="7" t="b">
        <v>0</v>
      </c>
      <c r="H606" s="7" t="b">
        <v>0</v>
      </c>
      <c r="I606" s="7" t="b">
        <v>0</v>
      </c>
      <c r="J606" s="9" t="b">
        <v>0</v>
      </c>
      <c r="K606" s="7">
        <v>776.0</v>
      </c>
      <c r="L606" s="7">
        <v>698.0</v>
      </c>
      <c r="M606" s="7">
        <v>282.4</v>
      </c>
      <c r="N606" s="7">
        <v>5.345</v>
      </c>
      <c r="O606" s="7">
        <v>0.969444</v>
      </c>
      <c r="P606" s="7">
        <v>0.969444</v>
      </c>
      <c r="Q606" s="10">
        <f t="shared" si="2"/>
        <v>91.72189621</v>
      </c>
      <c r="R606" s="11">
        <f t="shared" si="3"/>
        <v>0.5343839542</v>
      </c>
      <c r="S606" s="12">
        <f t="shared" si="4"/>
        <v>4</v>
      </c>
      <c r="T606" s="8">
        <f t="shared" si="153"/>
        <v>373</v>
      </c>
      <c r="U606" s="13">
        <f>T606/vlookup(A606,Max!$A$2:$AP$700,column(Max!$AP$2),false)</f>
        <v>1.065714286</v>
      </c>
      <c r="V606" s="8">
        <f t="shared" si="6"/>
        <v>265.7360137</v>
      </c>
      <c r="W606" s="14">
        <f t="shared" si="7"/>
        <v>0.9551245847</v>
      </c>
      <c r="X606" s="14">
        <f t="shared" si="8"/>
        <v>1.455013373</v>
      </c>
      <c r="Y606" s="14">
        <f t="shared" si="9"/>
        <v>1</v>
      </c>
      <c r="Z606" s="14">
        <f t="shared" si="10"/>
        <v>1.00985565</v>
      </c>
      <c r="AA606" s="15">
        <f t="shared" si="11"/>
        <v>0</v>
      </c>
      <c r="AB606" s="29">
        <v>0.0</v>
      </c>
      <c r="AC606" s="15" t="str">
        <f t="shared" si="40"/>
        <v>{
$name$: $Viking-2$,
$config$: $VIking$,
$cost$: 373
},</v>
      </c>
      <c r="AD606" s="15" t="str">
        <f t="shared" si="41"/>
        <v/>
      </c>
      <c r="AE606" s="15" t="str">
        <f t="shared" si="145"/>
        <v/>
      </c>
      <c r="AF606" s="15" t="str">
        <f t="shared" si="135"/>
        <v/>
      </c>
      <c r="AG606" s="15" t="str">
        <f t="shared" si="136"/>
        <v/>
      </c>
    </row>
    <row r="607" ht="15.75" customHeight="1">
      <c r="A607" s="16" t="s">
        <v>809</v>
      </c>
      <c r="B607" s="16" t="s">
        <v>810</v>
      </c>
      <c r="C607" s="17">
        <f t="shared" si="133"/>
        <v>1</v>
      </c>
      <c r="D607" s="16">
        <v>1959.0</v>
      </c>
      <c r="E607" s="16"/>
      <c r="F607" s="16" t="b">
        <v>1</v>
      </c>
      <c r="G607" s="16" t="b">
        <v>0</v>
      </c>
      <c r="H607" s="16" t="b">
        <v>1</v>
      </c>
      <c r="I607" s="16" t="b">
        <v>0</v>
      </c>
      <c r="J607" s="18" t="b">
        <v>0</v>
      </c>
      <c r="K607" s="16">
        <v>905.0</v>
      </c>
      <c r="L607" s="16">
        <v>721.4</v>
      </c>
      <c r="M607" s="16">
        <v>289.9</v>
      </c>
      <c r="N607" s="16">
        <v>5.236</v>
      </c>
      <c r="O607" s="16">
        <v>0.986364</v>
      </c>
      <c r="P607" s="16">
        <v>0.986364</v>
      </c>
      <c r="Q607" s="19">
        <f t="shared" si="2"/>
        <v>81.28433966</v>
      </c>
      <c r="R607" s="20">
        <f t="shared" si="3"/>
        <v>0.5184363737</v>
      </c>
      <c r="S607" s="21">
        <f t="shared" si="4"/>
        <v>4</v>
      </c>
      <c r="T607" s="17">
        <f t="shared" si="153"/>
        <v>374</v>
      </c>
      <c r="U607" s="22">
        <f>T607/vlookup(A607,Max!$A$2:$AP$700,column(Max!$AP$2),false)</f>
        <v>1.206451613</v>
      </c>
      <c r="V607" s="17">
        <f t="shared" si="6"/>
        <v>292.1199189</v>
      </c>
      <c r="W607" s="23">
        <f t="shared" si="7"/>
        <v>0.9724247215</v>
      </c>
      <c r="X607" s="23">
        <f t="shared" si="8"/>
        <v>1.318672419</v>
      </c>
      <c r="Y607" s="23">
        <f t="shared" si="9"/>
        <v>1</v>
      </c>
      <c r="Z607" s="23">
        <f t="shared" si="10"/>
        <v>0.9986246634</v>
      </c>
      <c r="AA607" s="24">
        <f t="shared" si="11"/>
        <v>1</v>
      </c>
      <c r="AB607" s="26">
        <f t="shared" ref="AB607:AB613" si="156">if(iserror(find("$",A607)),1,2)</f>
        <v>1</v>
      </c>
      <c r="AC607" s="26" t="str">
        <f t="shared" si="40"/>
        <v/>
      </c>
      <c r="AD607" s="26" t="str">
        <f t="shared" si="41"/>
        <v>$Viking-4$: 1,</v>
      </c>
      <c r="AE607" s="26" t="str">
        <f t="shared" si="145"/>
        <v/>
      </c>
      <c r="AF607" s="26" t="str">
        <f t="shared" si="135"/>
        <v/>
      </c>
      <c r="AG607" s="26" t="str">
        <f t="shared" si="136"/>
        <v/>
      </c>
    </row>
    <row r="608" ht="15.75" customHeight="1">
      <c r="A608" s="7" t="s">
        <v>811</v>
      </c>
      <c r="B608" s="7" t="s">
        <v>810</v>
      </c>
      <c r="C608" s="8">
        <f t="shared" si="133"/>
        <v>45</v>
      </c>
      <c r="D608" s="7">
        <v>1959.0</v>
      </c>
      <c r="E608" s="7"/>
      <c r="F608" s="7" t="b">
        <v>1</v>
      </c>
      <c r="G608" s="7" t="b">
        <v>0</v>
      </c>
      <c r="H608" s="7" t="b">
        <v>0</v>
      </c>
      <c r="I608" s="7" t="b">
        <v>0</v>
      </c>
      <c r="J608" s="9" t="b">
        <v>0</v>
      </c>
      <c r="K608" s="7">
        <v>876.0</v>
      </c>
      <c r="L608" s="7">
        <v>695.8</v>
      </c>
      <c r="M608" s="7">
        <v>280.6</v>
      </c>
      <c r="N608" s="7">
        <v>5.44</v>
      </c>
      <c r="O608" s="7">
        <v>0.992045</v>
      </c>
      <c r="P608" s="7">
        <v>0.992045</v>
      </c>
      <c r="Q608" s="10">
        <f t="shared" si="2"/>
        <v>80.995267</v>
      </c>
      <c r="R608" s="11">
        <f t="shared" si="3"/>
        <v>0.6007473412</v>
      </c>
      <c r="S608" s="12">
        <f t="shared" si="4"/>
        <v>4</v>
      </c>
      <c r="T608" s="8">
        <f t="shared" si="153"/>
        <v>418</v>
      </c>
      <c r="U608" s="13">
        <f>T608/vlookup(A608,Max!$A$2:$AP$700,column(Max!$AP$2),false)</f>
        <v>1.045</v>
      </c>
      <c r="V608" s="8">
        <f t="shared" si="6"/>
        <v>286.3189328</v>
      </c>
      <c r="W608" s="14">
        <f t="shared" si="7"/>
        <v>0.9513317283</v>
      </c>
      <c r="X608" s="14">
        <f t="shared" si="8"/>
        <v>1.462723848</v>
      </c>
      <c r="Y608" s="14">
        <f t="shared" si="9"/>
        <v>1</v>
      </c>
      <c r="Z608" s="14">
        <f t="shared" si="10"/>
        <v>1.048442587</v>
      </c>
      <c r="AA608" s="27">
        <f t="shared" si="11"/>
        <v>45</v>
      </c>
      <c r="AB608" s="15">
        <f t="shared" si="156"/>
        <v>1</v>
      </c>
      <c r="AC608" s="15" t="str">
        <f t="shared" si="40"/>
        <v/>
      </c>
      <c r="AD608" s="15" t="str">
        <f t="shared" si="41"/>
        <v>$Viking-5$: 45,</v>
      </c>
      <c r="AE608" s="15" t="str">
        <f t="shared" si="145"/>
        <v/>
      </c>
      <c r="AF608" s="15" t="str">
        <f t="shared" si="135"/>
        <v/>
      </c>
      <c r="AG608" s="15" t="str">
        <f t="shared" si="136"/>
        <v/>
      </c>
    </row>
    <row r="609" ht="15.75" customHeight="1">
      <c r="A609" s="16" t="s">
        <v>812</v>
      </c>
      <c r="B609" s="16" t="s">
        <v>810</v>
      </c>
      <c r="C609" s="17">
        <f t="shared" si="133"/>
        <v>26</v>
      </c>
      <c r="D609" s="16">
        <v>1963.0</v>
      </c>
      <c r="E609" s="16"/>
      <c r="F609" s="16" t="b">
        <v>1</v>
      </c>
      <c r="G609" s="16" t="b">
        <v>0</v>
      </c>
      <c r="H609" s="16" t="b">
        <v>0</v>
      </c>
      <c r="I609" s="16" t="b">
        <v>0</v>
      </c>
      <c r="J609" s="18" t="b">
        <v>0</v>
      </c>
      <c r="K609" s="16">
        <v>826.0</v>
      </c>
      <c r="L609" s="16">
        <v>748.2</v>
      </c>
      <c r="M609" s="16">
        <v>278.5</v>
      </c>
      <c r="N609" s="16">
        <v>5.85</v>
      </c>
      <c r="O609" s="16">
        <v>0.997826</v>
      </c>
      <c r="P609" s="16">
        <v>0.997826</v>
      </c>
      <c r="Q609" s="19">
        <f t="shared" si="2"/>
        <v>92.36703006</v>
      </c>
      <c r="R609" s="20">
        <f t="shared" si="3"/>
        <v>0.5332798717</v>
      </c>
      <c r="S609" s="21">
        <f t="shared" si="4"/>
        <v>4</v>
      </c>
      <c r="T609" s="17">
        <f t="shared" si="153"/>
        <v>399</v>
      </c>
      <c r="U609" s="22">
        <f>T609/vlookup(A609,Max!$A$2:$AP$700,column(Max!$AP$2),false)</f>
        <v>0.9279069767</v>
      </c>
      <c r="V609" s="17">
        <f t="shared" si="6"/>
        <v>276.14469</v>
      </c>
      <c r="W609" s="23">
        <f t="shared" si="7"/>
        <v>0.9470713697</v>
      </c>
      <c r="X609" s="23">
        <f t="shared" si="8"/>
        <v>1.494959516</v>
      </c>
      <c r="Y609" s="23">
        <f t="shared" si="9"/>
        <v>1</v>
      </c>
      <c r="Z609" s="23">
        <f t="shared" si="10"/>
        <v>1.019879949</v>
      </c>
      <c r="AA609" s="24">
        <f t="shared" si="11"/>
        <v>26</v>
      </c>
      <c r="AB609" s="26">
        <f t="shared" si="156"/>
        <v>1</v>
      </c>
      <c r="AC609" s="26" t="str">
        <f t="shared" si="40"/>
        <v/>
      </c>
      <c r="AD609" s="26" t="str">
        <f t="shared" si="41"/>
        <v>$Viking-5B$: 26,</v>
      </c>
      <c r="AE609" s="26" t="str">
        <f t="shared" si="145"/>
        <v/>
      </c>
      <c r="AF609" s="26" t="str">
        <f t="shared" si="135"/>
        <v/>
      </c>
      <c r="AG609" s="26" t="str">
        <f t="shared" si="136"/>
        <v/>
      </c>
    </row>
    <row r="610" ht="15.75" customHeight="1">
      <c r="A610" s="7" t="s">
        <v>813</v>
      </c>
      <c r="B610" s="7" t="s">
        <v>810</v>
      </c>
      <c r="C610" s="8">
        <f t="shared" si="133"/>
        <v>14</v>
      </c>
      <c r="D610" s="7">
        <v>1963.0</v>
      </c>
      <c r="E610" s="7"/>
      <c r="F610" s="7" t="b">
        <v>1</v>
      </c>
      <c r="G610" s="7" t="b">
        <v>0</v>
      </c>
      <c r="H610" s="7" t="b">
        <v>1</v>
      </c>
      <c r="I610" s="7" t="b">
        <v>0</v>
      </c>
      <c r="J610" s="9" t="b">
        <v>0</v>
      </c>
      <c r="K610" s="7">
        <v>886.0</v>
      </c>
      <c r="L610" s="7">
        <v>784.8</v>
      </c>
      <c r="M610" s="7">
        <v>290.7</v>
      </c>
      <c r="N610" s="7">
        <v>5.85</v>
      </c>
      <c r="O610" s="7">
        <v>0.998872</v>
      </c>
      <c r="P610" s="7">
        <v>0.998872</v>
      </c>
      <c r="Q610" s="10">
        <f t="shared" si="2"/>
        <v>90.32429815</v>
      </c>
      <c r="R610" s="11">
        <f t="shared" si="3"/>
        <v>0.4931192661</v>
      </c>
      <c r="S610" s="12">
        <f t="shared" si="4"/>
        <v>4</v>
      </c>
      <c r="T610" s="8">
        <f t="shared" si="153"/>
        <v>387</v>
      </c>
      <c r="U610" s="13">
        <f>T610/vlookup(A610,Max!$A$2:$AP$700,column(Max!$AP$2),false)</f>
        <v>1.138235294</v>
      </c>
      <c r="V610" s="8">
        <f t="shared" si="6"/>
        <v>288.3273105</v>
      </c>
      <c r="W610" s="14">
        <f t="shared" si="7"/>
        <v>0.9744210711</v>
      </c>
      <c r="X610" s="14">
        <f t="shared" si="8"/>
        <v>1.351985625</v>
      </c>
      <c r="Y610" s="14">
        <f t="shared" si="9"/>
        <v>1</v>
      </c>
      <c r="Z610" s="14">
        <f t="shared" si="10"/>
        <v>1.019673682</v>
      </c>
      <c r="AA610" s="27">
        <f t="shared" si="11"/>
        <v>14</v>
      </c>
      <c r="AB610" s="15">
        <f t="shared" si="156"/>
        <v>1</v>
      </c>
      <c r="AC610" s="15" t="str">
        <f t="shared" si="40"/>
        <v/>
      </c>
      <c r="AD610" s="15" t="str">
        <f t="shared" si="41"/>
        <v>$Viking-4B$: 14,</v>
      </c>
      <c r="AE610" s="15" t="str">
        <f t="shared" si="145"/>
        <v/>
      </c>
      <c r="AF610" s="15" t="str">
        <f t="shared" si="135"/>
        <v/>
      </c>
      <c r="AG610" s="15" t="str">
        <f t="shared" si="136"/>
        <v/>
      </c>
    </row>
    <row r="611" ht="15.75" customHeight="1">
      <c r="A611" s="16" t="s">
        <v>814</v>
      </c>
      <c r="B611" s="16" t="s">
        <v>810</v>
      </c>
      <c r="C611" s="17">
        <f t="shared" si="133"/>
        <v>27</v>
      </c>
      <c r="D611" s="16">
        <v>1967.0</v>
      </c>
      <c r="E611" s="16"/>
      <c r="F611" s="16" t="b">
        <v>1</v>
      </c>
      <c r="G611" s="16" t="b">
        <v>0</v>
      </c>
      <c r="H611" s="16" t="b">
        <v>0</v>
      </c>
      <c r="I611" s="16" t="b">
        <v>0</v>
      </c>
      <c r="J611" s="18" t="b">
        <v>0</v>
      </c>
      <c r="K611" s="16">
        <v>826.0</v>
      </c>
      <c r="L611" s="16">
        <v>760.0</v>
      </c>
      <c r="M611" s="16">
        <v>278.5</v>
      </c>
      <c r="N611" s="16">
        <v>5.85</v>
      </c>
      <c r="O611" s="16">
        <v>0.999247</v>
      </c>
      <c r="P611" s="16">
        <v>0.999247</v>
      </c>
      <c r="Q611" s="19">
        <f t="shared" si="2"/>
        <v>93.82376751</v>
      </c>
      <c r="R611" s="20">
        <f t="shared" si="3"/>
        <v>0.5263157895</v>
      </c>
      <c r="S611" s="21">
        <f t="shared" si="4"/>
        <v>4</v>
      </c>
      <c r="T611" s="17">
        <f t="shared" si="153"/>
        <v>400</v>
      </c>
      <c r="U611" s="22">
        <f>T611/vlookup(A611,Max!$A$2:$AP$700,column(Max!$AP$2),false)</f>
        <v>1.052631579</v>
      </c>
      <c r="V611" s="17">
        <f t="shared" si="6"/>
        <v>276.14469</v>
      </c>
      <c r="W611" s="23">
        <f t="shared" si="7"/>
        <v>0.9470713697</v>
      </c>
      <c r="X611" s="23">
        <f t="shared" si="8"/>
        <v>1.494959516</v>
      </c>
      <c r="Y611" s="23">
        <f t="shared" si="9"/>
        <v>1</v>
      </c>
      <c r="Z611" s="23">
        <f t="shared" si="10"/>
        <v>1.023514845</v>
      </c>
      <c r="AA611" s="24">
        <f t="shared" si="11"/>
        <v>27</v>
      </c>
      <c r="AB611" s="26">
        <f t="shared" si="156"/>
        <v>1</v>
      </c>
      <c r="AC611" s="26" t="str">
        <f t="shared" si="40"/>
        <v/>
      </c>
      <c r="AD611" s="26" t="str">
        <f t="shared" si="41"/>
        <v>$Viking-5C$: 27,</v>
      </c>
      <c r="AE611" s="26" t="str">
        <f t="shared" si="145"/>
        <v/>
      </c>
      <c r="AF611" s="26" t="str">
        <f t="shared" si="135"/>
        <v/>
      </c>
      <c r="AG611" s="26" t="str">
        <f t="shared" si="136"/>
        <v/>
      </c>
    </row>
    <row r="612" ht="15.75" customHeight="1">
      <c r="A612" s="7" t="s">
        <v>815</v>
      </c>
      <c r="B612" s="7" t="s">
        <v>810</v>
      </c>
      <c r="C612" s="8">
        <f t="shared" si="133"/>
        <v>27</v>
      </c>
      <c r="D612" s="7">
        <v>1967.0</v>
      </c>
      <c r="E612" s="7"/>
      <c r="F612" s="7" t="b">
        <v>1</v>
      </c>
      <c r="G612" s="7" t="b">
        <v>0</v>
      </c>
      <c r="H612" s="7" t="b">
        <v>0</v>
      </c>
      <c r="I612" s="7" t="b">
        <v>0</v>
      </c>
      <c r="J612" s="9" t="b">
        <v>0</v>
      </c>
      <c r="K612" s="7">
        <v>826.0</v>
      </c>
      <c r="L612" s="7">
        <v>760.0</v>
      </c>
      <c r="M612" s="7">
        <v>278.3</v>
      </c>
      <c r="N612" s="7">
        <v>5.85</v>
      </c>
      <c r="O612" s="7">
        <v>0.999372</v>
      </c>
      <c r="P612" s="7">
        <v>0.999372</v>
      </c>
      <c r="Q612" s="10">
        <f t="shared" si="2"/>
        <v>93.82376751</v>
      </c>
      <c r="R612" s="11">
        <f t="shared" si="3"/>
        <v>0.5263157895</v>
      </c>
      <c r="S612" s="12">
        <f t="shared" si="4"/>
        <v>4</v>
      </c>
      <c r="T612" s="8">
        <f t="shared" si="153"/>
        <v>400</v>
      </c>
      <c r="U612" s="13">
        <f>T612/vlookup(A612,Max!$A$2:$AP$700,column(Max!$AP$2),false)</f>
        <v>1.176470588</v>
      </c>
      <c r="V612" s="8">
        <f t="shared" si="6"/>
        <v>276.14469</v>
      </c>
      <c r="W612" s="14">
        <f t="shared" si="7"/>
        <v>0.9466746589</v>
      </c>
      <c r="X612" s="14">
        <f t="shared" si="8"/>
        <v>1.494959516</v>
      </c>
      <c r="Y612" s="14">
        <f t="shared" si="9"/>
        <v>1</v>
      </c>
      <c r="Z612" s="14">
        <f t="shared" si="10"/>
        <v>1.023834965</v>
      </c>
      <c r="AA612" s="27">
        <f t="shared" si="11"/>
        <v>27</v>
      </c>
      <c r="AB612" s="15">
        <f t="shared" si="156"/>
        <v>1</v>
      </c>
      <c r="AC612" s="15" t="str">
        <f t="shared" si="40"/>
        <v/>
      </c>
      <c r="AD612" s="15" t="str">
        <f t="shared" si="41"/>
        <v>$Viking-6$: 27,</v>
      </c>
      <c r="AE612" s="15" t="str">
        <f t="shared" si="145"/>
        <v/>
      </c>
      <c r="AF612" s="15" t="str">
        <f t="shared" si="135"/>
        <v/>
      </c>
      <c r="AG612" s="15" t="str">
        <f t="shared" si="136"/>
        <v/>
      </c>
    </row>
    <row r="613" ht="15.75" customHeight="1">
      <c r="A613" s="16" t="s">
        <v>816</v>
      </c>
      <c r="B613" s="16" t="s">
        <v>810</v>
      </c>
      <c r="C613" s="17">
        <f t="shared" si="133"/>
        <v>16</v>
      </c>
      <c r="D613" s="16">
        <v>1967.0</v>
      </c>
      <c r="E613" s="16"/>
      <c r="F613" s="16" t="b">
        <v>1</v>
      </c>
      <c r="G613" s="16" t="b">
        <v>0</v>
      </c>
      <c r="H613" s="16" t="b">
        <v>1</v>
      </c>
      <c r="I613" s="16" t="b">
        <v>0</v>
      </c>
      <c r="J613" s="18" t="b">
        <v>0</v>
      </c>
      <c r="K613" s="16">
        <v>886.0</v>
      </c>
      <c r="L613" s="16">
        <v>808.0</v>
      </c>
      <c r="M613" s="16">
        <v>292.7</v>
      </c>
      <c r="N613" s="16">
        <v>5.85</v>
      </c>
      <c r="O613" s="16">
        <v>0.998872</v>
      </c>
      <c r="P613" s="16">
        <v>0.998872</v>
      </c>
      <c r="Q613" s="19">
        <f t="shared" si="2"/>
        <v>92.9944354</v>
      </c>
      <c r="R613" s="20">
        <f t="shared" si="3"/>
        <v>0.4814356436</v>
      </c>
      <c r="S613" s="21">
        <f t="shared" si="4"/>
        <v>4</v>
      </c>
      <c r="T613" s="17">
        <f t="shared" si="153"/>
        <v>389</v>
      </c>
      <c r="U613" s="22">
        <f>T613/vlookup(A613,Max!$A$2:$AP$700,column(Max!$AP$2),false)</f>
        <v>1.296666667</v>
      </c>
      <c r="V613" s="17">
        <f t="shared" si="6"/>
        <v>288.3273105</v>
      </c>
      <c r="W613" s="23">
        <f t="shared" si="7"/>
        <v>0.9795471568</v>
      </c>
      <c r="X613" s="23">
        <f t="shared" si="8"/>
        <v>1.351985625</v>
      </c>
      <c r="Y613" s="23">
        <f t="shared" si="9"/>
        <v>1</v>
      </c>
      <c r="Z613" s="23">
        <f t="shared" si="10"/>
        <v>1.019673682</v>
      </c>
      <c r="AA613" s="24">
        <f t="shared" si="11"/>
        <v>16</v>
      </c>
      <c r="AB613" s="26">
        <f t="shared" si="156"/>
        <v>1</v>
      </c>
      <c r="AC613" s="26" t="str">
        <f t="shared" si="40"/>
        <v/>
      </c>
      <c r="AD613" s="26" t="str">
        <f t="shared" si="41"/>
        <v>$Viking-4C$: 16,</v>
      </c>
      <c r="AE613" s="26" t="str">
        <f t="shared" si="145"/>
        <v/>
      </c>
      <c r="AF613" s="26" t="str">
        <f t="shared" si="135"/>
        <v/>
      </c>
      <c r="AG613" s="26" t="str">
        <f t="shared" si="136"/>
        <v/>
      </c>
    </row>
    <row r="614" ht="15.75" customHeight="1">
      <c r="A614" s="7" t="s">
        <v>817</v>
      </c>
      <c r="B614" s="7" t="s">
        <v>817</v>
      </c>
      <c r="C614" s="8">
        <f t="shared" si="133"/>
        <v>2095</v>
      </c>
      <c r="D614" s="7">
        <v>1996.0</v>
      </c>
      <c r="E614" s="7" t="b">
        <v>1</v>
      </c>
      <c r="F614" s="7" t="b">
        <v>1</v>
      </c>
      <c r="G614" s="7" t="b">
        <v>0</v>
      </c>
      <c r="H614" s="7" t="b">
        <v>0</v>
      </c>
      <c r="I614" s="7" t="b">
        <v>0</v>
      </c>
      <c r="J614" s="9" t="b">
        <v>0</v>
      </c>
      <c r="K614" s="7">
        <v>1296.0</v>
      </c>
      <c r="L614" s="7">
        <v>1145.0</v>
      </c>
      <c r="M614" s="7">
        <v>431.5</v>
      </c>
      <c r="N614" s="7">
        <v>11.0</v>
      </c>
      <c r="O614" s="7">
        <v>0.986538</v>
      </c>
      <c r="P614" s="7">
        <v>0.986538</v>
      </c>
      <c r="Q614" s="10">
        <f t="shared" si="2"/>
        <v>90.09066824</v>
      </c>
      <c r="R614" s="11">
        <f t="shared" si="3"/>
        <v>1.829694323</v>
      </c>
      <c r="S614" s="12">
        <f t="shared" si="4"/>
        <v>4</v>
      </c>
      <c r="T614" s="8">
        <f t="shared" si="153"/>
        <v>2095</v>
      </c>
      <c r="U614" s="13">
        <f>T614/vlookup(A614,Max!$A$2:$AP$700,column(Max!$AP$2),false)</f>
        <v>1.745833333</v>
      </c>
      <c r="V614" s="8">
        <f t="shared" si="6"/>
        <v>411.1422075</v>
      </c>
      <c r="W614" s="14">
        <f t="shared" si="7"/>
        <v>2.845177018</v>
      </c>
      <c r="X614" s="14">
        <f t="shared" si="8"/>
        <v>1.806760044</v>
      </c>
      <c r="Y614" s="14">
        <f t="shared" si="9"/>
        <v>1</v>
      </c>
      <c r="Z614" s="14">
        <f t="shared" si="10"/>
        <v>0.9912804914</v>
      </c>
      <c r="AA614" s="15">
        <f t="shared" si="11"/>
        <v>0</v>
      </c>
      <c r="AB614" s="29">
        <v>0.0</v>
      </c>
      <c r="AC614" s="15" t="str">
        <f t="shared" si="40"/>
        <v>{
$name$: $Vulcain$,
$config$: $Vulcain$,
$cost$: 2095
},</v>
      </c>
      <c r="AD614" s="15" t="str">
        <f t="shared" si="41"/>
        <v/>
      </c>
      <c r="AE614" s="15" t="str">
        <f t="shared" si="145"/>
        <v/>
      </c>
      <c r="AF614" s="15" t="str">
        <f t="shared" si="135"/>
        <v/>
      </c>
      <c r="AG614" s="15" t="str">
        <f t="shared" si="136"/>
        <v/>
      </c>
    </row>
    <row r="615" ht="15.75" customHeight="1">
      <c r="A615" s="16" t="s">
        <v>818</v>
      </c>
      <c r="B615" s="16" t="s">
        <v>817</v>
      </c>
      <c r="C615" s="17">
        <f t="shared" si="133"/>
        <v>561</v>
      </c>
      <c r="D615" s="16">
        <v>2002.0</v>
      </c>
      <c r="E615" s="16" t="b">
        <v>1</v>
      </c>
      <c r="F615" s="16" t="b">
        <v>1</v>
      </c>
      <c r="G615" s="16" t="b">
        <v>0</v>
      </c>
      <c r="H615" s="16" t="b">
        <v>0</v>
      </c>
      <c r="I615" s="16" t="b">
        <v>0</v>
      </c>
      <c r="J615" s="18" t="b">
        <v>0</v>
      </c>
      <c r="K615" s="16">
        <v>1800.0</v>
      </c>
      <c r="L615" s="16">
        <v>1350.0</v>
      </c>
      <c r="M615" s="16">
        <v>433.0</v>
      </c>
      <c r="N615" s="16">
        <v>11.5</v>
      </c>
      <c r="O615" s="16">
        <v>0.995977</v>
      </c>
      <c r="P615" s="16">
        <v>0.995977</v>
      </c>
      <c r="Q615" s="19">
        <f t="shared" si="2"/>
        <v>76.47871575</v>
      </c>
      <c r="R615" s="20">
        <f t="shared" si="3"/>
        <v>1.967407407</v>
      </c>
      <c r="S615" s="21">
        <f t="shared" si="4"/>
        <v>4</v>
      </c>
      <c r="T615" s="17">
        <f t="shared" si="153"/>
        <v>2656</v>
      </c>
      <c r="U615" s="22">
        <f>T615/vlookup(A615,Max!$A$2:$AP$700,column(Max!$AP$2),false)</f>
        <v>1.562352941</v>
      </c>
      <c r="V615" s="17">
        <f t="shared" si="6"/>
        <v>495.4180437</v>
      </c>
      <c r="W615" s="23">
        <f t="shared" si="7"/>
        <v>2.884286334</v>
      </c>
      <c r="X615" s="23">
        <f t="shared" si="8"/>
        <v>1.831015515</v>
      </c>
      <c r="Y615" s="23">
        <f t="shared" si="9"/>
        <v>1</v>
      </c>
      <c r="Z615" s="23">
        <f t="shared" si="10"/>
        <v>1.015161847</v>
      </c>
      <c r="AA615" s="24">
        <f t="shared" si="11"/>
        <v>561</v>
      </c>
      <c r="AB615" s="26">
        <f>if(iserror(find("$",A615)),1,2)</f>
        <v>1</v>
      </c>
      <c r="AC615" s="26" t="str">
        <f t="shared" si="40"/>
        <v/>
      </c>
      <c r="AD615" s="26" t="str">
        <f t="shared" si="41"/>
        <v>$Vulcain-2$: 561,</v>
      </c>
      <c r="AE615" s="26" t="str">
        <f t="shared" si="145"/>
        <v/>
      </c>
      <c r="AF615" s="26" t="str">
        <f t="shared" si="135"/>
        <v/>
      </c>
      <c r="AG615" s="26" t="str">
        <f t="shared" si="136"/>
        <v/>
      </c>
    </row>
    <row r="616" ht="15.75" customHeight="1">
      <c r="A616" s="7" t="s">
        <v>819</v>
      </c>
      <c r="B616" s="7" t="s">
        <v>820</v>
      </c>
      <c r="C616" s="8">
        <f t="shared" si="133"/>
        <v>152</v>
      </c>
      <c r="D616" s="7">
        <v>1956.0</v>
      </c>
      <c r="E616" s="7"/>
      <c r="F616" s="7" t="b">
        <v>1</v>
      </c>
      <c r="G616" s="7" t="b">
        <v>0</v>
      </c>
      <c r="H616" s="7" t="b">
        <v>0</v>
      </c>
      <c r="I616" s="7" t="b">
        <v>0</v>
      </c>
      <c r="J616" s="9" t="b">
        <v>0</v>
      </c>
      <c r="K616" s="7">
        <v>192.0</v>
      </c>
      <c r="L616" s="7">
        <v>135.28</v>
      </c>
      <c r="M616" s="7">
        <v>278.0</v>
      </c>
      <c r="N616" s="7">
        <v>4.2</v>
      </c>
      <c r="O616" s="7">
        <v>0.968182</v>
      </c>
      <c r="P616" s="7">
        <v>0.968182</v>
      </c>
      <c r="Q616" s="10">
        <f t="shared" si="2"/>
        <v>71.84750463</v>
      </c>
      <c r="R616" s="11">
        <f t="shared" si="3"/>
        <v>1.123595506</v>
      </c>
      <c r="S616" s="12">
        <f t="shared" si="4"/>
        <v>4</v>
      </c>
      <c r="T616" s="8">
        <f t="shared" si="153"/>
        <v>152</v>
      </c>
      <c r="U616" s="13">
        <f>T616/vlookup(A616,Max!$A$2:$AP$700,column(Max!$AP$2),false)</f>
        <v>1.381818182</v>
      </c>
      <c r="V616" s="8">
        <f t="shared" si="6"/>
        <v>113.1555611</v>
      </c>
      <c r="W616" s="14">
        <f t="shared" si="7"/>
        <v>0.9460824974</v>
      </c>
      <c r="X616" s="14">
        <f t="shared" si="8"/>
        <v>1.353497504</v>
      </c>
      <c r="Y616" s="14">
        <f t="shared" si="9"/>
        <v>1</v>
      </c>
      <c r="Z616" s="14">
        <f t="shared" si="10"/>
        <v>1.045659421</v>
      </c>
      <c r="AA616" s="15">
        <f t="shared" si="11"/>
        <v>0</v>
      </c>
      <c r="AB616" s="29">
        <v>0.0</v>
      </c>
      <c r="AC616" s="15" t="str">
        <f t="shared" si="40"/>
        <v>{
$name$: $X-405$,
$config$: $X405$,
$cost$: 152
},</v>
      </c>
      <c r="AD616" s="15" t="str">
        <f t="shared" si="41"/>
        <v/>
      </c>
      <c r="AE616" s="15" t="str">
        <f t="shared" si="145"/>
        <v/>
      </c>
      <c r="AF616" s="15" t="str">
        <f t="shared" si="135"/>
        <v/>
      </c>
      <c r="AG616" s="15" t="str">
        <f t="shared" si="136"/>
        <v/>
      </c>
    </row>
    <row r="617" ht="15.75" customHeight="1">
      <c r="A617" s="16" t="s">
        <v>821</v>
      </c>
      <c r="B617" s="16" t="s">
        <v>820</v>
      </c>
      <c r="C617" s="17">
        <f t="shared" si="133"/>
        <v>-4</v>
      </c>
      <c r="D617" s="16">
        <v>1960.0</v>
      </c>
      <c r="E617" s="16"/>
      <c r="F617" s="16" t="b">
        <v>1</v>
      </c>
      <c r="G617" s="16" t="b">
        <v>0</v>
      </c>
      <c r="H617" s="16" t="b">
        <v>1</v>
      </c>
      <c r="I617" s="16" t="b">
        <v>0</v>
      </c>
      <c r="J617" s="18" t="b">
        <v>0</v>
      </c>
      <c r="K617" s="16">
        <v>217.0</v>
      </c>
      <c r="L617" s="16">
        <v>156.3</v>
      </c>
      <c r="M617" s="16">
        <v>311.9</v>
      </c>
      <c r="N617" s="16">
        <v>4.2</v>
      </c>
      <c r="O617" s="18">
        <v>0.965</v>
      </c>
      <c r="P617" s="18">
        <v>0.975</v>
      </c>
      <c r="Q617" s="19">
        <f t="shared" si="2"/>
        <v>73.44776204</v>
      </c>
      <c r="R617" s="20">
        <f t="shared" si="3"/>
        <v>0.946896993</v>
      </c>
      <c r="S617" s="21">
        <f t="shared" si="4"/>
        <v>4</v>
      </c>
      <c r="T617" s="17">
        <f t="shared" si="153"/>
        <v>148</v>
      </c>
      <c r="U617" s="22">
        <f>T617/vlookup(A617,Max!$A$2:$AP$700,column(Max!$AP$2),false)</f>
        <v>1.40952381</v>
      </c>
      <c r="V617" s="17">
        <f t="shared" si="6"/>
        <v>121.8913786</v>
      </c>
      <c r="W617" s="23">
        <f t="shared" si="7"/>
        <v>1.075111294</v>
      </c>
      <c r="X617" s="23">
        <f t="shared" si="8"/>
        <v>1.254853697</v>
      </c>
      <c r="Y617" s="23">
        <f t="shared" si="9"/>
        <v>1</v>
      </c>
      <c r="Z617" s="23">
        <f t="shared" si="10"/>
        <v>0.8995206668</v>
      </c>
      <c r="AA617" s="24">
        <f t="shared" si="11"/>
        <v>-4</v>
      </c>
      <c r="AB617" s="26">
        <f t="shared" ref="AB617:AB620" si="157">if(iserror(find("$",A617)),1,2)</f>
        <v>1</v>
      </c>
      <c r="AC617" s="26" t="str">
        <f t="shared" si="40"/>
        <v/>
      </c>
      <c r="AD617" s="26" t="str">
        <f t="shared" si="41"/>
        <v>$X-405H$: -4,</v>
      </c>
      <c r="AE617" s="26" t="str">
        <f t="shared" si="145"/>
        <v/>
      </c>
      <c r="AF617" s="26" t="str">
        <f t="shared" si="135"/>
        <v/>
      </c>
      <c r="AG617" s="26" t="str">
        <f t="shared" si="136"/>
        <v/>
      </c>
    </row>
    <row r="618" ht="15.75" customHeight="1">
      <c r="A618" s="7" t="s">
        <v>822</v>
      </c>
      <c r="B618" s="7" t="s">
        <v>820</v>
      </c>
      <c r="C618" s="8">
        <f t="shared" si="133"/>
        <v>10</v>
      </c>
      <c r="D618" s="7">
        <v>1961.0</v>
      </c>
      <c r="E618" s="7"/>
      <c r="F618" s="7" t="b">
        <v>1</v>
      </c>
      <c r="G618" s="7" t="b">
        <v>0</v>
      </c>
      <c r="H618" s="7" t="b">
        <v>1</v>
      </c>
      <c r="I618" s="7" t="b">
        <v>0</v>
      </c>
      <c r="J618" s="9" t="b">
        <v>0</v>
      </c>
      <c r="K618" s="7">
        <v>235.0</v>
      </c>
      <c r="L618" s="7">
        <v>156.3</v>
      </c>
      <c r="M618" s="7">
        <v>311.9</v>
      </c>
      <c r="N618" s="7">
        <v>4.2</v>
      </c>
      <c r="O618" s="9">
        <v>0.98</v>
      </c>
      <c r="P618" s="9">
        <v>0.985</v>
      </c>
      <c r="Q618" s="10">
        <f t="shared" si="2"/>
        <v>67.82197601</v>
      </c>
      <c r="R618" s="11">
        <f t="shared" si="3"/>
        <v>1.03646833</v>
      </c>
      <c r="S618" s="12">
        <f t="shared" si="4"/>
        <v>4</v>
      </c>
      <c r="T618" s="8">
        <f t="shared" si="153"/>
        <v>162</v>
      </c>
      <c r="U618" s="13">
        <f>T618/vlookup(A618,Max!$A$2:$AP$700,column(Max!$AP$2),false)</f>
        <v>1.472727273</v>
      </c>
      <c r="V618" s="8">
        <f t="shared" si="6"/>
        <v>127.9442721</v>
      </c>
      <c r="W618" s="14">
        <f t="shared" si="7"/>
        <v>1.075111294</v>
      </c>
      <c r="X618" s="14">
        <f t="shared" si="8"/>
        <v>1.254853697</v>
      </c>
      <c r="Y618" s="14">
        <f t="shared" si="9"/>
        <v>1</v>
      </c>
      <c r="Z618" s="14">
        <f t="shared" si="10"/>
        <v>0.938788539</v>
      </c>
      <c r="AA618" s="27">
        <f t="shared" si="11"/>
        <v>10</v>
      </c>
      <c r="AB618" s="15">
        <f t="shared" si="157"/>
        <v>1</v>
      </c>
      <c r="AC618" s="15" t="str">
        <f t="shared" si="40"/>
        <v/>
      </c>
      <c r="AD618" s="15" t="str">
        <f t="shared" si="41"/>
        <v>$X-405H-2$: 10,</v>
      </c>
      <c r="AE618" s="15" t="str">
        <f t="shared" si="145"/>
        <v/>
      </c>
      <c r="AF618" s="15" t="str">
        <f t="shared" si="135"/>
        <v/>
      </c>
      <c r="AG618" s="15" t="str">
        <f t="shared" si="136"/>
        <v/>
      </c>
    </row>
    <row r="619" ht="15.75" customHeight="1">
      <c r="A619" s="16" t="s">
        <v>823</v>
      </c>
      <c r="B619" s="16" t="s">
        <v>820</v>
      </c>
      <c r="C619" s="17">
        <f t="shared" si="133"/>
        <v>39</v>
      </c>
      <c r="D619" s="16">
        <v>1962.0</v>
      </c>
      <c r="E619" s="16"/>
      <c r="F619" s="16" t="b">
        <v>1</v>
      </c>
      <c r="G619" s="16" t="b">
        <v>0</v>
      </c>
      <c r="H619" s="16" t="b">
        <v>1</v>
      </c>
      <c r="I619" s="16" t="b">
        <v>0</v>
      </c>
      <c r="J619" s="18" t="b">
        <v>0</v>
      </c>
      <c r="K619" s="16">
        <v>240.0</v>
      </c>
      <c r="L619" s="16">
        <v>161.86</v>
      </c>
      <c r="M619" s="16">
        <v>323.0</v>
      </c>
      <c r="N619" s="16">
        <v>4.2</v>
      </c>
      <c r="O619" s="16">
        <v>0.99837</v>
      </c>
      <c r="P619" s="16">
        <v>0.991848</v>
      </c>
      <c r="Q619" s="19">
        <f t="shared" si="2"/>
        <v>68.77136073</v>
      </c>
      <c r="R619" s="20">
        <f t="shared" si="3"/>
        <v>1.180032127</v>
      </c>
      <c r="S619" s="21">
        <f t="shared" si="4"/>
        <v>4</v>
      </c>
      <c r="T619" s="17">
        <f t="shared" si="153"/>
        <v>191</v>
      </c>
      <c r="U619" s="22">
        <f>T619/vlookup(A619,Max!$A$2:$AP$700,column(Max!$AP$2),false)</f>
        <v>1.061111111</v>
      </c>
      <c r="V619" s="17">
        <f t="shared" si="6"/>
        <v>129.5938578</v>
      </c>
      <c r="W619" s="23">
        <f t="shared" si="7"/>
        <v>1.172415801</v>
      </c>
      <c r="X619" s="23">
        <f t="shared" si="8"/>
        <v>1.254853697</v>
      </c>
      <c r="Y619" s="23">
        <f t="shared" si="9"/>
        <v>1</v>
      </c>
      <c r="Z619" s="23">
        <f t="shared" si="10"/>
        <v>1.000584162</v>
      </c>
      <c r="AA619" s="24">
        <f t="shared" si="11"/>
        <v>39</v>
      </c>
      <c r="AB619" s="26">
        <f t="shared" si="157"/>
        <v>1</v>
      </c>
      <c r="AC619" s="26" t="str">
        <f t="shared" si="40"/>
        <v/>
      </c>
      <c r="AD619" s="26" t="str">
        <f t="shared" si="41"/>
        <v>$X-405H-3$: 39,</v>
      </c>
      <c r="AE619" s="26" t="str">
        <f t="shared" si="145"/>
        <v/>
      </c>
      <c r="AF619" s="26" t="str">
        <f t="shared" si="135"/>
        <v/>
      </c>
      <c r="AG619" s="26" t="str">
        <f t="shared" si="136"/>
        <v/>
      </c>
    </row>
    <row r="620" ht="15.75" customHeight="1">
      <c r="A620" s="7" t="s">
        <v>824</v>
      </c>
      <c r="B620" s="7" t="s">
        <v>820</v>
      </c>
      <c r="C620" s="8">
        <f t="shared" si="133"/>
        <v>50</v>
      </c>
      <c r="D620" s="7">
        <v>1970.0</v>
      </c>
      <c r="E620" s="7"/>
      <c r="F620" s="7" t="b">
        <v>1</v>
      </c>
      <c r="G620" s="7" t="b">
        <v>0</v>
      </c>
      <c r="H620" s="7" t="b">
        <v>1</v>
      </c>
      <c r="I620" s="7" t="b">
        <v>0</v>
      </c>
      <c r="J620" s="9" t="b">
        <v>0</v>
      </c>
      <c r="K620" s="7">
        <v>240.0</v>
      </c>
      <c r="L620" s="7">
        <v>186.42</v>
      </c>
      <c r="M620" s="7">
        <v>323.5</v>
      </c>
      <c r="N620" s="7">
        <v>5.0</v>
      </c>
      <c r="O620" s="7">
        <v>0.998649</v>
      </c>
      <c r="P620" s="7">
        <v>0.996847</v>
      </c>
      <c r="Q620" s="10">
        <f t="shared" si="2"/>
        <v>79.20645661</v>
      </c>
      <c r="R620" s="11">
        <f t="shared" si="3"/>
        <v>1.083574724</v>
      </c>
      <c r="S620" s="12">
        <f t="shared" si="4"/>
        <v>4</v>
      </c>
      <c r="T620" s="8">
        <f t="shared" si="153"/>
        <v>202</v>
      </c>
      <c r="U620" s="13">
        <f>T620/vlookup(A620,Max!$A$2:$AP$700,column(Max!$AP$2),false)</f>
        <v>1.393103448</v>
      </c>
      <c r="V620" s="8">
        <f t="shared" si="6"/>
        <v>129.5938578</v>
      </c>
      <c r="W620" s="14">
        <f t="shared" si="7"/>
        <v>1.176623095</v>
      </c>
      <c r="X620" s="14">
        <f t="shared" si="8"/>
        <v>1.305059328</v>
      </c>
      <c r="Y620" s="14">
        <f t="shared" si="9"/>
        <v>1</v>
      </c>
      <c r="Z620" s="14">
        <f t="shared" si="10"/>
        <v>1.013947474</v>
      </c>
      <c r="AA620" s="27">
        <f t="shared" si="11"/>
        <v>50</v>
      </c>
      <c r="AB620" s="15">
        <f t="shared" si="157"/>
        <v>1</v>
      </c>
      <c r="AC620" s="15" t="str">
        <f t="shared" si="40"/>
        <v/>
      </c>
      <c r="AD620" s="15" t="str">
        <f t="shared" si="41"/>
        <v>$X-405H-4$: 50,</v>
      </c>
      <c r="AE620" s="15" t="str">
        <f t="shared" si="145"/>
        <v/>
      </c>
      <c r="AF620" s="15" t="str">
        <f t="shared" si="135"/>
        <v/>
      </c>
      <c r="AG620" s="15" t="str">
        <f t="shared" si="136"/>
        <v/>
      </c>
    </row>
    <row r="621" ht="15.75" customHeight="1">
      <c r="A621" s="16" t="s">
        <v>825</v>
      </c>
      <c r="B621" s="16" t="s">
        <v>826</v>
      </c>
      <c r="C621" s="17">
        <f t="shared" si="133"/>
        <v>114</v>
      </c>
      <c r="D621" s="16">
        <v>1948.0</v>
      </c>
      <c r="E621" s="16"/>
      <c r="F621" s="16" t="b">
        <v>1</v>
      </c>
      <c r="G621" s="16" t="b">
        <v>0</v>
      </c>
      <c r="H621" s="16" t="b">
        <v>0</v>
      </c>
      <c r="I621" s="16" t="b">
        <v>0</v>
      </c>
      <c r="J621" s="18" t="b">
        <v>0</v>
      </c>
      <c r="K621" s="16">
        <v>192.0</v>
      </c>
      <c r="L621" s="16">
        <v>110.5</v>
      </c>
      <c r="M621" s="16">
        <v>214.5</v>
      </c>
      <c r="N621" s="16">
        <v>1.5</v>
      </c>
      <c r="O621" s="16">
        <v>0.960714</v>
      </c>
      <c r="P621" s="16">
        <v>0.960714</v>
      </c>
      <c r="Q621" s="19">
        <f t="shared" si="2"/>
        <v>58.68679229</v>
      </c>
      <c r="R621" s="20">
        <f t="shared" si="3"/>
        <v>1.031674208</v>
      </c>
      <c r="S621" s="21">
        <f t="shared" si="4"/>
        <v>4</v>
      </c>
      <c r="T621" s="17">
        <f t="shared" si="153"/>
        <v>114</v>
      </c>
      <c r="U621" s="22">
        <f>T621/vlookup(A621,Max!$A$2:$AP$700,column(Max!$AP$2),false)</f>
        <v>1.036363636</v>
      </c>
      <c r="V621" s="17">
        <f t="shared" si="6"/>
        <v>113.1555611</v>
      </c>
      <c r="W621" s="23">
        <f t="shared" si="7"/>
        <v>0.8789600065</v>
      </c>
      <c r="X621" s="23">
        <f t="shared" si="8"/>
        <v>0.9938253032</v>
      </c>
      <c r="Y621" s="23">
        <f t="shared" si="9"/>
        <v>1</v>
      </c>
      <c r="Z621" s="23">
        <f t="shared" si="10"/>
        <v>1.158046429</v>
      </c>
      <c r="AA621" s="26">
        <f t="shared" si="11"/>
        <v>0</v>
      </c>
      <c r="AB621" s="25">
        <v>0.0</v>
      </c>
      <c r="AC621" s="26" t="str">
        <f t="shared" si="40"/>
        <v>{
$name$: $XLR10-RM-2$,
$config$: $XLR10$,
$cost$: 114
},</v>
      </c>
      <c r="AD621" s="26" t="str">
        <f t="shared" si="41"/>
        <v/>
      </c>
      <c r="AE621" s="26" t="str">
        <f t="shared" si="145"/>
        <v/>
      </c>
      <c r="AF621" s="26" t="str">
        <f t="shared" si="135"/>
        <v/>
      </c>
      <c r="AG621" s="26" t="str">
        <f t="shared" si="136"/>
        <v/>
      </c>
    </row>
    <row r="622" ht="15.75" customHeight="1">
      <c r="A622" s="7" t="s">
        <v>827</v>
      </c>
      <c r="B622" s="7" t="s">
        <v>828</v>
      </c>
      <c r="C622" s="8">
        <f t="shared" si="133"/>
        <v>163</v>
      </c>
      <c r="D622" s="7">
        <v>1946.0</v>
      </c>
      <c r="E622" s="7"/>
      <c r="F622" s="7" t="b">
        <v>0</v>
      </c>
      <c r="G622" s="7" t="b">
        <v>0</v>
      </c>
      <c r="H622" s="7" t="b">
        <v>1</v>
      </c>
      <c r="I622" s="7" t="b">
        <v>1</v>
      </c>
      <c r="J622" s="9" t="b">
        <v>0</v>
      </c>
      <c r="K622" s="7">
        <v>150.0</v>
      </c>
      <c r="L622" s="7">
        <v>26.68</v>
      </c>
      <c r="M622" s="7">
        <v>226.6</v>
      </c>
      <c r="N622" s="7">
        <v>1.52</v>
      </c>
      <c r="O622" s="7">
        <v>0.987</v>
      </c>
      <c r="P622" s="7">
        <v>0.998</v>
      </c>
      <c r="Q622" s="10">
        <f t="shared" si="2"/>
        <v>18.13735232</v>
      </c>
      <c r="R622" s="11">
        <f t="shared" si="3"/>
        <v>6.109445277</v>
      </c>
      <c r="S622" s="12">
        <f t="shared" si="4"/>
        <v>1.75</v>
      </c>
      <c r="T622" s="8">
        <f t="shared" si="153"/>
        <v>163</v>
      </c>
      <c r="U622" s="13">
        <f>T622/vlookup(A622,Max!$A$2:$AP$700,column(Max!$AP$2),false)</f>
        <v>0.6037037037</v>
      </c>
      <c r="V622" s="8">
        <f t="shared" si="6"/>
        <v>97.42301249</v>
      </c>
      <c r="W622" s="14">
        <f t="shared" si="7"/>
        <v>0.8847205292</v>
      </c>
      <c r="X622" s="14">
        <f t="shared" si="8"/>
        <v>0.9983361824</v>
      </c>
      <c r="Y622" s="14">
        <f t="shared" si="9"/>
        <v>1.5</v>
      </c>
      <c r="Z622" s="14">
        <f t="shared" si="10"/>
        <v>1.260150864</v>
      </c>
      <c r="AA622" s="15">
        <f t="shared" si="11"/>
        <v>0</v>
      </c>
      <c r="AB622" s="29">
        <v>0.0</v>
      </c>
      <c r="AC622" s="15" t="str">
        <f t="shared" si="40"/>
        <v>{
$name$: $XLR11-RM-3$,
$config$: $XLR11$,
$cost$: 163
},</v>
      </c>
      <c r="AD622" s="15" t="str">
        <f t="shared" si="41"/>
        <v/>
      </c>
      <c r="AE622" s="15" t="str">
        <f t="shared" si="145"/>
        <v/>
      </c>
      <c r="AF622" s="15" t="str">
        <f t="shared" si="135"/>
        <v/>
      </c>
      <c r="AG622" s="15" t="str">
        <f t="shared" si="136"/>
        <v/>
      </c>
    </row>
    <row r="623" ht="15.75" customHeight="1">
      <c r="A623" s="16" t="s">
        <v>829</v>
      </c>
      <c r="B623" s="16" t="s">
        <v>828</v>
      </c>
      <c r="C623" s="17">
        <f t="shared" si="133"/>
        <v>-27</v>
      </c>
      <c r="D623" s="16">
        <v>1950.0</v>
      </c>
      <c r="E623" s="16"/>
      <c r="F623" s="18" t="b">
        <v>1</v>
      </c>
      <c r="G623" s="16" t="b">
        <v>0</v>
      </c>
      <c r="H623" s="16" t="b">
        <v>1</v>
      </c>
      <c r="I623" s="16" t="b">
        <v>0</v>
      </c>
      <c r="J623" s="18" t="b">
        <v>0</v>
      </c>
      <c r="K623" s="16">
        <v>185.0</v>
      </c>
      <c r="L623" s="16">
        <v>37.56</v>
      </c>
      <c r="M623" s="16">
        <v>234.4</v>
      </c>
      <c r="N623" s="16">
        <v>2.86</v>
      </c>
      <c r="O623" s="16">
        <v>0.987</v>
      </c>
      <c r="P623" s="16">
        <v>0.998</v>
      </c>
      <c r="Q623" s="19">
        <f t="shared" si="2"/>
        <v>20.70299505</v>
      </c>
      <c r="R623" s="20">
        <f t="shared" si="3"/>
        <v>3.620873269</v>
      </c>
      <c r="S623" s="21">
        <f t="shared" si="4"/>
        <v>4</v>
      </c>
      <c r="T623" s="17">
        <f t="shared" si="153"/>
        <v>136</v>
      </c>
      <c r="U623" s="22">
        <f>T623/vlookup(A623,Max!$A$2:$AP$700,column(Max!$AP$2),false)</f>
        <v>2.229508197</v>
      </c>
      <c r="V623" s="17">
        <f t="shared" si="6"/>
        <v>110.6328566</v>
      </c>
      <c r="W623" s="23">
        <f t="shared" si="7"/>
        <v>0.8898742175</v>
      </c>
      <c r="X623" s="23">
        <f t="shared" si="8"/>
        <v>1.150917945</v>
      </c>
      <c r="Y623" s="23">
        <f t="shared" si="9"/>
        <v>1</v>
      </c>
      <c r="Z623" s="23">
        <f t="shared" si="10"/>
        <v>1.201709649</v>
      </c>
      <c r="AA623" s="24">
        <f t="shared" si="11"/>
        <v>-27</v>
      </c>
      <c r="AB623" s="26">
        <f t="shared" ref="AB623:AB626" si="158">if(iserror(find("$",A623)),1,2)</f>
        <v>1</v>
      </c>
      <c r="AC623" s="26" t="str">
        <f t="shared" si="40"/>
        <v/>
      </c>
      <c r="AD623" s="26" t="str">
        <f t="shared" si="41"/>
        <v>$XLR35-RM-1$: -27,</v>
      </c>
      <c r="AE623" s="26" t="str">
        <f t="shared" si="145"/>
        <v/>
      </c>
      <c r="AF623" s="26" t="str">
        <f t="shared" si="135"/>
        <v/>
      </c>
      <c r="AG623" s="26" t="str">
        <f t="shared" si="136"/>
        <v/>
      </c>
    </row>
    <row r="624" ht="15.75" customHeight="1">
      <c r="A624" s="7" t="s">
        <v>830</v>
      </c>
      <c r="B624" s="7" t="s">
        <v>828</v>
      </c>
      <c r="C624" s="8">
        <f t="shared" si="133"/>
        <v>29</v>
      </c>
      <c r="D624" s="7">
        <v>1950.0</v>
      </c>
      <c r="E624" s="7"/>
      <c r="F624" s="9" t="b">
        <v>1</v>
      </c>
      <c r="G624" s="7" t="b">
        <v>0</v>
      </c>
      <c r="H624" s="7" t="b">
        <v>1</v>
      </c>
      <c r="I624" s="7" t="b">
        <v>1</v>
      </c>
      <c r="J624" s="9" t="b">
        <v>0</v>
      </c>
      <c r="K624" s="7">
        <v>212.0</v>
      </c>
      <c r="L624" s="7">
        <v>28.8</v>
      </c>
      <c r="M624" s="7">
        <v>228.0</v>
      </c>
      <c r="N624" s="7">
        <v>1.52</v>
      </c>
      <c r="O624" s="7">
        <v>0.987</v>
      </c>
      <c r="P624" s="7">
        <v>0.998</v>
      </c>
      <c r="Q624" s="10">
        <f t="shared" si="2"/>
        <v>13.85274851</v>
      </c>
      <c r="R624" s="11">
        <f t="shared" si="3"/>
        <v>6.666666667</v>
      </c>
      <c r="S624" s="12">
        <f t="shared" si="4"/>
        <v>4</v>
      </c>
      <c r="T624" s="8">
        <f t="shared" si="153"/>
        <v>192</v>
      </c>
      <c r="U624" s="13">
        <f>T624/vlookup(A624,Max!$A$2:$AP$700,column(Max!$AP$2),false)</f>
        <v>1.2</v>
      </c>
      <c r="V624" s="8">
        <f t="shared" si="6"/>
        <v>120.17636</v>
      </c>
      <c r="W624" s="14">
        <f t="shared" si="7"/>
        <v>0.8855582007</v>
      </c>
      <c r="X624" s="14">
        <f t="shared" si="8"/>
        <v>0.9983361824</v>
      </c>
      <c r="Y624" s="14">
        <f t="shared" si="9"/>
        <v>1.5</v>
      </c>
      <c r="Z624" s="14">
        <f t="shared" si="10"/>
        <v>1.201709649</v>
      </c>
      <c r="AA624" s="27">
        <f t="shared" si="11"/>
        <v>29</v>
      </c>
      <c r="AB624" s="15">
        <f t="shared" si="158"/>
        <v>1</v>
      </c>
      <c r="AC624" s="15" t="str">
        <f t="shared" si="40"/>
        <v/>
      </c>
      <c r="AD624" s="15" t="str">
        <f t="shared" si="41"/>
        <v>$XLR11-RM-5$: 29,</v>
      </c>
      <c r="AE624" s="15" t="str">
        <f t="shared" si="145"/>
        <v/>
      </c>
      <c r="AF624" s="15" t="str">
        <f t="shared" si="135"/>
        <v/>
      </c>
      <c r="AG624" s="15" t="str">
        <f t="shared" si="136"/>
        <v/>
      </c>
    </row>
    <row r="625" ht="15.75" customHeight="1">
      <c r="A625" s="18" t="s">
        <v>831</v>
      </c>
      <c r="B625" s="16" t="s">
        <v>828</v>
      </c>
      <c r="C625" s="17">
        <f t="shared" si="133"/>
        <v>13</v>
      </c>
      <c r="D625" s="16">
        <v>1956.0</v>
      </c>
      <c r="E625" s="16"/>
      <c r="F625" s="18" t="b">
        <v>1</v>
      </c>
      <c r="G625" s="16" t="b">
        <v>0</v>
      </c>
      <c r="H625" s="16" t="b">
        <v>1</v>
      </c>
      <c r="I625" s="16" t="b">
        <v>1</v>
      </c>
      <c r="J625" s="18" t="b">
        <v>0</v>
      </c>
      <c r="K625" s="16">
        <v>212.0</v>
      </c>
      <c r="L625" s="16">
        <v>38.45</v>
      </c>
      <c r="M625" s="16">
        <v>230.0</v>
      </c>
      <c r="N625" s="16">
        <v>1.52</v>
      </c>
      <c r="O625" s="16">
        <v>0.99</v>
      </c>
      <c r="P625" s="16">
        <v>0.998</v>
      </c>
      <c r="Q625" s="19">
        <f t="shared" si="2"/>
        <v>18.49438126</v>
      </c>
      <c r="R625" s="20">
        <f t="shared" si="3"/>
        <v>4.577373212</v>
      </c>
      <c r="S625" s="21">
        <f t="shared" si="4"/>
        <v>4</v>
      </c>
      <c r="T625" s="17">
        <f t="shared" si="153"/>
        <v>176</v>
      </c>
      <c r="U625" s="22">
        <f>T625/vlookup(A625,Max!$A$2:$AP$700,column(Max!$AP$2),false)</f>
        <v>1.466666667</v>
      </c>
      <c r="V625" s="17">
        <f t="shared" si="6"/>
        <v>120.17636</v>
      </c>
      <c r="W625" s="23">
        <f t="shared" si="7"/>
        <v>0.8868200397</v>
      </c>
      <c r="X625" s="23">
        <f t="shared" si="8"/>
        <v>0.9983361824</v>
      </c>
      <c r="Y625" s="23">
        <f t="shared" si="9"/>
        <v>1.5</v>
      </c>
      <c r="Z625" s="23">
        <f t="shared" si="10"/>
        <v>1.100049135</v>
      </c>
      <c r="AA625" s="24">
        <f t="shared" si="11"/>
        <v>13</v>
      </c>
      <c r="AB625" s="26">
        <f t="shared" si="158"/>
        <v>1</v>
      </c>
      <c r="AC625" s="26" t="str">
        <f t="shared" si="40"/>
        <v/>
      </c>
      <c r="AD625" s="26" t="str">
        <f t="shared" si="41"/>
        <v>$XLR11-RM-13-8K$: 13,</v>
      </c>
      <c r="AE625" s="26" t="str">
        <f t="shared" si="145"/>
        <v/>
      </c>
      <c r="AF625" s="26" t="str">
        <f t="shared" si="135"/>
        <v/>
      </c>
      <c r="AG625" s="26" t="str">
        <f t="shared" si="136"/>
        <v/>
      </c>
    </row>
    <row r="626" ht="15.75" customHeight="1">
      <c r="A626" s="9" t="s">
        <v>832</v>
      </c>
      <c r="B626" s="7" t="s">
        <v>828</v>
      </c>
      <c r="C626" s="8">
        <f t="shared" si="133"/>
        <v>-4</v>
      </c>
      <c r="D626" s="7">
        <v>1964.0</v>
      </c>
      <c r="E626" s="7"/>
      <c r="F626" s="9" t="b">
        <v>1</v>
      </c>
      <c r="G626" s="7" t="b">
        <v>0</v>
      </c>
      <c r="H626" s="7" t="b">
        <v>1</v>
      </c>
      <c r="I626" s="7" t="b">
        <v>1</v>
      </c>
      <c r="J626" s="9" t="b">
        <v>0</v>
      </c>
      <c r="K626" s="7">
        <v>212.0</v>
      </c>
      <c r="L626" s="7">
        <v>47.08</v>
      </c>
      <c r="M626" s="7">
        <v>230.0</v>
      </c>
      <c r="N626" s="7">
        <v>1.52</v>
      </c>
      <c r="O626" s="7">
        <v>0.99</v>
      </c>
      <c r="P626" s="7">
        <v>0.998</v>
      </c>
      <c r="Q626" s="10">
        <f t="shared" si="2"/>
        <v>22.64539583</v>
      </c>
      <c r="R626" s="11">
        <f t="shared" si="3"/>
        <v>3.377230246</v>
      </c>
      <c r="S626" s="12">
        <f t="shared" si="4"/>
        <v>4</v>
      </c>
      <c r="T626" s="8">
        <f t="shared" si="153"/>
        <v>159</v>
      </c>
      <c r="U626" s="13">
        <f>T626/vlookup(A626,Max!$A$2:$AP$700,column(Max!$AP$2),false)</f>
        <v>1.747252747</v>
      </c>
      <c r="V626" s="8">
        <f t="shared" si="6"/>
        <v>120.17636</v>
      </c>
      <c r="W626" s="14">
        <f t="shared" si="7"/>
        <v>0.8868200397</v>
      </c>
      <c r="X626" s="14">
        <f t="shared" si="8"/>
        <v>0.9983361824</v>
      </c>
      <c r="Y626" s="14">
        <f t="shared" si="9"/>
        <v>1.5</v>
      </c>
      <c r="Z626" s="14">
        <f t="shared" si="10"/>
        <v>0.9950074975</v>
      </c>
      <c r="AA626" s="27">
        <f t="shared" si="11"/>
        <v>-4</v>
      </c>
      <c r="AB626" s="15">
        <f t="shared" si="158"/>
        <v>1</v>
      </c>
      <c r="AC626" s="15" t="str">
        <f t="shared" si="40"/>
        <v/>
      </c>
      <c r="AD626" s="15" t="str">
        <f t="shared" si="41"/>
        <v>$XLR11-RM-13-10K$: -4,</v>
      </c>
      <c r="AE626" s="15" t="str">
        <f t="shared" si="145"/>
        <v/>
      </c>
      <c r="AF626" s="15" t="str">
        <f t="shared" si="135"/>
        <v/>
      </c>
      <c r="AG626" s="15" t="str">
        <f t="shared" si="136"/>
        <v/>
      </c>
    </row>
    <row r="627" ht="15.75" customHeight="1">
      <c r="A627" s="16" t="s">
        <v>833</v>
      </c>
      <c r="B627" s="16" t="s">
        <v>833</v>
      </c>
      <c r="C627" s="17">
        <f t="shared" si="133"/>
        <v>110</v>
      </c>
      <c r="D627" s="16">
        <v>1995.0</v>
      </c>
      <c r="E627" s="16"/>
      <c r="F627" s="16" t="b">
        <v>1</v>
      </c>
      <c r="G627" s="16" t="b">
        <v>0</v>
      </c>
      <c r="H627" s="16" t="b">
        <v>1</v>
      </c>
      <c r="I627" s="16" t="b">
        <v>0</v>
      </c>
      <c r="J627" s="18" t="b">
        <v>0</v>
      </c>
      <c r="K627" s="16">
        <v>52.0</v>
      </c>
      <c r="L627" s="16">
        <v>16.7</v>
      </c>
      <c r="M627" s="16">
        <v>343.0</v>
      </c>
      <c r="N627" s="16">
        <v>10.34</v>
      </c>
      <c r="O627" s="16">
        <v>0.9995</v>
      </c>
      <c r="P627" s="16">
        <v>0.9995</v>
      </c>
      <c r="Q627" s="19">
        <f t="shared" si="2"/>
        <v>32.74857828</v>
      </c>
      <c r="R627" s="20">
        <f t="shared" si="3"/>
        <v>6.586826347</v>
      </c>
      <c r="S627" s="21">
        <f t="shared" si="4"/>
        <v>4</v>
      </c>
      <c r="T627" s="17">
        <f t="shared" si="153"/>
        <v>110</v>
      </c>
      <c r="U627" s="22">
        <f>T627/vlookup(A627,Max!$A$2:$AP$700,column(Max!$AP$2),false)</f>
        <v>3.055555556</v>
      </c>
      <c r="V627" s="17">
        <f t="shared" si="6"/>
        <v>51.47592973</v>
      </c>
      <c r="W627" s="23">
        <f t="shared" si="7"/>
        <v>1.358382106</v>
      </c>
      <c r="X627" s="23">
        <f t="shared" si="8"/>
        <v>1.536841662</v>
      </c>
      <c r="Y627" s="23">
        <f t="shared" si="9"/>
        <v>1</v>
      </c>
      <c r="Z627" s="23">
        <f t="shared" si="10"/>
        <v>1.022883106</v>
      </c>
      <c r="AA627" s="26">
        <f t="shared" si="11"/>
        <v>0</v>
      </c>
      <c r="AB627" s="25">
        <v>0.0</v>
      </c>
      <c r="AC627" s="26" t="str">
        <f t="shared" si="40"/>
        <v>{
$name$: $XLR132$,
$config$: $XLR132$,
$cost$: 110
},</v>
      </c>
      <c r="AD627" s="26" t="str">
        <f t="shared" si="41"/>
        <v/>
      </c>
      <c r="AE627" s="26" t="str">
        <f t="shared" si="145"/>
        <v/>
      </c>
      <c r="AF627" s="26" t="str">
        <f t="shared" si="135"/>
        <v/>
      </c>
      <c r="AG627" s="26" t="str">
        <f t="shared" si="136"/>
        <v/>
      </c>
    </row>
    <row r="628" ht="15.75" customHeight="1">
      <c r="A628" s="7" t="s">
        <v>834</v>
      </c>
      <c r="B628" s="7" t="s">
        <v>835</v>
      </c>
      <c r="C628" s="8">
        <f t="shared" si="133"/>
        <v>200</v>
      </c>
      <c r="D628" s="7">
        <v>1954.0</v>
      </c>
      <c r="E628" s="7"/>
      <c r="F628" s="7" t="b">
        <v>1</v>
      </c>
      <c r="G628" s="7" t="b">
        <v>0</v>
      </c>
      <c r="H628" s="7" t="b">
        <v>1</v>
      </c>
      <c r="I628" s="7" t="b">
        <v>1</v>
      </c>
      <c r="J628" s="9" t="b">
        <v>0</v>
      </c>
      <c r="K628" s="7">
        <v>157.0</v>
      </c>
      <c r="L628" s="7">
        <v>66.72</v>
      </c>
      <c r="M628" s="7">
        <v>225.0</v>
      </c>
      <c r="N628" s="7">
        <v>1.52</v>
      </c>
      <c r="O628" s="7">
        <v>0.986364</v>
      </c>
      <c r="P628" s="7">
        <v>0.986364</v>
      </c>
      <c r="Q628" s="10">
        <f t="shared" si="2"/>
        <v>43.33469142</v>
      </c>
      <c r="R628" s="11">
        <f t="shared" si="3"/>
        <v>2.997601918</v>
      </c>
      <c r="S628" s="12">
        <f t="shared" si="4"/>
        <v>4</v>
      </c>
      <c r="T628" s="28">
        <v>200.0</v>
      </c>
      <c r="U628" s="13">
        <f>T628/vlookup(A628,Max!$A$2:$AP$700,column(Max!$AP$2),false)</f>
        <v>1.333333333</v>
      </c>
      <c r="V628" s="8">
        <f t="shared" si="6"/>
        <v>100.1523894</v>
      </c>
      <c r="W628" s="14">
        <f t="shared" si="7"/>
        <v>0.8838083295</v>
      </c>
      <c r="X628" s="14">
        <f t="shared" si="8"/>
        <v>0.9983361824</v>
      </c>
      <c r="Y628" s="14">
        <f t="shared" si="9"/>
        <v>1.5</v>
      </c>
      <c r="Z628" s="14">
        <f t="shared" si="10"/>
        <v>1.096331619</v>
      </c>
      <c r="AA628" s="15">
        <f t="shared" si="11"/>
        <v>0</v>
      </c>
      <c r="AB628" s="29">
        <v>0.0</v>
      </c>
      <c r="AC628" s="15" t="str">
        <f t="shared" si="40"/>
        <v>{
$name$: $XLR25-CW-1$,
$config$: $XLR25$,
$cost$: 200
},</v>
      </c>
      <c r="AD628" s="15" t="str">
        <f t="shared" si="41"/>
        <v/>
      </c>
      <c r="AE628" s="15" t="str">
        <f t="shared" si="145"/>
        <v/>
      </c>
      <c r="AF628" s="15" t="str">
        <f t="shared" si="135"/>
        <v/>
      </c>
      <c r="AG628" s="15" t="str">
        <f t="shared" si="136"/>
        <v/>
      </c>
    </row>
    <row r="629" ht="15.75" customHeight="1">
      <c r="A629" s="16" t="s">
        <v>836</v>
      </c>
      <c r="B629" s="16" t="s">
        <v>837</v>
      </c>
      <c r="C629" s="17">
        <f t="shared" si="133"/>
        <v>330</v>
      </c>
      <c r="D629" s="16">
        <v>1946.0</v>
      </c>
      <c r="E629" s="16"/>
      <c r="F629" s="16" t="b">
        <v>1</v>
      </c>
      <c r="G629" s="16" t="b">
        <v>0</v>
      </c>
      <c r="H629" s="16" t="b">
        <v>0</v>
      </c>
      <c r="I629" s="16" t="b">
        <v>0</v>
      </c>
      <c r="J629" s="18" t="b">
        <v>0</v>
      </c>
      <c r="K629" s="16">
        <v>791.0</v>
      </c>
      <c r="L629" s="16">
        <v>333.0</v>
      </c>
      <c r="M629" s="16">
        <v>239.0</v>
      </c>
      <c r="N629" s="16">
        <v>1.5</v>
      </c>
      <c r="O629" s="16">
        <v>0.97</v>
      </c>
      <c r="P629" s="16">
        <v>0.95</v>
      </c>
      <c r="Q629" s="19">
        <f t="shared" si="2"/>
        <v>42.92863438</v>
      </c>
      <c r="R629" s="20">
        <f t="shared" si="3"/>
        <v>0.990990991</v>
      </c>
      <c r="S629" s="21">
        <f t="shared" si="4"/>
        <v>4</v>
      </c>
      <c r="T629" s="32">
        <v>330.0</v>
      </c>
      <c r="U629" s="22">
        <f>T629/vlookup(A629,Max!$A$2:$AP$700,column(Max!$AP$2),false)</f>
        <v>1.137931034</v>
      </c>
      <c r="V629" s="17">
        <f t="shared" si="6"/>
        <v>268.8844343</v>
      </c>
      <c r="W629" s="23">
        <f t="shared" si="7"/>
        <v>0.8934944272</v>
      </c>
      <c r="X629" s="23">
        <f t="shared" si="8"/>
        <v>0.9938253032</v>
      </c>
      <c r="Y629" s="23">
        <f t="shared" si="9"/>
        <v>1</v>
      </c>
      <c r="Z629" s="23">
        <f t="shared" si="10"/>
        <v>1.151098054</v>
      </c>
      <c r="AA629" s="26">
        <f t="shared" si="11"/>
        <v>0</v>
      </c>
      <c r="AB629" s="25">
        <v>0.0</v>
      </c>
      <c r="AC629" s="26" t="str">
        <f t="shared" si="40"/>
        <v>{
$name$: $XLR41-NA-1$,
$config$: $XLR41$,
$cost$: 330
},</v>
      </c>
      <c r="AD629" s="26" t="str">
        <f t="shared" si="41"/>
        <v/>
      </c>
      <c r="AE629" s="26" t="str">
        <f t="shared" si="145"/>
        <v/>
      </c>
      <c r="AF629" s="26" t="str">
        <f t="shared" si="135"/>
        <v/>
      </c>
      <c r="AG629" s="26" t="str">
        <f t="shared" si="136"/>
        <v/>
      </c>
    </row>
    <row r="630" ht="15.75" customHeight="1">
      <c r="A630" s="7" t="s">
        <v>838</v>
      </c>
      <c r="B630" s="7" t="s">
        <v>839</v>
      </c>
      <c r="C630" s="8">
        <f t="shared" si="133"/>
        <v>333</v>
      </c>
      <c r="D630" s="7">
        <v>1959.0</v>
      </c>
      <c r="E630" s="7"/>
      <c r="F630" s="7" t="b">
        <v>1</v>
      </c>
      <c r="G630" s="7" t="b">
        <v>0</v>
      </c>
      <c r="H630" s="7" t="b">
        <v>1</v>
      </c>
      <c r="I630" s="7" t="b">
        <v>1</v>
      </c>
      <c r="J630" s="9" t="b">
        <v>0</v>
      </c>
      <c r="K630" s="9">
        <v>413.0</v>
      </c>
      <c r="L630" s="9">
        <v>257.3</v>
      </c>
      <c r="M630" s="9">
        <v>276.0</v>
      </c>
      <c r="N630" s="9">
        <v>4.14</v>
      </c>
      <c r="O630" s="7">
        <v>0.996</v>
      </c>
      <c r="P630" s="9">
        <v>0.994</v>
      </c>
      <c r="Q630" s="10">
        <f t="shared" si="2"/>
        <v>63.52856679</v>
      </c>
      <c r="R630" s="11">
        <f t="shared" si="3"/>
        <v>1.294209094</v>
      </c>
      <c r="S630" s="12">
        <f t="shared" si="4"/>
        <v>4</v>
      </c>
      <c r="T630" s="8">
        <f t="shared" ref="T630:T656" si="159">round(V630*W630*X630*Y630*Z630,0)</f>
        <v>333</v>
      </c>
      <c r="U630" s="13">
        <f>T630/vlookup(A630,Max!$A$2:$AP$700,column(Max!$AP$2),false)</f>
        <v>0.925</v>
      </c>
      <c r="V630" s="8">
        <f t="shared" si="6"/>
        <v>180.475747</v>
      </c>
      <c r="W630" s="14">
        <f t="shared" si="7"/>
        <v>0.9422226187</v>
      </c>
      <c r="X630" s="14">
        <f t="shared" si="8"/>
        <v>1.25079772</v>
      </c>
      <c r="Y630" s="14">
        <f t="shared" si="9"/>
        <v>1.5</v>
      </c>
      <c r="Z630" s="14">
        <f t="shared" si="10"/>
        <v>1.043111009</v>
      </c>
      <c r="AA630" s="15">
        <f t="shared" si="11"/>
        <v>0</v>
      </c>
      <c r="AB630" s="29">
        <v>0.0</v>
      </c>
      <c r="AC630" s="15" t="str">
        <f t="shared" si="40"/>
        <v>{
$name$: $XLR99-RM-2$,
$config$: $XLR99$,
$cost$: 333
},</v>
      </c>
      <c r="AD630" s="15" t="str">
        <f t="shared" si="41"/>
        <v/>
      </c>
      <c r="AE630" s="15" t="str">
        <f t="shared" si="145"/>
        <v/>
      </c>
      <c r="AF630" s="15" t="str">
        <f t="shared" si="135"/>
        <v/>
      </c>
      <c r="AG630" s="15" t="str">
        <f t="shared" si="136"/>
        <v/>
      </c>
    </row>
    <row r="631" ht="15.75" customHeight="1">
      <c r="A631" s="16" t="s">
        <v>840</v>
      </c>
      <c r="B631" s="16" t="s">
        <v>839</v>
      </c>
      <c r="C631" s="17">
        <f t="shared" si="133"/>
        <v>10</v>
      </c>
      <c r="D631" s="18">
        <v>1963.0</v>
      </c>
      <c r="E631" s="16"/>
      <c r="F631" s="16" t="b">
        <v>1</v>
      </c>
      <c r="G631" s="16" t="b">
        <v>0</v>
      </c>
      <c r="H631" s="18" t="b">
        <v>1</v>
      </c>
      <c r="I631" s="16" t="b">
        <v>1</v>
      </c>
      <c r="J631" s="18" t="b">
        <v>0</v>
      </c>
      <c r="K631" s="18">
        <v>432.0</v>
      </c>
      <c r="L631" s="18">
        <v>281.9</v>
      </c>
      <c r="M631" s="18">
        <v>298.0</v>
      </c>
      <c r="N631" s="18">
        <v>4.14</v>
      </c>
      <c r="O631" s="16">
        <v>0.996</v>
      </c>
      <c r="P631" s="16">
        <v>0.99</v>
      </c>
      <c r="Q631" s="19">
        <f t="shared" si="2"/>
        <v>66.54120361</v>
      </c>
      <c r="R631" s="20">
        <f t="shared" si="3"/>
        <v>1.216743526</v>
      </c>
      <c r="S631" s="21">
        <f t="shared" si="4"/>
        <v>4</v>
      </c>
      <c r="T631" s="17">
        <f t="shared" si="159"/>
        <v>343</v>
      </c>
      <c r="U631" s="22">
        <f>T631/vlookup(A631,Max!$A$2:$AP$700,column(Max!$AP$2),false)</f>
        <v>5.444444444</v>
      </c>
      <c r="V631" s="17">
        <f t="shared" si="6"/>
        <v>185.511268</v>
      </c>
      <c r="W631" s="23">
        <f t="shared" si="7"/>
        <v>0.9941121627</v>
      </c>
      <c r="X631" s="23">
        <f t="shared" si="8"/>
        <v>1.25079772</v>
      </c>
      <c r="Y631" s="23">
        <f t="shared" si="9"/>
        <v>1.5</v>
      </c>
      <c r="Z631" s="23">
        <f t="shared" si="10"/>
        <v>0.99002998</v>
      </c>
      <c r="AA631" s="24">
        <f t="shared" si="11"/>
        <v>10</v>
      </c>
      <c r="AB631" s="26">
        <f t="shared" ref="AB631:AB632" si="160">if(iserror(find("$",A631)),1,2)</f>
        <v>1</v>
      </c>
      <c r="AC631" s="26" t="str">
        <f t="shared" si="40"/>
        <v/>
      </c>
      <c r="AD631" s="26" t="str">
        <f t="shared" si="41"/>
        <v>$XLR99-RM-2A$: 10,</v>
      </c>
      <c r="AE631" s="26" t="str">
        <f t="shared" ref="AE631:AE633" si="161">if(AB631=2,if(AF630&lt;&gt;AF631,char(9)&amp;char(9)&amp;"@CONFIG["&amp;AF631&amp;"]"&amp;char(10)&amp;char(9)&amp;char(9)&amp;"{"&amp;char(10),"")&amp;char(9)&amp;char(9)&amp;char(9)&amp;"@SUBCONFIG["&amp;AG631&amp;"] { %cost = "&amp;AA631&amp;" }"&amp;if(AF633&lt;&gt;AF631,char(10)&amp;char(9)&amp;char(9)&amp;"}",""),"")</f>
        <v/>
      </c>
      <c r="AF631" s="26" t="str">
        <f t="shared" si="135"/>
        <v/>
      </c>
      <c r="AG631" s="26" t="str">
        <f t="shared" si="136"/>
        <v/>
      </c>
    </row>
    <row r="632" ht="15.75" customHeight="1">
      <c r="A632" s="9" t="s">
        <v>841</v>
      </c>
      <c r="B632" s="9" t="s">
        <v>839</v>
      </c>
      <c r="C632" s="8">
        <f t="shared" si="133"/>
        <v>27</v>
      </c>
      <c r="D632" s="9">
        <v>1966.0</v>
      </c>
      <c r="E632" s="7"/>
      <c r="F632" s="9" t="b">
        <v>1</v>
      </c>
      <c r="G632" s="9" t="b">
        <v>0</v>
      </c>
      <c r="H632" s="9" t="b">
        <v>1</v>
      </c>
      <c r="I632" s="7" t="b">
        <v>1</v>
      </c>
      <c r="J632" s="9" t="b">
        <v>0</v>
      </c>
      <c r="K632" s="9">
        <v>432.0</v>
      </c>
      <c r="L632" s="9">
        <v>369.2</v>
      </c>
      <c r="M632" s="9">
        <v>298.0</v>
      </c>
      <c r="N632" s="9">
        <v>5.42</v>
      </c>
      <c r="O632" s="7">
        <v>0.996</v>
      </c>
      <c r="P632" s="9">
        <v>0.986</v>
      </c>
      <c r="Q632" s="10">
        <f t="shared" si="2"/>
        <v>87.14796869</v>
      </c>
      <c r="R632" s="11">
        <f t="shared" si="3"/>
        <v>0.9750812568</v>
      </c>
      <c r="S632" s="12">
        <f t="shared" si="4"/>
        <v>4</v>
      </c>
      <c r="T632" s="8">
        <f t="shared" si="159"/>
        <v>360</v>
      </c>
      <c r="U632" s="13" t="str">
        <f>T632/vlookup(A632,Max!$A$2:$AP$700,column(Max!$AP$2),false)</f>
        <v>#N/A</v>
      </c>
      <c r="V632" s="8">
        <f t="shared" si="6"/>
        <v>185.511268</v>
      </c>
      <c r="W632" s="14">
        <f t="shared" si="7"/>
        <v>0.9941121627</v>
      </c>
      <c r="X632" s="14">
        <f t="shared" si="8"/>
        <v>1.328959799</v>
      </c>
      <c r="Y632" s="14">
        <f t="shared" si="9"/>
        <v>1.5</v>
      </c>
      <c r="Z632" s="14">
        <f t="shared" si="10"/>
        <v>0.9800599607</v>
      </c>
      <c r="AA632" s="27">
        <f t="shared" si="11"/>
        <v>27</v>
      </c>
      <c r="AB632" s="15">
        <f t="shared" si="160"/>
        <v>1</v>
      </c>
      <c r="AC632" s="15"/>
      <c r="AD632" s="15" t="str">
        <f t="shared" si="41"/>
        <v>$XLR99-RM-3$: 27,</v>
      </c>
      <c r="AE632" s="15" t="str">
        <f t="shared" si="161"/>
        <v/>
      </c>
      <c r="AF632" s="15" t="str">
        <f t="shared" si="135"/>
        <v/>
      </c>
      <c r="AG632" s="15" t="str">
        <f t="shared" si="136"/>
        <v/>
      </c>
    </row>
    <row r="633" ht="15.75" customHeight="1">
      <c r="A633" s="16" t="s">
        <v>842</v>
      </c>
      <c r="B633" s="16" t="s">
        <v>843</v>
      </c>
      <c r="C633" s="17">
        <f t="shared" si="133"/>
        <v>3236</v>
      </c>
      <c r="D633" s="16">
        <v>1999.0</v>
      </c>
      <c r="E633" s="16" t="b">
        <v>1</v>
      </c>
      <c r="F633" s="16" t="b">
        <v>1</v>
      </c>
      <c r="G633" s="16" t="b">
        <v>0</v>
      </c>
      <c r="H633" s="16" t="b">
        <v>0</v>
      </c>
      <c r="I633" s="16" t="b">
        <v>0</v>
      </c>
      <c r="J633" s="18" t="b">
        <v>0</v>
      </c>
      <c r="K633" s="16">
        <v>3500.0</v>
      </c>
      <c r="L633" s="16">
        <v>1169.3</v>
      </c>
      <c r="M633" s="16">
        <v>436.0</v>
      </c>
      <c r="N633" s="16">
        <v>5.91</v>
      </c>
      <c r="O633" s="16"/>
      <c r="P633" s="16"/>
      <c r="Q633" s="19">
        <f t="shared" si="2"/>
        <v>34.06726184</v>
      </c>
      <c r="R633" s="20">
        <f t="shared" si="3"/>
        <v>2.767467716</v>
      </c>
      <c r="S633" s="21">
        <f t="shared" si="4"/>
        <v>4</v>
      </c>
      <c r="T633" s="17">
        <f t="shared" si="159"/>
        <v>3236</v>
      </c>
      <c r="U633" s="22">
        <f>T633/vlookup(A633,Max!$A$2:$AP$700,column(Max!$AP$2),false)</f>
        <v>2.813913043</v>
      </c>
      <c r="V633" s="17">
        <f t="shared" si="6"/>
        <v>728.0658847</v>
      </c>
      <c r="W633" s="23">
        <f t="shared" si="7"/>
        <v>2.964432836</v>
      </c>
      <c r="X633" s="23">
        <f t="shared" si="8"/>
        <v>1.499542974</v>
      </c>
      <c r="Y633" s="23">
        <f t="shared" si="9"/>
        <v>1</v>
      </c>
      <c r="Z633" s="23">
        <f t="shared" si="10"/>
        <v>1</v>
      </c>
      <c r="AA633" s="26">
        <f t="shared" si="11"/>
        <v>0</v>
      </c>
      <c r="AB633" s="25">
        <v>0.0</v>
      </c>
      <c r="AC633" s="26" t="str">
        <f t="shared" ref="AC633:AC657" si="162">if(AB633=0,"{"&amp;char(10)&amp;"$name$"&amp;": "&amp;"$"&amp;A633&amp;"$"&amp;","&amp;char(10)&amp;"$config$"&amp;": "&amp;"$"&amp;B633&amp;"$"&amp;","&amp;char(10)&amp;"$cost$"&amp;": "&amp;C633&amp;char(10)&amp;"},","")</f>
        <v>{
$name$: $XRS-2200$,
$config$: $XRS2200$,
$cost$: 3236
},</v>
      </c>
      <c r="AD633" s="26" t="str">
        <f t="shared" si="41"/>
        <v/>
      </c>
      <c r="AE633" s="26" t="str">
        <f t="shared" si="161"/>
        <v/>
      </c>
      <c r="AF633" s="26" t="str">
        <f t="shared" si="135"/>
        <v/>
      </c>
      <c r="AG633" s="26" t="str">
        <f t="shared" si="136"/>
        <v/>
      </c>
    </row>
    <row r="634" ht="15.75" customHeight="1">
      <c r="A634" s="9" t="s">
        <v>844</v>
      </c>
      <c r="B634" s="9" t="s">
        <v>845</v>
      </c>
      <c r="C634" s="8">
        <f t="shared" si="133"/>
        <v>191</v>
      </c>
      <c r="D634" s="9">
        <v>1966.0</v>
      </c>
      <c r="E634" s="7"/>
      <c r="F634" s="9" t="b">
        <v>1</v>
      </c>
      <c r="G634" s="9" t="b">
        <v>0</v>
      </c>
      <c r="H634" s="9" t="b">
        <v>0</v>
      </c>
      <c r="I634" s="9" t="b">
        <v>0</v>
      </c>
      <c r="J634" s="9" t="b">
        <v>0</v>
      </c>
      <c r="K634" s="9">
        <v>295.0</v>
      </c>
      <c r="L634" s="9">
        <v>261.63</v>
      </c>
      <c r="M634" s="9">
        <v>259.8</v>
      </c>
      <c r="N634" s="9">
        <v>6.57</v>
      </c>
      <c r="O634" s="9">
        <v>0.955882</v>
      </c>
      <c r="P634" s="9">
        <v>0.955882</v>
      </c>
      <c r="Q634" s="10">
        <f t="shared" si="2"/>
        <v>90.4367295</v>
      </c>
      <c r="R634" s="11">
        <f t="shared" si="3"/>
        <v>0.7300386041</v>
      </c>
      <c r="S634" s="12">
        <f t="shared" si="4"/>
        <v>4</v>
      </c>
      <c r="T634" s="8">
        <f t="shared" si="159"/>
        <v>191</v>
      </c>
      <c r="U634" s="13" t="str">
        <f>T634/vlookup(A634,Max!$A$2:$AP$700,column(Max!$AP$2),false)</f>
        <v>#N/A</v>
      </c>
      <c r="V634" s="8">
        <f t="shared" si="6"/>
        <v>146.9507035</v>
      </c>
      <c r="W634" s="14">
        <f t="shared" si="7"/>
        <v>0.9160682215</v>
      </c>
      <c r="X634" s="14">
        <f t="shared" si="8"/>
        <v>1.547933442</v>
      </c>
      <c r="Y634" s="14">
        <f t="shared" si="9"/>
        <v>1</v>
      </c>
      <c r="Z634" s="14">
        <f t="shared" si="10"/>
        <v>0.9160574741</v>
      </c>
      <c r="AA634" s="15">
        <f t="shared" si="11"/>
        <v>0</v>
      </c>
      <c r="AB634" s="29">
        <v>0.0</v>
      </c>
      <c r="AC634" s="15" t="str">
        <f t="shared" si="162"/>
        <v>{
$name$: $YF-1$,
$config$: $YF1$,
$cost$: 191
},</v>
      </c>
      <c r="AD634" s="15" t="str">
        <f t="shared" si="41"/>
        <v/>
      </c>
      <c r="AE634" s="15" t="str">
        <f t="shared" ref="AE634:AE636" si="163">if(AB634=2,if(AF633&lt;&gt;AF634,char(9)&amp;char(9)&amp;"@CONFIG["&amp;AF634&amp;"]"&amp;char(10)&amp;char(9)&amp;char(9)&amp;"{"&amp;char(10),"")&amp;char(9)&amp;char(9)&amp;char(9)&amp;"@SUBCONFIG["&amp;AG634&amp;"] { %cost = "&amp;AA634&amp;" }"&amp;if(AF657&lt;&gt;AF634,char(10)&amp;char(9)&amp;char(9)&amp;"}",""),"")</f>
        <v/>
      </c>
      <c r="AF634" s="15" t="str">
        <f t="shared" si="135"/>
        <v/>
      </c>
      <c r="AG634" s="15" t="str">
        <f t="shared" si="136"/>
        <v/>
      </c>
    </row>
    <row r="635" ht="15.75" customHeight="1">
      <c r="A635" s="18" t="s">
        <v>846</v>
      </c>
      <c r="B635" s="18" t="s">
        <v>845</v>
      </c>
      <c r="C635" s="17">
        <f t="shared" si="133"/>
        <v>24</v>
      </c>
      <c r="D635" s="18">
        <v>1969.0</v>
      </c>
      <c r="E635" s="16"/>
      <c r="F635" s="18" t="b">
        <v>1</v>
      </c>
      <c r="G635" s="18" t="b">
        <v>0</v>
      </c>
      <c r="H635" s="18" t="b">
        <v>0</v>
      </c>
      <c r="I635" s="18" t="b">
        <v>0</v>
      </c>
      <c r="J635" s="18" t="b">
        <v>0</v>
      </c>
      <c r="K635" s="18">
        <v>295.0</v>
      </c>
      <c r="L635" s="18">
        <v>282.93</v>
      </c>
      <c r="M635" s="18">
        <v>265.6</v>
      </c>
      <c r="N635" s="18">
        <v>6.57</v>
      </c>
      <c r="O635" s="18">
        <v>0.998454</v>
      </c>
      <c r="P635" s="18">
        <v>0.998454</v>
      </c>
      <c r="Q635" s="19">
        <f t="shared" si="2"/>
        <v>97.7994262</v>
      </c>
      <c r="R635" s="20">
        <f t="shared" si="3"/>
        <v>0.7599052769</v>
      </c>
      <c r="S635" s="21">
        <f t="shared" si="4"/>
        <v>4</v>
      </c>
      <c r="T635" s="17">
        <f t="shared" si="159"/>
        <v>215</v>
      </c>
      <c r="U635" s="22" t="str">
        <f>T635/vlookup(A635,Max!$A$2:$AP$700,column(Max!$AP$2),false)</f>
        <v>#N/A</v>
      </c>
      <c r="V635" s="17">
        <f t="shared" si="6"/>
        <v>146.9507035</v>
      </c>
      <c r="W635" s="23">
        <f t="shared" si="7"/>
        <v>0.9244531984</v>
      </c>
      <c r="X635" s="23">
        <f t="shared" si="8"/>
        <v>1.547933442</v>
      </c>
      <c r="Y635" s="23">
        <f t="shared" si="9"/>
        <v>1</v>
      </c>
      <c r="Z635" s="23">
        <f t="shared" si="10"/>
        <v>1.021485407</v>
      </c>
      <c r="AA635" s="24">
        <f t="shared" si="11"/>
        <v>24</v>
      </c>
      <c r="AB635" s="25">
        <v>1.0</v>
      </c>
      <c r="AC635" s="26" t="str">
        <f t="shared" si="162"/>
        <v/>
      </c>
      <c r="AD635" s="26" t="str">
        <f t="shared" si="41"/>
        <v>$YF-1A$: 24,</v>
      </c>
      <c r="AE635" s="26" t="str">
        <f t="shared" si="163"/>
        <v/>
      </c>
      <c r="AF635" s="26" t="str">
        <f t="shared" si="135"/>
        <v/>
      </c>
      <c r="AG635" s="26" t="str">
        <f t="shared" si="136"/>
        <v/>
      </c>
    </row>
    <row r="636" ht="15.75" customHeight="1">
      <c r="A636" s="9" t="s">
        <v>847</v>
      </c>
      <c r="B636" s="9" t="s">
        <v>845</v>
      </c>
      <c r="C636" s="8">
        <f t="shared" si="133"/>
        <v>23</v>
      </c>
      <c r="D636" s="9">
        <v>1985.0</v>
      </c>
      <c r="E636" s="7"/>
      <c r="F636" s="9" t="b">
        <v>1</v>
      </c>
      <c r="G636" s="9" t="b">
        <v>0</v>
      </c>
      <c r="H636" s="9" t="b">
        <v>0</v>
      </c>
      <c r="I636" s="9" t="b">
        <v>0</v>
      </c>
      <c r="J636" s="9" t="b">
        <v>0</v>
      </c>
      <c r="K636" s="9">
        <v>295.0</v>
      </c>
      <c r="L636" s="9">
        <v>303.6</v>
      </c>
      <c r="M636" s="9">
        <v>267.2</v>
      </c>
      <c r="N636" s="9">
        <v>6.57</v>
      </c>
      <c r="O636" s="9">
        <v>0.995455</v>
      </c>
      <c r="P636" s="9">
        <v>0.995455</v>
      </c>
      <c r="Q636" s="10">
        <f t="shared" si="2"/>
        <v>104.944353</v>
      </c>
      <c r="R636" s="11">
        <f t="shared" si="3"/>
        <v>0.7048748353</v>
      </c>
      <c r="S636" s="12">
        <f t="shared" si="4"/>
        <v>4</v>
      </c>
      <c r="T636" s="8">
        <f t="shared" si="159"/>
        <v>214</v>
      </c>
      <c r="U636" s="13" t="str">
        <f>T636/vlookup(A636,Max!$A$2:$AP$700,column(Max!$AP$2),false)</f>
        <v>#N/A</v>
      </c>
      <c r="V636" s="8">
        <f t="shared" si="6"/>
        <v>146.9507035</v>
      </c>
      <c r="W636" s="14">
        <f t="shared" si="7"/>
        <v>0.9269497129</v>
      </c>
      <c r="X636" s="14">
        <f t="shared" si="8"/>
        <v>1.547933442</v>
      </c>
      <c r="Y636" s="14">
        <f t="shared" si="9"/>
        <v>1</v>
      </c>
      <c r="Z636" s="14">
        <f t="shared" si="10"/>
        <v>1.013832232</v>
      </c>
      <c r="AA636" s="27">
        <f t="shared" si="11"/>
        <v>23</v>
      </c>
      <c r="AB636" s="29">
        <v>1.0</v>
      </c>
      <c r="AC636" s="15" t="str">
        <f t="shared" si="162"/>
        <v/>
      </c>
      <c r="AD636" s="15" t="str">
        <f t="shared" si="41"/>
        <v>$YF-1B$: 23,</v>
      </c>
      <c r="AE636" s="15" t="str">
        <f t="shared" si="163"/>
        <v/>
      </c>
      <c r="AF636" s="15" t="str">
        <f t="shared" si="135"/>
        <v/>
      </c>
      <c r="AG636" s="15" t="str">
        <f t="shared" si="136"/>
        <v/>
      </c>
    </row>
    <row r="637" ht="15.75" customHeight="1">
      <c r="A637" s="18" t="s">
        <v>848</v>
      </c>
      <c r="B637" s="18" t="s">
        <v>849</v>
      </c>
      <c r="C637" s="17">
        <f t="shared" si="133"/>
        <v>1260</v>
      </c>
      <c r="D637" s="18">
        <v>2016.0</v>
      </c>
      <c r="E637" s="16"/>
      <c r="F637" s="18" t="b">
        <v>1</v>
      </c>
      <c r="G637" s="18" t="b">
        <v>0</v>
      </c>
      <c r="H637" s="18" t="b">
        <v>0</v>
      </c>
      <c r="I637" s="18" t="b">
        <v>0</v>
      </c>
      <c r="J637" s="18" t="b">
        <v>0</v>
      </c>
      <c r="K637" s="18">
        <v>1900.0</v>
      </c>
      <c r="L637" s="18">
        <v>1340.0</v>
      </c>
      <c r="M637" s="18">
        <v>335.0</v>
      </c>
      <c r="N637" s="18">
        <v>18.0</v>
      </c>
      <c r="O637" s="18">
        <v>0.997154</v>
      </c>
      <c r="P637" s="18">
        <v>0.997154</v>
      </c>
      <c r="Q637" s="19">
        <f t="shared" si="2"/>
        <v>71.91682744</v>
      </c>
      <c r="R637" s="20">
        <f t="shared" si="3"/>
        <v>0.9402985075</v>
      </c>
      <c r="S637" s="21">
        <f t="shared" si="4"/>
        <v>4</v>
      </c>
      <c r="T637" s="17">
        <f t="shared" si="159"/>
        <v>1260</v>
      </c>
      <c r="U637" s="22" t="str">
        <f>T637/vlookup(A637,Max!$A$2:$AP$700,column(Max!$AP$2),false)</f>
        <v>#N/A</v>
      </c>
      <c r="V637" s="17">
        <f t="shared" si="6"/>
        <v>461.9117121</v>
      </c>
      <c r="W637" s="23">
        <f t="shared" si="7"/>
        <v>1.279467524</v>
      </c>
      <c r="X637" s="23">
        <f t="shared" si="8"/>
        <v>2.094423122</v>
      </c>
      <c r="Y637" s="23">
        <f t="shared" si="9"/>
        <v>1</v>
      </c>
      <c r="Z637" s="23">
        <f t="shared" si="10"/>
        <v>1.018163685</v>
      </c>
      <c r="AA637" s="26">
        <f t="shared" si="11"/>
        <v>0</v>
      </c>
      <c r="AB637" s="25">
        <v>0.0</v>
      </c>
      <c r="AC637" s="26" t="str">
        <f t="shared" si="162"/>
        <v>{
$name$: $YF-100$,
$config$: $YF100$,
$cost$: 1260
},</v>
      </c>
      <c r="AD637" s="26" t="str">
        <f t="shared" si="41"/>
        <v/>
      </c>
      <c r="AE637" s="26" t="str">
        <f t="shared" ref="AE637:AE638" si="164">if(AB637=2,if(AF636&lt;&gt;AF637,char(9)&amp;char(9)&amp;"@CONFIG["&amp;AF637&amp;"]"&amp;char(10)&amp;char(9)&amp;char(9)&amp;"{"&amp;char(10),"")&amp;char(9)&amp;char(9)&amp;char(9)&amp;"@SUBCONFIG["&amp;AG637&amp;"] { %cost = "&amp;AA637&amp;" }"&amp;if(AF659&lt;&gt;AF637,char(10)&amp;char(9)&amp;char(9)&amp;"}",""),"")</f>
        <v/>
      </c>
      <c r="AF637" s="26" t="str">
        <f t="shared" si="135"/>
        <v/>
      </c>
      <c r="AG637" s="26" t="str">
        <f t="shared" si="136"/>
        <v/>
      </c>
    </row>
    <row r="638" ht="15.75" customHeight="1">
      <c r="A638" s="9" t="s">
        <v>850</v>
      </c>
      <c r="B638" s="9" t="s">
        <v>849</v>
      </c>
      <c r="C638" s="8">
        <f t="shared" si="133"/>
        <v>19</v>
      </c>
      <c r="D638" s="9">
        <v>2026.0</v>
      </c>
      <c r="E638" s="7"/>
      <c r="F638" s="9" t="b">
        <v>1</v>
      </c>
      <c r="G638" s="9" t="b">
        <v>0</v>
      </c>
      <c r="H638" s="9" t="b">
        <v>0</v>
      </c>
      <c r="I638" s="9" t="b">
        <v>0</v>
      </c>
      <c r="J638" s="9" t="b">
        <v>0</v>
      </c>
      <c r="K638" s="9">
        <v>1900.0</v>
      </c>
      <c r="L638" s="9">
        <v>1397.0</v>
      </c>
      <c r="M638" s="9">
        <v>337.0</v>
      </c>
      <c r="N638" s="9">
        <v>18.0</v>
      </c>
      <c r="O638" s="9">
        <v>0.997154</v>
      </c>
      <c r="P638" s="9">
        <v>0.997154</v>
      </c>
      <c r="Q638" s="10">
        <f t="shared" si="2"/>
        <v>74.97597607</v>
      </c>
      <c r="R638" s="11">
        <f t="shared" si="3"/>
        <v>0.9155332856</v>
      </c>
      <c r="S638" s="12">
        <f t="shared" si="4"/>
        <v>4</v>
      </c>
      <c r="T638" s="8">
        <f t="shared" si="159"/>
        <v>1279</v>
      </c>
      <c r="U638" s="13" t="str">
        <f>T638/vlookup(A638,Max!$A$2:$AP$700,column(Max!$AP$2),false)</f>
        <v>#N/A</v>
      </c>
      <c r="V638" s="8">
        <f t="shared" si="6"/>
        <v>461.9117121</v>
      </c>
      <c r="W638" s="14">
        <f t="shared" si="7"/>
        <v>1.298602073</v>
      </c>
      <c r="X638" s="14">
        <f t="shared" si="8"/>
        <v>2.094423122</v>
      </c>
      <c r="Y638" s="14">
        <f t="shared" si="9"/>
        <v>1</v>
      </c>
      <c r="Z638" s="14">
        <f t="shared" si="10"/>
        <v>1.018163685</v>
      </c>
      <c r="AA638" s="27">
        <f t="shared" si="11"/>
        <v>19</v>
      </c>
      <c r="AB638" s="29">
        <v>1.0</v>
      </c>
      <c r="AC638" s="15" t="str">
        <f t="shared" si="162"/>
        <v/>
      </c>
      <c r="AD638" s="15" t="str">
        <f t="shared" si="41"/>
        <v>$YF-100K$: 19,</v>
      </c>
      <c r="AE638" s="15" t="str">
        <f t="shared" si="164"/>
        <v/>
      </c>
      <c r="AF638" s="15" t="str">
        <f t="shared" si="135"/>
        <v/>
      </c>
      <c r="AG638" s="15" t="str">
        <f t="shared" si="136"/>
        <v/>
      </c>
    </row>
    <row r="639" ht="15.75" customHeight="1">
      <c r="A639" s="18" t="s">
        <v>851</v>
      </c>
      <c r="B639" s="18" t="s">
        <v>852</v>
      </c>
      <c r="C639" s="17">
        <f t="shared" si="133"/>
        <v>402</v>
      </c>
      <c r="D639" s="18">
        <v>1971.0</v>
      </c>
      <c r="E639" s="16"/>
      <c r="F639" s="18" t="b">
        <v>1</v>
      </c>
      <c r="G639" s="18" t="b">
        <v>0</v>
      </c>
      <c r="H639" s="18" t="b">
        <v>0</v>
      </c>
      <c r="I639" s="18" t="b">
        <v>0</v>
      </c>
      <c r="J639" s="18" t="b">
        <v>0</v>
      </c>
      <c r="K639" s="18">
        <v>737.5</v>
      </c>
      <c r="L639" s="18">
        <v>778.2</v>
      </c>
      <c r="M639" s="18">
        <v>289.5</v>
      </c>
      <c r="N639" s="18">
        <v>6.98</v>
      </c>
      <c r="O639" s="18">
        <v>0.9972</v>
      </c>
      <c r="P639" s="18">
        <v>0.9972</v>
      </c>
      <c r="Q639" s="19">
        <f t="shared" si="2"/>
        <v>107.5990718</v>
      </c>
      <c r="R639" s="20">
        <f t="shared" si="3"/>
        <v>0.5165767155</v>
      </c>
      <c r="S639" s="21">
        <f t="shared" si="4"/>
        <v>4</v>
      </c>
      <c r="T639" s="17">
        <f t="shared" si="159"/>
        <v>402</v>
      </c>
      <c r="U639" s="22" t="str">
        <f>T639/vlookup(A639,Max!$A$2:$AP$700,column(Max!$AP$2),false)</f>
        <v>#N/A</v>
      </c>
      <c r="V639" s="17">
        <f t="shared" si="6"/>
        <v>257.5483315</v>
      </c>
      <c r="W639" s="23">
        <f t="shared" si="7"/>
        <v>0.9714379184</v>
      </c>
      <c r="X639" s="23">
        <f t="shared" si="8"/>
        <v>1.576301537</v>
      </c>
      <c r="Y639" s="23">
        <f t="shared" si="9"/>
        <v>1</v>
      </c>
      <c r="Z639" s="23">
        <f t="shared" si="10"/>
        <v>1.018281112</v>
      </c>
      <c r="AA639" s="26">
        <f t="shared" si="11"/>
        <v>0</v>
      </c>
      <c r="AB639" s="25">
        <v>0.0</v>
      </c>
      <c r="AC639" s="26" t="str">
        <f t="shared" si="162"/>
        <v>{
$name$: $YF-20$,
$config$: $YF20$,
$cost$: 402
},</v>
      </c>
      <c r="AD639" s="26" t="str">
        <f t="shared" si="41"/>
        <v/>
      </c>
      <c r="AE639" s="26" t="str">
        <f t="shared" ref="AE639:AE653" si="165">if(AB639=2,if(AF638&lt;&gt;AF639,char(9)&amp;char(9)&amp;"@CONFIG["&amp;AF639&amp;"]"&amp;char(10)&amp;char(9)&amp;char(9)&amp;"{"&amp;char(10),"")&amp;char(9)&amp;char(9)&amp;char(9)&amp;"@SUBCONFIG["&amp;AG639&amp;"] { %cost = "&amp;AA639&amp;" }"&amp;if(AF662&lt;&gt;AF639,char(10)&amp;char(9)&amp;char(9)&amp;"}",""),"")</f>
        <v/>
      </c>
      <c r="AF639" s="26" t="str">
        <f t="shared" si="135"/>
        <v/>
      </c>
      <c r="AG639" s="26" t="str">
        <f t="shared" si="136"/>
        <v/>
      </c>
    </row>
    <row r="640" ht="15.75" customHeight="1">
      <c r="A640" s="9" t="s">
        <v>853</v>
      </c>
      <c r="B640" s="9" t="s">
        <v>852</v>
      </c>
      <c r="C640" s="8">
        <f t="shared" si="133"/>
        <v>16</v>
      </c>
      <c r="D640" s="9">
        <v>1982.0</v>
      </c>
      <c r="E640" s="7"/>
      <c r="F640" s="9" t="b">
        <v>1</v>
      </c>
      <c r="G640" s="9" t="b">
        <v>0</v>
      </c>
      <c r="H640" s="9" t="b">
        <v>0</v>
      </c>
      <c r="I640" s="9" t="b">
        <v>0</v>
      </c>
      <c r="J640" s="9" t="b">
        <v>0</v>
      </c>
      <c r="K640" s="9">
        <v>737.5</v>
      </c>
      <c r="L640" s="9">
        <v>822.2</v>
      </c>
      <c r="M640" s="9">
        <v>289.5</v>
      </c>
      <c r="N640" s="9">
        <v>7.96</v>
      </c>
      <c r="O640" s="9">
        <v>0.997692</v>
      </c>
      <c r="P640" s="9">
        <v>0.997692</v>
      </c>
      <c r="Q640" s="10">
        <f t="shared" si="2"/>
        <v>113.6828024</v>
      </c>
      <c r="R640" s="11">
        <f t="shared" si="3"/>
        <v>0.5083921187</v>
      </c>
      <c r="S640" s="12">
        <f t="shared" si="4"/>
        <v>4</v>
      </c>
      <c r="T640" s="8">
        <f t="shared" si="159"/>
        <v>418</v>
      </c>
      <c r="U640" s="13" t="str">
        <f>T640/vlookup(A640,Max!$A$2:$AP$700,column(Max!$AP$2),false)</f>
        <v>#N/A</v>
      </c>
      <c r="V640" s="8">
        <f t="shared" si="6"/>
        <v>257.5483315</v>
      </c>
      <c r="W640" s="14">
        <f t="shared" si="7"/>
        <v>0.9714379184</v>
      </c>
      <c r="X640" s="14">
        <f t="shared" si="8"/>
        <v>1.639670535</v>
      </c>
      <c r="Y640" s="14">
        <f t="shared" si="9"/>
        <v>1</v>
      </c>
      <c r="Z640" s="14">
        <f t="shared" si="10"/>
        <v>1.019537579</v>
      </c>
      <c r="AA640" s="27">
        <f t="shared" si="11"/>
        <v>16</v>
      </c>
      <c r="AB640" s="29">
        <v>1.0</v>
      </c>
      <c r="AC640" s="15" t="str">
        <f t="shared" si="162"/>
        <v/>
      </c>
      <c r="AD640" s="15" t="str">
        <f t="shared" si="41"/>
        <v>$YF-20B$: 16,</v>
      </c>
      <c r="AE640" s="15" t="str">
        <f t="shared" si="165"/>
        <v/>
      </c>
      <c r="AF640" s="15" t="str">
        <f t="shared" si="135"/>
        <v/>
      </c>
      <c r="AG640" s="15" t="str">
        <f t="shared" si="136"/>
        <v/>
      </c>
    </row>
    <row r="641" ht="15.75" customHeight="1">
      <c r="A641" s="18" t="s">
        <v>854</v>
      </c>
      <c r="B641" s="18" t="s">
        <v>852</v>
      </c>
      <c r="C641" s="17">
        <f t="shared" si="133"/>
        <v>-5</v>
      </c>
      <c r="D641" s="18">
        <v>1990.0</v>
      </c>
      <c r="E641" s="16"/>
      <c r="F641" s="18" t="b">
        <v>1</v>
      </c>
      <c r="G641" s="18" t="b">
        <v>0</v>
      </c>
      <c r="H641" s="18" t="b">
        <v>0</v>
      </c>
      <c r="I641" s="18" t="b">
        <v>0</v>
      </c>
      <c r="J641" s="18" t="b">
        <v>0</v>
      </c>
      <c r="K641" s="18">
        <v>673.0</v>
      </c>
      <c r="L641" s="18">
        <v>839.6</v>
      </c>
      <c r="M641" s="18">
        <v>289.5</v>
      </c>
      <c r="N641" s="18">
        <v>7.96</v>
      </c>
      <c r="O641" s="18">
        <v>0.999712</v>
      </c>
      <c r="P641" s="18">
        <v>0.999712</v>
      </c>
      <c r="Q641" s="19">
        <f t="shared" si="2"/>
        <v>127.2145215</v>
      </c>
      <c r="R641" s="20">
        <f t="shared" si="3"/>
        <v>0.4728442115</v>
      </c>
      <c r="S641" s="21">
        <f t="shared" si="4"/>
        <v>4</v>
      </c>
      <c r="T641" s="17">
        <f t="shared" si="159"/>
        <v>397</v>
      </c>
      <c r="U641" s="22" t="str">
        <f>T641/vlookup(A641,Max!$A$2:$AP$700,column(Max!$AP$2),false)</f>
        <v>#N/A</v>
      </c>
      <c r="V641" s="17">
        <f t="shared" si="6"/>
        <v>243.4606005</v>
      </c>
      <c r="W641" s="23">
        <f t="shared" si="7"/>
        <v>0.9714379184</v>
      </c>
      <c r="X641" s="23">
        <f t="shared" si="8"/>
        <v>1.639670535</v>
      </c>
      <c r="Y641" s="23">
        <f t="shared" si="9"/>
        <v>1</v>
      </c>
      <c r="Z641" s="23">
        <f t="shared" si="10"/>
        <v>1.024705994</v>
      </c>
      <c r="AA641" s="24">
        <f t="shared" si="11"/>
        <v>-5</v>
      </c>
      <c r="AB641" s="25">
        <v>1.0</v>
      </c>
      <c r="AC641" s="26" t="str">
        <f t="shared" si="162"/>
        <v/>
      </c>
      <c r="AD641" s="26" t="str">
        <f t="shared" si="41"/>
        <v>$YF-25K$: -5,</v>
      </c>
      <c r="AE641" s="26" t="str">
        <f t="shared" si="165"/>
        <v/>
      </c>
      <c r="AF641" s="26" t="str">
        <f t="shared" si="135"/>
        <v/>
      </c>
      <c r="AG641" s="26" t="str">
        <f t="shared" si="136"/>
        <v/>
      </c>
    </row>
    <row r="642" ht="15.75" customHeight="1">
      <c r="A642" s="9" t="s">
        <v>855</v>
      </c>
      <c r="B642" s="9" t="s">
        <v>852</v>
      </c>
      <c r="C642" s="8">
        <f t="shared" si="133"/>
        <v>19</v>
      </c>
      <c r="D642" s="9">
        <v>1992.0</v>
      </c>
      <c r="E642" s="7"/>
      <c r="F642" s="9" t="b">
        <v>1</v>
      </c>
      <c r="G642" s="9" t="b">
        <v>0</v>
      </c>
      <c r="H642" s="9" t="b">
        <v>0</v>
      </c>
      <c r="I642" s="9" t="b">
        <v>0</v>
      </c>
      <c r="J642" s="9" t="b">
        <v>0</v>
      </c>
      <c r="K642" s="9">
        <v>737.5</v>
      </c>
      <c r="L642" s="9">
        <v>839.6</v>
      </c>
      <c r="M642" s="9">
        <v>289.5</v>
      </c>
      <c r="N642" s="9">
        <v>7.96</v>
      </c>
      <c r="O642" s="9">
        <v>0.999901</v>
      </c>
      <c r="P642" s="9">
        <v>0.999901</v>
      </c>
      <c r="Q642" s="10">
        <f t="shared" si="2"/>
        <v>116.0886413</v>
      </c>
      <c r="R642" s="11">
        <f t="shared" si="3"/>
        <v>0.501429252</v>
      </c>
      <c r="S642" s="12">
        <f t="shared" si="4"/>
        <v>4</v>
      </c>
      <c r="T642" s="8">
        <f t="shared" si="159"/>
        <v>421</v>
      </c>
      <c r="U642" s="13" t="str">
        <f>T642/vlookup(A642,Max!$A$2:$AP$700,column(Max!$AP$2),false)</f>
        <v>#N/A</v>
      </c>
      <c r="V642" s="8">
        <f t="shared" si="6"/>
        <v>257.5483315</v>
      </c>
      <c r="W642" s="14">
        <f t="shared" si="7"/>
        <v>0.9714379184</v>
      </c>
      <c r="X642" s="14">
        <f t="shared" si="8"/>
        <v>1.639670535</v>
      </c>
      <c r="Y642" s="14">
        <f t="shared" si="9"/>
        <v>1</v>
      </c>
      <c r="Z642" s="14">
        <f t="shared" si="10"/>
        <v>1.025190375</v>
      </c>
      <c r="AA642" s="27">
        <f t="shared" si="11"/>
        <v>19</v>
      </c>
      <c r="AB642" s="29">
        <v>1.0</v>
      </c>
      <c r="AC642" s="15" t="str">
        <f t="shared" si="162"/>
        <v/>
      </c>
      <c r="AD642" s="15" t="str">
        <f t="shared" si="41"/>
        <v>$YF-20C$: 19,</v>
      </c>
      <c r="AE642" s="15" t="str">
        <f t="shared" si="165"/>
        <v/>
      </c>
      <c r="AF642" s="15" t="str">
        <f t="shared" si="135"/>
        <v/>
      </c>
      <c r="AG642" s="15" t="str">
        <f t="shared" si="136"/>
        <v/>
      </c>
    </row>
    <row r="643" ht="15.75" customHeight="1">
      <c r="A643" s="18" t="s">
        <v>856</v>
      </c>
      <c r="B643" s="18" t="s">
        <v>857</v>
      </c>
      <c r="C643" s="17">
        <f t="shared" si="133"/>
        <v>359</v>
      </c>
      <c r="D643" s="18">
        <v>1971.0</v>
      </c>
      <c r="E643" s="16"/>
      <c r="F643" s="18" t="b">
        <v>1</v>
      </c>
      <c r="G643" s="18" t="b">
        <v>0</v>
      </c>
      <c r="H643" s="18" t="b">
        <v>1</v>
      </c>
      <c r="I643" s="18" t="b">
        <v>0</v>
      </c>
      <c r="J643" s="18" t="b">
        <v>0</v>
      </c>
      <c r="K643" s="18">
        <v>800.0</v>
      </c>
      <c r="L643" s="18">
        <v>719.8</v>
      </c>
      <c r="M643" s="18">
        <v>288.9</v>
      </c>
      <c r="N643" s="18">
        <v>6.52</v>
      </c>
      <c r="O643" s="18">
        <v>0.997458</v>
      </c>
      <c r="P643" s="18">
        <v>0.987288</v>
      </c>
      <c r="Q643" s="19">
        <f t="shared" si="2"/>
        <v>91.74896599</v>
      </c>
      <c r="R643" s="20">
        <f t="shared" si="3"/>
        <v>0.4987496527</v>
      </c>
      <c r="S643" s="21">
        <f t="shared" si="4"/>
        <v>4</v>
      </c>
      <c r="T643" s="17">
        <f t="shared" si="159"/>
        <v>359</v>
      </c>
      <c r="U643" s="22" t="str">
        <f>T643/vlookup(A643,Max!$A$2:$AP$700,column(Max!$AP$2),false)</f>
        <v>#N/A</v>
      </c>
      <c r="V643" s="17">
        <f t="shared" si="6"/>
        <v>270.7627047</v>
      </c>
      <c r="W643" s="23">
        <f t="shared" si="7"/>
        <v>0.9699717786</v>
      </c>
      <c r="X643" s="23">
        <f t="shared" si="8"/>
        <v>1.38537617</v>
      </c>
      <c r="Y643" s="23">
        <f t="shared" si="9"/>
        <v>1</v>
      </c>
      <c r="Z643" s="23">
        <f t="shared" si="10"/>
        <v>0.9868660399</v>
      </c>
      <c r="AA643" s="26">
        <f t="shared" si="11"/>
        <v>0</v>
      </c>
      <c r="AB643" s="25">
        <v>0.0</v>
      </c>
      <c r="AC643" s="26" t="str">
        <f t="shared" si="162"/>
        <v>{
$name$: $YF-22$,
$config$: $YF22$,
$cost$: 359
},</v>
      </c>
      <c r="AD643" s="26" t="str">
        <f t="shared" si="41"/>
        <v/>
      </c>
      <c r="AE643" s="26" t="str">
        <f t="shared" si="165"/>
        <v/>
      </c>
      <c r="AF643" s="26" t="str">
        <f t="shared" si="135"/>
        <v/>
      </c>
      <c r="AG643" s="26" t="str">
        <f t="shared" si="136"/>
        <v/>
      </c>
    </row>
    <row r="644" ht="15.75" customHeight="1">
      <c r="A644" s="9" t="s">
        <v>858</v>
      </c>
      <c r="B644" s="9" t="s">
        <v>857</v>
      </c>
      <c r="C644" s="8">
        <f t="shared" si="133"/>
        <v>15</v>
      </c>
      <c r="D644" s="9">
        <v>1982.0</v>
      </c>
      <c r="E644" s="7"/>
      <c r="F644" s="9" t="b">
        <v>1</v>
      </c>
      <c r="G644" s="9" t="b">
        <v>0</v>
      </c>
      <c r="H644" s="9" t="b">
        <v>1</v>
      </c>
      <c r="I644" s="9" t="b">
        <v>0</v>
      </c>
      <c r="J644" s="9" t="b">
        <v>0</v>
      </c>
      <c r="K644" s="9">
        <v>800.0</v>
      </c>
      <c r="L644" s="9">
        <v>742.2</v>
      </c>
      <c r="M644" s="9">
        <v>298.0</v>
      </c>
      <c r="N644" s="9">
        <v>6.52</v>
      </c>
      <c r="O644" s="9">
        <v>0.995455</v>
      </c>
      <c r="P644" s="9">
        <v>0.995455</v>
      </c>
      <c r="Q644" s="10">
        <f t="shared" si="2"/>
        <v>94.60417138</v>
      </c>
      <c r="R644" s="11">
        <f t="shared" si="3"/>
        <v>0.5039073026</v>
      </c>
      <c r="S644" s="12">
        <f t="shared" si="4"/>
        <v>4</v>
      </c>
      <c r="T644" s="8">
        <f t="shared" si="159"/>
        <v>374</v>
      </c>
      <c r="U644" s="13" t="str">
        <f>T644/vlookup(A644,Max!$A$2:$AP$700,column(Max!$AP$2),false)</f>
        <v>#N/A</v>
      </c>
      <c r="V644" s="8">
        <f t="shared" si="6"/>
        <v>270.7627047</v>
      </c>
      <c r="W644" s="14">
        <f t="shared" si="7"/>
        <v>0.9941121627</v>
      </c>
      <c r="X644" s="14">
        <f t="shared" si="8"/>
        <v>1.38537617</v>
      </c>
      <c r="Y644" s="14">
        <f t="shared" si="9"/>
        <v>1</v>
      </c>
      <c r="Z644" s="14">
        <f t="shared" si="10"/>
        <v>1.002351801</v>
      </c>
      <c r="AA644" s="27">
        <f t="shared" si="11"/>
        <v>15</v>
      </c>
      <c r="AB644" s="29">
        <v>1.0</v>
      </c>
      <c r="AC644" s="15" t="str">
        <f t="shared" si="162"/>
        <v/>
      </c>
      <c r="AD644" s="15" t="str">
        <f t="shared" si="41"/>
        <v>$YF-22B$: 15,</v>
      </c>
      <c r="AE644" s="15" t="str">
        <f t="shared" si="165"/>
        <v/>
      </c>
      <c r="AF644" s="15" t="str">
        <f t="shared" si="135"/>
        <v/>
      </c>
      <c r="AG644" s="15" t="str">
        <f t="shared" si="136"/>
        <v/>
      </c>
    </row>
    <row r="645" ht="15.75" customHeight="1">
      <c r="A645" s="18" t="s">
        <v>859</v>
      </c>
      <c r="B645" s="18" t="s">
        <v>857</v>
      </c>
      <c r="C645" s="17">
        <f t="shared" si="133"/>
        <v>37</v>
      </c>
      <c r="D645" s="18">
        <v>1992.0</v>
      </c>
      <c r="E645" s="16"/>
      <c r="F645" s="18" t="b">
        <v>1</v>
      </c>
      <c r="G645" s="18" t="b">
        <v>0</v>
      </c>
      <c r="H645" s="18" t="b">
        <v>1</v>
      </c>
      <c r="I645" s="18" t="b">
        <v>0</v>
      </c>
      <c r="J645" s="18" t="b">
        <v>0</v>
      </c>
      <c r="K645" s="18">
        <v>824.0</v>
      </c>
      <c r="L645" s="18">
        <v>784.5</v>
      </c>
      <c r="M645" s="18">
        <v>303.0</v>
      </c>
      <c r="N645" s="18">
        <v>6.52</v>
      </c>
      <c r="O645" s="18">
        <v>0.999801</v>
      </c>
      <c r="P645" s="18">
        <v>0.999536</v>
      </c>
      <c r="Q645" s="19">
        <f t="shared" si="2"/>
        <v>97.08341829</v>
      </c>
      <c r="R645" s="20">
        <f t="shared" si="3"/>
        <v>0.5047801147</v>
      </c>
      <c r="S645" s="21">
        <f t="shared" si="4"/>
        <v>4</v>
      </c>
      <c r="T645" s="17">
        <f t="shared" si="159"/>
        <v>396</v>
      </c>
      <c r="U645" s="22" t="str">
        <f>T645/vlookup(A645,Max!$A$2:$AP$700,column(Max!$AP$2),false)</f>
        <v>#N/A</v>
      </c>
      <c r="V645" s="17">
        <f t="shared" si="6"/>
        <v>275.7329753</v>
      </c>
      <c r="W645" s="23">
        <f t="shared" si="7"/>
        <v>1.011468879</v>
      </c>
      <c r="X645" s="23">
        <f t="shared" si="8"/>
        <v>1.38537617</v>
      </c>
      <c r="Y645" s="23">
        <f t="shared" si="9"/>
        <v>1</v>
      </c>
      <c r="Z645" s="23">
        <f t="shared" si="10"/>
        <v>1.023745562</v>
      </c>
      <c r="AA645" s="24">
        <f t="shared" si="11"/>
        <v>37</v>
      </c>
      <c r="AB645" s="25">
        <v>1.0</v>
      </c>
      <c r="AC645" s="26" t="str">
        <f t="shared" si="162"/>
        <v/>
      </c>
      <c r="AD645" s="26" t="str">
        <f t="shared" si="41"/>
        <v>$YF-22E$: 37,</v>
      </c>
      <c r="AE645" s="26" t="str">
        <f t="shared" si="165"/>
        <v/>
      </c>
      <c r="AF645" s="26" t="str">
        <f t="shared" si="135"/>
        <v/>
      </c>
      <c r="AG645" s="26" t="str">
        <f t="shared" si="136"/>
        <v/>
      </c>
    </row>
    <row r="646" ht="15.75" customHeight="1">
      <c r="A646" s="9" t="s">
        <v>860</v>
      </c>
      <c r="B646" s="9" t="s">
        <v>861</v>
      </c>
      <c r="C646" s="8">
        <f t="shared" si="133"/>
        <v>71</v>
      </c>
      <c r="D646" s="9">
        <v>1971.0</v>
      </c>
      <c r="E646" s="7"/>
      <c r="F646" s="9" t="b">
        <v>1</v>
      </c>
      <c r="G646" s="9" t="b">
        <v>0</v>
      </c>
      <c r="H646" s="9" t="b">
        <v>1</v>
      </c>
      <c r="I646" s="9" t="b">
        <v>0</v>
      </c>
      <c r="J646" s="9" t="b">
        <v>0</v>
      </c>
      <c r="K646" s="9">
        <v>75.0</v>
      </c>
      <c r="L646" s="9">
        <v>46.1</v>
      </c>
      <c r="M646" s="9">
        <v>279.5</v>
      </c>
      <c r="N646" s="9">
        <v>3.29</v>
      </c>
      <c r="O646" s="9">
        <v>0.997458</v>
      </c>
      <c r="P646" s="9">
        <v>0.987288</v>
      </c>
      <c r="Q646" s="10">
        <f t="shared" si="2"/>
        <v>62.67855637</v>
      </c>
      <c r="R646" s="11">
        <f t="shared" si="3"/>
        <v>1.540130152</v>
      </c>
      <c r="S646" s="12">
        <f t="shared" si="4"/>
        <v>4</v>
      </c>
      <c r="T646" s="8">
        <f t="shared" si="159"/>
        <v>71</v>
      </c>
      <c r="U646" s="13" t="str">
        <f>T646/vlookup(A646,Max!$A$2:$AP$700,column(Max!$AP$2),false)</f>
        <v>#N/A</v>
      </c>
      <c r="V646" s="8">
        <f t="shared" si="6"/>
        <v>64.12355657</v>
      </c>
      <c r="W646" s="14">
        <f t="shared" si="7"/>
        <v>0.9490783559</v>
      </c>
      <c r="X646" s="14">
        <f t="shared" si="8"/>
        <v>1.187766525</v>
      </c>
      <c r="Y646" s="14">
        <f t="shared" si="9"/>
        <v>1</v>
      </c>
      <c r="Z646" s="14">
        <f t="shared" si="10"/>
        <v>0.9868660399</v>
      </c>
      <c r="AA646" s="15">
        <f t="shared" si="11"/>
        <v>0</v>
      </c>
      <c r="AB646" s="29">
        <v>0.0</v>
      </c>
      <c r="AC646" s="15" t="str">
        <f t="shared" si="162"/>
        <v>{
$name$: $YF-23$,
$config$: $YF23$,
$cost$: 71
},</v>
      </c>
      <c r="AD646" s="15" t="str">
        <f t="shared" si="41"/>
        <v/>
      </c>
      <c r="AE646" s="15" t="str">
        <f t="shared" si="165"/>
        <v/>
      </c>
      <c r="AF646" s="15" t="str">
        <f t="shared" si="135"/>
        <v/>
      </c>
      <c r="AG646" s="15" t="str">
        <f t="shared" si="136"/>
        <v/>
      </c>
    </row>
    <row r="647" ht="15.75" customHeight="1">
      <c r="A647" s="18" t="s">
        <v>862</v>
      </c>
      <c r="B647" s="18" t="s">
        <v>861</v>
      </c>
      <c r="C647" s="17">
        <f t="shared" si="133"/>
        <v>6</v>
      </c>
      <c r="D647" s="18">
        <v>1982.0</v>
      </c>
      <c r="E647" s="16"/>
      <c r="F647" s="18" t="b">
        <v>1</v>
      </c>
      <c r="G647" s="18" t="b">
        <v>0</v>
      </c>
      <c r="H647" s="18" t="b">
        <v>1</v>
      </c>
      <c r="I647" s="18" t="b">
        <v>0</v>
      </c>
      <c r="J647" s="18" t="b">
        <v>0</v>
      </c>
      <c r="K647" s="18">
        <v>75.0</v>
      </c>
      <c r="L647" s="18">
        <v>47.2</v>
      </c>
      <c r="M647" s="18">
        <v>296.8</v>
      </c>
      <c r="N647" s="18">
        <v>3.29</v>
      </c>
      <c r="O647" s="18">
        <v>0.999801</v>
      </c>
      <c r="P647" s="18">
        <v>0.999536</v>
      </c>
      <c r="Q647" s="19">
        <f t="shared" si="2"/>
        <v>64.17414015</v>
      </c>
      <c r="R647" s="20">
        <f t="shared" si="3"/>
        <v>1.631355932</v>
      </c>
      <c r="S647" s="21">
        <f t="shared" si="4"/>
        <v>4</v>
      </c>
      <c r="T647" s="17">
        <f t="shared" si="159"/>
        <v>77</v>
      </c>
      <c r="U647" s="22" t="str">
        <f>T647/vlookup(A647,Max!$A$2:$AP$700,column(Max!$AP$2),false)</f>
        <v>#N/A</v>
      </c>
      <c r="V647" s="17">
        <f t="shared" si="6"/>
        <v>64.12355657</v>
      </c>
      <c r="W647" s="23">
        <f t="shared" si="7"/>
        <v>0.9906850369</v>
      </c>
      <c r="X647" s="23">
        <f t="shared" si="8"/>
        <v>1.187766525</v>
      </c>
      <c r="Y647" s="23">
        <f t="shared" si="9"/>
        <v>1</v>
      </c>
      <c r="Z647" s="23">
        <f t="shared" si="10"/>
        <v>1.023745562</v>
      </c>
      <c r="AA647" s="24">
        <f t="shared" si="11"/>
        <v>6</v>
      </c>
      <c r="AB647" s="25">
        <v>1.0</v>
      </c>
      <c r="AC647" s="26" t="str">
        <f t="shared" si="162"/>
        <v/>
      </c>
      <c r="AD647" s="26" t="str">
        <f t="shared" si="41"/>
        <v>$YF-23B$: 6,</v>
      </c>
      <c r="AE647" s="26" t="str">
        <f t="shared" si="165"/>
        <v/>
      </c>
      <c r="AF647" s="26" t="str">
        <f t="shared" si="135"/>
        <v/>
      </c>
      <c r="AG647" s="26" t="str">
        <f t="shared" si="136"/>
        <v/>
      </c>
    </row>
    <row r="648" ht="15.75" customHeight="1">
      <c r="A648" s="9" t="s">
        <v>863</v>
      </c>
      <c r="B648" s="9" t="s">
        <v>864</v>
      </c>
      <c r="C648" s="8">
        <f t="shared" si="133"/>
        <v>210</v>
      </c>
      <c r="D648" s="9">
        <v>1969.0</v>
      </c>
      <c r="E648" s="7"/>
      <c r="F648" s="9" t="b">
        <v>1</v>
      </c>
      <c r="G648" s="9" t="b">
        <v>0</v>
      </c>
      <c r="H648" s="9" t="b">
        <v>1</v>
      </c>
      <c r="I648" s="9" t="b">
        <v>0</v>
      </c>
      <c r="J648" s="9" t="b">
        <v>0</v>
      </c>
      <c r="K648" s="9">
        <v>350.0</v>
      </c>
      <c r="L648" s="9">
        <v>294.2</v>
      </c>
      <c r="M648" s="9">
        <v>280.0</v>
      </c>
      <c r="N648" s="9">
        <v>6.31</v>
      </c>
      <c r="O648" s="9">
        <v>0.9925</v>
      </c>
      <c r="P648" s="9">
        <v>0.9925</v>
      </c>
      <c r="Q648" s="10">
        <f t="shared" si="2"/>
        <v>85.71443114</v>
      </c>
      <c r="R648" s="11">
        <f t="shared" si="3"/>
        <v>0.713800136</v>
      </c>
      <c r="S648" s="12">
        <f t="shared" si="4"/>
        <v>4</v>
      </c>
      <c r="T648" s="8">
        <f t="shared" si="159"/>
        <v>210</v>
      </c>
      <c r="U648" s="13" t="str">
        <f>T648/vlookup(A648,Max!$A$2:$AP$700,column(Max!$AP$2),false)</f>
        <v>#N/A</v>
      </c>
      <c r="V648" s="8">
        <f t="shared" si="6"/>
        <v>163.1104331</v>
      </c>
      <c r="W648" s="14">
        <f t="shared" si="7"/>
        <v>0.9500966329</v>
      </c>
      <c r="X648" s="14">
        <f t="shared" si="8"/>
        <v>1.375208696</v>
      </c>
      <c r="Y648" s="14">
        <f t="shared" si="9"/>
        <v>1</v>
      </c>
      <c r="Z648" s="14">
        <f t="shared" si="10"/>
        <v>0.9875625006</v>
      </c>
      <c r="AA648" s="15">
        <f t="shared" si="11"/>
        <v>0</v>
      </c>
      <c r="AB648" s="29">
        <v>0.0</v>
      </c>
      <c r="AC648" s="15" t="str">
        <f t="shared" si="162"/>
        <v>{
$name$: $YF-3$,
$config$: $YF3$,
$cost$: 210
},</v>
      </c>
      <c r="AD648" s="15" t="str">
        <f t="shared" si="41"/>
        <v/>
      </c>
      <c r="AE648" s="15" t="str">
        <f t="shared" si="165"/>
        <v/>
      </c>
      <c r="AF648" s="15" t="str">
        <f t="shared" si="135"/>
        <v/>
      </c>
      <c r="AG648" s="15" t="str">
        <f t="shared" si="136"/>
        <v/>
      </c>
    </row>
    <row r="649" ht="15.75" customHeight="1">
      <c r="A649" s="18" t="s">
        <v>865</v>
      </c>
      <c r="B649" s="18" t="s">
        <v>864</v>
      </c>
      <c r="C649" s="17">
        <f t="shared" si="133"/>
        <v>4</v>
      </c>
      <c r="D649" s="18">
        <v>1985.0</v>
      </c>
      <c r="E649" s="16"/>
      <c r="F649" s="18" t="b">
        <v>1</v>
      </c>
      <c r="G649" s="18" t="b">
        <v>0</v>
      </c>
      <c r="H649" s="18" t="b">
        <v>1</v>
      </c>
      <c r="I649" s="18" t="b">
        <v>0</v>
      </c>
      <c r="J649" s="18" t="b">
        <v>0</v>
      </c>
      <c r="K649" s="18">
        <v>350.0</v>
      </c>
      <c r="L649" s="18">
        <v>320.2</v>
      </c>
      <c r="M649" s="18">
        <v>286.9</v>
      </c>
      <c r="N649" s="18">
        <v>6.31</v>
      </c>
      <c r="O649" s="18">
        <v>0.9925</v>
      </c>
      <c r="P649" s="18">
        <v>0.9925</v>
      </c>
      <c r="Q649" s="19">
        <f t="shared" si="2"/>
        <v>93.28946584</v>
      </c>
      <c r="R649" s="20">
        <f t="shared" si="3"/>
        <v>0.6683322923</v>
      </c>
      <c r="S649" s="21">
        <f t="shared" si="4"/>
        <v>4</v>
      </c>
      <c r="T649" s="17">
        <f t="shared" si="159"/>
        <v>214</v>
      </c>
      <c r="U649" s="22" t="str">
        <f>T649/vlookup(A649,Max!$A$2:$AP$700,column(Max!$AP$2),false)</f>
        <v>#N/A</v>
      </c>
      <c r="V649" s="17">
        <f t="shared" si="6"/>
        <v>163.1104331</v>
      </c>
      <c r="W649" s="23">
        <f t="shared" si="7"/>
        <v>0.9652044222</v>
      </c>
      <c r="X649" s="23">
        <f t="shared" si="8"/>
        <v>1.375208696</v>
      </c>
      <c r="Y649" s="23">
        <f t="shared" si="9"/>
        <v>1</v>
      </c>
      <c r="Z649" s="23">
        <f t="shared" si="10"/>
        <v>0.9875625006</v>
      </c>
      <c r="AA649" s="24">
        <f t="shared" si="11"/>
        <v>4</v>
      </c>
      <c r="AB649" s="25">
        <v>1.0</v>
      </c>
      <c r="AC649" s="26" t="str">
        <f t="shared" si="162"/>
        <v/>
      </c>
      <c r="AD649" s="26" t="str">
        <f t="shared" si="41"/>
        <v>$YF-3A$: 4,</v>
      </c>
      <c r="AE649" s="26" t="str">
        <f t="shared" si="165"/>
        <v/>
      </c>
      <c r="AF649" s="26" t="str">
        <f t="shared" si="135"/>
        <v/>
      </c>
      <c r="AG649" s="26" t="str">
        <f t="shared" si="136"/>
        <v/>
      </c>
    </row>
    <row r="650" ht="15.75" customHeight="1">
      <c r="A650" s="9" t="s">
        <v>866</v>
      </c>
      <c r="B650" s="9" t="s">
        <v>867</v>
      </c>
      <c r="C650" s="8">
        <f t="shared" si="133"/>
        <v>80</v>
      </c>
      <c r="D650" s="9">
        <v>1988.0</v>
      </c>
      <c r="E650" s="7"/>
      <c r="F650" s="9" t="b">
        <v>1</v>
      </c>
      <c r="G650" s="9" t="b">
        <v>0</v>
      </c>
      <c r="H650" s="9" t="b">
        <v>1</v>
      </c>
      <c r="I650" s="9" t="b">
        <v>0</v>
      </c>
      <c r="J650" s="9" t="b">
        <v>0</v>
      </c>
      <c r="K650" s="9">
        <v>70.0</v>
      </c>
      <c r="L650" s="9">
        <v>49.05</v>
      </c>
      <c r="M650" s="9">
        <v>303.0</v>
      </c>
      <c r="N650" s="9">
        <v>4.48</v>
      </c>
      <c r="O650" s="9">
        <v>0.999432</v>
      </c>
      <c r="P650" s="9">
        <v>0.996445</v>
      </c>
      <c r="Q650" s="10">
        <f t="shared" si="2"/>
        <v>71.45297157</v>
      </c>
      <c r="R650" s="11">
        <f t="shared" si="3"/>
        <v>1.630988787</v>
      </c>
      <c r="S650" s="12">
        <f t="shared" si="4"/>
        <v>4</v>
      </c>
      <c r="T650" s="8">
        <f t="shared" si="159"/>
        <v>80</v>
      </c>
      <c r="U650" s="13" t="str">
        <f>T650/vlookup(A650,Max!$A$2:$AP$700,column(Max!$AP$2),false)</f>
        <v>#N/A</v>
      </c>
      <c r="V650" s="8">
        <f t="shared" si="6"/>
        <v>61.51955617</v>
      </c>
      <c r="W650" s="14">
        <f t="shared" si="7"/>
        <v>1.011468879</v>
      </c>
      <c r="X650" s="14">
        <f t="shared" si="8"/>
        <v>1.273208582</v>
      </c>
      <c r="Y650" s="14">
        <f t="shared" si="9"/>
        <v>1</v>
      </c>
      <c r="Z650" s="14">
        <f t="shared" si="10"/>
        <v>1.014912195</v>
      </c>
      <c r="AA650" s="15">
        <f t="shared" si="11"/>
        <v>0</v>
      </c>
      <c r="AB650" s="29">
        <v>0.0</v>
      </c>
      <c r="AC650" s="15" t="str">
        <f t="shared" si="162"/>
        <v>{
$name$: $YF-40A$,
$config$: $YF40$,
$cost$: 80
},</v>
      </c>
      <c r="AD650" s="15" t="str">
        <f t="shared" si="41"/>
        <v/>
      </c>
      <c r="AE650" s="15" t="str">
        <f t="shared" si="165"/>
        <v/>
      </c>
      <c r="AF650" s="15" t="str">
        <f t="shared" si="135"/>
        <v/>
      </c>
      <c r="AG650" s="15" t="str">
        <f t="shared" si="136"/>
        <v/>
      </c>
    </row>
    <row r="651" ht="15.75" customHeight="1">
      <c r="A651" s="18" t="s">
        <v>868</v>
      </c>
      <c r="B651" s="18" t="s">
        <v>867</v>
      </c>
      <c r="C651" s="17">
        <f t="shared" si="133"/>
        <v>-2</v>
      </c>
      <c r="D651" s="18">
        <v>1995.0</v>
      </c>
      <c r="E651" s="16"/>
      <c r="F651" s="18" t="b">
        <v>1</v>
      </c>
      <c r="G651" s="18" t="b">
        <v>0</v>
      </c>
      <c r="H651" s="18" t="b">
        <v>1</v>
      </c>
      <c r="I651" s="18" t="b">
        <v>0</v>
      </c>
      <c r="J651" s="18" t="b">
        <v>0</v>
      </c>
      <c r="K651" s="18">
        <v>70.0</v>
      </c>
      <c r="L651" s="18">
        <v>49.05</v>
      </c>
      <c r="M651" s="18">
        <v>295.0</v>
      </c>
      <c r="N651" s="18">
        <v>4.41</v>
      </c>
      <c r="O651" s="18">
        <v>0.999432</v>
      </c>
      <c r="P651" s="18">
        <v>0.996445</v>
      </c>
      <c r="Q651" s="19">
        <f t="shared" si="2"/>
        <v>71.45297157</v>
      </c>
      <c r="R651" s="20">
        <f t="shared" si="3"/>
        <v>1.590214067</v>
      </c>
      <c r="S651" s="21">
        <f t="shared" si="4"/>
        <v>4</v>
      </c>
      <c r="T651" s="17">
        <f t="shared" si="159"/>
        <v>78</v>
      </c>
      <c r="U651" s="22" t="str">
        <f>T651/vlookup(A651,Max!$A$2:$AP$700,column(Max!$AP$2),false)</f>
        <v>#N/A</v>
      </c>
      <c r="V651" s="17">
        <f t="shared" si="6"/>
        <v>61.51955617</v>
      </c>
      <c r="W651" s="23">
        <f t="shared" si="7"/>
        <v>0.985688335</v>
      </c>
      <c r="X651" s="23">
        <f t="shared" si="8"/>
        <v>1.268705103</v>
      </c>
      <c r="Y651" s="23">
        <f t="shared" si="9"/>
        <v>1</v>
      </c>
      <c r="Z651" s="23">
        <f t="shared" si="10"/>
        <v>1.014912195</v>
      </c>
      <c r="AA651" s="24">
        <f t="shared" si="11"/>
        <v>-2</v>
      </c>
      <c r="AB651" s="25">
        <v>1.0</v>
      </c>
      <c r="AC651" s="26" t="str">
        <f t="shared" si="162"/>
        <v/>
      </c>
      <c r="AD651" s="26" t="str">
        <f t="shared" si="41"/>
        <v>$YF-40$: -2,</v>
      </c>
      <c r="AE651" s="26" t="str">
        <f t="shared" si="165"/>
        <v/>
      </c>
      <c r="AF651" s="26" t="str">
        <f t="shared" si="135"/>
        <v/>
      </c>
      <c r="AG651" s="26" t="str">
        <f t="shared" si="136"/>
        <v/>
      </c>
    </row>
    <row r="652" ht="15.75" customHeight="1">
      <c r="A652" s="9" t="s">
        <v>869</v>
      </c>
      <c r="B652" s="9" t="s">
        <v>867</v>
      </c>
      <c r="C652" s="8">
        <f t="shared" si="133"/>
        <v>10</v>
      </c>
      <c r="D652" s="9">
        <v>1999.0</v>
      </c>
      <c r="E652" s="7"/>
      <c r="F652" s="9" t="b">
        <v>1</v>
      </c>
      <c r="G652" s="9" t="b">
        <v>0</v>
      </c>
      <c r="H652" s="9" t="b">
        <v>1</v>
      </c>
      <c r="I652" s="9" t="b">
        <v>0</v>
      </c>
      <c r="J652" s="9" t="b">
        <v>0</v>
      </c>
      <c r="K652" s="9">
        <v>83.0</v>
      </c>
      <c r="L652" s="9">
        <v>50.4</v>
      </c>
      <c r="M652" s="9">
        <v>305.0</v>
      </c>
      <c r="N652" s="9">
        <v>4.48</v>
      </c>
      <c r="O652" s="9">
        <v>0.999432</v>
      </c>
      <c r="P652" s="9">
        <v>0.996445</v>
      </c>
      <c r="Q652" s="10">
        <f t="shared" si="2"/>
        <v>61.92011685</v>
      </c>
      <c r="R652" s="11">
        <f t="shared" si="3"/>
        <v>1.785714286</v>
      </c>
      <c r="S652" s="12">
        <f t="shared" si="4"/>
        <v>4</v>
      </c>
      <c r="T652" s="8">
        <f t="shared" si="159"/>
        <v>90</v>
      </c>
      <c r="U652" s="13" t="str">
        <f>T652/vlookup(A652,Max!$A$2:$AP$700,column(Max!$AP$2),false)</f>
        <v>#N/A</v>
      </c>
      <c r="V652" s="8">
        <f t="shared" si="6"/>
        <v>68.15408609</v>
      </c>
      <c r="W652" s="14">
        <f t="shared" si="7"/>
        <v>1.021881862</v>
      </c>
      <c r="X652" s="14">
        <f t="shared" si="8"/>
        <v>1.273208582</v>
      </c>
      <c r="Y652" s="14">
        <f t="shared" si="9"/>
        <v>1</v>
      </c>
      <c r="Z652" s="14">
        <f t="shared" si="10"/>
        <v>1.014912195</v>
      </c>
      <c r="AA652" s="27">
        <f t="shared" si="11"/>
        <v>10</v>
      </c>
      <c r="AB652" s="29">
        <v>1.0</v>
      </c>
      <c r="AC652" s="15" t="str">
        <f t="shared" si="162"/>
        <v/>
      </c>
      <c r="AD652" s="15" t="str">
        <f t="shared" si="41"/>
        <v>$YF-40B$: 10,</v>
      </c>
      <c r="AE652" s="15" t="str">
        <f t="shared" si="165"/>
        <v/>
      </c>
      <c r="AF652" s="15" t="str">
        <f t="shared" si="135"/>
        <v/>
      </c>
      <c r="AG652" s="15" t="str">
        <f t="shared" si="136"/>
        <v/>
      </c>
    </row>
    <row r="653" ht="15.75" customHeight="1">
      <c r="A653" s="18" t="s">
        <v>870</v>
      </c>
      <c r="B653" s="18" t="s">
        <v>871</v>
      </c>
      <c r="C653" s="17">
        <f t="shared" si="133"/>
        <v>434</v>
      </c>
      <c r="D653" s="18">
        <v>1984.0</v>
      </c>
      <c r="E653" s="18" t="b">
        <v>1</v>
      </c>
      <c r="F653" s="18" t="b">
        <v>1</v>
      </c>
      <c r="G653" s="18" t="b">
        <v>0</v>
      </c>
      <c r="H653" s="18" t="b">
        <v>1</v>
      </c>
      <c r="I653" s="18" t="b">
        <v>0</v>
      </c>
      <c r="J653" s="18" t="b">
        <v>0</v>
      </c>
      <c r="K653" s="18">
        <v>245.0</v>
      </c>
      <c r="L653" s="18">
        <v>44.43</v>
      </c>
      <c r="M653" s="18">
        <v>419.9</v>
      </c>
      <c r="N653" s="18">
        <v>2.63</v>
      </c>
      <c r="O653" s="18">
        <v>0.986538</v>
      </c>
      <c r="P653" s="18">
        <v>0.960714</v>
      </c>
      <c r="Q653" s="19">
        <f t="shared" si="2"/>
        <v>18.49224131</v>
      </c>
      <c r="R653" s="20">
        <f t="shared" si="3"/>
        <v>9.768174657</v>
      </c>
      <c r="S653" s="21">
        <f t="shared" si="4"/>
        <v>4</v>
      </c>
      <c r="T653" s="17">
        <f t="shared" si="159"/>
        <v>434</v>
      </c>
      <c r="U653" s="22" t="str">
        <f>T653/vlookup(A653,Max!$A$2:$AP$700,column(Max!$AP$2),false)</f>
        <v>#N/A</v>
      </c>
      <c r="V653" s="17">
        <f t="shared" si="6"/>
        <v>166.9885592</v>
      </c>
      <c r="W653" s="23">
        <f t="shared" si="7"/>
        <v>2.56313562</v>
      </c>
      <c r="X653" s="23">
        <f t="shared" si="8"/>
        <v>1.129411089</v>
      </c>
      <c r="Y653" s="23">
        <f t="shared" si="9"/>
        <v>1</v>
      </c>
      <c r="Z653" s="23">
        <f t="shared" si="10"/>
        <v>0.8967716247</v>
      </c>
      <c r="AA653" s="26">
        <f t="shared" si="11"/>
        <v>0</v>
      </c>
      <c r="AB653" s="25">
        <v>0.0</v>
      </c>
      <c r="AC653" s="26" t="str">
        <f t="shared" si="162"/>
        <v>{
$name$: $YF-73$,
$config$: $YF73$,
$cost$: 434
},</v>
      </c>
      <c r="AD653" s="26" t="str">
        <f t="shared" si="41"/>
        <v/>
      </c>
      <c r="AE653" s="26" t="str">
        <f t="shared" si="165"/>
        <v/>
      </c>
      <c r="AF653" s="26" t="str">
        <f t="shared" si="135"/>
        <v/>
      </c>
      <c r="AG653" s="26" t="str">
        <f t="shared" si="136"/>
        <v/>
      </c>
    </row>
    <row r="654" ht="15.75" customHeight="1">
      <c r="A654" s="9" t="s">
        <v>872</v>
      </c>
      <c r="B654" s="9" t="s">
        <v>873</v>
      </c>
      <c r="C654" s="8">
        <f t="shared" si="133"/>
        <v>713</v>
      </c>
      <c r="D654" s="9">
        <v>1994.0</v>
      </c>
      <c r="E654" s="9" t="b">
        <v>1</v>
      </c>
      <c r="F654" s="9" t="b">
        <v>1</v>
      </c>
      <c r="G654" s="9" t="b">
        <v>0</v>
      </c>
      <c r="H654" s="9" t="b">
        <v>1</v>
      </c>
      <c r="I654" s="9" t="b">
        <v>0</v>
      </c>
      <c r="J654" s="9" t="b">
        <v>0</v>
      </c>
      <c r="K654" s="9">
        <v>305.5</v>
      </c>
      <c r="L654" s="9">
        <v>78.45</v>
      </c>
      <c r="M654" s="9">
        <v>439.6</v>
      </c>
      <c r="N654" s="9">
        <v>3.67</v>
      </c>
      <c r="O654" s="9">
        <v>0.999359</v>
      </c>
      <c r="P654" s="9">
        <v>0.998723</v>
      </c>
      <c r="Q654" s="10">
        <f t="shared" si="2"/>
        <v>26.18551119</v>
      </c>
      <c r="R654" s="11">
        <f t="shared" si="3"/>
        <v>9.08859146</v>
      </c>
      <c r="S654" s="12">
        <f t="shared" si="4"/>
        <v>4</v>
      </c>
      <c r="T654" s="8">
        <f t="shared" si="159"/>
        <v>713</v>
      </c>
      <c r="U654" s="13" t="str">
        <f>T654/vlookup(A654,Max!$A$2:$AP$700,column(Max!$AP$2),false)</f>
        <v>#N/A</v>
      </c>
      <c r="V654" s="8">
        <f t="shared" si="6"/>
        <v>187.3114961</v>
      </c>
      <c r="W654" s="14">
        <f t="shared" si="7"/>
        <v>3.064110065</v>
      </c>
      <c r="X654" s="14">
        <f t="shared" si="8"/>
        <v>1.217339933</v>
      </c>
      <c r="Y654" s="14">
        <f t="shared" si="9"/>
        <v>1</v>
      </c>
      <c r="Z654" s="14">
        <f t="shared" si="10"/>
        <v>1.020536312</v>
      </c>
      <c r="AA654" s="15">
        <f t="shared" si="11"/>
        <v>0</v>
      </c>
      <c r="AB654" s="29">
        <v>0.0</v>
      </c>
      <c r="AC654" s="15" t="str">
        <f t="shared" si="162"/>
        <v>{
$name$: $YF-75$,
$config$: $YF75$,
$cost$: 713
},</v>
      </c>
      <c r="AD654" s="15" t="str">
        <f t="shared" si="41"/>
        <v/>
      </c>
      <c r="AE654" s="15" t="str">
        <f>if(AB654=2,if(AF652&lt;&gt;AF654,char(9)&amp;char(9)&amp;"@CONFIG["&amp;AF654&amp;"]"&amp;char(10)&amp;char(9)&amp;char(9)&amp;"{"&amp;char(10),"")&amp;char(9)&amp;char(9)&amp;char(9)&amp;"@SUBCONFIG["&amp;AG654&amp;"] { %cost = "&amp;AA654&amp;" }"&amp;if(AF676&lt;&gt;AF654,char(10)&amp;char(9)&amp;char(9)&amp;"}",""),"")</f>
        <v/>
      </c>
      <c r="AF654" s="15" t="str">
        <f t="shared" si="135"/>
        <v/>
      </c>
      <c r="AG654" s="15" t="str">
        <f t="shared" si="136"/>
        <v/>
      </c>
    </row>
    <row r="655" ht="15.75" customHeight="1">
      <c r="A655" s="18" t="s">
        <v>874</v>
      </c>
      <c r="B655" s="18" t="s">
        <v>873</v>
      </c>
      <c r="C655" s="17">
        <f t="shared" si="133"/>
        <v>-15</v>
      </c>
      <c r="D655" s="18">
        <v>2016.0</v>
      </c>
      <c r="E655" s="18" t="b">
        <v>1</v>
      </c>
      <c r="F655" s="18" t="b">
        <v>1</v>
      </c>
      <c r="G655" s="18" t="b">
        <v>0</v>
      </c>
      <c r="H655" s="18" t="b">
        <v>1</v>
      </c>
      <c r="I655" s="18" t="b">
        <v>0</v>
      </c>
      <c r="J655" s="18" t="b">
        <v>0</v>
      </c>
      <c r="K655" s="18">
        <v>265.0</v>
      </c>
      <c r="L655" s="18">
        <v>88.36</v>
      </c>
      <c r="M655" s="18">
        <v>442.6</v>
      </c>
      <c r="N655" s="18">
        <v>4.1</v>
      </c>
      <c r="O655" s="18">
        <v>0.999359</v>
      </c>
      <c r="P655" s="18">
        <v>0.998723</v>
      </c>
      <c r="Q655" s="19">
        <f t="shared" si="2"/>
        <v>34.00080163</v>
      </c>
      <c r="R655" s="20">
        <f t="shared" si="3"/>
        <v>7.899502037</v>
      </c>
      <c r="S655" s="21">
        <f t="shared" si="4"/>
        <v>4</v>
      </c>
      <c r="T655" s="17">
        <f t="shared" si="159"/>
        <v>698</v>
      </c>
      <c r="U655" s="22" t="str">
        <f>T655/vlookup(A655,Max!$A$2:$AP$700,column(Max!$AP$2),false)</f>
        <v>#N/A</v>
      </c>
      <c r="V655" s="17">
        <f t="shared" si="6"/>
        <v>173.9212362</v>
      </c>
      <c r="W655" s="23">
        <f t="shared" si="7"/>
        <v>3.150203069</v>
      </c>
      <c r="X655" s="23">
        <f t="shared" si="8"/>
        <v>1.248068355</v>
      </c>
      <c r="Y655" s="23">
        <f t="shared" si="9"/>
        <v>1</v>
      </c>
      <c r="Z655" s="23">
        <f t="shared" si="10"/>
        <v>1.020536312</v>
      </c>
      <c r="AA655" s="24">
        <f t="shared" si="11"/>
        <v>-15</v>
      </c>
      <c r="AB655" s="25">
        <v>1.0</v>
      </c>
      <c r="AC655" s="26" t="str">
        <f t="shared" si="162"/>
        <v/>
      </c>
      <c r="AD655" s="26" t="str">
        <f t="shared" si="41"/>
        <v>$YF-75D$: -15,</v>
      </c>
      <c r="AE655" s="26" t="str">
        <f t="shared" ref="AE655:AE656" si="166">if(AB655=2,if(AF654&lt;&gt;AF655,char(9)&amp;char(9)&amp;"@CONFIG["&amp;AF655&amp;"]"&amp;char(10)&amp;char(9)&amp;char(9)&amp;"{"&amp;char(10),"")&amp;char(9)&amp;char(9)&amp;char(9)&amp;"@SUBCONFIG["&amp;AG655&amp;"] { %cost = "&amp;AA655&amp;" }"&amp;if(AF677&lt;&gt;AF655,char(10)&amp;char(9)&amp;char(9)&amp;"}",""),"")</f>
        <v/>
      </c>
      <c r="AF655" s="26" t="str">
        <f t="shared" si="135"/>
        <v/>
      </c>
      <c r="AG655" s="26" t="str">
        <f t="shared" si="136"/>
        <v/>
      </c>
    </row>
    <row r="656" ht="15.75" customHeight="1">
      <c r="A656" s="9" t="s">
        <v>875</v>
      </c>
      <c r="B656" s="9" t="s">
        <v>873</v>
      </c>
      <c r="C656" s="8">
        <f t="shared" si="133"/>
        <v>100</v>
      </c>
      <c r="D656" s="9">
        <v>2026.0</v>
      </c>
      <c r="E656" s="9" t="b">
        <v>1</v>
      </c>
      <c r="F656" s="9" t="b">
        <v>1</v>
      </c>
      <c r="G656" s="9" t="b">
        <v>0</v>
      </c>
      <c r="H656" s="9" t="b">
        <v>1</v>
      </c>
      <c r="I656" s="9" t="b">
        <v>0</v>
      </c>
      <c r="J656" s="9" t="b">
        <v>0</v>
      </c>
      <c r="K656" s="9">
        <v>305.0</v>
      </c>
      <c r="L656" s="9">
        <v>92.11</v>
      </c>
      <c r="M656" s="9">
        <v>451.1</v>
      </c>
      <c r="N656" s="9">
        <v>4.1</v>
      </c>
      <c r="O656" s="9">
        <v>0.999359</v>
      </c>
      <c r="P656" s="9">
        <v>0.998723</v>
      </c>
      <c r="Q656" s="10">
        <f t="shared" si="2"/>
        <v>30.79542954</v>
      </c>
      <c r="R656" s="11">
        <f t="shared" si="3"/>
        <v>8.826403214</v>
      </c>
      <c r="S656" s="12">
        <f t="shared" si="4"/>
        <v>4</v>
      </c>
      <c r="T656" s="8">
        <f t="shared" si="159"/>
        <v>813</v>
      </c>
      <c r="U656" s="13" t="str">
        <f>T656/vlookup(A656,Max!$A$2:$AP$700,column(Max!$AP$2),false)</f>
        <v>#N/A</v>
      </c>
      <c r="V656" s="8">
        <f t="shared" si="6"/>
        <v>187.1509353</v>
      </c>
      <c r="W656" s="14">
        <f t="shared" si="7"/>
        <v>3.409995679</v>
      </c>
      <c r="X656" s="14">
        <f t="shared" si="8"/>
        <v>1.248068355</v>
      </c>
      <c r="Y656" s="14">
        <f t="shared" si="9"/>
        <v>1</v>
      </c>
      <c r="Z656" s="14">
        <f t="shared" si="10"/>
        <v>1.020536312</v>
      </c>
      <c r="AA656" s="27">
        <f t="shared" si="11"/>
        <v>100</v>
      </c>
      <c r="AB656" s="29">
        <v>1.0</v>
      </c>
      <c r="AC656" s="15" t="str">
        <f t="shared" si="162"/>
        <v/>
      </c>
      <c r="AD656" s="15" t="str">
        <f t="shared" si="41"/>
        <v>$YF-75E$: 100,</v>
      </c>
      <c r="AE656" s="15" t="str">
        <f t="shared" si="166"/>
        <v/>
      </c>
      <c r="AF656" s="15" t="str">
        <f t="shared" si="135"/>
        <v/>
      </c>
      <c r="AG656" s="15" t="str">
        <f t="shared" si="136"/>
        <v/>
      </c>
    </row>
    <row r="657" ht="15.75" customHeight="1">
      <c r="A657" s="16" t="s">
        <v>876</v>
      </c>
      <c r="B657" s="16" t="s">
        <v>877</v>
      </c>
      <c r="C657" s="17">
        <f t="shared" si="133"/>
        <v>1600</v>
      </c>
      <c r="D657" s="16">
        <v>2016.0</v>
      </c>
      <c r="E657" s="16" t="b">
        <v>1</v>
      </c>
      <c r="F657" s="16" t="b">
        <v>1</v>
      </c>
      <c r="G657" s="16" t="b">
        <v>0</v>
      </c>
      <c r="H657" s="16" t="b">
        <v>0</v>
      </c>
      <c r="I657" s="16" t="b">
        <v>0</v>
      </c>
      <c r="J657" s="18" t="b">
        <v>0</v>
      </c>
      <c r="K657" s="16">
        <v>1375.0</v>
      </c>
      <c r="L657" s="16">
        <v>700.0</v>
      </c>
      <c r="M657" s="16">
        <v>426.0</v>
      </c>
      <c r="N657" s="16">
        <v>10.2</v>
      </c>
      <c r="O657" s="16">
        <v>0.976667</v>
      </c>
      <c r="P657" s="16">
        <v>0.976667</v>
      </c>
      <c r="Q657" s="19">
        <f t="shared" si="2"/>
        <v>51.91282524</v>
      </c>
      <c r="R657" s="20">
        <f t="shared" si="3"/>
        <v>2.285714286</v>
      </c>
      <c r="S657" s="21">
        <f t="shared" si="4"/>
        <v>4</v>
      </c>
      <c r="T657" s="32">
        <v>1600.0</v>
      </c>
      <c r="U657" s="22">
        <f>T657/vlookup(A657,Max!$A$2:$AP$700,column(Max!$AP$2),false)</f>
        <v>3.265306122</v>
      </c>
      <c r="V657" s="17">
        <f t="shared" si="6"/>
        <v>425.1024718</v>
      </c>
      <c r="W657" s="23">
        <f t="shared" si="7"/>
        <v>2.707066335</v>
      </c>
      <c r="X657" s="23">
        <f t="shared" si="8"/>
        <v>1.766292902</v>
      </c>
      <c r="Y657" s="23">
        <f t="shared" si="9"/>
        <v>1</v>
      </c>
      <c r="Z657" s="23">
        <f t="shared" si="10"/>
        <v>0.9666701278</v>
      </c>
      <c r="AA657" s="26">
        <f t="shared" si="11"/>
        <v>0</v>
      </c>
      <c r="AB657" s="25">
        <v>0.0</v>
      </c>
      <c r="AC657" s="26" t="str">
        <f t="shared" si="162"/>
        <v>{
$name$: $YF-77$,
$config$: $YF77$,
$cost$: 1600
},</v>
      </c>
      <c r="AD657" s="26" t="str">
        <f t="shared" si="41"/>
        <v/>
      </c>
      <c r="AE657" s="26" t="str">
        <f>if(AB657=2,if(AF635&lt;&gt;AF657,char(9)&amp;char(9)&amp;"@CONFIG["&amp;AF657&amp;"]"&amp;char(10)&amp;char(9)&amp;char(9)&amp;"{"&amp;char(10),"")&amp;char(9)&amp;char(9)&amp;char(9)&amp;"@SUBCONFIG["&amp;AG657&amp;"] { %cost = "&amp;AA657&amp;" }"&amp;if(AF659&lt;&gt;AF657,char(10)&amp;char(9)&amp;char(9)&amp;"}",""),"")</f>
        <v/>
      </c>
      <c r="AF657" s="26" t="str">
        <f t="shared" si="135"/>
        <v/>
      </c>
      <c r="AG657" s="26" t="str">
        <f t="shared" si="136"/>
        <v/>
      </c>
    </row>
    <row r="658" ht="15.75" hidden="1" customHeight="1">
      <c r="A658" s="7" t="s">
        <v>878</v>
      </c>
      <c r="B658" s="7" t="s">
        <v>878</v>
      </c>
      <c r="C658" s="7"/>
      <c r="D658" s="7">
        <v>1943.0</v>
      </c>
      <c r="E658" s="7"/>
      <c r="F658" s="7" t="b">
        <v>0</v>
      </c>
      <c r="G658" s="7" t="b">
        <v>1</v>
      </c>
      <c r="H658" s="7" t="b">
        <v>0</v>
      </c>
      <c r="I658" s="7" t="b">
        <v>0</v>
      </c>
      <c r="J658" s="7"/>
      <c r="K658" s="7">
        <v>181.437</v>
      </c>
      <c r="L658" s="7">
        <v>146.6</v>
      </c>
      <c r="M658" s="7">
        <v>200.0</v>
      </c>
      <c r="N658" s="7"/>
      <c r="O658" s="7"/>
      <c r="P658" s="7"/>
      <c r="Q658" s="10">
        <f t="shared" si="2"/>
        <v>82.39245379</v>
      </c>
      <c r="R658" s="11" t="str">
        <f t="shared" ref="R658:R743" si="167">#REF!/L658</f>
        <v>#REF!</v>
      </c>
      <c r="S658" s="12">
        <f t="shared" si="4"/>
        <v>1.05</v>
      </c>
      <c r="T658" s="13" t="str">
        <f t="shared" ref="T658:T743" si="168">IFERROR(#REF!/#REF!,#N/A)</f>
        <v>#N/A</v>
      </c>
      <c r="U658" s="8"/>
      <c r="V658" s="8">
        <f t="shared" ref="V658:V659" si="169">(3.43*K658^0.46+4.47*K658^0.649)</f>
        <v>168.2073576</v>
      </c>
      <c r="W658" s="13" t="str">
        <f t="shared" ref="W658:W743" si="170">V658/#REF!</f>
        <v>#REF!</v>
      </c>
      <c r="X658" s="13">
        <f t="shared" ref="X658:X659" si="171">Y658/Z658</f>
        <v>0</v>
      </c>
      <c r="Y658" s="38">
        <f t="shared" ref="Y658:Y659" si="172">8.17*POWER(K658*N658,0.46)</f>
        <v>0</v>
      </c>
      <c r="Z658" s="38">
        <f t="shared" ref="Z658:Z659" si="173">0.146*POWER(K658*M658,0.639)</f>
        <v>119.6842066</v>
      </c>
      <c r="AA658" s="15"/>
      <c r="AB658" s="15"/>
      <c r="AC658" s="15"/>
      <c r="AD658" s="15"/>
      <c r="AE658" s="15"/>
      <c r="AF658" s="15"/>
      <c r="AG658" s="15"/>
    </row>
    <row r="659" ht="15.75" hidden="1" customHeight="1">
      <c r="A659" s="7" t="s">
        <v>879</v>
      </c>
      <c r="B659" s="7" t="s">
        <v>880</v>
      </c>
      <c r="C659" s="7"/>
      <c r="D659" s="7">
        <v>1945.0</v>
      </c>
      <c r="E659" s="7"/>
      <c r="F659" s="7" t="b">
        <v>0</v>
      </c>
      <c r="G659" s="7" t="b">
        <v>1</v>
      </c>
      <c r="H659" s="7" t="b">
        <v>0</v>
      </c>
      <c r="I659" s="7" t="b">
        <v>0</v>
      </c>
      <c r="J659" s="7"/>
      <c r="K659" s="7">
        <v>11.0</v>
      </c>
      <c r="L659" s="7">
        <v>11.192</v>
      </c>
      <c r="M659" s="7">
        <v>220.0</v>
      </c>
      <c r="N659" s="7">
        <v>5.2689</v>
      </c>
      <c r="O659" s="7"/>
      <c r="P659" s="7"/>
      <c r="Q659" s="10">
        <f t="shared" si="2"/>
        <v>103.7514893</v>
      </c>
      <c r="R659" s="11" t="str">
        <f t="shared" si="167"/>
        <v>#REF!</v>
      </c>
      <c r="S659" s="12">
        <f t="shared" si="4"/>
        <v>1.05</v>
      </c>
      <c r="T659" s="13" t="str">
        <f t="shared" si="168"/>
        <v>#N/A</v>
      </c>
      <c r="U659" s="8"/>
      <c r="V659" s="8">
        <f t="shared" si="169"/>
        <v>31.52754989</v>
      </c>
      <c r="W659" s="13" t="str">
        <f t="shared" si="170"/>
        <v>#REF!</v>
      </c>
      <c r="X659" s="13">
        <f t="shared" si="171"/>
        <v>2.492544937</v>
      </c>
      <c r="Y659" s="38">
        <f t="shared" si="172"/>
        <v>52.87542504</v>
      </c>
      <c r="Z659" s="38">
        <f t="shared" si="173"/>
        <v>21.21342899</v>
      </c>
      <c r="AA659" s="15"/>
      <c r="AB659" s="15"/>
      <c r="AC659" s="15"/>
      <c r="AD659" s="15"/>
      <c r="AE659" s="15"/>
      <c r="AF659" s="15"/>
      <c r="AG659" s="15"/>
    </row>
    <row r="660" ht="15.75" hidden="1" customHeight="1">
      <c r="A660" s="7" t="s">
        <v>881</v>
      </c>
      <c r="B660" s="7" t="s">
        <v>882</v>
      </c>
      <c r="C660" s="7"/>
      <c r="D660" s="7">
        <v>1950.0</v>
      </c>
      <c r="E660" s="7"/>
      <c r="F660" s="7" t="b">
        <v>0</v>
      </c>
      <c r="G660" s="7" t="b">
        <v>1</v>
      </c>
      <c r="H660" s="7" t="b">
        <v>0</v>
      </c>
      <c r="I660" s="7" t="b">
        <v>0</v>
      </c>
      <c r="J660" s="7"/>
      <c r="K660" s="7">
        <v>117.9</v>
      </c>
      <c r="L660" s="7">
        <v>82.7</v>
      </c>
      <c r="M660" s="7">
        <v>198.8</v>
      </c>
      <c r="N660" s="7">
        <v>9.24</v>
      </c>
      <c r="O660" s="7">
        <v>0.97</v>
      </c>
      <c r="P660" s="7">
        <v>0.998</v>
      </c>
      <c r="Q660" s="10">
        <f t="shared" si="2"/>
        <v>71.52716757</v>
      </c>
      <c r="R660" s="11" t="str">
        <f t="shared" si="167"/>
        <v>#REF!</v>
      </c>
      <c r="S660" s="12">
        <f t="shared" si="4"/>
        <v>1.05</v>
      </c>
      <c r="T660" s="13" t="str">
        <f t="shared" si="168"/>
        <v>#N/A</v>
      </c>
      <c r="U660" s="8"/>
      <c r="V660" s="8">
        <f t="shared" ref="V660:V661" si="174">20*(L660^0.535)*(20/max(20,Q660))^0.5*(if(M660/300&lt;1,(M660/300)^0.65,(M660/300)^1.1)*(Max(1,N660-1)^0.25)*if(E660,1.5,1))*IF(I660,1.5,1)*IF(O660*P660&gt;0,O660*P660*if(P660&gt;=0.93,1,max(0.5,P660*10-8.3)),1)</f>
        <v>140.8967051</v>
      </c>
      <c r="W660" s="13" t="str">
        <f t="shared" si="170"/>
        <v>#REF!</v>
      </c>
    </row>
    <row r="661" ht="15.75" hidden="1" customHeight="1">
      <c r="A661" s="16" t="s">
        <v>883</v>
      </c>
      <c r="B661" s="16" t="s">
        <v>884</v>
      </c>
      <c r="C661" s="16"/>
      <c r="D661" s="16">
        <v>1955.0</v>
      </c>
      <c r="E661" s="16"/>
      <c r="F661" s="16" t="b">
        <v>0</v>
      </c>
      <c r="G661" s="16" t="b">
        <v>1</v>
      </c>
      <c r="H661" s="16" t="b">
        <v>0</v>
      </c>
      <c r="I661" s="16" t="b">
        <v>0</v>
      </c>
      <c r="J661" s="16"/>
      <c r="K661" s="16">
        <v>27.21</v>
      </c>
      <c r="L661" s="16">
        <v>34.09</v>
      </c>
      <c r="M661" s="16">
        <v>238.8</v>
      </c>
      <c r="N661" s="16">
        <v>6.89</v>
      </c>
      <c r="O661" s="16">
        <v>0.97</v>
      </c>
      <c r="P661" s="16">
        <v>0.998</v>
      </c>
      <c r="Q661" s="19">
        <f t="shared" si="2"/>
        <v>127.7549636</v>
      </c>
      <c r="R661" s="20" t="str">
        <f t="shared" si="167"/>
        <v>#REF!</v>
      </c>
      <c r="S661" s="21">
        <f t="shared" si="4"/>
        <v>1.05</v>
      </c>
      <c r="T661" s="13" t="str">
        <f t="shared" si="168"/>
        <v>#N/A</v>
      </c>
      <c r="U661" s="8"/>
      <c r="V661" s="8">
        <f t="shared" si="174"/>
        <v>67.97295354</v>
      </c>
      <c r="W661" s="13" t="str">
        <f t="shared" si="170"/>
        <v>#REF!</v>
      </c>
    </row>
    <row r="662" ht="15.75" hidden="1" customHeight="1">
      <c r="A662" s="7" t="s">
        <v>885</v>
      </c>
      <c r="B662" s="7" t="s">
        <v>885</v>
      </c>
      <c r="C662" s="7"/>
      <c r="D662" s="7">
        <v>1955.0</v>
      </c>
      <c r="E662" s="7"/>
      <c r="F662" s="7" t="b">
        <v>0</v>
      </c>
      <c r="G662" s="7" t="b">
        <v>1</v>
      </c>
      <c r="H662" s="7" t="b">
        <v>0</v>
      </c>
      <c r="I662" s="7" t="b">
        <v>0</v>
      </c>
      <c r="J662" s="7"/>
      <c r="K662" s="7">
        <v>195.0</v>
      </c>
      <c r="L662" s="7">
        <v>224.46</v>
      </c>
      <c r="M662" s="7">
        <v>228.0</v>
      </c>
      <c r="N662" s="7"/>
      <c r="O662" s="7"/>
      <c r="P662" s="7"/>
      <c r="Q662" s="10">
        <f t="shared" si="2"/>
        <v>117.3771797</v>
      </c>
      <c r="R662" s="11" t="str">
        <f t="shared" si="167"/>
        <v>#REF!</v>
      </c>
      <c r="S662" s="12">
        <f t="shared" si="4"/>
        <v>1.05</v>
      </c>
      <c r="T662" s="13" t="str">
        <f t="shared" si="168"/>
        <v>#N/A</v>
      </c>
      <c r="U662" s="8"/>
      <c r="V662" s="8">
        <f t="shared" ref="V662:V743" si="175">(3.43*K662^0.46+4.47*K662^0.649)</f>
        <v>175.7321769</v>
      </c>
      <c r="W662" s="13" t="str">
        <f t="shared" si="170"/>
        <v>#REF!</v>
      </c>
      <c r="X662" s="39">
        <f t="shared" ref="X662:X743" si="176">Y662/Z662</f>
        <v>0</v>
      </c>
      <c r="Y662" s="40">
        <f t="shared" ref="Y662:Y743" si="177">8.17*POWER(K662*N662,0.46)</f>
        <v>0</v>
      </c>
      <c r="Z662" s="40">
        <f t="shared" ref="Z662:Z743" si="178">0.146*POWER(K662*M662,0.639)</f>
        <v>136.2715952</v>
      </c>
      <c r="AA662" s="15"/>
      <c r="AB662" s="15"/>
      <c r="AC662" s="15"/>
      <c r="AD662" s="15"/>
      <c r="AE662" s="15"/>
      <c r="AF662" s="15"/>
      <c r="AG662" s="15"/>
    </row>
    <row r="663" ht="15.75" hidden="1" customHeight="1">
      <c r="A663" s="7" t="s">
        <v>886</v>
      </c>
      <c r="B663" s="7" t="s">
        <v>887</v>
      </c>
      <c r="C663" s="7"/>
      <c r="D663" s="7">
        <v>1956.0</v>
      </c>
      <c r="E663" s="7"/>
      <c r="F663" s="7" t="b">
        <v>0</v>
      </c>
      <c r="G663" s="7" t="b">
        <v>1</v>
      </c>
      <c r="H663" s="7" t="b">
        <v>0</v>
      </c>
      <c r="I663" s="7" t="b">
        <v>0</v>
      </c>
      <c r="J663" s="7"/>
      <c r="K663" s="7">
        <v>5.07</v>
      </c>
      <c r="L663" s="7">
        <v>8.0</v>
      </c>
      <c r="M663" s="7">
        <v>220.0</v>
      </c>
      <c r="N663" s="7"/>
      <c r="O663" s="7"/>
      <c r="P663" s="7"/>
      <c r="Q663" s="10">
        <f t="shared" si="2"/>
        <v>160.9019661</v>
      </c>
      <c r="R663" s="11" t="str">
        <f t="shared" si="167"/>
        <v>#REF!</v>
      </c>
      <c r="S663" s="12">
        <f t="shared" si="4"/>
        <v>1.05</v>
      </c>
      <c r="T663" s="13" t="str">
        <f t="shared" si="168"/>
        <v>#N/A</v>
      </c>
      <c r="U663" s="8"/>
      <c r="V663" s="8">
        <f t="shared" si="175"/>
        <v>20.05675792</v>
      </c>
      <c r="W663" s="13" t="str">
        <f t="shared" si="170"/>
        <v>#REF!</v>
      </c>
      <c r="X663" s="39">
        <f t="shared" si="176"/>
        <v>0</v>
      </c>
      <c r="Y663" s="40">
        <f t="shared" si="177"/>
        <v>0</v>
      </c>
      <c r="Z663" s="40">
        <f t="shared" si="178"/>
        <v>12.93186121</v>
      </c>
      <c r="AA663" s="15"/>
      <c r="AB663" s="15"/>
      <c r="AC663" s="15"/>
      <c r="AD663" s="15"/>
      <c r="AE663" s="15"/>
      <c r="AF663" s="15"/>
      <c r="AG663" s="15"/>
    </row>
    <row r="664" ht="15.75" hidden="1" customHeight="1">
      <c r="A664" s="7" t="s">
        <v>888</v>
      </c>
      <c r="B664" s="7" t="s">
        <v>889</v>
      </c>
      <c r="C664" s="7"/>
      <c r="D664" s="7">
        <v>1956.0</v>
      </c>
      <c r="E664" s="7"/>
      <c r="F664" s="7" t="b">
        <v>0</v>
      </c>
      <c r="G664" s="7" t="b">
        <v>1</v>
      </c>
      <c r="H664" s="7" t="b">
        <v>0</v>
      </c>
      <c r="I664" s="7" t="b">
        <v>0</v>
      </c>
      <c r="J664" s="7"/>
      <c r="K664" s="7">
        <v>651.0</v>
      </c>
      <c r="L664" s="7">
        <v>304.3</v>
      </c>
      <c r="M664" s="7">
        <v>214.5</v>
      </c>
      <c r="N664" s="7"/>
      <c r="O664" s="7"/>
      <c r="P664" s="7"/>
      <c r="Q664" s="10">
        <f t="shared" si="2"/>
        <v>47.66507568</v>
      </c>
      <c r="R664" s="11" t="str">
        <f t="shared" si="167"/>
        <v>#REF!</v>
      </c>
      <c r="S664" s="12">
        <f t="shared" si="4"/>
        <v>1.05</v>
      </c>
      <c r="T664" s="13" t="str">
        <f t="shared" si="168"/>
        <v>#N/A</v>
      </c>
      <c r="U664" s="8"/>
      <c r="V664" s="8">
        <f t="shared" si="175"/>
        <v>366.985055</v>
      </c>
      <c r="W664" s="13" t="str">
        <f t="shared" si="170"/>
        <v>#REF!</v>
      </c>
      <c r="X664" s="39">
        <f t="shared" si="176"/>
        <v>0</v>
      </c>
      <c r="Y664" s="40">
        <f t="shared" si="177"/>
        <v>0</v>
      </c>
      <c r="Z664" s="40">
        <f t="shared" si="178"/>
        <v>283.1477729</v>
      </c>
      <c r="AA664" s="15"/>
      <c r="AB664" s="15"/>
      <c r="AC664" s="15"/>
      <c r="AD664" s="15"/>
      <c r="AE664" s="15"/>
      <c r="AF664" s="15"/>
      <c r="AG664" s="15"/>
    </row>
    <row r="665" ht="15.75" hidden="1" customHeight="1">
      <c r="A665" s="7" t="s">
        <v>890</v>
      </c>
      <c r="B665" s="7" t="s">
        <v>890</v>
      </c>
      <c r="C665" s="7"/>
      <c r="D665" s="7">
        <v>1957.0</v>
      </c>
      <c r="E665" s="7"/>
      <c r="F665" s="7" t="b">
        <v>0</v>
      </c>
      <c r="G665" s="7" t="b">
        <v>1</v>
      </c>
      <c r="H665" s="7" t="b">
        <v>0</v>
      </c>
      <c r="I665" s="7" t="b">
        <v>0</v>
      </c>
      <c r="J665" s="7"/>
      <c r="K665" s="7">
        <v>21.7</v>
      </c>
      <c r="L665" s="7">
        <v>17.3</v>
      </c>
      <c r="M665" s="7">
        <v>237.46</v>
      </c>
      <c r="N665" s="7"/>
      <c r="O665" s="7"/>
      <c r="P665" s="7"/>
      <c r="Q665" s="10">
        <f t="shared" si="2"/>
        <v>81.29534762</v>
      </c>
      <c r="R665" s="11" t="str">
        <f t="shared" si="167"/>
        <v>#REF!</v>
      </c>
      <c r="S665" s="12">
        <f t="shared" si="4"/>
        <v>1.05</v>
      </c>
      <c r="T665" s="13" t="str">
        <f t="shared" si="168"/>
        <v>#N/A</v>
      </c>
      <c r="U665" s="8"/>
      <c r="V665" s="8">
        <f t="shared" si="175"/>
        <v>47.06343609</v>
      </c>
      <c r="W665" s="13" t="str">
        <f t="shared" si="170"/>
        <v>#REF!</v>
      </c>
      <c r="X665" s="39">
        <f t="shared" si="176"/>
        <v>0</v>
      </c>
      <c r="Y665" s="40">
        <f t="shared" si="177"/>
        <v>0</v>
      </c>
      <c r="Z665" s="40">
        <f t="shared" si="178"/>
        <v>34.38372557</v>
      </c>
      <c r="AA665" s="15"/>
      <c r="AB665" s="15"/>
      <c r="AC665" s="15"/>
      <c r="AD665" s="15"/>
      <c r="AE665" s="15"/>
      <c r="AF665" s="15"/>
      <c r="AG665" s="15"/>
    </row>
    <row r="666" ht="15.75" hidden="1" customHeight="1">
      <c r="A666" s="16" t="s">
        <v>891</v>
      </c>
      <c r="B666" s="16" t="s">
        <v>887</v>
      </c>
      <c r="C666" s="16"/>
      <c r="D666" s="16">
        <v>1958.0</v>
      </c>
      <c r="E666" s="16"/>
      <c r="F666" s="16" t="b">
        <v>0</v>
      </c>
      <c r="G666" s="16" t="b">
        <v>1</v>
      </c>
      <c r="H666" s="16" t="b">
        <v>0</v>
      </c>
      <c r="I666" s="16" t="b">
        <v>0</v>
      </c>
      <c r="J666" s="16"/>
      <c r="K666" s="16">
        <v>5.07</v>
      </c>
      <c r="L666" s="16">
        <v>8.0</v>
      </c>
      <c r="M666" s="16">
        <v>235.0</v>
      </c>
      <c r="N666" s="16"/>
      <c r="O666" s="16"/>
      <c r="P666" s="16"/>
      <c r="Q666" s="19">
        <f t="shared" si="2"/>
        <v>160.9019661</v>
      </c>
      <c r="R666" s="20" t="str">
        <f t="shared" si="167"/>
        <v>#REF!</v>
      </c>
      <c r="S666" s="21">
        <f t="shared" si="4"/>
        <v>1.05</v>
      </c>
      <c r="T666" s="13" t="str">
        <f t="shared" si="168"/>
        <v>#N/A</v>
      </c>
      <c r="U666" s="8"/>
      <c r="V666" s="8">
        <f t="shared" si="175"/>
        <v>20.05675792</v>
      </c>
      <c r="W666" s="13" t="str">
        <f t="shared" si="170"/>
        <v>#REF!</v>
      </c>
      <c r="X666" s="39">
        <f t="shared" si="176"/>
        <v>0</v>
      </c>
      <c r="Y666" s="40">
        <f t="shared" si="177"/>
        <v>0</v>
      </c>
      <c r="Z666" s="40">
        <f t="shared" si="178"/>
        <v>13.48855123</v>
      </c>
      <c r="AA666" s="15"/>
      <c r="AB666" s="15"/>
      <c r="AC666" s="15"/>
      <c r="AD666" s="15"/>
      <c r="AE666" s="15"/>
      <c r="AF666" s="15"/>
      <c r="AG666" s="15"/>
    </row>
    <row r="667" ht="15.75" hidden="1" customHeight="1">
      <c r="A667" s="16" t="s">
        <v>892</v>
      </c>
      <c r="B667" s="16" t="s">
        <v>892</v>
      </c>
      <c r="C667" s="16"/>
      <c r="D667" s="16">
        <v>1959.0</v>
      </c>
      <c r="E667" s="16"/>
      <c r="F667" s="16" t="b">
        <v>0</v>
      </c>
      <c r="G667" s="16" t="b">
        <v>1</v>
      </c>
      <c r="H667" s="16" t="b">
        <v>0</v>
      </c>
      <c r="I667" s="16" t="b">
        <v>0</v>
      </c>
      <c r="J667" s="16"/>
      <c r="K667" s="16">
        <v>22.49816</v>
      </c>
      <c r="L667" s="16">
        <v>16.35</v>
      </c>
      <c r="M667" s="16">
        <v>255.04</v>
      </c>
      <c r="N667" s="16">
        <v>1.49</v>
      </c>
      <c r="O667" s="16"/>
      <c r="P667" s="16"/>
      <c r="Q667" s="19">
        <f t="shared" si="2"/>
        <v>74.1054381</v>
      </c>
      <c r="R667" s="20" t="str">
        <f t="shared" si="167"/>
        <v>#REF!</v>
      </c>
      <c r="S667" s="21">
        <f t="shared" si="4"/>
        <v>1.05</v>
      </c>
      <c r="T667" s="13" t="str">
        <f t="shared" si="168"/>
        <v>#N/A</v>
      </c>
      <c r="U667" s="8"/>
      <c r="V667" s="8">
        <f t="shared" si="175"/>
        <v>48.08136517</v>
      </c>
      <c r="W667" s="13" t="str">
        <f t="shared" si="170"/>
        <v>#REF!</v>
      </c>
      <c r="X667" s="39">
        <f t="shared" si="176"/>
        <v>1.116035136</v>
      </c>
      <c r="Y667" s="40">
        <f t="shared" si="177"/>
        <v>41.10317409</v>
      </c>
      <c r="Z667" s="40">
        <f t="shared" si="178"/>
        <v>36.82964163</v>
      </c>
      <c r="AA667" s="15"/>
      <c r="AB667" s="15"/>
      <c r="AC667" s="15"/>
      <c r="AD667" s="15"/>
      <c r="AE667" s="15"/>
      <c r="AF667" s="15"/>
      <c r="AG667" s="15"/>
    </row>
    <row r="668" ht="15.75" hidden="1" customHeight="1">
      <c r="A668" s="7" t="s">
        <v>893</v>
      </c>
      <c r="B668" s="7" t="s">
        <v>893</v>
      </c>
      <c r="C668" s="7"/>
      <c r="D668" s="7">
        <v>1960.0</v>
      </c>
      <c r="E668" s="7"/>
      <c r="F668" s="7" t="b">
        <v>0</v>
      </c>
      <c r="G668" s="7" t="b">
        <v>1</v>
      </c>
      <c r="H668" s="7" t="b">
        <v>0</v>
      </c>
      <c r="I668" s="7" t="b">
        <v>0</v>
      </c>
      <c r="J668" s="7"/>
      <c r="K668" s="7">
        <v>1402.325</v>
      </c>
      <c r="L668" s="7">
        <v>493.6442</v>
      </c>
      <c r="M668" s="7">
        <v>241.4</v>
      </c>
      <c r="N668" s="7">
        <v>2.03</v>
      </c>
      <c r="O668" s="7"/>
      <c r="P668" s="7"/>
      <c r="Q668" s="10">
        <f t="shared" si="2"/>
        <v>35.89588667</v>
      </c>
      <c r="R668" s="11" t="str">
        <f t="shared" si="167"/>
        <v>#REF!</v>
      </c>
      <c r="S668" s="12">
        <f t="shared" si="4"/>
        <v>1.05</v>
      </c>
      <c r="T668" s="13" t="str">
        <f t="shared" si="168"/>
        <v>#N/A</v>
      </c>
      <c r="U668" s="8"/>
      <c r="V668" s="8">
        <f t="shared" si="175"/>
        <v>588.86056</v>
      </c>
      <c r="W668" s="13" t="str">
        <f t="shared" si="170"/>
        <v>#REF!</v>
      </c>
      <c r="X668" s="39">
        <f t="shared" si="176"/>
        <v>0.6360076688</v>
      </c>
      <c r="Y668" s="40">
        <f t="shared" si="177"/>
        <v>317.1178038</v>
      </c>
      <c r="Z668" s="40">
        <f t="shared" si="178"/>
        <v>498.606887</v>
      </c>
      <c r="AA668" s="15"/>
      <c r="AB668" s="15"/>
      <c r="AC668" s="15"/>
      <c r="AD668" s="15"/>
      <c r="AE668" s="15"/>
      <c r="AF668" s="15"/>
      <c r="AG668" s="15"/>
    </row>
    <row r="669" ht="15.75" hidden="1" customHeight="1">
      <c r="A669" s="7" t="s">
        <v>894</v>
      </c>
      <c r="B669" s="7" t="s">
        <v>894</v>
      </c>
      <c r="C669" s="7"/>
      <c r="D669" s="7">
        <v>1960.0</v>
      </c>
      <c r="E669" s="7"/>
      <c r="F669" s="7" t="b">
        <v>0</v>
      </c>
      <c r="G669" s="7" t="b">
        <v>1</v>
      </c>
      <c r="H669" s="7" t="b">
        <v>0</v>
      </c>
      <c r="I669" s="7" t="b">
        <v>0</v>
      </c>
      <c r="J669" s="7"/>
      <c r="K669" s="7">
        <v>76.74777</v>
      </c>
      <c r="L669" s="7">
        <v>62.27508</v>
      </c>
      <c r="M669" s="7">
        <v>256.0</v>
      </c>
      <c r="N669" s="7">
        <v>2.03</v>
      </c>
      <c r="O669" s="7"/>
      <c r="P669" s="7"/>
      <c r="Q669" s="10">
        <f t="shared" si="2"/>
        <v>82.74235011</v>
      </c>
      <c r="R669" s="11" t="str">
        <f t="shared" si="167"/>
        <v>#REF!</v>
      </c>
      <c r="S669" s="12">
        <f t="shared" si="4"/>
        <v>1.05</v>
      </c>
      <c r="T669" s="13" t="str">
        <f t="shared" si="168"/>
        <v>#N/A</v>
      </c>
      <c r="U669" s="8"/>
      <c r="V669" s="8">
        <f t="shared" si="175"/>
        <v>100.0273818</v>
      </c>
      <c r="W669" s="13" t="str">
        <f t="shared" si="170"/>
        <v>#REF!</v>
      </c>
      <c r="X669" s="39">
        <f t="shared" si="176"/>
        <v>1.030446073</v>
      </c>
      <c r="Y669" s="40">
        <f t="shared" si="177"/>
        <v>83.32982812</v>
      </c>
      <c r="Z669" s="40">
        <f t="shared" si="178"/>
        <v>80.86772354</v>
      </c>
      <c r="AA669" s="15"/>
      <c r="AB669" s="15"/>
      <c r="AC669" s="15"/>
      <c r="AD669" s="15"/>
      <c r="AE669" s="15"/>
      <c r="AF669" s="15"/>
      <c r="AG669" s="15"/>
    </row>
    <row r="670" ht="15.75" hidden="1" customHeight="1">
      <c r="A670" s="16" t="s">
        <v>895</v>
      </c>
      <c r="B670" s="16" t="s">
        <v>889</v>
      </c>
      <c r="C670" s="16"/>
      <c r="D670" s="16">
        <v>1960.0</v>
      </c>
      <c r="E670" s="16"/>
      <c r="F670" s="16" t="b">
        <v>0</v>
      </c>
      <c r="G670" s="16" t="b">
        <v>1</v>
      </c>
      <c r="H670" s="16" t="b">
        <v>0</v>
      </c>
      <c r="I670" s="16" t="b">
        <v>0</v>
      </c>
      <c r="J670" s="16"/>
      <c r="K670" s="16">
        <v>651.0</v>
      </c>
      <c r="L670" s="16">
        <v>324.6</v>
      </c>
      <c r="M670" s="16">
        <v>247.0</v>
      </c>
      <c r="N670" s="16">
        <v>2.75</v>
      </c>
      <c r="O670" s="16"/>
      <c r="P670" s="16"/>
      <c r="Q670" s="19">
        <f t="shared" si="2"/>
        <v>50.84483591</v>
      </c>
      <c r="R670" s="20" t="str">
        <f t="shared" si="167"/>
        <v>#REF!</v>
      </c>
      <c r="S670" s="21">
        <f t="shared" si="4"/>
        <v>1.05</v>
      </c>
      <c r="T670" s="13" t="str">
        <f t="shared" si="168"/>
        <v>#N/A</v>
      </c>
      <c r="U670" s="8"/>
      <c r="V670" s="8">
        <f t="shared" si="175"/>
        <v>366.985055</v>
      </c>
      <c r="W670" s="13" t="str">
        <f t="shared" si="170"/>
        <v>#REF!</v>
      </c>
      <c r="X670" s="39">
        <f t="shared" si="176"/>
        <v>0.8267950918</v>
      </c>
      <c r="Y670" s="40">
        <f t="shared" si="177"/>
        <v>256.1901043</v>
      </c>
      <c r="Z670" s="40">
        <f t="shared" si="178"/>
        <v>309.8592466</v>
      </c>
      <c r="AA670" s="15"/>
      <c r="AB670" s="15"/>
      <c r="AC670" s="15"/>
      <c r="AD670" s="15"/>
      <c r="AE670" s="15"/>
      <c r="AF670" s="15"/>
      <c r="AG670" s="15"/>
    </row>
    <row r="671" ht="15.75" hidden="1" customHeight="1">
      <c r="A671" s="7" t="s">
        <v>896</v>
      </c>
      <c r="B671" s="7" t="s">
        <v>889</v>
      </c>
      <c r="C671" s="7"/>
      <c r="D671" s="7">
        <v>1960.0</v>
      </c>
      <c r="E671" s="7"/>
      <c r="F671" s="7" t="b">
        <v>0</v>
      </c>
      <c r="G671" s="7" t="b">
        <v>1</v>
      </c>
      <c r="H671" s="7" t="b">
        <v>0</v>
      </c>
      <c r="I671" s="7" t="b">
        <v>0</v>
      </c>
      <c r="J671" s="7"/>
      <c r="K671" s="7">
        <v>651.0</v>
      </c>
      <c r="L671" s="7">
        <v>349.3</v>
      </c>
      <c r="M671" s="7">
        <v>273.21</v>
      </c>
      <c r="N671" s="7">
        <v>2.75</v>
      </c>
      <c r="O671" s="7"/>
      <c r="P671" s="7"/>
      <c r="Q671" s="10">
        <f t="shared" si="2"/>
        <v>54.71380525</v>
      </c>
      <c r="R671" s="11" t="str">
        <f t="shared" si="167"/>
        <v>#REF!</v>
      </c>
      <c r="S671" s="12">
        <f t="shared" si="4"/>
        <v>1.05</v>
      </c>
      <c r="T671" s="13" t="str">
        <f t="shared" si="168"/>
        <v>#N/A</v>
      </c>
      <c r="U671" s="8"/>
      <c r="V671" s="8">
        <f t="shared" si="175"/>
        <v>366.985055</v>
      </c>
      <c r="W671" s="13" t="str">
        <f t="shared" si="170"/>
        <v>#REF!</v>
      </c>
      <c r="X671" s="39">
        <f t="shared" si="176"/>
        <v>0.7751931405</v>
      </c>
      <c r="Y671" s="40">
        <f t="shared" si="177"/>
        <v>256.1901043</v>
      </c>
      <c r="Z671" s="40">
        <f t="shared" si="178"/>
        <v>330.485515</v>
      </c>
      <c r="AA671" s="15"/>
      <c r="AB671" s="15"/>
      <c r="AC671" s="15"/>
      <c r="AD671" s="15"/>
      <c r="AE671" s="15"/>
      <c r="AF671" s="15"/>
      <c r="AG671" s="15"/>
    </row>
    <row r="672" ht="15.75" hidden="1" customHeight="1">
      <c r="A672" s="16" t="s">
        <v>897</v>
      </c>
      <c r="B672" s="16" t="s">
        <v>897</v>
      </c>
      <c r="C672" s="16"/>
      <c r="D672" s="16">
        <v>1962.0</v>
      </c>
      <c r="E672" s="16"/>
      <c r="F672" s="16" t="b">
        <v>0</v>
      </c>
      <c r="G672" s="16" t="b">
        <v>1</v>
      </c>
      <c r="H672" s="16" t="b">
        <v>0</v>
      </c>
      <c r="I672" s="16" t="b">
        <v>0</v>
      </c>
      <c r="J672" s="16"/>
      <c r="K672" s="16">
        <v>1065.533</v>
      </c>
      <c r="L672" s="16">
        <v>449.02112</v>
      </c>
      <c r="M672" s="16">
        <v>258.88</v>
      </c>
      <c r="N672" s="16"/>
      <c r="O672" s="16"/>
      <c r="P672" s="16"/>
      <c r="Q672" s="19">
        <f t="shared" si="2"/>
        <v>42.97136876</v>
      </c>
      <c r="R672" s="20" t="str">
        <f t="shared" si="167"/>
        <v>#REF!</v>
      </c>
      <c r="S672" s="21">
        <f t="shared" si="4"/>
        <v>1.05</v>
      </c>
      <c r="T672" s="13" t="str">
        <f t="shared" si="168"/>
        <v>#N/A</v>
      </c>
      <c r="U672" s="8"/>
      <c r="V672" s="8">
        <f t="shared" si="175"/>
        <v>497.003708</v>
      </c>
      <c r="W672" s="13" t="str">
        <f t="shared" si="170"/>
        <v>#REF!</v>
      </c>
      <c r="X672" s="39">
        <f t="shared" si="176"/>
        <v>0</v>
      </c>
      <c r="Y672" s="40">
        <f t="shared" si="177"/>
        <v>0</v>
      </c>
      <c r="Z672" s="40">
        <f t="shared" si="178"/>
        <v>437.4596984</v>
      </c>
      <c r="AA672" s="15"/>
      <c r="AB672" s="15"/>
      <c r="AC672" s="15"/>
      <c r="AD672" s="15"/>
      <c r="AE672" s="15"/>
      <c r="AF672" s="15"/>
      <c r="AG672" s="15"/>
    </row>
    <row r="673" ht="15.75" hidden="1" customHeight="1">
      <c r="A673" s="16" t="s">
        <v>898</v>
      </c>
      <c r="B673" s="16" t="s">
        <v>898</v>
      </c>
      <c r="C673" s="16"/>
      <c r="D673" s="16">
        <v>1962.0</v>
      </c>
      <c r="E673" s="16"/>
      <c r="F673" s="16" t="b">
        <v>0</v>
      </c>
      <c r="G673" s="16" t="b">
        <v>1</v>
      </c>
      <c r="H673" s="16" t="b">
        <v>0</v>
      </c>
      <c r="I673" s="16" t="b">
        <v>0</v>
      </c>
      <c r="J673" s="16"/>
      <c r="K673" s="16">
        <v>116.0</v>
      </c>
      <c r="L673" s="16">
        <v>93.074555</v>
      </c>
      <c r="M673" s="16">
        <v>281.15</v>
      </c>
      <c r="N673" s="16">
        <v>2.87</v>
      </c>
      <c r="O673" s="16"/>
      <c r="P673" s="16"/>
      <c r="Q673" s="19">
        <f t="shared" si="2"/>
        <v>81.81864868</v>
      </c>
      <c r="R673" s="20" t="str">
        <f t="shared" si="167"/>
        <v>#REF!</v>
      </c>
      <c r="S673" s="21">
        <f t="shared" si="4"/>
        <v>1.05</v>
      </c>
      <c r="T673" s="13" t="str">
        <f t="shared" si="168"/>
        <v>#N/A</v>
      </c>
      <c r="U673" s="8"/>
      <c r="V673" s="8">
        <f t="shared" si="175"/>
        <v>128.3007284</v>
      </c>
      <c r="W673" s="13" t="str">
        <f t="shared" si="170"/>
        <v>#REF!</v>
      </c>
      <c r="X673" s="39">
        <f t="shared" si="176"/>
        <v>1.057025477</v>
      </c>
      <c r="Y673" s="40">
        <f t="shared" si="177"/>
        <v>118.167597</v>
      </c>
      <c r="Z673" s="40">
        <f t="shared" si="178"/>
        <v>111.7925723</v>
      </c>
      <c r="AA673" s="15"/>
      <c r="AB673" s="15"/>
      <c r="AC673" s="15"/>
      <c r="AD673" s="15"/>
      <c r="AE673" s="15"/>
      <c r="AF673" s="15"/>
      <c r="AG673" s="15"/>
    </row>
    <row r="674" ht="15.75" hidden="1" customHeight="1">
      <c r="A674" s="7" t="s">
        <v>899</v>
      </c>
      <c r="B674" s="7" t="s">
        <v>899</v>
      </c>
      <c r="C674" s="7"/>
      <c r="D674" s="7">
        <v>1962.0</v>
      </c>
      <c r="E674" s="7"/>
      <c r="F674" s="7" t="b">
        <v>0</v>
      </c>
      <c r="G674" s="7" t="b">
        <v>1</v>
      </c>
      <c r="H674" s="7" t="b">
        <v>0</v>
      </c>
      <c r="I674" s="7" t="b">
        <v>0</v>
      </c>
      <c r="J674" s="7"/>
      <c r="K674" s="7">
        <v>2292.0</v>
      </c>
      <c r="L674" s="7">
        <v>876.0</v>
      </c>
      <c r="M674" s="7">
        <v>262.0</v>
      </c>
      <c r="N674" s="7"/>
      <c r="O674" s="7"/>
      <c r="P674" s="7"/>
      <c r="Q674" s="10">
        <f t="shared" si="2"/>
        <v>38.97344677</v>
      </c>
      <c r="R674" s="11" t="str">
        <f t="shared" si="167"/>
        <v>#REF!</v>
      </c>
      <c r="S674" s="12">
        <f t="shared" si="4"/>
        <v>1.05</v>
      </c>
      <c r="T674" s="13" t="str">
        <f t="shared" si="168"/>
        <v>#N/A</v>
      </c>
      <c r="U674" s="8"/>
      <c r="V674" s="8">
        <f t="shared" si="175"/>
        <v>798.2785767</v>
      </c>
      <c r="W674" s="13" t="str">
        <f t="shared" si="170"/>
        <v>#REF!</v>
      </c>
      <c r="X674" s="39">
        <f t="shared" si="176"/>
        <v>0</v>
      </c>
      <c r="Y674" s="40">
        <f t="shared" si="177"/>
        <v>0</v>
      </c>
      <c r="Z674" s="40">
        <f t="shared" si="178"/>
        <v>719.1583359</v>
      </c>
      <c r="AA674" s="15"/>
      <c r="AB674" s="15"/>
      <c r="AC674" s="15"/>
      <c r="AD674" s="15"/>
      <c r="AE674" s="15"/>
      <c r="AF674" s="15"/>
      <c r="AG674" s="15"/>
    </row>
    <row r="675" ht="15.75" hidden="1" customHeight="1">
      <c r="A675" s="7" t="s">
        <v>900</v>
      </c>
      <c r="B675" s="7" t="s">
        <v>900</v>
      </c>
      <c r="C675" s="7"/>
      <c r="D675" s="7">
        <v>1963.0</v>
      </c>
      <c r="E675" s="7"/>
      <c r="F675" s="7" t="b">
        <v>0</v>
      </c>
      <c r="G675" s="7" t="b">
        <v>1</v>
      </c>
      <c r="H675" s="7" t="b">
        <v>0</v>
      </c>
      <c r="I675" s="7" t="b">
        <v>0</v>
      </c>
      <c r="J675" s="7"/>
      <c r="K675" s="7">
        <v>32.7</v>
      </c>
      <c r="L675" s="7">
        <v>29.09</v>
      </c>
      <c r="M675" s="7">
        <v>279.0</v>
      </c>
      <c r="N675" s="7"/>
      <c r="O675" s="7"/>
      <c r="P675" s="7"/>
      <c r="Q675" s="10">
        <f t="shared" si="2"/>
        <v>90.71420351</v>
      </c>
      <c r="R675" s="11" t="str">
        <f t="shared" si="167"/>
        <v>#REF!</v>
      </c>
      <c r="S675" s="12">
        <f t="shared" si="4"/>
        <v>1.05</v>
      </c>
      <c r="T675" s="13" t="str">
        <f t="shared" si="168"/>
        <v>#N/A</v>
      </c>
      <c r="U675" s="8"/>
      <c r="V675" s="8">
        <f t="shared" si="175"/>
        <v>60.0385557</v>
      </c>
      <c r="W675" s="13" t="str">
        <f t="shared" si="170"/>
        <v>#REF!</v>
      </c>
      <c r="X675" s="39">
        <f t="shared" si="176"/>
        <v>0</v>
      </c>
      <c r="Y675" s="40">
        <f t="shared" si="177"/>
        <v>0</v>
      </c>
      <c r="Z675" s="40">
        <f t="shared" si="178"/>
        <v>49.53246663</v>
      </c>
      <c r="AA675" s="15"/>
      <c r="AB675" s="15"/>
      <c r="AC675" s="15"/>
      <c r="AD675" s="15"/>
      <c r="AE675" s="15"/>
      <c r="AF675" s="15"/>
      <c r="AG675" s="15"/>
    </row>
    <row r="676" ht="15.75" hidden="1" customHeight="1">
      <c r="A676" s="16" t="s">
        <v>901</v>
      </c>
      <c r="B676" s="16" t="s">
        <v>902</v>
      </c>
      <c r="C676" s="16"/>
      <c r="D676" s="16">
        <v>1964.0</v>
      </c>
      <c r="E676" s="16"/>
      <c r="F676" s="16" t="b">
        <v>0</v>
      </c>
      <c r="G676" s="16" t="b">
        <v>1</v>
      </c>
      <c r="H676" s="16" t="b">
        <v>0</v>
      </c>
      <c r="I676" s="16" t="b">
        <v>0</v>
      </c>
      <c r="J676" s="16"/>
      <c r="K676" s="16">
        <v>2.34</v>
      </c>
      <c r="L676" s="16">
        <v>2.468</v>
      </c>
      <c r="M676" s="16">
        <v>268.1</v>
      </c>
      <c r="N676" s="16">
        <v>9.29</v>
      </c>
      <c r="O676" s="16"/>
      <c r="P676" s="16"/>
      <c r="Q676" s="19">
        <f t="shared" si="2"/>
        <v>107.5495558</v>
      </c>
      <c r="R676" s="20" t="str">
        <f t="shared" si="167"/>
        <v>#REF!</v>
      </c>
      <c r="S676" s="21">
        <f t="shared" si="4"/>
        <v>1.05</v>
      </c>
      <c r="T676" s="13" t="str">
        <f t="shared" si="168"/>
        <v>#N/A</v>
      </c>
      <c r="U676" s="8"/>
      <c r="V676" s="8">
        <f t="shared" si="175"/>
        <v>12.83266013</v>
      </c>
      <c r="W676" s="13" t="str">
        <f t="shared" si="170"/>
        <v>#REF!</v>
      </c>
      <c r="X676" s="39">
        <f t="shared" si="176"/>
        <v>3.761708397</v>
      </c>
      <c r="Y676" s="40">
        <f t="shared" si="177"/>
        <v>33.67817733</v>
      </c>
      <c r="Z676" s="40">
        <f t="shared" si="178"/>
        <v>8.952894211</v>
      </c>
      <c r="AA676" s="15"/>
      <c r="AB676" s="15"/>
      <c r="AC676" s="15"/>
      <c r="AD676" s="15"/>
      <c r="AE676" s="15"/>
      <c r="AF676" s="15"/>
      <c r="AG676" s="15"/>
    </row>
    <row r="677" ht="15.75" hidden="1" customHeight="1">
      <c r="A677" s="16" t="s">
        <v>903</v>
      </c>
      <c r="B677" s="16" t="s">
        <v>903</v>
      </c>
      <c r="C677" s="16"/>
      <c r="D677" s="16">
        <v>1965.0</v>
      </c>
      <c r="E677" s="16"/>
      <c r="F677" s="16" t="b">
        <v>0</v>
      </c>
      <c r="G677" s="16" t="b">
        <v>1</v>
      </c>
      <c r="H677" s="16" t="b">
        <v>0</v>
      </c>
      <c r="I677" s="16" t="b">
        <v>0</v>
      </c>
      <c r="J677" s="16"/>
      <c r="K677" s="16">
        <v>23.16585</v>
      </c>
      <c r="L677" s="16">
        <v>25.227</v>
      </c>
      <c r="M677" s="16">
        <v>284.5</v>
      </c>
      <c r="N677" s="16">
        <v>5.92</v>
      </c>
      <c r="O677" s="16"/>
      <c r="P677" s="16"/>
      <c r="Q677" s="19">
        <f t="shared" si="2"/>
        <v>111.0444073</v>
      </c>
      <c r="R677" s="20" t="str">
        <f t="shared" si="167"/>
        <v>#REF!</v>
      </c>
      <c r="S677" s="21">
        <f t="shared" si="4"/>
        <v>1.05</v>
      </c>
      <c r="T677" s="13" t="str">
        <f t="shared" si="168"/>
        <v>#N/A</v>
      </c>
      <c r="U677" s="8"/>
      <c r="V677" s="8">
        <f t="shared" si="175"/>
        <v>48.92199155</v>
      </c>
      <c r="W677" s="13" t="str">
        <f t="shared" si="170"/>
        <v>#REF!</v>
      </c>
      <c r="X677" s="39">
        <f t="shared" si="176"/>
        <v>1.952858516</v>
      </c>
      <c r="Y677" s="40">
        <f t="shared" si="177"/>
        <v>78.58148506</v>
      </c>
      <c r="Z677" s="40">
        <f t="shared" si="178"/>
        <v>40.23921058</v>
      </c>
      <c r="AA677" s="15"/>
      <c r="AB677" s="15"/>
      <c r="AC677" s="15"/>
      <c r="AD677" s="15"/>
      <c r="AE677" s="15"/>
      <c r="AF677" s="15"/>
      <c r="AG677" s="15"/>
    </row>
    <row r="678" ht="15.75" hidden="1" customHeight="1">
      <c r="A678" s="7" t="s">
        <v>904</v>
      </c>
      <c r="B678" s="7" t="s">
        <v>905</v>
      </c>
      <c r="C678" s="7"/>
      <c r="D678" s="7">
        <v>1965.0</v>
      </c>
      <c r="E678" s="7"/>
      <c r="F678" s="7" t="b">
        <v>0</v>
      </c>
      <c r="G678" s="7" t="b">
        <v>1</v>
      </c>
      <c r="H678" s="7" t="b">
        <v>0</v>
      </c>
      <c r="I678" s="7" t="b">
        <v>0</v>
      </c>
      <c r="J678" s="7"/>
      <c r="K678" s="7">
        <v>677.0</v>
      </c>
      <c r="L678" s="7">
        <v>369.23</v>
      </c>
      <c r="M678" s="7">
        <v>260.7</v>
      </c>
      <c r="N678" s="7">
        <v>5.51</v>
      </c>
      <c r="O678" s="7"/>
      <c r="P678" s="7"/>
      <c r="Q678" s="10">
        <f t="shared" si="2"/>
        <v>55.61444848</v>
      </c>
      <c r="R678" s="11" t="str">
        <f t="shared" si="167"/>
        <v>#REF!</v>
      </c>
      <c r="S678" s="12">
        <f t="shared" si="4"/>
        <v>1.05</v>
      </c>
      <c r="T678" s="13" t="str">
        <f t="shared" si="168"/>
        <v>#N/A</v>
      </c>
      <c r="U678" s="8"/>
      <c r="V678" s="8">
        <f t="shared" si="175"/>
        <v>375.9209981</v>
      </c>
      <c r="W678" s="13" t="str">
        <f t="shared" si="170"/>
        <v>#REF!</v>
      </c>
      <c r="X678" s="39">
        <f t="shared" si="176"/>
        <v>1.091966828</v>
      </c>
      <c r="Y678" s="40">
        <f t="shared" si="177"/>
        <v>359.1059323</v>
      </c>
      <c r="Z678" s="40">
        <f t="shared" si="178"/>
        <v>328.8615762</v>
      </c>
      <c r="AA678" s="15"/>
      <c r="AB678" s="15"/>
      <c r="AC678" s="15"/>
      <c r="AD678" s="15"/>
      <c r="AE678" s="15"/>
      <c r="AF678" s="15"/>
      <c r="AG678" s="15"/>
    </row>
    <row r="679" ht="15.75" hidden="1" customHeight="1">
      <c r="A679" s="16" t="s">
        <v>906</v>
      </c>
      <c r="B679" s="16" t="s">
        <v>905</v>
      </c>
      <c r="C679" s="16"/>
      <c r="D679" s="16">
        <v>1965.0</v>
      </c>
      <c r="E679" s="16"/>
      <c r="F679" s="16" t="b">
        <v>0</v>
      </c>
      <c r="G679" s="16" t="b">
        <v>1</v>
      </c>
      <c r="H679" s="16" t="b">
        <v>0</v>
      </c>
      <c r="I679" s="16" t="b">
        <v>0</v>
      </c>
      <c r="J679" s="16"/>
      <c r="K679" s="16">
        <v>677.0</v>
      </c>
      <c r="L679" s="16">
        <v>318.1</v>
      </c>
      <c r="M679" s="16">
        <v>282.2</v>
      </c>
      <c r="N679" s="16">
        <v>5.51</v>
      </c>
      <c r="O679" s="16"/>
      <c r="P679" s="16"/>
      <c r="Q679" s="19">
        <f t="shared" si="2"/>
        <v>47.91310582</v>
      </c>
      <c r="R679" s="20" t="str">
        <f t="shared" si="167"/>
        <v>#REF!</v>
      </c>
      <c r="S679" s="21">
        <f t="shared" si="4"/>
        <v>1.05</v>
      </c>
      <c r="T679" s="13" t="str">
        <f t="shared" si="168"/>
        <v>#N/A</v>
      </c>
      <c r="U679" s="8"/>
      <c r="V679" s="8">
        <f t="shared" si="175"/>
        <v>375.9209981</v>
      </c>
      <c r="W679" s="13" t="str">
        <f t="shared" si="170"/>
        <v>#REF!</v>
      </c>
      <c r="X679" s="39">
        <f t="shared" si="176"/>
        <v>1.038048477</v>
      </c>
      <c r="Y679" s="40">
        <f t="shared" si="177"/>
        <v>359.1059323</v>
      </c>
      <c r="Z679" s="40">
        <f t="shared" si="178"/>
        <v>345.9433161</v>
      </c>
      <c r="AA679" s="15"/>
      <c r="AB679" s="15"/>
      <c r="AC679" s="15"/>
      <c r="AD679" s="15"/>
      <c r="AE679" s="15"/>
      <c r="AF679" s="15"/>
      <c r="AG679" s="15"/>
    </row>
    <row r="680" ht="15.75" hidden="1" customHeight="1">
      <c r="A680" s="16" t="s">
        <v>907</v>
      </c>
      <c r="B680" s="16" t="s">
        <v>907</v>
      </c>
      <c r="C680" s="16"/>
      <c r="D680" s="16">
        <v>1965.0</v>
      </c>
      <c r="E680" s="16"/>
      <c r="F680" s="16" t="b">
        <v>0</v>
      </c>
      <c r="G680" s="16" t="b">
        <v>1</v>
      </c>
      <c r="H680" s="16" t="b">
        <v>0</v>
      </c>
      <c r="I680" s="16" t="b">
        <v>0</v>
      </c>
      <c r="J680" s="16"/>
      <c r="K680" s="16">
        <v>68.0</v>
      </c>
      <c r="L680" s="16">
        <v>53.0</v>
      </c>
      <c r="M680" s="16">
        <v>274.0</v>
      </c>
      <c r="N680" s="16">
        <v>4.1</v>
      </c>
      <c r="O680" s="16"/>
      <c r="P680" s="16"/>
      <c r="Q680" s="19">
        <f t="shared" si="2"/>
        <v>79.47788107</v>
      </c>
      <c r="R680" s="20" t="str">
        <f t="shared" si="167"/>
        <v>#REF!</v>
      </c>
      <c r="S680" s="21">
        <f t="shared" si="4"/>
        <v>1.05</v>
      </c>
      <c r="T680" s="13" t="str">
        <f t="shared" si="168"/>
        <v>#N/A</v>
      </c>
      <c r="U680" s="8"/>
      <c r="V680" s="8">
        <f t="shared" si="175"/>
        <v>93.01209493</v>
      </c>
      <c r="W680" s="13" t="str">
        <f t="shared" si="170"/>
        <v>#REF!</v>
      </c>
      <c r="X680" s="39">
        <f t="shared" si="176"/>
        <v>1.39318269</v>
      </c>
      <c r="Y680" s="40">
        <f t="shared" si="177"/>
        <v>108.9072346</v>
      </c>
      <c r="Z680" s="40">
        <f t="shared" si="178"/>
        <v>78.17153872</v>
      </c>
      <c r="AA680" s="15"/>
      <c r="AB680" s="15"/>
      <c r="AC680" s="15"/>
      <c r="AD680" s="15"/>
      <c r="AE680" s="15"/>
      <c r="AF680" s="15"/>
      <c r="AG680" s="15"/>
    </row>
    <row r="681" ht="15.75" hidden="1" customHeight="1">
      <c r="A681" s="16" t="s">
        <v>908</v>
      </c>
      <c r="B681" s="16" t="s">
        <v>908</v>
      </c>
      <c r="C681" s="16"/>
      <c r="D681" s="16">
        <v>1965.0</v>
      </c>
      <c r="E681" s="16"/>
      <c r="F681" s="16" t="b">
        <v>0</v>
      </c>
      <c r="G681" s="16" t="b">
        <v>1</v>
      </c>
      <c r="H681" s="16" t="b">
        <v>0</v>
      </c>
      <c r="I681" s="16" t="b">
        <v>0</v>
      </c>
      <c r="J681" s="16"/>
      <c r="K681" s="16">
        <v>456.0</v>
      </c>
      <c r="L681" s="16">
        <v>156.0</v>
      </c>
      <c r="M681" s="16">
        <v>259.0</v>
      </c>
      <c r="N681" s="16">
        <v>3.5</v>
      </c>
      <c r="O681" s="16"/>
      <c r="P681" s="16"/>
      <c r="Q681" s="19">
        <f t="shared" si="2"/>
        <v>34.88502824</v>
      </c>
      <c r="R681" s="20" t="str">
        <f t="shared" si="167"/>
        <v>#REF!</v>
      </c>
      <c r="S681" s="21">
        <f t="shared" si="4"/>
        <v>1.05</v>
      </c>
      <c r="T681" s="13" t="str">
        <f t="shared" si="168"/>
        <v>#N/A</v>
      </c>
      <c r="U681" s="8"/>
      <c r="V681" s="8">
        <f t="shared" si="175"/>
        <v>295.0054865</v>
      </c>
      <c r="W681" s="13" t="str">
        <f t="shared" si="170"/>
        <v>#REF!</v>
      </c>
      <c r="X681" s="39">
        <f t="shared" si="176"/>
        <v>0.955184453</v>
      </c>
      <c r="Y681" s="40">
        <f t="shared" si="177"/>
        <v>243.0061051</v>
      </c>
      <c r="Z681" s="40">
        <f t="shared" si="178"/>
        <v>254.4075171</v>
      </c>
      <c r="AA681" s="15"/>
      <c r="AB681" s="15"/>
      <c r="AC681" s="15"/>
      <c r="AD681" s="15"/>
      <c r="AE681" s="15"/>
      <c r="AF681" s="15"/>
      <c r="AG681" s="15"/>
    </row>
    <row r="682" ht="15.75" hidden="1" customHeight="1">
      <c r="A682" s="16" t="s">
        <v>909</v>
      </c>
      <c r="B682" s="16" t="s">
        <v>909</v>
      </c>
      <c r="C682" s="16"/>
      <c r="D682" s="16">
        <v>1965.0</v>
      </c>
      <c r="E682" s="16"/>
      <c r="F682" s="16" t="b">
        <v>0</v>
      </c>
      <c r="G682" s="16" t="b">
        <v>1</v>
      </c>
      <c r="H682" s="16" t="b">
        <v>0</v>
      </c>
      <c r="I682" s="16" t="b">
        <v>0</v>
      </c>
      <c r="J682" s="16"/>
      <c r="K682" s="16">
        <v>27839.0</v>
      </c>
      <c r="L682" s="16">
        <v>4151.3</v>
      </c>
      <c r="M682" s="16">
        <v>266.0</v>
      </c>
      <c r="N682" s="16">
        <v>5.5</v>
      </c>
      <c r="O682" s="16"/>
      <c r="P682" s="16"/>
      <c r="Q682" s="19">
        <f t="shared" si="2"/>
        <v>15.20581882</v>
      </c>
      <c r="R682" s="20" t="str">
        <f t="shared" si="167"/>
        <v>#REF!</v>
      </c>
      <c r="S682" s="21">
        <f t="shared" si="4"/>
        <v>1.05</v>
      </c>
      <c r="T682" s="13" t="str">
        <f t="shared" si="168"/>
        <v>#N/A</v>
      </c>
      <c r="U682" s="8"/>
      <c r="V682" s="8">
        <f t="shared" si="175"/>
        <v>3806.83668</v>
      </c>
      <c r="W682" s="13" t="str">
        <f t="shared" si="170"/>
        <v>#REF!</v>
      </c>
      <c r="X682" s="39">
        <f t="shared" si="176"/>
        <v>0.5537881675</v>
      </c>
      <c r="Y682" s="40">
        <f t="shared" si="177"/>
        <v>1983.031276</v>
      </c>
      <c r="Z682" s="40">
        <f t="shared" si="178"/>
        <v>3580.848044</v>
      </c>
      <c r="AA682" s="15"/>
      <c r="AB682" s="15"/>
      <c r="AC682" s="15"/>
      <c r="AD682" s="15"/>
      <c r="AE682" s="15"/>
      <c r="AF682" s="15"/>
      <c r="AG682" s="15"/>
    </row>
    <row r="683" ht="15.75" hidden="1" customHeight="1">
      <c r="A683" s="7" t="s">
        <v>910</v>
      </c>
      <c r="B683" s="7" t="s">
        <v>910</v>
      </c>
      <c r="C683" s="7"/>
      <c r="D683" s="7">
        <v>1965.0</v>
      </c>
      <c r="E683" s="7"/>
      <c r="F683" s="7" t="b">
        <v>0</v>
      </c>
      <c r="G683" s="7" t="b">
        <v>1</v>
      </c>
      <c r="H683" s="7" t="b">
        <v>0</v>
      </c>
      <c r="I683" s="7" t="b">
        <v>0</v>
      </c>
      <c r="J683" s="7"/>
      <c r="K683" s="7">
        <v>33798.0</v>
      </c>
      <c r="L683" s="7">
        <v>5338.0</v>
      </c>
      <c r="M683" s="7">
        <v>266.0</v>
      </c>
      <c r="N683" s="7">
        <v>5.5</v>
      </c>
      <c r="O683" s="7"/>
      <c r="P683" s="7"/>
      <c r="Q683" s="10">
        <f t="shared" si="2"/>
        <v>16.1052285</v>
      </c>
      <c r="R683" s="11" t="str">
        <f t="shared" si="167"/>
        <v>#REF!</v>
      </c>
      <c r="S683" s="12">
        <f t="shared" si="4"/>
        <v>1.05</v>
      </c>
      <c r="T683" s="13" t="str">
        <f t="shared" si="168"/>
        <v>#N/A</v>
      </c>
      <c r="U683" s="8"/>
      <c r="V683" s="8">
        <f t="shared" si="175"/>
        <v>4302.004438</v>
      </c>
      <c r="W683" s="13" t="str">
        <f t="shared" si="170"/>
        <v>#REF!</v>
      </c>
      <c r="X683" s="39">
        <f t="shared" si="176"/>
        <v>0.5348908673</v>
      </c>
      <c r="Y683" s="40">
        <f t="shared" si="177"/>
        <v>2168.097229</v>
      </c>
      <c r="Z683" s="40">
        <f t="shared" si="178"/>
        <v>4053.345013</v>
      </c>
      <c r="AA683" s="15"/>
      <c r="AB683" s="15"/>
      <c r="AC683" s="15"/>
      <c r="AD683" s="15"/>
      <c r="AE683" s="15"/>
      <c r="AF683" s="15"/>
      <c r="AG683" s="15"/>
    </row>
    <row r="684" ht="15.75" hidden="1" customHeight="1">
      <c r="A684" s="16" t="s">
        <v>911</v>
      </c>
      <c r="B684" s="16" t="s">
        <v>912</v>
      </c>
      <c r="C684" s="16"/>
      <c r="D684" s="16">
        <v>1966.0</v>
      </c>
      <c r="E684" s="16"/>
      <c r="F684" s="16" t="b">
        <v>0</v>
      </c>
      <c r="G684" s="16" t="b">
        <v>1</v>
      </c>
      <c r="H684" s="16" t="b">
        <v>0</v>
      </c>
      <c r="I684" s="16" t="b">
        <v>0</v>
      </c>
      <c r="J684" s="16"/>
      <c r="K684" s="16">
        <v>89174.0</v>
      </c>
      <c r="L684" s="16">
        <v>15866.8</v>
      </c>
      <c r="M684" s="16">
        <v>263.0</v>
      </c>
      <c r="N684" s="16">
        <v>4.15</v>
      </c>
      <c r="O684" s="16"/>
      <c r="P684" s="16"/>
      <c r="Q684" s="19">
        <f t="shared" si="2"/>
        <v>18.14389078</v>
      </c>
      <c r="R684" s="20" t="str">
        <f t="shared" si="167"/>
        <v>#REF!</v>
      </c>
      <c r="S684" s="21">
        <f t="shared" si="4"/>
        <v>1.05</v>
      </c>
      <c r="T684" s="13" t="str">
        <f t="shared" si="168"/>
        <v>#N/A</v>
      </c>
      <c r="U684" s="8"/>
      <c r="V684" s="8">
        <f t="shared" si="175"/>
        <v>7944.016789</v>
      </c>
      <c r="W684" s="13" t="str">
        <f t="shared" si="170"/>
        <v>#REF!</v>
      </c>
      <c r="X684" s="39">
        <f t="shared" si="176"/>
        <v>0.3978569561</v>
      </c>
      <c r="Y684" s="40">
        <f t="shared" si="177"/>
        <v>2976.005812</v>
      </c>
      <c r="Z684" s="40">
        <f t="shared" si="178"/>
        <v>7480.089934</v>
      </c>
      <c r="AA684" s="15"/>
      <c r="AB684" s="15"/>
      <c r="AC684" s="15"/>
      <c r="AD684" s="15"/>
      <c r="AE684" s="15"/>
      <c r="AF684" s="15"/>
      <c r="AG684" s="15"/>
    </row>
    <row r="685" ht="15.75" hidden="1" customHeight="1">
      <c r="A685" s="7" t="s">
        <v>913</v>
      </c>
      <c r="B685" s="7" t="s">
        <v>914</v>
      </c>
      <c r="C685" s="7"/>
      <c r="D685" s="7">
        <v>1966.0</v>
      </c>
      <c r="E685" s="7"/>
      <c r="F685" s="7" t="b">
        <v>0</v>
      </c>
      <c r="G685" s="7" t="b">
        <v>1</v>
      </c>
      <c r="H685" s="7" t="b">
        <v>0</v>
      </c>
      <c r="I685" s="7" t="b">
        <v>0</v>
      </c>
      <c r="J685" s="7"/>
      <c r="K685" s="7">
        <v>63.0</v>
      </c>
      <c r="L685" s="7">
        <v>43.5</v>
      </c>
      <c r="M685" s="7">
        <v>289.0</v>
      </c>
      <c r="N685" s="7"/>
      <c r="O685" s="7"/>
      <c r="P685" s="7"/>
      <c r="Q685" s="10">
        <f t="shared" si="2"/>
        <v>70.4089764</v>
      </c>
      <c r="R685" s="11" t="str">
        <f t="shared" si="167"/>
        <v>#REF!</v>
      </c>
      <c r="S685" s="12">
        <f t="shared" si="4"/>
        <v>1.05</v>
      </c>
      <c r="T685" s="13" t="str">
        <f t="shared" si="168"/>
        <v>#N/A</v>
      </c>
      <c r="U685" s="8"/>
      <c r="V685" s="8">
        <f t="shared" si="175"/>
        <v>88.84481143</v>
      </c>
      <c r="W685" s="13" t="str">
        <f t="shared" si="170"/>
        <v>#REF!</v>
      </c>
      <c r="X685" s="39">
        <f t="shared" si="176"/>
        <v>0</v>
      </c>
      <c r="Y685" s="40">
        <f t="shared" si="177"/>
        <v>0</v>
      </c>
      <c r="Z685" s="40">
        <f t="shared" si="178"/>
        <v>77.02739106</v>
      </c>
      <c r="AA685" s="15"/>
      <c r="AB685" s="15"/>
      <c r="AC685" s="15"/>
      <c r="AD685" s="15"/>
      <c r="AE685" s="15"/>
      <c r="AF685" s="15"/>
      <c r="AG685" s="15"/>
    </row>
    <row r="686" ht="15.75" hidden="1" customHeight="1">
      <c r="A686" s="16" t="s">
        <v>915</v>
      </c>
      <c r="B686" s="16" t="s">
        <v>916</v>
      </c>
      <c r="C686" s="16"/>
      <c r="D686" s="16">
        <v>1966.0</v>
      </c>
      <c r="E686" s="16"/>
      <c r="F686" s="16" t="b">
        <v>0</v>
      </c>
      <c r="G686" s="16" t="b">
        <v>1</v>
      </c>
      <c r="H686" s="16" t="b">
        <v>0</v>
      </c>
      <c r="I686" s="16" t="b">
        <v>0</v>
      </c>
      <c r="J686" s="16"/>
      <c r="K686" s="16">
        <v>83.0</v>
      </c>
      <c r="L686" s="16">
        <v>68.8</v>
      </c>
      <c r="M686" s="16">
        <v>284.0</v>
      </c>
      <c r="N686" s="16"/>
      <c r="O686" s="16"/>
      <c r="P686" s="16"/>
      <c r="Q686" s="19">
        <f t="shared" si="2"/>
        <v>84.52587379</v>
      </c>
      <c r="R686" s="20" t="str">
        <f t="shared" si="167"/>
        <v>#REF!</v>
      </c>
      <c r="S686" s="21">
        <f t="shared" si="4"/>
        <v>1.05</v>
      </c>
      <c r="T686" s="13" t="str">
        <f t="shared" si="168"/>
        <v>#N/A</v>
      </c>
      <c r="U686" s="8"/>
      <c r="V686" s="8">
        <f t="shared" si="175"/>
        <v>104.8524401</v>
      </c>
      <c r="W686" s="13" t="str">
        <f t="shared" si="170"/>
        <v>#REF!</v>
      </c>
      <c r="X686" s="39">
        <f t="shared" si="176"/>
        <v>0</v>
      </c>
      <c r="Y686" s="40">
        <f t="shared" si="177"/>
        <v>0</v>
      </c>
      <c r="Z686" s="40">
        <f t="shared" si="178"/>
        <v>90.84775008</v>
      </c>
      <c r="AA686" s="15"/>
      <c r="AB686" s="15"/>
      <c r="AC686" s="15"/>
      <c r="AD686" s="15"/>
      <c r="AE686" s="15"/>
      <c r="AF686" s="15"/>
      <c r="AG686" s="15"/>
    </row>
    <row r="687" ht="15.75" hidden="1" customHeight="1">
      <c r="A687" s="7" t="s">
        <v>917</v>
      </c>
      <c r="B687" s="7" t="s">
        <v>918</v>
      </c>
      <c r="C687" s="7"/>
      <c r="D687" s="7">
        <v>1967.0</v>
      </c>
      <c r="E687" s="7"/>
      <c r="F687" s="7" t="b">
        <v>0</v>
      </c>
      <c r="G687" s="7" t="b">
        <v>1</v>
      </c>
      <c r="H687" s="7" t="b">
        <v>0</v>
      </c>
      <c r="I687" s="7" t="b">
        <v>0</v>
      </c>
      <c r="J687" s="7"/>
      <c r="K687" s="7">
        <v>104.0</v>
      </c>
      <c r="L687" s="7">
        <v>102.3</v>
      </c>
      <c r="M687" s="7">
        <v>256.0</v>
      </c>
      <c r="N687" s="7"/>
      <c r="O687" s="7"/>
      <c r="P687" s="7"/>
      <c r="Q687" s="10">
        <f t="shared" si="2"/>
        <v>100.3047772</v>
      </c>
      <c r="R687" s="11" t="str">
        <f t="shared" si="167"/>
        <v>#REF!</v>
      </c>
      <c r="S687" s="12">
        <f t="shared" si="4"/>
        <v>1.05</v>
      </c>
      <c r="T687" s="13" t="str">
        <f t="shared" si="168"/>
        <v>#N/A</v>
      </c>
      <c r="U687" s="8"/>
      <c r="V687" s="8">
        <f t="shared" si="175"/>
        <v>120.1161213</v>
      </c>
      <c r="W687" s="13" t="str">
        <f t="shared" si="170"/>
        <v>#REF!</v>
      </c>
      <c r="X687" s="39">
        <f t="shared" si="176"/>
        <v>0</v>
      </c>
      <c r="Y687" s="40">
        <f t="shared" si="177"/>
        <v>0</v>
      </c>
      <c r="Z687" s="40">
        <f t="shared" si="178"/>
        <v>98.19796718</v>
      </c>
      <c r="AA687" s="15"/>
      <c r="AB687" s="15"/>
      <c r="AC687" s="15"/>
      <c r="AD687" s="15"/>
      <c r="AE687" s="15"/>
      <c r="AF687" s="15"/>
      <c r="AG687" s="15"/>
    </row>
    <row r="688" ht="15.75" hidden="1" customHeight="1">
      <c r="A688" s="7" t="s">
        <v>919</v>
      </c>
      <c r="B688" s="7" t="s">
        <v>920</v>
      </c>
      <c r="C688" s="7"/>
      <c r="D688" s="7">
        <v>1967.0</v>
      </c>
      <c r="E688" s="7"/>
      <c r="F688" s="7" t="b">
        <v>0</v>
      </c>
      <c r="G688" s="7" t="b">
        <v>1</v>
      </c>
      <c r="H688" s="7" t="b">
        <v>0</v>
      </c>
      <c r="I688" s="7" t="b">
        <v>0</v>
      </c>
      <c r="J688" s="7"/>
      <c r="K688" s="7">
        <v>5.58</v>
      </c>
      <c r="L688" s="7">
        <v>9.61</v>
      </c>
      <c r="M688" s="7">
        <v>286.6</v>
      </c>
      <c r="N688" s="7">
        <v>5.67</v>
      </c>
      <c r="O688" s="7"/>
      <c r="P688" s="7"/>
      <c r="Q688" s="10">
        <f t="shared" si="2"/>
        <v>175.6177917</v>
      </c>
      <c r="R688" s="11" t="str">
        <f t="shared" si="167"/>
        <v>#REF!</v>
      </c>
      <c r="S688" s="12">
        <f t="shared" si="4"/>
        <v>1.05</v>
      </c>
      <c r="T688" s="13" t="str">
        <f t="shared" si="168"/>
        <v>#N/A</v>
      </c>
      <c r="U688" s="8"/>
      <c r="V688" s="8">
        <f t="shared" si="175"/>
        <v>21.20574651</v>
      </c>
      <c r="W688" s="13" t="str">
        <f t="shared" si="170"/>
        <v>#REF!</v>
      </c>
      <c r="X688" s="39">
        <f t="shared" si="176"/>
        <v>2.45850108</v>
      </c>
      <c r="Y688" s="40">
        <f t="shared" si="177"/>
        <v>40.02413872</v>
      </c>
      <c r="Z688" s="40">
        <f t="shared" si="178"/>
        <v>16.27989471</v>
      </c>
      <c r="AA688" s="15"/>
      <c r="AB688" s="15"/>
      <c r="AC688" s="15"/>
      <c r="AD688" s="15"/>
      <c r="AE688" s="15"/>
      <c r="AF688" s="15"/>
      <c r="AG688" s="15"/>
    </row>
    <row r="689" ht="15.75" hidden="1" customHeight="1">
      <c r="A689" s="16" t="s">
        <v>921</v>
      </c>
      <c r="B689" s="16" t="s">
        <v>921</v>
      </c>
      <c r="C689" s="16"/>
      <c r="D689" s="16">
        <v>1967.0</v>
      </c>
      <c r="E689" s="16"/>
      <c r="F689" s="16" t="b">
        <v>0</v>
      </c>
      <c r="G689" s="16" t="b">
        <v>1</v>
      </c>
      <c r="H689" s="16" t="b">
        <v>0</v>
      </c>
      <c r="I689" s="16" t="b">
        <v>0</v>
      </c>
      <c r="J689" s="16"/>
      <c r="K689" s="16">
        <v>39757.0</v>
      </c>
      <c r="L689" s="16">
        <v>6227.0</v>
      </c>
      <c r="M689" s="16">
        <v>265.0</v>
      </c>
      <c r="N689" s="16">
        <v>5.5</v>
      </c>
      <c r="O689" s="16"/>
      <c r="P689" s="16"/>
      <c r="Q689" s="19">
        <f t="shared" si="2"/>
        <v>15.97145871</v>
      </c>
      <c r="R689" s="20" t="str">
        <f t="shared" si="167"/>
        <v>#REF!</v>
      </c>
      <c r="S689" s="21">
        <f t="shared" si="4"/>
        <v>1.05</v>
      </c>
      <c r="T689" s="13" t="str">
        <f t="shared" si="168"/>
        <v>#N/A</v>
      </c>
      <c r="U689" s="8"/>
      <c r="V689" s="8">
        <f t="shared" si="175"/>
        <v>4766.179067</v>
      </c>
      <c r="W689" s="13" t="str">
        <f t="shared" si="170"/>
        <v>#REF!</v>
      </c>
      <c r="X689" s="39">
        <f t="shared" si="176"/>
        <v>0.5208190836</v>
      </c>
      <c r="Y689" s="40">
        <f t="shared" si="177"/>
        <v>2336.249128</v>
      </c>
      <c r="Z689" s="40">
        <f t="shared" si="178"/>
        <v>4485.721054</v>
      </c>
      <c r="AA689" s="15"/>
      <c r="AB689" s="15"/>
      <c r="AC689" s="15"/>
      <c r="AD689" s="15"/>
      <c r="AE689" s="15"/>
      <c r="AF689" s="15"/>
      <c r="AG689" s="15"/>
    </row>
    <row r="690" ht="15.75" hidden="1" customHeight="1">
      <c r="A690" s="16" t="s">
        <v>922</v>
      </c>
      <c r="B690" s="16" t="s">
        <v>922</v>
      </c>
      <c r="C690" s="16"/>
      <c r="D690" s="16">
        <v>1967.0</v>
      </c>
      <c r="E690" s="16"/>
      <c r="F690" s="16" t="b">
        <v>0</v>
      </c>
      <c r="G690" s="16" t="b">
        <v>1</v>
      </c>
      <c r="H690" s="16" t="b">
        <v>0</v>
      </c>
      <c r="I690" s="16" t="b">
        <v>0</v>
      </c>
      <c r="J690" s="16"/>
      <c r="K690" s="16">
        <v>35.0</v>
      </c>
      <c r="L690" s="16">
        <v>34.35</v>
      </c>
      <c r="M690" s="16">
        <v>278.0</v>
      </c>
      <c r="N690" s="16"/>
      <c r="O690" s="16"/>
      <c r="P690" s="16"/>
      <c r="Q690" s="19">
        <f t="shared" si="2"/>
        <v>100.0778623</v>
      </c>
      <c r="R690" s="20" t="str">
        <f t="shared" si="167"/>
        <v>#REF!</v>
      </c>
      <c r="S690" s="21">
        <f t="shared" si="4"/>
        <v>1.05</v>
      </c>
      <c r="T690" s="13" t="str">
        <f t="shared" si="168"/>
        <v>#N/A</v>
      </c>
      <c r="U690" s="8"/>
      <c r="V690" s="8">
        <f t="shared" si="175"/>
        <v>62.51882166</v>
      </c>
      <c r="W690" s="13" t="str">
        <f t="shared" si="170"/>
        <v>#REF!</v>
      </c>
      <c r="X690" s="39">
        <f t="shared" si="176"/>
        <v>0</v>
      </c>
      <c r="Y690" s="40">
        <f t="shared" si="177"/>
        <v>0</v>
      </c>
      <c r="Z690" s="40">
        <f t="shared" si="178"/>
        <v>51.61274539</v>
      </c>
      <c r="AA690" s="15"/>
      <c r="AB690" s="15"/>
      <c r="AC690" s="15"/>
      <c r="AD690" s="15"/>
      <c r="AE690" s="15"/>
      <c r="AF690" s="15"/>
      <c r="AG690" s="15"/>
    </row>
    <row r="691" ht="15.75" hidden="1" customHeight="1">
      <c r="A691" s="7" t="s">
        <v>923</v>
      </c>
      <c r="B691" s="7" t="s">
        <v>924</v>
      </c>
      <c r="C691" s="7"/>
      <c r="D691" s="7">
        <v>1968.0</v>
      </c>
      <c r="E691" s="7"/>
      <c r="F691" s="7" t="b">
        <v>0</v>
      </c>
      <c r="G691" s="7" t="b">
        <v>1</v>
      </c>
      <c r="H691" s="7" t="b">
        <v>0</v>
      </c>
      <c r="I691" s="7" t="b">
        <v>0</v>
      </c>
      <c r="J691" s="7"/>
      <c r="K691" s="7">
        <v>8.53</v>
      </c>
      <c r="L691" s="7">
        <v>12.343</v>
      </c>
      <c r="M691" s="7">
        <v>286.2</v>
      </c>
      <c r="N691" s="7">
        <v>5.54</v>
      </c>
      <c r="O691" s="7"/>
      <c r="P691" s="7"/>
      <c r="Q691" s="10">
        <f t="shared" si="2"/>
        <v>147.5540115</v>
      </c>
      <c r="R691" s="11" t="str">
        <f t="shared" si="167"/>
        <v>#REF!</v>
      </c>
      <c r="S691" s="12">
        <f t="shared" si="4"/>
        <v>1.05</v>
      </c>
      <c r="T691" s="13" t="str">
        <f t="shared" si="168"/>
        <v>#N/A</v>
      </c>
      <c r="U691" s="8"/>
      <c r="V691" s="8">
        <f t="shared" si="175"/>
        <v>27.16229372</v>
      </c>
      <c r="W691" s="13" t="str">
        <f t="shared" si="170"/>
        <v>#REF!</v>
      </c>
      <c r="X691" s="39">
        <f t="shared" si="176"/>
        <v>2.256482256</v>
      </c>
      <c r="Y691" s="40">
        <f t="shared" si="177"/>
        <v>48.13634406</v>
      </c>
      <c r="Z691" s="40">
        <f t="shared" si="178"/>
        <v>21.33247179</v>
      </c>
      <c r="AA691" s="15"/>
      <c r="AB691" s="15"/>
      <c r="AC691" s="15"/>
      <c r="AD691" s="15"/>
      <c r="AE691" s="15"/>
      <c r="AF691" s="15"/>
      <c r="AG691" s="15"/>
    </row>
    <row r="692" ht="15.75" hidden="1" customHeight="1">
      <c r="A692" s="7" t="s">
        <v>925</v>
      </c>
      <c r="B692" s="7" t="s">
        <v>912</v>
      </c>
      <c r="C692" s="7"/>
      <c r="D692" s="7">
        <v>1969.0</v>
      </c>
      <c r="E692" s="7"/>
      <c r="F692" s="7" t="b">
        <v>0</v>
      </c>
      <c r="G692" s="7" t="b">
        <v>1</v>
      </c>
      <c r="H692" s="7" t="b">
        <v>0</v>
      </c>
      <c r="I692" s="7" t="b">
        <v>0</v>
      </c>
      <c r="J692" s="7"/>
      <c r="K692" s="7">
        <v>89174.0</v>
      </c>
      <c r="L692" s="7">
        <v>26708.0</v>
      </c>
      <c r="M692" s="7">
        <v>263.0</v>
      </c>
      <c r="N692" s="7">
        <v>4.14</v>
      </c>
      <c r="O692" s="7"/>
      <c r="P692" s="7"/>
      <c r="Q692" s="10">
        <f t="shared" si="2"/>
        <v>30.54094303</v>
      </c>
      <c r="R692" s="11" t="str">
        <f t="shared" si="167"/>
        <v>#REF!</v>
      </c>
      <c r="S692" s="12">
        <f t="shared" si="4"/>
        <v>1.05</v>
      </c>
      <c r="T692" s="13" t="str">
        <f t="shared" si="168"/>
        <v>#N/A</v>
      </c>
      <c r="U692" s="8"/>
      <c r="V692" s="8">
        <f t="shared" si="175"/>
        <v>7944.016789</v>
      </c>
      <c r="W692" s="13" t="str">
        <f t="shared" si="170"/>
        <v>#REF!</v>
      </c>
      <c r="X692" s="39">
        <f t="shared" si="176"/>
        <v>0.3974156707</v>
      </c>
      <c r="Y692" s="40">
        <f t="shared" si="177"/>
        <v>2972.704958</v>
      </c>
      <c r="Z692" s="40">
        <f t="shared" si="178"/>
        <v>7480.089934</v>
      </c>
      <c r="AA692" s="15"/>
      <c r="AB692" s="15"/>
      <c r="AC692" s="15"/>
      <c r="AD692" s="15"/>
      <c r="AE692" s="15"/>
      <c r="AF692" s="15"/>
      <c r="AG692" s="15"/>
    </row>
    <row r="693" ht="15.75" hidden="1" customHeight="1">
      <c r="A693" s="16" t="s">
        <v>926</v>
      </c>
      <c r="B693" s="16" t="s">
        <v>927</v>
      </c>
      <c r="C693" s="16"/>
      <c r="D693" s="16">
        <v>1969.0</v>
      </c>
      <c r="E693" s="16"/>
      <c r="F693" s="16" t="b">
        <v>0</v>
      </c>
      <c r="G693" s="16" t="b">
        <v>1</v>
      </c>
      <c r="H693" s="16" t="b">
        <v>0</v>
      </c>
      <c r="I693" s="16" t="b">
        <v>0</v>
      </c>
      <c r="J693" s="16"/>
      <c r="K693" s="16">
        <v>12.02</v>
      </c>
      <c r="L693" s="16">
        <v>17.4</v>
      </c>
      <c r="M693" s="16">
        <v>286.7</v>
      </c>
      <c r="N693" s="16">
        <v>4.62</v>
      </c>
      <c r="O693" s="16"/>
      <c r="P693" s="16"/>
      <c r="Q693" s="19">
        <f t="shared" si="2"/>
        <v>147.6128291</v>
      </c>
      <c r="R693" s="20" t="str">
        <f t="shared" si="167"/>
        <v>#REF!</v>
      </c>
      <c r="S693" s="21">
        <f t="shared" si="4"/>
        <v>1.05</v>
      </c>
      <c r="T693" s="13" t="str">
        <f t="shared" si="168"/>
        <v>#N/A</v>
      </c>
      <c r="U693" s="8"/>
      <c r="V693" s="8">
        <f t="shared" si="175"/>
        <v>33.21326885</v>
      </c>
      <c r="W693" s="13" t="str">
        <f t="shared" si="170"/>
        <v>#REF!</v>
      </c>
      <c r="X693" s="39">
        <f t="shared" si="176"/>
        <v>1.949868458</v>
      </c>
      <c r="Y693" s="40">
        <f t="shared" si="177"/>
        <v>51.84578093</v>
      </c>
      <c r="Z693" s="40">
        <f t="shared" si="178"/>
        <v>26.58937361</v>
      </c>
      <c r="AA693" s="15"/>
      <c r="AB693" s="15"/>
      <c r="AC693" s="15"/>
      <c r="AD693" s="15"/>
      <c r="AE693" s="15"/>
      <c r="AF693" s="15"/>
      <c r="AG693" s="15"/>
    </row>
    <row r="694" ht="15.75" hidden="1" customHeight="1">
      <c r="A694" s="7" t="s">
        <v>928</v>
      </c>
      <c r="B694" s="7" t="s">
        <v>928</v>
      </c>
      <c r="C694" s="7"/>
      <c r="D694" s="7">
        <v>1970.0</v>
      </c>
      <c r="E694" s="7"/>
      <c r="F694" s="7" t="b">
        <v>0</v>
      </c>
      <c r="G694" s="7" t="b">
        <v>1</v>
      </c>
      <c r="H694" s="7" t="b">
        <v>0</v>
      </c>
      <c r="I694" s="7" t="b">
        <v>0</v>
      </c>
      <c r="J694" s="7"/>
      <c r="K694" s="7">
        <v>67.0</v>
      </c>
      <c r="L694" s="7">
        <v>50.0</v>
      </c>
      <c r="M694" s="7">
        <v>275.0</v>
      </c>
      <c r="N694" s="7">
        <v>5.8</v>
      </c>
      <c r="O694" s="7"/>
      <c r="P694" s="7"/>
      <c r="Q694" s="10">
        <f t="shared" si="2"/>
        <v>76.09822463</v>
      </c>
      <c r="R694" s="11" t="str">
        <f t="shared" si="167"/>
        <v>#REF!</v>
      </c>
      <c r="S694" s="12">
        <f t="shared" si="4"/>
        <v>1.05</v>
      </c>
      <c r="T694" s="13" t="str">
        <f t="shared" si="168"/>
        <v>#N/A</v>
      </c>
      <c r="U694" s="8"/>
      <c r="V694" s="8">
        <f t="shared" si="175"/>
        <v>92.18842102</v>
      </c>
      <c r="W694" s="13" t="str">
        <f t="shared" si="170"/>
        <v>#REF!</v>
      </c>
      <c r="X694" s="39">
        <f t="shared" si="176"/>
        <v>1.634726477</v>
      </c>
      <c r="Y694" s="40">
        <f t="shared" si="177"/>
        <v>126.8800505</v>
      </c>
      <c r="Z694" s="40">
        <f t="shared" si="178"/>
        <v>77.61546185</v>
      </c>
      <c r="AA694" s="15"/>
      <c r="AB694" s="15"/>
      <c r="AC694" s="15"/>
      <c r="AD694" s="15"/>
      <c r="AE694" s="15"/>
      <c r="AF694" s="15"/>
      <c r="AG694" s="15"/>
    </row>
    <row r="695" ht="15.75" hidden="1" customHeight="1">
      <c r="A695" s="7" t="s">
        <v>929</v>
      </c>
      <c r="B695" s="7" t="s">
        <v>929</v>
      </c>
      <c r="C695" s="7"/>
      <c r="D695" s="7">
        <v>1970.0</v>
      </c>
      <c r="E695" s="7"/>
      <c r="F695" s="7" t="b">
        <v>0</v>
      </c>
      <c r="G695" s="7" t="b">
        <v>1</v>
      </c>
      <c r="H695" s="7" t="b">
        <v>0</v>
      </c>
      <c r="I695" s="7" t="b">
        <v>0</v>
      </c>
      <c r="J695" s="7"/>
      <c r="K695" s="7">
        <v>40782.0</v>
      </c>
      <c r="L695" s="7">
        <v>7450.0</v>
      </c>
      <c r="M695" s="7">
        <v>269.5</v>
      </c>
      <c r="N695" s="7">
        <v>5.5</v>
      </c>
      <c r="O695" s="7"/>
      <c r="P695" s="7"/>
      <c r="Q695" s="10">
        <f t="shared" si="2"/>
        <v>18.6280363</v>
      </c>
      <c r="R695" s="11" t="str">
        <f t="shared" si="167"/>
        <v>#REF!</v>
      </c>
      <c r="S695" s="12">
        <f t="shared" si="4"/>
        <v>1.05</v>
      </c>
      <c r="T695" s="13" t="str">
        <f t="shared" si="168"/>
        <v>#N/A</v>
      </c>
      <c r="U695" s="8"/>
      <c r="V695" s="8">
        <f t="shared" si="175"/>
        <v>4843.386689</v>
      </c>
      <c r="W695" s="13" t="str">
        <f t="shared" si="170"/>
        <v>#REF!</v>
      </c>
      <c r="X695" s="39">
        <f t="shared" si="176"/>
        <v>0.512902858</v>
      </c>
      <c r="Y695" s="40">
        <f t="shared" si="177"/>
        <v>2363.765627</v>
      </c>
      <c r="Z695" s="40">
        <f t="shared" si="178"/>
        <v>4608.602955</v>
      </c>
      <c r="AA695" s="15"/>
      <c r="AB695" s="15"/>
      <c r="AC695" s="15"/>
      <c r="AD695" s="15"/>
      <c r="AE695" s="15"/>
      <c r="AF695" s="15"/>
      <c r="AG695" s="15"/>
    </row>
    <row r="696" ht="15.75" hidden="1" customHeight="1">
      <c r="A696" s="7" t="s">
        <v>930</v>
      </c>
      <c r="B696" s="7" t="s">
        <v>931</v>
      </c>
      <c r="C696" s="7"/>
      <c r="D696" s="7">
        <v>1972.0</v>
      </c>
      <c r="E696" s="7"/>
      <c r="F696" s="7" t="b">
        <v>0</v>
      </c>
      <c r="G696" s="7" t="b">
        <v>1</v>
      </c>
      <c r="H696" s="7" t="b">
        <v>0</v>
      </c>
      <c r="I696" s="7" t="b">
        <v>0</v>
      </c>
      <c r="J696" s="7"/>
      <c r="K696" s="7">
        <v>156126.0</v>
      </c>
      <c r="L696" s="7">
        <v>35391.0</v>
      </c>
      <c r="M696" s="7">
        <v>263.0</v>
      </c>
      <c r="N696" s="7">
        <v>4.15</v>
      </c>
      <c r="O696" s="7">
        <v>1.0</v>
      </c>
      <c r="P696" s="7">
        <v>0.99712</v>
      </c>
      <c r="Q696" s="10">
        <f t="shared" si="2"/>
        <v>23.11516108</v>
      </c>
      <c r="R696" s="11" t="str">
        <f t="shared" si="167"/>
        <v>#REF!</v>
      </c>
      <c r="S696" s="12">
        <f t="shared" si="4"/>
        <v>1.05</v>
      </c>
      <c r="T696" s="13" t="str">
        <f t="shared" si="168"/>
        <v>#N/A</v>
      </c>
      <c r="U696" s="8"/>
      <c r="V696" s="8">
        <f t="shared" si="175"/>
        <v>11332.38035</v>
      </c>
      <c r="W696" s="13" t="str">
        <f t="shared" si="170"/>
        <v>#REF!</v>
      </c>
      <c r="X696" s="39">
        <f t="shared" si="176"/>
        <v>0.3599047142</v>
      </c>
      <c r="Y696" s="40">
        <f t="shared" si="177"/>
        <v>3850.550187</v>
      </c>
      <c r="Z696" s="40">
        <f t="shared" si="178"/>
        <v>10698.80453</v>
      </c>
      <c r="AA696" s="15"/>
      <c r="AB696" s="15"/>
      <c r="AC696" s="15"/>
      <c r="AD696" s="15"/>
      <c r="AE696" s="15"/>
      <c r="AF696" s="15"/>
      <c r="AG696" s="15"/>
    </row>
    <row r="697" ht="15.75" hidden="1" customHeight="1">
      <c r="A697" s="7" t="s">
        <v>932</v>
      </c>
      <c r="B697" s="7" t="s">
        <v>932</v>
      </c>
      <c r="C697" s="7"/>
      <c r="D697" s="7">
        <v>1972.0</v>
      </c>
      <c r="E697" s="7"/>
      <c r="F697" s="7" t="b">
        <v>0</v>
      </c>
      <c r="G697" s="7" t="b">
        <v>1</v>
      </c>
      <c r="H697" s="7" t="b">
        <v>0</v>
      </c>
      <c r="I697" s="7" t="b">
        <v>0</v>
      </c>
      <c r="J697" s="7"/>
      <c r="K697" s="7">
        <v>1391.121</v>
      </c>
      <c r="L697" s="7">
        <v>530.25896</v>
      </c>
      <c r="M697" s="7">
        <v>260.289</v>
      </c>
      <c r="N697" s="7">
        <v>6.69</v>
      </c>
      <c r="O697" s="7"/>
      <c r="P697" s="7"/>
      <c r="Q697" s="10">
        <f t="shared" si="2"/>
        <v>38.86891629</v>
      </c>
      <c r="R697" s="11" t="str">
        <f t="shared" si="167"/>
        <v>#REF!</v>
      </c>
      <c r="S697" s="12">
        <f t="shared" si="4"/>
        <v>1.05</v>
      </c>
      <c r="T697" s="13" t="str">
        <f t="shared" si="168"/>
        <v>#N/A</v>
      </c>
      <c r="U697" s="8"/>
      <c r="V697" s="8">
        <f t="shared" si="175"/>
        <v>585.9479687</v>
      </c>
      <c r="W697" s="13" t="str">
        <f t="shared" si="170"/>
        <v>#REF!</v>
      </c>
      <c r="X697" s="39">
        <f t="shared" si="176"/>
        <v>1.050573957</v>
      </c>
      <c r="Y697" s="40">
        <f t="shared" si="177"/>
        <v>546.8471182</v>
      </c>
      <c r="Z697" s="40">
        <f t="shared" si="178"/>
        <v>520.5222482</v>
      </c>
      <c r="AA697" s="15"/>
      <c r="AB697" s="15"/>
      <c r="AC697" s="15"/>
      <c r="AD697" s="15"/>
      <c r="AE697" s="15"/>
      <c r="AF697" s="15"/>
      <c r="AG697" s="15"/>
    </row>
    <row r="698" ht="15.75" hidden="1" customHeight="1">
      <c r="A698" s="16" t="s">
        <v>933</v>
      </c>
      <c r="B698" s="16" t="s">
        <v>933</v>
      </c>
      <c r="C698" s="16"/>
      <c r="D698" s="16">
        <v>1974.0</v>
      </c>
      <c r="E698" s="16"/>
      <c r="F698" s="16" t="b">
        <v>0</v>
      </c>
      <c r="G698" s="16" t="b">
        <v>1</v>
      </c>
      <c r="H698" s="16" t="b">
        <v>0</v>
      </c>
      <c r="I698" s="16" t="b">
        <v>0</v>
      </c>
      <c r="J698" s="16"/>
      <c r="K698" s="16">
        <v>11.1</v>
      </c>
      <c r="L698" s="16">
        <v>27.491</v>
      </c>
      <c r="M698" s="16">
        <v>271.03</v>
      </c>
      <c r="N698" s="16"/>
      <c r="O698" s="16"/>
      <c r="P698" s="16"/>
      <c r="Q698" s="19">
        <f t="shared" si="2"/>
        <v>252.5497147</v>
      </c>
      <c r="R698" s="20" t="str">
        <f t="shared" si="167"/>
        <v>#REF!</v>
      </c>
      <c r="S698" s="21">
        <f t="shared" si="4"/>
        <v>1.05</v>
      </c>
      <c r="T698" s="13" t="str">
        <f t="shared" si="168"/>
        <v>#N/A</v>
      </c>
      <c r="U698" s="8"/>
      <c r="V698" s="8">
        <f t="shared" si="175"/>
        <v>31.69549976</v>
      </c>
      <c r="W698" s="13" t="str">
        <f t="shared" si="170"/>
        <v>#REF!</v>
      </c>
      <c r="X698" s="39">
        <f t="shared" si="176"/>
        <v>0</v>
      </c>
      <c r="Y698" s="40">
        <f t="shared" si="177"/>
        <v>0</v>
      </c>
      <c r="Z698" s="40">
        <f t="shared" si="178"/>
        <v>24.37880062</v>
      </c>
      <c r="AA698" s="15"/>
      <c r="AB698" s="15"/>
      <c r="AC698" s="15"/>
      <c r="AD698" s="15"/>
      <c r="AE698" s="15"/>
      <c r="AF698" s="15"/>
      <c r="AG698" s="15"/>
    </row>
    <row r="699" ht="15.75" hidden="1" customHeight="1">
      <c r="A699" s="7" t="s">
        <v>934</v>
      </c>
      <c r="B699" s="7" t="s">
        <v>935</v>
      </c>
      <c r="C699" s="7"/>
      <c r="D699" s="7">
        <v>1974.0</v>
      </c>
      <c r="E699" s="7"/>
      <c r="F699" s="7" t="b">
        <v>0</v>
      </c>
      <c r="G699" s="7" t="b">
        <v>1</v>
      </c>
      <c r="H699" s="7" t="b">
        <v>0</v>
      </c>
      <c r="I699" s="7" t="b">
        <v>0</v>
      </c>
      <c r="J699" s="7"/>
      <c r="K699" s="7">
        <v>26.58</v>
      </c>
      <c r="L699" s="7">
        <v>28.9</v>
      </c>
      <c r="M699" s="7">
        <v>286.5</v>
      </c>
      <c r="N699" s="7">
        <v>5.56</v>
      </c>
      <c r="O699" s="7"/>
      <c r="P699" s="7"/>
      <c r="Q699" s="10">
        <f t="shared" si="2"/>
        <v>110.8720785</v>
      </c>
      <c r="R699" s="11" t="str">
        <f t="shared" si="167"/>
        <v>#REF!</v>
      </c>
      <c r="S699" s="12">
        <f t="shared" si="4"/>
        <v>1.05</v>
      </c>
      <c r="T699" s="13" t="str">
        <f t="shared" si="168"/>
        <v>#N/A</v>
      </c>
      <c r="U699" s="8"/>
      <c r="V699" s="8">
        <f t="shared" si="175"/>
        <v>53.07941741</v>
      </c>
      <c r="W699" s="13" t="str">
        <f t="shared" si="170"/>
        <v>#REF!</v>
      </c>
      <c r="X699" s="39">
        <f t="shared" si="176"/>
        <v>1.84291637</v>
      </c>
      <c r="Y699" s="40">
        <f t="shared" si="177"/>
        <v>81.33018307</v>
      </c>
      <c r="Z699" s="40">
        <f t="shared" si="178"/>
        <v>44.13123915</v>
      </c>
      <c r="AA699" s="15"/>
      <c r="AB699" s="15"/>
      <c r="AC699" s="15"/>
      <c r="AD699" s="15"/>
      <c r="AE699" s="15"/>
      <c r="AF699" s="15"/>
      <c r="AG699" s="15"/>
    </row>
    <row r="700" ht="15.75" hidden="1" customHeight="1">
      <c r="A700" s="16" t="s">
        <v>936</v>
      </c>
      <c r="B700" s="16" t="s">
        <v>936</v>
      </c>
      <c r="C700" s="16"/>
      <c r="D700" s="16">
        <v>1975.0</v>
      </c>
      <c r="E700" s="16"/>
      <c r="F700" s="16" t="b">
        <v>0</v>
      </c>
      <c r="G700" s="16" t="b">
        <v>1</v>
      </c>
      <c r="H700" s="16" t="b">
        <v>0</v>
      </c>
      <c r="I700" s="16" t="b">
        <v>0</v>
      </c>
      <c r="J700" s="16"/>
      <c r="K700" s="16">
        <v>1269.0</v>
      </c>
      <c r="L700" s="16">
        <v>460.0</v>
      </c>
      <c r="M700" s="16">
        <v>261.0</v>
      </c>
      <c r="N700" s="16"/>
      <c r="O700" s="16"/>
      <c r="P700" s="16"/>
      <c r="Q700" s="19">
        <f t="shared" si="2"/>
        <v>36.96370816</v>
      </c>
      <c r="R700" s="20" t="str">
        <f t="shared" si="167"/>
        <v>#REF!</v>
      </c>
      <c r="S700" s="21">
        <f t="shared" si="4"/>
        <v>1.05</v>
      </c>
      <c r="T700" s="13" t="str">
        <f t="shared" si="168"/>
        <v>#N/A</v>
      </c>
      <c r="U700" s="8"/>
      <c r="V700" s="8">
        <f t="shared" si="175"/>
        <v>553.6094548</v>
      </c>
      <c r="W700" s="13" t="str">
        <f t="shared" si="170"/>
        <v>#REF!</v>
      </c>
      <c r="X700" s="39">
        <f t="shared" si="176"/>
        <v>0</v>
      </c>
      <c r="Y700" s="40">
        <f t="shared" si="177"/>
        <v>0</v>
      </c>
      <c r="Z700" s="40">
        <f t="shared" si="178"/>
        <v>491.6976317</v>
      </c>
      <c r="AA700" s="15"/>
      <c r="AB700" s="15"/>
      <c r="AC700" s="15"/>
      <c r="AD700" s="15"/>
      <c r="AE700" s="15"/>
      <c r="AF700" s="15"/>
      <c r="AG700" s="15"/>
    </row>
    <row r="701" ht="15.75" hidden="1" customHeight="1">
      <c r="A701" s="7" t="s">
        <v>937</v>
      </c>
      <c r="B701" s="7" t="s">
        <v>937</v>
      </c>
      <c r="C701" s="7"/>
      <c r="D701" s="7">
        <v>1975.0</v>
      </c>
      <c r="E701" s="7"/>
      <c r="F701" s="7" t="b">
        <v>0</v>
      </c>
      <c r="G701" s="7" t="b">
        <v>1</v>
      </c>
      <c r="H701" s="7" t="b">
        <v>0</v>
      </c>
      <c r="I701" s="7" t="b">
        <v>0</v>
      </c>
      <c r="J701" s="7"/>
      <c r="K701" s="7">
        <v>745.0</v>
      </c>
      <c r="L701" s="7">
        <v>180.0</v>
      </c>
      <c r="M701" s="7">
        <v>274.0</v>
      </c>
      <c r="N701" s="7">
        <v>5.0</v>
      </c>
      <c r="O701" s="7"/>
      <c r="P701" s="7"/>
      <c r="Q701" s="10">
        <f t="shared" si="2"/>
        <v>24.63743863</v>
      </c>
      <c r="R701" s="11" t="str">
        <f t="shared" si="167"/>
        <v>#REF!</v>
      </c>
      <c r="S701" s="12">
        <f t="shared" si="4"/>
        <v>1.05</v>
      </c>
      <c r="T701" s="13" t="str">
        <f t="shared" si="168"/>
        <v>#N/A</v>
      </c>
      <c r="U701" s="8"/>
      <c r="V701" s="8">
        <f t="shared" si="175"/>
        <v>398.7011115</v>
      </c>
      <c r="W701" s="13" t="str">
        <f t="shared" si="170"/>
        <v>#REF!</v>
      </c>
      <c r="X701" s="39">
        <f t="shared" si="176"/>
        <v>0.994390165</v>
      </c>
      <c r="Y701" s="40">
        <f t="shared" si="177"/>
        <v>358.8724702</v>
      </c>
      <c r="Z701" s="40">
        <f t="shared" si="178"/>
        <v>360.897043</v>
      </c>
      <c r="AA701" s="15"/>
      <c r="AB701" s="15"/>
      <c r="AC701" s="15"/>
      <c r="AD701" s="15"/>
      <c r="AE701" s="15"/>
      <c r="AF701" s="15"/>
      <c r="AG701" s="15"/>
    </row>
    <row r="702" ht="15.75" hidden="1" customHeight="1">
      <c r="A702" s="7" t="s">
        <v>938</v>
      </c>
      <c r="B702" s="7" t="s">
        <v>939</v>
      </c>
      <c r="C702" s="7"/>
      <c r="D702" s="7">
        <v>1976.0</v>
      </c>
      <c r="E702" s="7"/>
      <c r="F702" s="7" t="b">
        <v>0</v>
      </c>
      <c r="G702" s="7" t="b">
        <v>1</v>
      </c>
      <c r="H702" s="7" t="b">
        <v>0</v>
      </c>
      <c r="I702" s="7" t="b">
        <v>0</v>
      </c>
      <c r="J702" s="7"/>
      <c r="K702" s="7">
        <v>24.31</v>
      </c>
      <c r="L702" s="7">
        <v>28.2</v>
      </c>
      <c r="M702" s="7">
        <v>287.9</v>
      </c>
      <c r="N702" s="7">
        <v>3.88</v>
      </c>
      <c r="O702" s="7"/>
      <c r="P702" s="7"/>
      <c r="Q702" s="10">
        <f t="shared" si="2"/>
        <v>118.2887582</v>
      </c>
      <c r="R702" s="11" t="str">
        <f t="shared" si="167"/>
        <v>#REF!</v>
      </c>
      <c r="S702" s="12">
        <f t="shared" si="4"/>
        <v>1.05</v>
      </c>
      <c r="T702" s="13" t="str">
        <f t="shared" si="168"/>
        <v>#N/A</v>
      </c>
      <c r="U702" s="8"/>
      <c r="V702" s="8">
        <f t="shared" si="175"/>
        <v>50.34058312</v>
      </c>
      <c r="W702" s="13" t="str">
        <f t="shared" si="170"/>
        <v>#REF!</v>
      </c>
      <c r="X702" s="39">
        <f t="shared" si="176"/>
        <v>1.582052397</v>
      </c>
      <c r="Y702" s="40">
        <f t="shared" si="177"/>
        <v>66.15241926</v>
      </c>
      <c r="Z702" s="40">
        <f t="shared" si="178"/>
        <v>41.81430362</v>
      </c>
      <c r="AA702" s="15"/>
      <c r="AB702" s="15"/>
      <c r="AC702" s="15"/>
      <c r="AD702" s="15"/>
      <c r="AE702" s="15"/>
      <c r="AF702" s="15"/>
      <c r="AG702" s="15"/>
    </row>
    <row r="703" ht="15.75" hidden="1" customHeight="1">
      <c r="A703" s="7" t="s">
        <v>940</v>
      </c>
      <c r="B703" s="7" t="s">
        <v>940</v>
      </c>
      <c r="C703" s="7"/>
      <c r="D703" s="7">
        <v>1981.0</v>
      </c>
      <c r="E703" s="7"/>
      <c r="F703" s="7" t="b">
        <v>0</v>
      </c>
      <c r="G703" s="7" t="b">
        <v>1</v>
      </c>
      <c r="H703" s="7" t="b">
        <v>0</v>
      </c>
      <c r="I703" s="7" t="b">
        <v>0</v>
      </c>
      <c r="J703" s="7"/>
      <c r="K703" s="7">
        <v>87518.0</v>
      </c>
      <c r="L703" s="7">
        <v>14819.0</v>
      </c>
      <c r="M703" s="7">
        <v>268.0</v>
      </c>
      <c r="N703" s="7">
        <v>6.24</v>
      </c>
      <c r="O703" s="7"/>
      <c r="P703" s="7"/>
      <c r="Q703" s="10">
        <f t="shared" si="2"/>
        <v>17.2663618</v>
      </c>
      <c r="R703" s="11" t="str">
        <f t="shared" si="167"/>
        <v>#REF!</v>
      </c>
      <c r="S703" s="12">
        <f t="shared" si="4"/>
        <v>1.05</v>
      </c>
      <c r="T703" s="13" t="str">
        <f t="shared" si="168"/>
        <v>#N/A</v>
      </c>
      <c r="U703" s="8"/>
      <c r="V703" s="8">
        <f t="shared" si="175"/>
        <v>7850.235479</v>
      </c>
      <c r="W703" s="13" t="str">
        <f t="shared" si="170"/>
        <v>#REF!</v>
      </c>
      <c r="X703" s="39">
        <f t="shared" si="176"/>
        <v>0.475817649</v>
      </c>
      <c r="Y703" s="40">
        <f t="shared" si="177"/>
        <v>3559.358763</v>
      </c>
      <c r="Z703" s="40">
        <f t="shared" si="178"/>
        <v>7480.510172</v>
      </c>
      <c r="AA703" s="15"/>
      <c r="AB703" s="15"/>
      <c r="AC703" s="15"/>
      <c r="AD703" s="15"/>
      <c r="AE703" s="15"/>
      <c r="AF703" s="15"/>
      <c r="AG703" s="15"/>
    </row>
    <row r="704" ht="15.75" hidden="1" customHeight="1">
      <c r="A704" s="7" t="s">
        <v>941</v>
      </c>
      <c r="B704" s="7" t="s">
        <v>942</v>
      </c>
      <c r="C704" s="7"/>
      <c r="D704" s="7">
        <v>1984.0</v>
      </c>
      <c r="E704" s="7"/>
      <c r="F704" s="7" t="b">
        <v>0</v>
      </c>
      <c r="G704" s="7" t="b">
        <v>1</v>
      </c>
      <c r="H704" s="7" t="b">
        <v>0</v>
      </c>
      <c r="I704" s="7" t="b">
        <v>0</v>
      </c>
      <c r="J704" s="7"/>
      <c r="K704" s="7">
        <v>73.71</v>
      </c>
      <c r="L704" s="7">
        <v>54.8</v>
      </c>
      <c r="M704" s="7">
        <v>290.0</v>
      </c>
      <c r="N704" s="7">
        <v>3.72</v>
      </c>
      <c r="O704" s="7"/>
      <c r="P704" s="7"/>
      <c r="Q704" s="10">
        <f t="shared" si="2"/>
        <v>75.81121735</v>
      </c>
      <c r="R704" s="11" t="str">
        <f t="shared" si="167"/>
        <v>#REF!</v>
      </c>
      <c r="S704" s="12">
        <f t="shared" si="4"/>
        <v>1.05</v>
      </c>
      <c r="T704" s="13" t="str">
        <f t="shared" si="168"/>
        <v>#N/A</v>
      </c>
      <c r="U704" s="8"/>
      <c r="V704" s="8">
        <f t="shared" si="175"/>
        <v>97.62821716</v>
      </c>
      <c r="W704" s="13" t="str">
        <f t="shared" si="170"/>
        <v>#REF!</v>
      </c>
      <c r="X704" s="39">
        <f t="shared" si="176"/>
        <v>1.266366475</v>
      </c>
      <c r="Y704" s="40">
        <f t="shared" si="177"/>
        <v>108.0771685</v>
      </c>
      <c r="Z704" s="40">
        <f t="shared" si="178"/>
        <v>85.3443064</v>
      </c>
      <c r="AA704" s="15"/>
      <c r="AB704" s="15"/>
      <c r="AC704" s="15"/>
      <c r="AD704" s="15"/>
      <c r="AE704" s="15"/>
      <c r="AF704" s="15"/>
      <c r="AG704" s="15"/>
    </row>
    <row r="705" ht="15.75" hidden="1" customHeight="1">
      <c r="A705" s="16" t="s">
        <v>943</v>
      </c>
      <c r="B705" s="16" t="s">
        <v>944</v>
      </c>
      <c r="C705" s="16"/>
      <c r="D705" s="16">
        <v>1985.0</v>
      </c>
      <c r="E705" s="16"/>
      <c r="F705" s="16" t="b">
        <v>0</v>
      </c>
      <c r="G705" s="16" t="b">
        <v>1</v>
      </c>
      <c r="H705" s="16" t="b">
        <v>0</v>
      </c>
      <c r="I705" s="16" t="b">
        <v>0</v>
      </c>
      <c r="J705" s="16"/>
      <c r="K705" s="16">
        <v>116.93</v>
      </c>
      <c r="L705" s="16">
        <v>78.0</v>
      </c>
      <c r="M705" s="16">
        <v>292.1</v>
      </c>
      <c r="N705" s="16">
        <v>3.99</v>
      </c>
      <c r="O705" s="16"/>
      <c r="P705" s="16"/>
      <c r="Q705" s="19">
        <f t="shared" si="2"/>
        <v>68.02177746</v>
      </c>
      <c r="R705" s="20" t="str">
        <f t="shared" si="167"/>
        <v>#REF!</v>
      </c>
      <c r="S705" s="21">
        <f t="shared" si="4"/>
        <v>1.05</v>
      </c>
      <c r="T705" s="13" t="str">
        <f t="shared" si="168"/>
        <v>#N/A</v>
      </c>
      <c r="U705" s="8"/>
      <c r="V705" s="8">
        <f t="shared" si="175"/>
        <v>128.9210614</v>
      </c>
      <c r="W705" s="13" t="str">
        <f t="shared" si="170"/>
        <v>#REF!</v>
      </c>
      <c r="X705" s="39">
        <f t="shared" si="176"/>
        <v>1.198624976</v>
      </c>
      <c r="Y705" s="40">
        <f t="shared" si="177"/>
        <v>138.0115792</v>
      </c>
      <c r="Z705" s="40">
        <f t="shared" si="178"/>
        <v>115.1415847</v>
      </c>
      <c r="AA705" s="15"/>
      <c r="AB705" s="15"/>
      <c r="AC705" s="15"/>
      <c r="AD705" s="15"/>
      <c r="AE705" s="15"/>
      <c r="AF705" s="15"/>
      <c r="AG705" s="15"/>
    </row>
    <row r="706" ht="15.75" hidden="1" customHeight="1">
      <c r="A706" s="7" t="s">
        <v>945</v>
      </c>
      <c r="B706" s="7" t="s">
        <v>944</v>
      </c>
      <c r="C706" s="7"/>
      <c r="D706" s="7">
        <v>1985.0</v>
      </c>
      <c r="E706" s="7"/>
      <c r="F706" s="7" t="b">
        <v>0</v>
      </c>
      <c r="G706" s="7" t="b">
        <v>1</v>
      </c>
      <c r="H706" s="7" t="b">
        <v>0</v>
      </c>
      <c r="I706" s="7" t="b">
        <v>0</v>
      </c>
      <c r="J706" s="7"/>
      <c r="K706" s="7">
        <v>111.31</v>
      </c>
      <c r="L706" s="7">
        <v>76.1</v>
      </c>
      <c r="M706" s="7">
        <v>286.0</v>
      </c>
      <c r="N706" s="7">
        <v>3.99</v>
      </c>
      <c r="O706" s="7"/>
      <c r="P706" s="7"/>
      <c r="Q706" s="10">
        <f t="shared" si="2"/>
        <v>69.71557235</v>
      </c>
      <c r="R706" s="11" t="str">
        <f t="shared" si="167"/>
        <v>#REF!</v>
      </c>
      <c r="S706" s="12">
        <f t="shared" si="4"/>
        <v>1.05</v>
      </c>
      <c r="T706" s="13" t="str">
        <f t="shared" si="168"/>
        <v>#N/A</v>
      </c>
      <c r="U706" s="8"/>
      <c r="V706" s="8">
        <f t="shared" si="175"/>
        <v>125.1426876</v>
      </c>
      <c r="W706" s="13" t="str">
        <f t="shared" si="170"/>
        <v>#REF!</v>
      </c>
      <c r="X706" s="39">
        <f t="shared" si="176"/>
        <v>1.225657759</v>
      </c>
      <c r="Y706" s="40">
        <f t="shared" si="177"/>
        <v>134.9196832</v>
      </c>
      <c r="Z706" s="40">
        <f t="shared" si="178"/>
        <v>110.0794101</v>
      </c>
      <c r="AA706" s="15"/>
      <c r="AB706" s="15"/>
      <c r="AC706" s="15"/>
      <c r="AD706" s="15"/>
      <c r="AE706" s="15"/>
      <c r="AF706" s="15"/>
      <c r="AG706" s="15"/>
    </row>
    <row r="707" ht="15.75" hidden="1" customHeight="1">
      <c r="A707" s="16" t="s">
        <v>946</v>
      </c>
      <c r="B707" s="16" t="s">
        <v>944</v>
      </c>
      <c r="C707" s="16"/>
      <c r="D707" s="16">
        <v>1985.0</v>
      </c>
      <c r="E707" s="16"/>
      <c r="F707" s="16" t="b">
        <v>0</v>
      </c>
      <c r="G707" s="16" t="b">
        <v>1</v>
      </c>
      <c r="H707" s="16" t="b">
        <v>0</v>
      </c>
      <c r="I707" s="16" t="b">
        <v>0</v>
      </c>
      <c r="J707" s="16"/>
      <c r="K707" s="16">
        <v>138.57</v>
      </c>
      <c r="L707" s="16">
        <v>78.0</v>
      </c>
      <c r="M707" s="16">
        <v>282.1</v>
      </c>
      <c r="N707" s="16">
        <v>3.99</v>
      </c>
      <c r="O707" s="16"/>
      <c r="P707" s="16"/>
      <c r="Q707" s="19">
        <f t="shared" si="2"/>
        <v>57.39905057</v>
      </c>
      <c r="R707" s="20" t="str">
        <f t="shared" si="167"/>
        <v>#REF!</v>
      </c>
      <c r="S707" s="21">
        <f t="shared" si="4"/>
        <v>1.05</v>
      </c>
      <c r="T707" s="13" t="str">
        <f t="shared" si="168"/>
        <v>#N/A</v>
      </c>
      <c r="U707" s="8"/>
      <c r="V707" s="8">
        <f t="shared" si="175"/>
        <v>142.859523</v>
      </c>
      <c r="W707" s="13" t="str">
        <f t="shared" si="170"/>
        <v>#REF!</v>
      </c>
      <c r="X707" s="39">
        <f t="shared" si="176"/>
        <v>1.188913808</v>
      </c>
      <c r="Y707" s="40">
        <f t="shared" si="177"/>
        <v>149.2235709</v>
      </c>
      <c r="Z707" s="40">
        <f t="shared" si="178"/>
        <v>125.5125224</v>
      </c>
      <c r="AA707" s="15"/>
      <c r="AB707" s="15"/>
      <c r="AC707" s="15"/>
      <c r="AD707" s="15"/>
      <c r="AE707" s="15"/>
      <c r="AF707" s="15"/>
      <c r="AG707" s="15"/>
    </row>
    <row r="708" ht="15.75" hidden="1" customHeight="1">
      <c r="A708" s="16" t="s">
        <v>947</v>
      </c>
      <c r="B708" s="16" t="s">
        <v>948</v>
      </c>
      <c r="C708" s="16"/>
      <c r="D708" s="16">
        <v>1985.0</v>
      </c>
      <c r="E708" s="16"/>
      <c r="F708" s="16" t="b">
        <v>0</v>
      </c>
      <c r="G708" s="16" t="b">
        <v>1</v>
      </c>
      <c r="H708" s="16" t="b">
        <v>0</v>
      </c>
      <c r="I708" s="16" t="b">
        <v>0</v>
      </c>
      <c r="J708" s="16"/>
      <c r="K708" s="16">
        <v>230.42</v>
      </c>
      <c r="L708" s="16">
        <v>119.0</v>
      </c>
      <c r="M708" s="16">
        <v>283.0</v>
      </c>
      <c r="N708" s="16">
        <v>4.18</v>
      </c>
      <c r="O708" s="16"/>
      <c r="P708" s="16"/>
      <c r="Q708" s="19">
        <f t="shared" si="2"/>
        <v>52.66306266</v>
      </c>
      <c r="R708" s="20" t="str">
        <f t="shared" si="167"/>
        <v>#REF!</v>
      </c>
      <c r="S708" s="21">
        <f t="shared" si="4"/>
        <v>1.05</v>
      </c>
      <c r="T708" s="13" t="str">
        <f t="shared" si="168"/>
        <v>#N/A</v>
      </c>
      <c r="U708" s="8"/>
      <c r="V708" s="8">
        <f t="shared" si="175"/>
        <v>194.4945492</v>
      </c>
      <c r="W708" s="13" t="str">
        <f t="shared" si="170"/>
        <v>#REF!</v>
      </c>
      <c r="X708" s="39">
        <f t="shared" si="176"/>
        <v>1.106694234</v>
      </c>
      <c r="Y708" s="40">
        <f t="shared" si="177"/>
        <v>192.629335</v>
      </c>
      <c r="Z708" s="40">
        <f t="shared" si="178"/>
        <v>174.0583163</v>
      </c>
      <c r="AA708" s="15"/>
      <c r="AB708" s="15"/>
      <c r="AC708" s="15"/>
      <c r="AD708" s="15"/>
      <c r="AE708" s="15"/>
      <c r="AF708" s="15"/>
      <c r="AG708" s="15"/>
    </row>
    <row r="709" ht="15.75" hidden="1" customHeight="1">
      <c r="A709" s="7" t="s">
        <v>949</v>
      </c>
      <c r="B709" s="7" t="s">
        <v>950</v>
      </c>
      <c r="C709" s="7"/>
      <c r="D709" s="7">
        <v>1985.0</v>
      </c>
      <c r="E709" s="7"/>
      <c r="F709" s="7" t="b">
        <v>0</v>
      </c>
      <c r="G709" s="7" t="b">
        <v>1</v>
      </c>
      <c r="H709" s="7" t="b">
        <v>0</v>
      </c>
      <c r="I709" s="7" t="b">
        <v>0</v>
      </c>
      <c r="J709" s="7"/>
      <c r="K709" s="7">
        <v>4.04</v>
      </c>
      <c r="L709" s="7">
        <v>2.82</v>
      </c>
      <c r="M709" s="7">
        <v>269.0</v>
      </c>
      <c r="N709" s="7">
        <v>6.25</v>
      </c>
      <c r="O709" s="7"/>
      <c r="P709" s="7"/>
      <c r="Q709" s="10">
        <f t="shared" si="2"/>
        <v>71.1782107</v>
      </c>
      <c r="R709" s="11" t="str">
        <f t="shared" si="167"/>
        <v>#REF!</v>
      </c>
      <c r="S709" s="12">
        <f t="shared" si="4"/>
        <v>1.05</v>
      </c>
      <c r="T709" s="13" t="str">
        <f t="shared" si="168"/>
        <v>#N/A</v>
      </c>
      <c r="U709" s="8"/>
      <c r="V709" s="8">
        <f t="shared" si="175"/>
        <v>17.58212068</v>
      </c>
      <c r="W709" s="13" t="str">
        <f t="shared" si="170"/>
        <v>#REF!</v>
      </c>
      <c r="X709" s="39">
        <f t="shared" si="176"/>
        <v>2.836743298</v>
      </c>
      <c r="Y709" s="40">
        <f t="shared" si="177"/>
        <v>36.07964805</v>
      </c>
      <c r="Z709" s="40">
        <f t="shared" si="178"/>
        <v>12.71868628</v>
      </c>
      <c r="AA709" s="15"/>
      <c r="AB709" s="15"/>
      <c r="AC709" s="15"/>
      <c r="AD709" s="15"/>
      <c r="AE709" s="15"/>
      <c r="AF709" s="15"/>
      <c r="AG709" s="15"/>
    </row>
    <row r="710" ht="15.75" hidden="1" customHeight="1">
      <c r="A710" s="16" t="s">
        <v>951</v>
      </c>
      <c r="B710" s="16" t="s">
        <v>951</v>
      </c>
      <c r="C710" s="16"/>
      <c r="D710" s="16">
        <v>1989.0</v>
      </c>
      <c r="E710" s="16"/>
      <c r="F710" s="16" t="b">
        <v>0</v>
      </c>
      <c r="G710" s="16" t="b">
        <v>1</v>
      </c>
      <c r="H710" s="16" t="b">
        <v>0</v>
      </c>
      <c r="I710" s="16" t="b">
        <v>0</v>
      </c>
      <c r="J710" s="16"/>
      <c r="K710" s="16">
        <v>4350.0</v>
      </c>
      <c r="L710" s="16">
        <v>1875.0</v>
      </c>
      <c r="M710" s="16">
        <v>280.0</v>
      </c>
      <c r="N710" s="16"/>
      <c r="O710" s="16"/>
      <c r="P710" s="16"/>
      <c r="Q710" s="19">
        <f t="shared" si="2"/>
        <v>43.95328491</v>
      </c>
      <c r="R710" s="20" t="str">
        <f t="shared" si="167"/>
        <v>#REF!</v>
      </c>
      <c r="S710" s="21">
        <f t="shared" si="4"/>
        <v>1.05</v>
      </c>
      <c r="T710" s="13" t="str">
        <f t="shared" si="168"/>
        <v>#N/A</v>
      </c>
      <c r="U710" s="8"/>
      <c r="V710" s="8">
        <f t="shared" si="175"/>
        <v>1189.083482</v>
      </c>
      <c r="W710" s="13" t="str">
        <f t="shared" si="170"/>
        <v>#REF!</v>
      </c>
      <c r="X710" s="39">
        <f t="shared" si="176"/>
        <v>0</v>
      </c>
      <c r="Y710" s="40">
        <f t="shared" si="177"/>
        <v>0</v>
      </c>
      <c r="Z710" s="40">
        <f t="shared" si="178"/>
        <v>1130.007883</v>
      </c>
      <c r="AA710" s="15"/>
      <c r="AB710" s="15"/>
      <c r="AC710" s="15"/>
      <c r="AD710" s="15"/>
      <c r="AE710" s="15"/>
      <c r="AF710" s="15"/>
      <c r="AG710" s="15"/>
    </row>
    <row r="711" ht="15.75" hidden="1" customHeight="1">
      <c r="A711" s="7" t="s">
        <v>952</v>
      </c>
      <c r="B711" s="7" t="s">
        <v>952</v>
      </c>
      <c r="C711" s="7"/>
      <c r="D711" s="7">
        <v>1989.0</v>
      </c>
      <c r="E711" s="7"/>
      <c r="F711" s="7" t="b">
        <v>0</v>
      </c>
      <c r="G711" s="7" t="b">
        <v>1</v>
      </c>
      <c r="H711" s="7" t="b">
        <v>0</v>
      </c>
      <c r="I711" s="7" t="b">
        <v>0</v>
      </c>
      <c r="J711" s="7"/>
      <c r="K711" s="7">
        <v>1457.0</v>
      </c>
      <c r="L711" s="7">
        <v>538.0</v>
      </c>
      <c r="M711" s="7">
        <v>265.0</v>
      </c>
      <c r="N711" s="7"/>
      <c r="O711" s="7"/>
      <c r="P711" s="7"/>
      <c r="Q711" s="10">
        <f t="shared" si="2"/>
        <v>37.65321352</v>
      </c>
      <c r="R711" s="11" t="str">
        <f t="shared" si="167"/>
        <v>#REF!</v>
      </c>
      <c r="S711" s="12">
        <f t="shared" si="4"/>
        <v>1.05</v>
      </c>
      <c r="T711" s="13" t="str">
        <f t="shared" si="168"/>
        <v>#N/A</v>
      </c>
      <c r="U711" s="8"/>
      <c r="V711" s="8">
        <f t="shared" si="175"/>
        <v>602.9509475</v>
      </c>
      <c r="W711" s="13" t="str">
        <f t="shared" si="170"/>
        <v>#REF!</v>
      </c>
      <c r="X711" s="39">
        <f t="shared" si="176"/>
        <v>0</v>
      </c>
      <c r="Y711" s="40">
        <f t="shared" si="177"/>
        <v>0</v>
      </c>
      <c r="Z711" s="40">
        <f t="shared" si="178"/>
        <v>542.3224999</v>
      </c>
      <c r="AA711" s="15"/>
      <c r="AB711" s="15"/>
      <c r="AC711" s="15"/>
      <c r="AD711" s="15"/>
      <c r="AE711" s="15"/>
      <c r="AF711" s="15"/>
      <c r="AG711" s="15"/>
    </row>
    <row r="712" ht="15.75" hidden="1" customHeight="1">
      <c r="A712" s="7" t="s">
        <v>953</v>
      </c>
      <c r="B712" s="7" t="s">
        <v>953</v>
      </c>
      <c r="C712" s="7"/>
      <c r="D712" s="7">
        <v>1989.0</v>
      </c>
      <c r="E712" s="7"/>
      <c r="F712" s="7" t="b">
        <v>0</v>
      </c>
      <c r="G712" s="7" t="b">
        <v>1</v>
      </c>
      <c r="H712" s="7" t="b">
        <v>0</v>
      </c>
      <c r="I712" s="7" t="b">
        <v>0</v>
      </c>
      <c r="J712" s="7"/>
      <c r="K712" s="7">
        <v>36214.5</v>
      </c>
      <c r="L712" s="7">
        <v>8233.777</v>
      </c>
      <c r="M712" s="7">
        <v>281.0</v>
      </c>
      <c r="N712" s="7">
        <v>5.93</v>
      </c>
      <c r="O712" s="7"/>
      <c r="P712" s="7"/>
      <c r="Q712" s="10">
        <f t="shared" si="2"/>
        <v>23.1844037</v>
      </c>
      <c r="R712" s="11" t="str">
        <f t="shared" si="167"/>
        <v>#REF!</v>
      </c>
      <c r="S712" s="12">
        <f t="shared" si="4"/>
        <v>1.05</v>
      </c>
      <c r="T712" s="13" t="str">
        <f t="shared" si="168"/>
        <v>#N/A</v>
      </c>
      <c r="U712" s="8"/>
      <c r="V712" s="8">
        <f t="shared" si="175"/>
        <v>4493.565358</v>
      </c>
      <c r="W712" s="13" t="str">
        <f t="shared" si="170"/>
        <v>#REF!</v>
      </c>
      <c r="X712" s="39">
        <f t="shared" si="176"/>
        <v>0.5280937832</v>
      </c>
      <c r="Y712" s="40">
        <f t="shared" si="177"/>
        <v>2316.931331</v>
      </c>
      <c r="Z712" s="40">
        <f t="shared" si="178"/>
        <v>4387.348242</v>
      </c>
      <c r="AA712" s="15"/>
      <c r="AB712" s="15"/>
      <c r="AC712" s="15"/>
      <c r="AD712" s="15"/>
      <c r="AE712" s="15"/>
      <c r="AF712" s="15"/>
      <c r="AG712" s="15"/>
    </row>
    <row r="713" ht="15.75" hidden="1" customHeight="1">
      <c r="A713" s="16" t="s">
        <v>954</v>
      </c>
      <c r="B713" s="16" t="s">
        <v>954</v>
      </c>
      <c r="C713" s="16"/>
      <c r="D713" s="16">
        <v>1989.0</v>
      </c>
      <c r="E713" s="16"/>
      <c r="F713" s="16" t="b">
        <v>0</v>
      </c>
      <c r="G713" s="16" t="b">
        <v>1</v>
      </c>
      <c r="H713" s="16" t="b">
        <v>0</v>
      </c>
      <c r="I713" s="16" t="b">
        <v>0</v>
      </c>
      <c r="J713" s="16"/>
      <c r="K713" s="16">
        <v>44734.74</v>
      </c>
      <c r="L713" s="16">
        <v>8487.0</v>
      </c>
      <c r="M713" s="16">
        <v>269.5</v>
      </c>
      <c r="N713" s="16">
        <v>5.5</v>
      </c>
      <c r="O713" s="16"/>
      <c r="P713" s="16"/>
      <c r="Q713" s="19">
        <f t="shared" si="2"/>
        <v>19.34588527</v>
      </c>
      <c r="R713" s="20" t="str">
        <f t="shared" si="167"/>
        <v>#REF!</v>
      </c>
      <c r="S713" s="21">
        <f t="shared" si="4"/>
        <v>1.05</v>
      </c>
      <c r="T713" s="13" t="str">
        <f t="shared" si="168"/>
        <v>#N/A</v>
      </c>
      <c r="U713" s="8"/>
      <c r="V713" s="8">
        <f t="shared" si="175"/>
        <v>5134.746488</v>
      </c>
      <c r="W713" s="13" t="str">
        <f t="shared" si="170"/>
        <v>#REF!</v>
      </c>
      <c r="X713" s="39">
        <f t="shared" si="176"/>
        <v>0.5044795244</v>
      </c>
      <c r="Y713" s="40">
        <f t="shared" si="177"/>
        <v>2466.525193</v>
      </c>
      <c r="Z713" s="40">
        <f t="shared" si="178"/>
        <v>4889.247381</v>
      </c>
      <c r="AA713" s="15"/>
      <c r="AB713" s="15"/>
      <c r="AC713" s="15"/>
      <c r="AD713" s="15"/>
      <c r="AE713" s="15"/>
      <c r="AF713" s="15"/>
      <c r="AG713" s="15"/>
    </row>
    <row r="714" ht="15.75" hidden="1" customHeight="1">
      <c r="A714" s="16" t="s">
        <v>955</v>
      </c>
      <c r="B714" s="16" t="s">
        <v>956</v>
      </c>
      <c r="C714" s="16"/>
      <c r="D714" s="16">
        <v>1990.0</v>
      </c>
      <c r="E714" s="16"/>
      <c r="F714" s="16" t="b">
        <v>0</v>
      </c>
      <c r="G714" s="16" t="b">
        <v>1</v>
      </c>
      <c r="H714" s="16" t="b">
        <v>0</v>
      </c>
      <c r="I714" s="16" t="b">
        <v>0</v>
      </c>
      <c r="J714" s="16"/>
      <c r="K714" s="16">
        <f>1196*1.010708</f>
        <v>1208.806768</v>
      </c>
      <c r="L714" s="16">
        <v>666.0</v>
      </c>
      <c r="M714" s="16">
        <v>283.4</v>
      </c>
      <c r="N714" s="16"/>
      <c r="O714" s="16"/>
      <c r="P714" s="16"/>
      <c r="Q714" s="19">
        <f t="shared" si="2"/>
        <v>56.18193195</v>
      </c>
      <c r="R714" s="20" t="str">
        <f t="shared" si="167"/>
        <v>#REF!</v>
      </c>
      <c r="S714" s="21">
        <f t="shared" si="4"/>
        <v>1.05</v>
      </c>
      <c r="T714" s="13" t="str">
        <f t="shared" si="168"/>
        <v>#N/A</v>
      </c>
      <c r="U714" s="8"/>
      <c r="V714" s="8">
        <f t="shared" si="175"/>
        <v>537.2427386</v>
      </c>
      <c r="W714" s="13" t="str">
        <f t="shared" si="170"/>
        <v>#REF!</v>
      </c>
      <c r="X714" s="39">
        <f t="shared" si="176"/>
        <v>0</v>
      </c>
      <c r="Y714" s="40">
        <f t="shared" si="177"/>
        <v>0</v>
      </c>
      <c r="Z714" s="40">
        <f t="shared" si="178"/>
        <v>502.4147783</v>
      </c>
      <c r="AA714" s="15"/>
      <c r="AB714" s="15"/>
      <c r="AC714" s="15"/>
      <c r="AD714" s="15"/>
      <c r="AE714" s="15"/>
      <c r="AF714" s="15"/>
      <c r="AG714" s="15"/>
    </row>
    <row r="715" ht="15.75" hidden="1" customHeight="1">
      <c r="A715" s="7" t="s">
        <v>957</v>
      </c>
      <c r="B715" s="7" t="s">
        <v>956</v>
      </c>
      <c r="C715" s="7"/>
      <c r="D715" s="7">
        <v>1990.0</v>
      </c>
      <c r="E715" s="7"/>
      <c r="F715" s="7" t="b">
        <v>0</v>
      </c>
      <c r="G715" s="7" t="b">
        <v>1</v>
      </c>
      <c r="H715" s="7" t="b">
        <v>0</v>
      </c>
      <c r="I715" s="7" t="b">
        <v>0</v>
      </c>
      <c r="J715" s="7"/>
      <c r="K715" s="7">
        <v>1196.0</v>
      </c>
      <c r="L715" s="7">
        <v>644.0</v>
      </c>
      <c r="M715" s="7">
        <v>274.0</v>
      </c>
      <c r="N715" s="7"/>
      <c r="O715" s="7"/>
      <c r="P715" s="7"/>
      <c r="Q715" s="10">
        <f t="shared" si="2"/>
        <v>54.90779592</v>
      </c>
      <c r="R715" s="11" t="str">
        <f t="shared" si="167"/>
        <v>#REF!</v>
      </c>
      <c r="S715" s="12">
        <f t="shared" si="4"/>
        <v>1.05</v>
      </c>
      <c r="T715" s="13" t="str">
        <f t="shared" si="168"/>
        <v>#N/A</v>
      </c>
      <c r="U715" s="8"/>
      <c r="V715" s="8">
        <f t="shared" si="175"/>
        <v>533.7214957</v>
      </c>
      <c r="W715" s="13" t="str">
        <f t="shared" si="170"/>
        <v>#REF!</v>
      </c>
      <c r="X715" s="39">
        <f t="shared" si="176"/>
        <v>0</v>
      </c>
      <c r="Y715" s="40">
        <f t="shared" si="177"/>
        <v>0</v>
      </c>
      <c r="Z715" s="40">
        <f t="shared" si="178"/>
        <v>488.3663019</v>
      </c>
      <c r="AA715" s="15"/>
      <c r="AB715" s="15"/>
      <c r="AC715" s="15"/>
      <c r="AD715" s="15"/>
      <c r="AE715" s="15"/>
      <c r="AF715" s="15"/>
      <c r="AG715" s="15"/>
    </row>
    <row r="716" ht="15.75" hidden="1" customHeight="1">
      <c r="A716" s="16" t="s">
        <v>958</v>
      </c>
      <c r="B716" s="16" t="s">
        <v>940</v>
      </c>
      <c r="C716" s="16"/>
      <c r="D716" s="16">
        <v>1992.0</v>
      </c>
      <c r="E716" s="16"/>
      <c r="F716" s="16" t="b">
        <v>0</v>
      </c>
      <c r="G716" s="16" t="b">
        <v>1</v>
      </c>
      <c r="H716" s="16" t="b">
        <v>0</v>
      </c>
      <c r="I716" s="16" t="b">
        <v>0</v>
      </c>
      <c r="J716" s="16"/>
      <c r="K716" s="16">
        <v>74818.0</v>
      </c>
      <c r="L716" s="16">
        <v>14819.0</v>
      </c>
      <c r="M716" s="16">
        <v>268.0</v>
      </c>
      <c r="N716" s="16">
        <v>6.24</v>
      </c>
      <c r="O716" s="16"/>
      <c r="P716" s="16"/>
      <c r="Q716" s="19">
        <f t="shared" si="2"/>
        <v>20.19724467</v>
      </c>
      <c r="R716" s="20" t="str">
        <f t="shared" si="167"/>
        <v>#REF!</v>
      </c>
      <c r="S716" s="21">
        <f t="shared" si="4"/>
        <v>1.05</v>
      </c>
      <c r="T716" s="13" t="str">
        <f t="shared" si="168"/>
        <v>#N/A</v>
      </c>
      <c r="U716" s="8"/>
      <c r="V716" s="8">
        <f t="shared" si="175"/>
        <v>7108.223845</v>
      </c>
      <c r="W716" s="13" t="str">
        <f t="shared" si="170"/>
        <v>#REF!</v>
      </c>
      <c r="X716" s="39">
        <f t="shared" si="176"/>
        <v>0.4893604735</v>
      </c>
      <c r="Y716" s="40">
        <f t="shared" si="177"/>
        <v>3311.690722</v>
      </c>
      <c r="Z716" s="40">
        <f t="shared" si="178"/>
        <v>6767.384988</v>
      </c>
      <c r="AA716" s="15"/>
      <c r="AB716" s="15"/>
      <c r="AC716" s="15"/>
      <c r="AD716" s="15"/>
      <c r="AE716" s="15"/>
      <c r="AF716" s="15"/>
      <c r="AG716" s="15"/>
    </row>
    <row r="717" ht="15.75" hidden="1" customHeight="1">
      <c r="A717" s="7" t="s">
        <v>959</v>
      </c>
      <c r="B717" s="7" t="s">
        <v>960</v>
      </c>
      <c r="C717" s="7"/>
      <c r="D717" s="7">
        <v>1993.0</v>
      </c>
      <c r="E717" s="7"/>
      <c r="F717" s="7" t="b">
        <v>0</v>
      </c>
      <c r="G717" s="7" t="b">
        <v>1</v>
      </c>
      <c r="H717" s="7" t="b">
        <v>0</v>
      </c>
      <c r="I717" s="7" t="b">
        <v>0</v>
      </c>
      <c r="J717" s="7"/>
      <c r="K717" s="7">
        <v>4.13</v>
      </c>
      <c r="L717" s="7">
        <v>5.83</v>
      </c>
      <c r="M717" s="7">
        <v>289.1</v>
      </c>
      <c r="N717" s="7">
        <v>7.39</v>
      </c>
      <c r="O717" s="7"/>
      <c r="P717" s="7"/>
      <c r="Q717" s="10">
        <f t="shared" si="2"/>
        <v>143.9454117</v>
      </c>
      <c r="R717" s="11" t="str">
        <f t="shared" si="167"/>
        <v>#REF!</v>
      </c>
      <c r="S717" s="12">
        <f t="shared" si="4"/>
        <v>1.05</v>
      </c>
      <c r="T717" s="13" t="str">
        <f t="shared" si="168"/>
        <v>#N/A</v>
      </c>
      <c r="U717" s="8"/>
      <c r="V717" s="8">
        <f t="shared" si="175"/>
        <v>17.80785451</v>
      </c>
      <c r="W717" s="13" t="str">
        <f t="shared" si="170"/>
        <v>#REF!</v>
      </c>
      <c r="X717" s="39">
        <f t="shared" si="176"/>
        <v>2.914612698</v>
      </c>
      <c r="Y717" s="40">
        <f t="shared" si="177"/>
        <v>39.36729022</v>
      </c>
      <c r="Z717" s="40">
        <f t="shared" si="178"/>
        <v>13.50686843</v>
      </c>
      <c r="AA717" s="15"/>
      <c r="AB717" s="15"/>
      <c r="AC717" s="15"/>
      <c r="AD717" s="15"/>
      <c r="AE717" s="15"/>
      <c r="AF717" s="15"/>
      <c r="AG717" s="15"/>
    </row>
    <row r="718" ht="15.75" hidden="1" customHeight="1">
      <c r="A718" s="7" t="s">
        <v>961</v>
      </c>
      <c r="B718" s="7" t="s">
        <v>962</v>
      </c>
      <c r="C718" s="7"/>
      <c r="D718" s="7">
        <v>1996.0</v>
      </c>
      <c r="E718" s="7"/>
      <c r="F718" s="7" t="b">
        <v>0</v>
      </c>
      <c r="G718" s="7" t="b">
        <v>1</v>
      </c>
      <c r="H718" s="7" t="b">
        <v>0</v>
      </c>
      <c r="I718" s="7" t="b">
        <v>0</v>
      </c>
      <c r="J718" s="7"/>
      <c r="K718" s="7">
        <v>3.23</v>
      </c>
      <c r="L718" s="7">
        <v>6.272</v>
      </c>
      <c r="M718" s="7">
        <v>256.0</v>
      </c>
      <c r="N718" s="7">
        <v>8.96</v>
      </c>
      <c r="O718" s="7"/>
      <c r="P718" s="7"/>
      <c r="Q718" s="10">
        <f t="shared" si="2"/>
        <v>198.0080517</v>
      </c>
      <c r="R718" s="11" t="str">
        <f t="shared" si="167"/>
        <v>#REF!</v>
      </c>
      <c r="S718" s="12">
        <f t="shared" si="4"/>
        <v>1.05</v>
      </c>
      <c r="T718" s="13" t="str">
        <f t="shared" si="168"/>
        <v>#N/A</v>
      </c>
      <c r="U718" s="8"/>
      <c r="V718" s="8">
        <f t="shared" si="175"/>
        <v>15.44912283</v>
      </c>
      <c r="W718" s="13" t="str">
        <f t="shared" si="170"/>
        <v>#REF!</v>
      </c>
      <c r="X718" s="39">
        <f t="shared" si="176"/>
        <v>3.596816616</v>
      </c>
      <c r="Y718" s="40">
        <f t="shared" si="177"/>
        <v>38.41642092</v>
      </c>
      <c r="Z718" s="40">
        <f t="shared" si="178"/>
        <v>10.68067267</v>
      </c>
      <c r="AA718" s="15"/>
      <c r="AB718" s="15"/>
      <c r="AC718" s="15"/>
      <c r="AD718" s="15"/>
      <c r="AE718" s="15"/>
      <c r="AF718" s="15"/>
      <c r="AG718" s="15"/>
    </row>
    <row r="719" ht="15.75" hidden="1" customHeight="1">
      <c r="A719" s="16" t="s">
        <v>963</v>
      </c>
      <c r="B719" s="16" t="s">
        <v>964</v>
      </c>
      <c r="C719" s="16"/>
      <c r="D719" s="16">
        <v>1997.0</v>
      </c>
      <c r="E719" s="16"/>
      <c r="F719" s="16" t="b">
        <v>0</v>
      </c>
      <c r="G719" s="16" t="b">
        <v>1</v>
      </c>
      <c r="H719" s="16" t="b">
        <v>0</v>
      </c>
      <c r="I719" s="16" t="b">
        <v>0</v>
      </c>
      <c r="J719" s="16"/>
      <c r="K719" s="16">
        <v>12.84</v>
      </c>
      <c r="L719" s="16">
        <v>12.5</v>
      </c>
      <c r="M719" s="16">
        <v>281.8</v>
      </c>
      <c r="N719" s="16">
        <v>6.1</v>
      </c>
      <c r="O719" s="16"/>
      <c r="P719" s="16"/>
      <c r="Q719" s="19">
        <f t="shared" si="2"/>
        <v>99.27143789</v>
      </c>
      <c r="R719" s="20" t="str">
        <f t="shared" si="167"/>
        <v>#REF!</v>
      </c>
      <c r="S719" s="21">
        <f t="shared" si="4"/>
        <v>1.05</v>
      </c>
      <c r="T719" s="13" t="str">
        <f t="shared" si="168"/>
        <v>#N/A</v>
      </c>
      <c r="U719" s="8"/>
      <c r="V719" s="8">
        <f t="shared" si="175"/>
        <v>34.52739964</v>
      </c>
      <c r="W719" s="13" t="str">
        <f t="shared" si="170"/>
        <v>#REF!</v>
      </c>
      <c r="X719" s="39">
        <f t="shared" si="176"/>
        <v>2.213989178</v>
      </c>
      <c r="Y719" s="40">
        <f t="shared" si="177"/>
        <v>60.73145577</v>
      </c>
      <c r="Z719" s="40">
        <f t="shared" si="178"/>
        <v>27.43078257</v>
      </c>
      <c r="AA719" s="15"/>
      <c r="AB719" s="15"/>
      <c r="AC719" s="15"/>
      <c r="AD719" s="15"/>
      <c r="AE719" s="15"/>
      <c r="AF719" s="15"/>
      <c r="AG719" s="15"/>
    </row>
    <row r="720" ht="15.75" hidden="1" customHeight="1">
      <c r="A720" s="16" t="s">
        <v>965</v>
      </c>
      <c r="B720" s="16" t="s">
        <v>966</v>
      </c>
      <c r="C720" s="16"/>
      <c r="D720" s="16">
        <v>1998.0</v>
      </c>
      <c r="E720" s="16"/>
      <c r="F720" s="16" t="b">
        <v>0</v>
      </c>
      <c r="G720" s="16" t="b">
        <v>1</v>
      </c>
      <c r="H720" s="16" t="b">
        <v>0</v>
      </c>
      <c r="I720" s="16" t="b">
        <v>0</v>
      </c>
      <c r="J720" s="16"/>
      <c r="K720" s="16">
        <v>2204.0</v>
      </c>
      <c r="L720" s="16">
        <v>915.0</v>
      </c>
      <c r="M720" s="16">
        <v>290.7</v>
      </c>
      <c r="N720" s="16"/>
      <c r="O720" s="16"/>
      <c r="P720" s="16"/>
      <c r="Q720" s="19">
        <f t="shared" si="2"/>
        <v>42.33395336</v>
      </c>
      <c r="R720" s="20" t="str">
        <f t="shared" si="167"/>
        <v>#REF!</v>
      </c>
      <c r="S720" s="21">
        <f t="shared" si="4"/>
        <v>1.05</v>
      </c>
      <c r="T720" s="13" t="str">
        <f t="shared" si="168"/>
        <v>#N/A</v>
      </c>
      <c r="U720" s="8"/>
      <c r="V720" s="8">
        <f t="shared" si="175"/>
        <v>779.123194</v>
      </c>
      <c r="W720" s="13" t="str">
        <f t="shared" si="170"/>
        <v>#REF!</v>
      </c>
      <c r="X720" s="39">
        <f t="shared" si="176"/>
        <v>0</v>
      </c>
      <c r="Y720" s="40">
        <f t="shared" si="177"/>
        <v>0</v>
      </c>
      <c r="Z720" s="40">
        <f t="shared" si="178"/>
        <v>749.5600599</v>
      </c>
      <c r="AA720" s="15"/>
      <c r="AB720" s="15"/>
      <c r="AC720" s="15"/>
      <c r="AD720" s="15"/>
      <c r="AE720" s="15"/>
      <c r="AF720" s="15"/>
      <c r="AG720" s="15"/>
    </row>
    <row r="721" ht="15.75" hidden="1" customHeight="1">
      <c r="A721" s="7" t="s">
        <v>967</v>
      </c>
      <c r="B721" s="7" t="s">
        <v>966</v>
      </c>
      <c r="C721" s="7"/>
      <c r="D721" s="7">
        <v>1998.0</v>
      </c>
      <c r="E721" s="7"/>
      <c r="F721" s="7" t="b">
        <v>0</v>
      </c>
      <c r="G721" s="7" t="b">
        <v>1</v>
      </c>
      <c r="H721" s="7" t="b">
        <v>0</v>
      </c>
      <c r="I721" s="7" t="b">
        <v>0</v>
      </c>
      <c r="J721" s="7"/>
      <c r="K721" s="7">
        <v>2000.0</v>
      </c>
      <c r="L721" s="7">
        <v>885.0</v>
      </c>
      <c r="M721" s="7">
        <v>277.8</v>
      </c>
      <c r="N721" s="7"/>
      <c r="O721" s="7"/>
      <c r="P721" s="7"/>
      <c r="Q721" s="10">
        <f t="shared" si="2"/>
        <v>45.12244229</v>
      </c>
      <c r="R721" s="11" t="str">
        <f t="shared" si="167"/>
        <v>#REF!</v>
      </c>
      <c r="S721" s="12">
        <f t="shared" si="4"/>
        <v>1.05</v>
      </c>
      <c r="T721" s="13" t="str">
        <f t="shared" si="168"/>
        <v>#N/A</v>
      </c>
      <c r="U721" s="8"/>
      <c r="V721" s="8">
        <f t="shared" si="175"/>
        <v>733.5855398</v>
      </c>
      <c r="W721" s="13" t="str">
        <f t="shared" si="170"/>
        <v>#REF!</v>
      </c>
      <c r="X721" s="39">
        <f t="shared" si="176"/>
        <v>0</v>
      </c>
      <c r="Y721" s="40">
        <f t="shared" si="177"/>
        <v>0</v>
      </c>
      <c r="Z721" s="40">
        <f t="shared" si="178"/>
        <v>684.3147881</v>
      </c>
      <c r="AA721" s="15"/>
      <c r="AB721" s="15"/>
      <c r="AC721" s="15"/>
      <c r="AD721" s="15"/>
      <c r="AE721" s="15"/>
      <c r="AF721" s="15"/>
      <c r="AG721" s="15"/>
    </row>
    <row r="722" ht="15.75" hidden="1" customHeight="1">
      <c r="A722" s="16" t="s">
        <v>968</v>
      </c>
      <c r="B722" s="16" t="s">
        <v>966</v>
      </c>
      <c r="C722" s="16"/>
      <c r="D722" s="16">
        <v>1998.0</v>
      </c>
      <c r="E722" s="16"/>
      <c r="F722" s="16" t="b">
        <v>0</v>
      </c>
      <c r="G722" s="16" t="b">
        <v>1</v>
      </c>
      <c r="H722" s="16" t="b">
        <v>0</v>
      </c>
      <c r="I722" s="16" t="b">
        <v>0</v>
      </c>
      <c r="J722" s="16"/>
      <c r="K722" s="16">
        <v>2275.0</v>
      </c>
      <c r="L722" s="16">
        <v>875.0</v>
      </c>
      <c r="M722" s="16">
        <v>279.8</v>
      </c>
      <c r="N722" s="16"/>
      <c r="O722" s="16"/>
      <c r="P722" s="16"/>
      <c r="Q722" s="19">
        <f t="shared" si="2"/>
        <v>39.21985423</v>
      </c>
      <c r="R722" s="20" t="str">
        <f t="shared" si="167"/>
        <v>#REF!</v>
      </c>
      <c r="S722" s="21">
        <f t="shared" si="4"/>
        <v>1.05</v>
      </c>
      <c r="T722" s="13" t="str">
        <f t="shared" si="168"/>
        <v>#N/A</v>
      </c>
      <c r="U722" s="8"/>
      <c r="V722" s="8">
        <f t="shared" si="175"/>
        <v>794.5997386</v>
      </c>
      <c r="W722" s="13" t="str">
        <f t="shared" si="170"/>
        <v>#REF!</v>
      </c>
      <c r="X722" s="39">
        <f t="shared" si="176"/>
        <v>0</v>
      </c>
      <c r="Y722" s="40">
        <f t="shared" si="177"/>
        <v>0</v>
      </c>
      <c r="Z722" s="40">
        <f t="shared" si="178"/>
        <v>746.4481703</v>
      </c>
      <c r="AA722" s="15"/>
      <c r="AB722" s="15"/>
      <c r="AC722" s="15"/>
      <c r="AD722" s="15"/>
      <c r="AE722" s="15"/>
      <c r="AF722" s="15"/>
      <c r="AG722" s="15"/>
    </row>
    <row r="723" ht="15.75" hidden="1" customHeight="1">
      <c r="A723" s="7" t="s">
        <v>969</v>
      </c>
      <c r="B723" s="7" t="s">
        <v>970</v>
      </c>
      <c r="C723" s="7"/>
      <c r="D723" s="7">
        <v>2000.0</v>
      </c>
      <c r="E723" s="7"/>
      <c r="F723" s="7" t="b">
        <v>0</v>
      </c>
      <c r="G723" s="7" t="b">
        <v>1</v>
      </c>
      <c r="H723" s="7" t="b">
        <v>0</v>
      </c>
      <c r="I723" s="7" t="b">
        <v>0</v>
      </c>
      <c r="J723" s="7"/>
      <c r="K723" s="7">
        <v>0.4853</v>
      </c>
      <c r="L723" s="7">
        <v>0.3</v>
      </c>
      <c r="M723" s="7">
        <v>269.4</v>
      </c>
      <c r="N723" s="7">
        <v>15.06</v>
      </c>
      <c r="O723" s="7"/>
      <c r="P723" s="7"/>
      <c r="Q723" s="10">
        <f t="shared" si="2"/>
        <v>63.036238</v>
      </c>
      <c r="R723" s="11" t="str">
        <f t="shared" si="167"/>
        <v>#REF!</v>
      </c>
      <c r="S723" s="12">
        <f t="shared" si="4"/>
        <v>1.05</v>
      </c>
      <c r="T723" s="13" t="str">
        <f t="shared" si="168"/>
        <v>#N/A</v>
      </c>
      <c r="U723" s="8"/>
      <c r="V723" s="8">
        <f t="shared" si="175"/>
        <v>5.255510398</v>
      </c>
      <c r="W723" s="13" t="str">
        <f t="shared" si="170"/>
        <v>#REF!</v>
      </c>
      <c r="X723" s="39">
        <f t="shared" si="176"/>
        <v>6.20652894</v>
      </c>
      <c r="Y723" s="40">
        <f t="shared" si="177"/>
        <v>20.39793848</v>
      </c>
      <c r="Z723" s="40">
        <f t="shared" si="178"/>
        <v>3.286529182</v>
      </c>
      <c r="AA723" s="15"/>
      <c r="AB723" s="15"/>
      <c r="AC723" s="15"/>
      <c r="AD723" s="15"/>
      <c r="AE723" s="15"/>
      <c r="AF723" s="15"/>
      <c r="AG723" s="15"/>
    </row>
    <row r="724" ht="15.75" hidden="1" customHeight="1">
      <c r="A724" s="16" t="s">
        <v>971</v>
      </c>
      <c r="B724" s="16" t="s">
        <v>971</v>
      </c>
      <c r="C724" s="16"/>
      <c r="D724" s="16">
        <v>2001.0</v>
      </c>
      <c r="E724" s="16"/>
      <c r="F724" s="16" t="b">
        <v>0</v>
      </c>
      <c r="G724" s="16" t="b">
        <v>1</v>
      </c>
      <c r="H724" s="16" t="b">
        <v>0</v>
      </c>
      <c r="I724" s="16" t="b">
        <v>0</v>
      </c>
      <c r="J724" s="16"/>
      <c r="K724" s="16">
        <v>1723.0</v>
      </c>
      <c r="L724" s="16">
        <v>765.0</v>
      </c>
      <c r="M724" s="16">
        <v>282.4</v>
      </c>
      <c r="N724" s="16"/>
      <c r="O724" s="16"/>
      <c r="P724" s="16"/>
      <c r="Q724" s="19">
        <f t="shared" si="2"/>
        <v>45.27468953</v>
      </c>
      <c r="R724" s="20" t="str">
        <f t="shared" si="167"/>
        <v>#REF!</v>
      </c>
      <c r="S724" s="21">
        <f t="shared" si="4"/>
        <v>1.05</v>
      </c>
      <c r="T724" s="13" t="str">
        <f t="shared" si="168"/>
        <v>#N/A</v>
      </c>
      <c r="U724" s="8"/>
      <c r="V724" s="8">
        <f t="shared" si="175"/>
        <v>668.8704332</v>
      </c>
      <c r="W724" s="13" t="str">
        <f t="shared" si="170"/>
        <v>#REF!</v>
      </c>
      <c r="X724" s="39">
        <f t="shared" si="176"/>
        <v>0</v>
      </c>
      <c r="Y724" s="40">
        <f t="shared" si="177"/>
        <v>0</v>
      </c>
      <c r="Z724" s="40">
        <f t="shared" si="178"/>
        <v>628.6974321</v>
      </c>
      <c r="AA724" s="15"/>
      <c r="AB724" s="15"/>
      <c r="AC724" s="15"/>
      <c r="AD724" s="15"/>
      <c r="AE724" s="15"/>
      <c r="AF724" s="15"/>
      <c r="AG724" s="15"/>
    </row>
    <row r="725" ht="15.75" hidden="1" customHeight="1">
      <c r="A725" s="16" t="s">
        <v>972</v>
      </c>
      <c r="B725" s="16" t="s">
        <v>973</v>
      </c>
      <c r="C725" s="16"/>
      <c r="D725" s="16">
        <v>2002.0</v>
      </c>
      <c r="E725" s="16"/>
      <c r="F725" s="16" t="b">
        <v>0</v>
      </c>
      <c r="G725" s="16" t="b">
        <v>1</v>
      </c>
      <c r="H725" s="16" t="b">
        <v>0</v>
      </c>
      <c r="I725" s="16" t="b">
        <v>0</v>
      </c>
      <c r="J725" s="16"/>
      <c r="K725" s="16">
        <v>3950.0</v>
      </c>
      <c r="L725" s="16">
        <v>1688.4</v>
      </c>
      <c r="M725" s="16">
        <v>275.0</v>
      </c>
      <c r="N725" s="16"/>
      <c r="O725" s="16"/>
      <c r="P725" s="16"/>
      <c r="Q725" s="19">
        <f t="shared" si="2"/>
        <v>43.58705947</v>
      </c>
      <c r="R725" s="20" t="str">
        <f t="shared" si="167"/>
        <v>#REF!</v>
      </c>
      <c r="S725" s="21">
        <f t="shared" si="4"/>
        <v>1.05</v>
      </c>
      <c r="T725" s="13" t="str">
        <f t="shared" si="168"/>
        <v>#N/A</v>
      </c>
      <c r="U725" s="8"/>
      <c r="V725" s="8">
        <f t="shared" si="175"/>
        <v>1119.722144</v>
      </c>
      <c r="W725" s="13" t="str">
        <f t="shared" si="170"/>
        <v>#REF!</v>
      </c>
      <c r="X725" s="39">
        <f t="shared" si="176"/>
        <v>0</v>
      </c>
      <c r="Y725" s="40">
        <f t="shared" si="177"/>
        <v>0</v>
      </c>
      <c r="Z725" s="40">
        <f t="shared" si="178"/>
        <v>1050.296677</v>
      </c>
      <c r="AA725" s="15"/>
      <c r="AB725" s="15"/>
      <c r="AC725" s="15"/>
      <c r="AD725" s="15"/>
      <c r="AE725" s="15"/>
      <c r="AF725" s="15"/>
      <c r="AG725" s="15"/>
    </row>
    <row r="726" ht="15.75" hidden="1" customHeight="1">
      <c r="A726" s="7" t="s">
        <v>974</v>
      </c>
      <c r="B726" s="7" t="s">
        <v>975</v>
      </c>
      <c r="C726" s="7"/>
      <c r="D726" s="7">
        <v>2002.0</v>
      </c>
      <c r="E726" s="7"/>
      <c r="F726" s="7" t="b">
        <v>0</v>
      </c>
      <c r="G726" s="7" t="b">
        <v>1</v>
      </c>
      <c r="H726" s="7" t="b">
        <v>0</v>
      </c>
      <c r="I726" s="7" t="b">
        <v>0</v>
      </c>
      <c r="J726" s="7"/>
      <c r="K726" s="7">
        <f>3380*0.9822</f>
        <v>3319.836</v>
      </c>
      <c r="L726" s="7">
        <v>1248.91</v>
      </c>
      <c r="M726" s="7">
        <v>274.0</v>
      </c>
      <c r="N726" s="7"/>
      <c r="O726" s="7"/>
      <c r="P726" s="7"/>
      <c r="Q726" s="10">
        <f t="shared" si="2"/>
        <v>38.36134592</v>
      </c>
      <c r="R726" s="11" t="str">
        <f t="shared" si="167"/>
        <v>#REF!</v>
      </c>
      <c r="S726" s="12">
        <f t="shared" si="4"/>
        <v>1.05</v>
      </c>
      <c r="T726" s="13" t="str">
        <f t="shared" si="168"/>
        <v>#N/A</v>
      </c>
      <c r="U726" s="8"/>
      <c r="V726" s="8">
        <f t="shared" si="175"/>
        <v>1004.901778</v>
      </c>
      <c r="W726" s="13" t="str">
        <f t="shared" si="170"/>
        <v>#REF!</v>
      </c>
      <c r="X726" s="39">
        <f t="shared" si="176"/>
        <v>0</v>
      </c>
      <c r="Y726" s="40">
        <f t="shared" si="177"/>
        <v>0</v>
      </c>
      <c r="Z726" s="40">
        <f t="shared" si="178"/>
        <v>937.7109599</v>
      </c>
      <c r="AA726" s="15"/>
      <c r="AB726" s="15"/>
      <c r="AC726" s="15"/>
      <c r="AD726" s="15"/>
      <c r="AE726" s="15"/>
      <c r="AF726" s="15"/>
      <c r="AG726" s="15"/>
    </row>
    <row r="727" ht="15.75" hidden="1" customHeight="1">
      <c r="A727" s="16" t="s">
        <v>976</v>
      </c>
      <c r="B727" s="16" t="s">
        <v>975</v>
      </c>
      <c r="C727" s="16"/>
      <c r="D727" s="16">
        <v>2002.0</v>
      </c>
      <c r="E727" s="16"/>
      <c r="F727" s="16" t="b">
        <v>0</v>
      </c>
      <c r="G727" s="16" t="b">
        <v>1</v>
      </c>
      <c r="H727" s="16" t="b">
        <v>0</v>
      </c>
      <c r="I727" s="16" t="b">
        <v>0</v>
      </c>
      <c r="J727" s="16"/>
      <c r="K727" s="16">
        <v>3380.0</v>
      </c>
      <c r="L727" s="16">
        <v>1235.947</v>
      </c>
      <c r="M727" s="16">
        <v>274.0</v>
      </c>
      <c r="N727" s="16"/>
      <c r="O727" s="16"/>
      <c r="P727" s="16"/>
      <c r="Q727" s="19">
        <f t="shared" si="2"/>
        <v>37.28743167</v>
      </c>
      <c r="R727" s="20" t="str">
        <f t="shared" si="167"/>
        <v>#REF!</v>
      </c>
      <c r="S727" s="21">
        <f t="shared" si="4"/>
        <v>1.05</v>
      </c>
      <c r="T727" s="13" t="str">
        <f t="shared" si="168"/>
        <v>#N/A</v>
      </c>
      <c r="U727" s="8"/>
      <c r="V727" s="8">
        <f t="shared" si="175"/>
        <v>1016.193796</v>
      </c>
      <c r="W727" s="13" t="str">
        <f t="shared" si="170"/>
        <v>#REF!</v>
      </c>
      <c r="X727" s="39">
        <f t="shared" si="176"/>
        <v>0</v>
      </c>
      <c r="Y727" s="40">
        <f t="shared" si="177"/>
        <v>0</v>
      </c>
      <c r="Z727" s="40">
        <f t="shared" si="178"/>
        <v>948.5347299</v>
      </c>
      <c r="AA727" s="15"/>
      <c r="AB727" s="15"/>
      <c r="AC727" s="15"/>
      <c r="AD727" s="15"/>
      <c r="AE727" s="15"/>
      <c r="AF727" s="15"/>
      <c r="AG727" s="15"/>
    </row>
    <row r="728" ht="15.75" hidden="1" customHeight="1">
      <c r="A728" s="7" t="s">
        <v>977</v>
      </c>
      <c r="B728" s="7" t="s">
        <v>978</v>
      </c>
      <c r="C728" s="7"/>
      <c r="D728" s="7">
        <v>2002.0</v>
      </c>
      <c r="E728" s="7"/>
      <c r="F728" s="7" t="b">
        <v>0</v>
      </c>
      <c r="G728" s="7" t="b">
        <v>1</v>
      </c>
      <c r="H728" s="7" t="b">
        <v>0</v>
      </c>
      <c r="I728" s="7" t="b">
        <v>0</v>
      </c>
      <c r="J728" s="7"/>
      <c r="K728" s="7">
        <v>37800.0</v>
      </c>
      <c r="L728" s="7">
        <v>7040.0</v>
      </c>
      <c r="M728" s="7">
        <v>277.0</v>
      </c>
      <c r="N728" s="7">
        <v>6.4</v>
      </c>
      <c r="O728" s="7"/>
      <c r="P728" s="7"/>
      <c r="Q728" s="10">
        <f t="shared" si="2"/>
        <v>18.99154</v>
      </c>
      <c r="R728" s="11" t="str">
        <f t="shared" si="167"/>
        <v>#REF!</v>
      </c>
      <c r="S728" s="12">
        <f t="shared" si="4"/>
        <v>1.05</v>
      </c>
      <c r="T728" s="13" t="str">
        <f t="shared" si="168"/>
        <v>#N/A</v>
      </c>
      <c r="U728" s="8"/>
      <c r="V728" s="8">
        <f t="shared" si="175"/>
        <v>4616.725006</v>
      </c>
      <c r="W728" s="13" t="str">
        <f t="shared" si="170"/>
        <v>#REF!</v>
      </c>
      <c r="X728" s="39">
        <f t="shared" si="176"/>
        <v>0.5477676551</v>
      </c>
      <c r="Y728" s="40">
        <f t="shared" si="177"/>
        <v>2447.43447</v>
      </c>
      <c r="Z728" s="40">
        <f t="shared" si="178"/>
        <v>4468.015678</v>
      </c>
      <c r="AA728" s="15"/>
      <c r="AB728" s="15"/>
      <c r="AC728" s="15"/>
      <c r="AD728" s="15"/>
      <c r="AE728" s="15"/>
      <c r="AF728" s="15"/>
      <c r="AG728" s="15"/>
    </row>
    <row r="729" ht="15.75" hidden="1" customHeight="1">
      <c r="A729" s="16" t="s">
        <v>979</v>
      </c>
      <c r="B729" s="16" t="s">
        <v>980</v>
      </c>
      <c r="C729" s="16"/>
      <c r="D729" s="16">
        <v>2002.0</v>
      </c>
      <c r="E729" s="16"/>
      <c r="F729" s="16" t="b">
        <v>0</v>
      </c>
      <c r="G729" s="16" t="b">
        <v>1</v>
      </c>
      <c r="H729" s="16" t="b">
        <v>0</v>
      </c>
      <c r="I729" s="16" t="b">
        <v>0</v>
      </c>
      <c r="J729" s="16"/>
      <c r="K729" s="16">
        <v>5.08</v>
      </c>
      <c r="L729" s="16">
        <v>7.749</v>
      </c>
      <c r="M729" s="16">
        <v>273.0</v>
      </c>
      <c r="N729" s="16">
        <v>10.34</v>
      </c>
      <c r="O729" s="16"/>
      <c r="P729" s="16"/>
      <c r="Q729" s="19">
        <f t="shared" si="2"/>
        <v>155.5468683</v>
      </c>
      <c r="R729" s="20" t="str">
        <f t="shared" si="167"/>
        <v>#REF!</v>
      </c>
      <c r="S729" s="21">
        <f t="shared" si="4"/>
        <v>1.05</v>
      </c>
      <c r="T729" s="13" t="str">
        <f t="shared" si="168"/>
        <v>#N/A</v>
      </c>
      <c r="U729" s="8"/>
      <c r="V729" s="8">
        <f t="shared" si="175"/>
        <v>20.07972493</v>
      </c>
      <c r="W729" s="13" t="str">
        <f t="shared" si="170"/>
        <v>#REF!</v>
      </c>
      <c r="X729" s="39">
        <f t="shared" si="176"/>
        <v>3.400095478</v>
      </c>
      <c r="Y729" s="40">
        <f t="shared" si="177"/>
        <v>50.53576124</v>
      </c>
      <c r="Z729" s="40">
        <f t="shared" si="178"/>
        <v>14.86304181</v>
      </c>
      <c r="AA729" s="15"/>
      <c r="AB729" s="15"/>
      <c r="AC729" s="15"/>
      <c r="AD729" s="15"/>
      <c r="AE729" s="15"/>
      <c r="AF729" s="15"/>
      <c r="AG729" s="15"/>
    </row>
    <row r="730" ht="15.75" hidden="1" customHeight="1">
      <c r="A730" s="7" t="s">
        <v>981</v>
      </c>
      <c r="B730" s="7" t="s">
        <v>982</v>
      </c>
      <c r="C730" s="7"/>
      <c r="D730" s="7">
        <v>2003.0</v>
      </c>
      <c r="E730" s="7"/>
      <c r="F730" s="7" t="b">
        <v>0</v>
      </c>
      <c r="G730" s="7" t="b">
        <v>1</v>
      </c>
      <c r="H730" s="7" t="b">
        <v>0</v>
      </c>
      <c r="I730" s="7" t="b">
        <v>0</v>
      </c>
      <c r="J730" s="7"/>
      <c r="K730" s="7">
        <v>0.675</v>
      </c>
      <c r="L730" s="7">
        <v>2.0</v>
      </c>
      <c r="M730" s="7">
        <v>266.0</v>
      </c>
      <c r="N730" s="7">
        <v>10.35</v>
      </c>
      <c r="O730" s="7"/>
      <c r="P730" s="7"/>
      <c r="Q730" s="10">
        <f t="shared" si="2"/>
        <v>302.1381363</v>
      </c>
      <c r="R730" s="11" t="str">
        <f t="shared" si="167"/>
        <v>#REF!</v>
      </c>
      <c r="S730" s="12">
        <f t="shared" si="4"/>
        <v>1.05</v>
      </c>
      <c r="T730" s="13" t="str">
        <f t="shared" si="168"/>
        <v>#N/A</v>
      </c>
      <c r="U730" s="8"/>
      <c r="V730" s="8">
        <f t="shared" si="175"/>
        <v>6.326270509</v>
      </c>
      <c r="W730" s="13" t="str">
        <f t="shared" si="170"/>
        <v>#REF!</v>
      </c>
      <c r="X730" s="39">
        <f t="shared" si="176"/>
        <v>4.963602796</v>
      </c>
      <c r="Y730" s="40">
        <f t="shared" si="177"/>
        <v>19.97902788</v>
      </c>
      <c r="Z730" s="40">
        <f t="shared" si="178"/>
        <v>4.025106098</v>
      </c>
      <c r="AA730" s="15"/>
      <c r="AB730" s="15"/>
      <c r="AC730" s="15"/>
      <c r="AD730" s="15"/>
      <c r="AE730" s="15"/>
      <c r="AF730" s="15"/>
      <c r="AG730" s="15"/>
    </row>
    <row r="731" ht="15.75" hidden="1" customHeight="1">
      <c r="A731" s="7" t="s">
        <v>983</v>
      </c>
      <c r="B731" s="7" t="s">
        <v>983</v>
      </c>
      <c r="C731" s="7"/>
      <c r="D731" s="7">
        <v>2012.0</v>
      </c>
      <c r="E731" s="7"/>
      <c r="F731" s="7" t="b">
        <v>0</v>
      </c>
      <c r="G731" s="7" t="b">
        <v>1</v>
      </c>
      <c r="H731" s="7" t="b">
        <v>0</v>
      </c>
      <c r="I731" s="7" t="b">
        <v>0</v>
      </c>
      <c r="J731" s="7"/>
      <c r="K731" s="7">
        <v>85500.0</v>
      </c>
      <c r="L731" s="7">
        <v>15800.0</v>
      </c>
      <c r="M731" s="7">
        <v>266.0</v>
      </c>
      <c r="N731" s="7">
        <v>6.24</v>
      </c>
      <c r="O731" s="7"/>
      <c r="P731" s="7"/>
      <c r="Q731" s="10">
        <f t="shared" si="2"/>
        <v>18.8438785</v>
      </c>
      <c r="R731" s="11" t="str">
        <f t="shared" si="167"/>
        <v>#REF!</v>
      </c>
      <c r="S731" s="12">
        <f t="shared" si="4"/>
        <v>1.05</v>
      </c>
      <c r="T731" s="13" t="str">
        <f t="shared" si="168"/>
        <v>#N/A</v>
      </c>
      <c r="U731" s="8"/>
      <c r="V731" s="8">
        <f t="shared" si="175"/>
        <v>7735.079989</v>
      </c>
      <c r="W731" s="13" t="str">
        <f t="shared" si="170"/>
        <v>#REF!</v>
      </c>
      <c r="X731" s="39">
        <f t="shared" si="176"/>
        <v>0.4801012223</v>
      </c>
      <c r="Y731" s="40">
        <f t="shared" si="177"/>
        <v>3521.367734</v>
      </c>
      <c r="Z731" s="40">
        <f t="shared" si="178"/>
        <v>7334.636053</v>
      </c>
      <c r="AA731" s="15"/>
      <c r="AB731" s="15"/>
      <c r="AC731" s="15"/>
      <c r="AD731" s="15"/>
      <c r="AE731" s="15"/>
      <c r="AF731" s="15"/>
      <c r="AG731" s="15"/>
    </row>
    <row r="732" ht="15.75" hidden="1" customHeight="1">
      <c r="A732" s="7" t="s">
        <v>984</v>
      </c>
      <c r="B732" s="7" t="s">
        <v>984</v>
      </c>
      <c r="C732" s="7"/>
      <c r="D732" s="7">
        <v>2013.0</v>
      </c>
      <c r="E732" s="7"/>
      <c r="F732" s="7" t="b">
        <v>0</v>
      </c>
      <c r="G732" s="7" t="b">
        <v>1</v>
      </c>
      <c r="H732" s="7" t="b">
        <v>0</v>
      </c>
      <c r="I732" s="7" t="b">
        <v>0</v>
      </c>
      <c r="J732" s="7"/>
      <c r="K732" s="7">
        <v>1224.0</v>
      </c>
      <c r="L732" s="7">
        <v>330.7653</v>
      </c>
      <c r="M732" s="7">
        <v>293.1</v>
      </c>
      <c r="N732" s="7"/>
      <c r="O732" s="7"/>
      <c r="P732" s="7"/>
      <c r="Q732" s="10">
        <f t="shared" si="2"/>
        <v>27.55610606</v>
      </c>
      <c r="R732" s="11" t="str">
        <f t="shared" si="167"/>
        <v>#REF!</v>
      </c>
      <c r="S732" s="12">
        <f t="shared" si="4"/>
        <v>1.05</v>
      </c>
      <c r="T732" s="13" t="str">
        <f t="shared" si="168"/>
        <v>#N/A</v>
      </c>
      <c r="U732" s="8"/>
      <c r="V732" s="8">
        <f t="shared" si="175"/>
        <v>541.4020755</v>
      </c>
      <c r="W732" s="13" t="str">
        <f t="shared" si="170"/>
        <v>#REF!</v>
      </c>
      <c r="X732" s="39">
        <f t="shared" si="176"/>
        <v>0</v>
      </c>
      <c r="Y732" s="40">
        <f t="shared" si="177"/>
        <v>0</v>
      </c>
      <c r="Z732" s="40">
        <f t="shared" si="178"/>
        <v>517.449879</v>
      </c>
      <c r="AA732" s="15"/>
      <c r="AB732" s="15"/>
      <c r="AC732" s="15"/>
      <c r="AD732" s="15"/>
      <c r="AE732" s="15"/>
      <c r="AF732" s="15"/>
      <c r="AG732" s="15"/>
    </row>
    <row r="733" ht="15.75" hidden="1" customHeight="1">
      <c r="A733" s="16" t="s">
        <v>985</v>
      </c>
      <c r="B733" s="16" t="s">
        <v>985</v>
      </c>
      <c r="C733" s="16"/>
      <c r="D733" s="16">
        <v>2013.0</v>
      </c>
      <c r="E733" s="16"/>
      <c r="F733" s="16" t="b">
        <v>0</v>
      </c>
      <c r="G733" s="16" t="b">
        <v>1</v>
      </c>
      <c r="H733" s="16" t="b">
        <v>0</v>
      </c>
      <c r="I733" s="16" t="b">
        <v>0</v>
      </c>
      <c r="J733" s="16"/>
      <c r="K733" s="16">
        <v>1224.0</v>
      </c>
      <c r="L733" s="16">
        <v>396.2921</v>
      </c>
      <c r="M733" s="16">
        <v>300.6</v>
      </c>
      <c r="N733" s="16"/>
      <c r="O733" s="16"/>
      <c r="P733" s="16"/>
      <c r="Q733" s="19">
        <f t="shared" si="2"/>
        <v>33.01515345</v>
      </c>
      <c r="R733" s="20" t="str">
        <f t="shared" si="167"/>
        <v>#REF!</v>
      </c>
      <c r="S733" s="21">
        <f t="shared" si="4"/>
        <v>1.05</v>
      </c>
      <c r="T733" s="13" t="str">
        <f t="shared" si="168"/>
        <v>#N/A</v>
      </c>
      <c r="U733" s="8"/>
      <c r="V733" s="8">
        <f t="shared" si="175"/>
        <v>541.4020755</v>
      </c>
      <c r="W733" s="13" t="str">
        <f t="shared" si="170"/>
        <v>#REF!</v>
      </c>
      <c r="X733" s="39">
        <f t="shared" si="176"/>
        <v>0</v>
      </c>
      <c r="Y733" s="40">
        <f t="shared" si="177"/>
        <v>0</v>
      </c>
      <c r="Z733" s="40">
        <f t="shared" si="178"/>
        <v>525.8721091</v>
      </c>
      <c r="AA733" s="15"/>
      <c r="AB733" s="15"/>
      <c r="AC733" s="15"/>
      <c r="AD733" s="15"/>
      <c r="AE733" s="15"/>
      <c r="AF733" s="15"/>
      <c r="AG733" s="15"/>
    </row>
    <row r="734" ht="15.75" hidden="1" customHeight="1">
      <c r="A734" s="7" t="s">
        <v>986</v>
      </c>
      <c r="B734" s="7" t="s">
        <v>986</v>
      </c>
      <c r="C734" s="7"/>
      <c r="D734" s="7">
        <v>2013.0</v>
      </c>
      <c r="E734" s="7"/>
      <c r="F734" s="7" t="b">
        <v>0</v>
      </c>
      <c r="G734" s="7" t="b">
        <v>1</v>
      </c>
      <c r="H734" s="7" t="b">
        <v>0</v>
      </c>
      <c r="I734" s="7" t="b">
        <v>0</v>
      </c>
      <c r="J734" s="7"/>
      <c r="K734" s="7">
        <v>2300.0</v>
      </c>
      <c r="L734" s="7">
        <v>533.3418</v>
      </c>
      <c r="M734" s="7">
        <v>294.4</v>
      </c>
      <c r="N734" s="7"/>
      <c r="O734" s="7"/>
      <c r="P734" s="7"/>
      <c r="Q734" s="10">
        <f t="shared" si="2"/>
        <v>23.64596865</v>
      </c>
      <c r="R734" s="11" t="str">
        <f t="shared" si="167"/>
        <v>#REF!</v>
      </c>
      <c r="S734" s="12">
        <f t="shared" si="4"/>
        <v>1.05</v>
      </c>
      <c r="T734" s="13" t="str">
        <f t="shared" si="168"/>
        <v>#N/A</v>
      </c>
      <c r="U734" s="8"/>
      <c r="V734" s="8">
        <f t="shared" si="175"/>
        <v>800.0062794</v>
      </c>
      <c r="W734" s="13" t="str">
        <f t="shared" si="170"/>
        <v>#REF!</v>
      </c>
      <c r="X734" s="39">
        <f t="shared" si="176"/>
        <v>0</v>
      </c>
      <c r="Y734" s="40">
        <f t="shared" si="177"/>
        <v>0</v>
      </c>
      <c r="Z734" s="40">
        <f t="shared" si="178"/>
        <v>776.5120523</v>
      </c>
      <c r="AA734" s="15"/>
      <c r="AB734" s="15"/>
      <c r="AC734" s="15"/>
      <c r="AD734" s="15"/>
      <c r="AE734" s="15"/>
      <c r="AF734" s="15"/>
      <c r="AG734" s="15"/>
    </row>
    <row r="735" ht="15.75" hidden="1" customHeight="1">
      <c r="A735" s="16" t="s">
        <v>987</v>
      </c>
      <c r="B735" s="16" t="s">
        <v>987</v>
      </c>
      <c r="C735" s="16"/>
      <c r="D735" s="16">
        <v>2018.0</v>
      </c>
      <c r="E735" s="16" t="b">
        <v>0</v>
      </c>
      <c r="F735" s="16" t="b">
        <v>0</v>
      </c>
      <c r="G735" s="16" t="b">
        <v>1</v>
      </c>
      <c r="H735" s="16" t="b">
        <v>0</v>
      </c>
      <c r="I735" s="16" t="b">
        <v>0</v>
      </c>
      <c r="J735" s="16"/>
      <c r="K735" s="16">
        <v>85500.0</v>
      </c>
      <c r="L735" s="16">
        <v>20337.0</v>
      </c>
      <c r="M735" s="16">
        <v>265.0</v>
      </c>
      <c r="N735" s="16"/>
      <c r="O735" s="16"/>
      <c r="P735" s="16"/>
      <c r="Q735" s="19">
        <f t="shared" si="2"/>
        <v>24.25493399</v>
      </c>
      <c r="R735" s="20" t="str">
        <f t="shared" si="167"/>
        <v>#REF!</v>
      </c>
      <c r="S735" s="21">
        <f t="shared" si="4"/>
        <v>1.05</v>
      </c>
      <c r="T735" s="13" t="str">
        <f t="shared" si="168"/>
        <v>#N/A</v>
      </c>
      <c r="U735" s="8"/>
      <c r="V735" s="8">
        <f t="shared" si="175"/>
        <v>7735.079989</v>
      </c>
      <c r="W735" s="13" t="str">
        <f t="shared" si="170"/>
        <v>#REF!</v>
      </c>
      <c r="X735" s="39">
        <f t="shared" si="176"/>
        <v>0</v>
      </c>
      <c r="Y735" s="40">
        <f t="shared" si="177"/>
        <v>0</v>
      </c>
      <c r="Z735" s="40">
        <f t="shared" si="178"/>
        <v>7317.004406</v>
      </c>
      <c r="AA735" s="15"/>
      <c r="AB735" s="15"/>
      <c r="AC735" s="15"/>
      <c r="AD735" s="15"/>
      <c r="AE735" s="15"/>
      <c r="AF735" s="15"/>
      <c r="AG735" s="15"/>
    </row>
    <row r="736" ht="15.75" hidden="1" customHeight="1">
      <c r="A736" s="7" t="s">
        <v>988</v>
      </c>
      <c r="B736" s="7" t="s">
        <v>988</v>
      </c>
      <c r="C736" s="7"/>
      <c r="D736" s="7">
        <v>2018.0</v>
      </c>
      <c r="E736" s="7"/>
      <c r="F736" s="7" t="b">
        <v>0</v>
      </c>
      <c r="G736" s="7" t="b">
        <v>1</v>
      </c>
      <c r="H736" s="7" t="b">
        <v>0</v>
      </c>
      <c r="I736" s="7" t="b">
        <v>0</v>
      </c>
      <c r="J736" s="7"/>
      <c r="K736" s="7">
        <v>5100.0</v>
      </c>
      <c r="L736" s="7">
        <v>1658.0</v>
      </c>
      <c r="M736" s="7">
        <v>275.0</v>
      </c>
      <c r="N736" s="7"/>
      <c r="O736" s="7"/>
      <c r="P736" s="7"/>
      <c r="Q736" s="10">
        <f t="shared" si="2"/>
        <v>33.15077404</v>
      </c>
      <c r="R736" s="11" t="str">
        <f t="shared" si="167"/>
        <v>#REF!</v>
      </c>
      <c r="S736" s="12">
        <f t="shared" si="4"/>
        <v>1.05</v>
      </c>
      <c r="T736" s="13" t="str">
        <f t="shared" si="168"/>
        <v>#N/A</v>
      </c>
      <c r="U736" s="8"/>
      <c r="V736" s="8">
        <f t="shared" si="175"/>
        <v>1313.082754</v>
      </c>
      <c r="W736" s="13" t="str">
        <f t="shared" si="170"/>
        <v>#REF!</v>
      </c>
      <c r="X736" s="39">
        <f t="shared" si="176"/>
        <v>0</v>
      </c>
      <c r="Y736" s="40">
        <f t="shared" si="177"/>
        <v>0</v>
      </c>
      <c r="Z736" s="40">
        <f t="shared" si="178"/>
        <v>1236.584475</v>
      </c>
      <c r="AA736" s="15"/>
      <c r="AB736" s="15"/>
      <c r="AC736" s="15"/>
      <c r="AD736" s="15"/>
      <c r="AE736" s="15"/>
      <c r="AF736" s="15"/>
      <c r="AG736" s="15"/>
    </row>
    <row r="737" ht="15.75" hidden="1" customHeight="1">
      <c r="A737" s="16" t="s">
        <v>989</v>
      </c>
      <c r="B737" s="16" t="s">
        <v>989</v>
      </c>
      <c r="C737" s="16"/>
      <c r="D737" s="16">
        <v>2020.0</v>
      </c>
      <c r="E737" s="16"/>
      <c r="F737" s="16" t="b">
        <v>0</v>
      </c>
      <c r="G737" s="16" t="b">
        <v>1</v>
      </c>
      <c r="H737" s="16" t="b">
        <v>0</v>
      </c>
      <c r="I737" s="16" t="b">
        <v>0</v>
      </c>
      <c r="J737" s="16"/>
      <c r="K737" s="16">
        <v>5400.0</v>
      </c>
      <c r="L737" s="16">
        <v>2026.0</v>
      </c>
      <c r="M737" s="16">
        <v>275.0</v>
      </c>
      <c r="N737" s="16"/>
      <c r="O737" s="16"/>
      <c r="P737" s="16"/>
      <c r="Q737" s="19">
        <f t="shared" si="2"/>
        <v>38.25824151</v>
      </c>
      <c r="R737" s="20" t="str">
        <f t="shared" si="167"/>
        <v>#REF!</v>
      </c>
      <c r="S737" s="21">
        <f t="shared" si="4"/>
        <v>1.05</v>
      </c>
      <c r="T737" s="13" t="str">
        <f t="shared" si="168"/>
        <v>#N/A</v>
      </c>
      <c r="U737" s="8"/>
      <c r="V737" s="8">
        <f t="shared" si="175"/>
        <v>1360.766098</v>
      </c>
      <c r="W737" s="13" t="str">
        <f t="shared" si="170"/>
        <v>#REF!</v>
      </c>
      <c r="X737" s="39">
        <f t="shared" si="176"/>
        <v>0</v>
      </c>
      <c r="Y737" s="40">
        <f t="shared" si="177"/>
        <v>0</v>
      </c>
      <c r="Z737" s="40">
        <f t="shared" si="178"/>
        <v>1282.584714</v>
      </c>
      <c r="AA737" s="15">
        <f t="shared" ref="AA737:AA743" si="179">if(countif(B$2:B737,B737)&gt;1,T737-vlookup(B737,$B$2:$T$744,25,false),0)</f>
        <v>0</v>
      </c>
      <c r="AB737" s="15"/>
      <c r="AC737" s="15"/>
      <c r="AD737" s="15"/>
      <c r="AE737" s="15"/>
      <c r="AF737" s="15"/>
      <c r="AG737" s="15"/>
    </row>
    <row r="738" ht="15.75" hidden="1" customHeight="1">
      <c r="A738" s="7" t="s">
        <v>990</v>
      </c>
      <c r="B738" s="7" t="s">
        <v>898</v>
      </c>
      <c r="C738" s="7"/>
      <c r="D738" s="7"/>
      <c r="E738" s="7" t="b">
        <v>0</v>
      </c>
      <c r="F738" s="7" t="b">
        <v>0</v>
      </c>
      <c r="G738" s="7" t="b">
        <v>1</v>
      </c>
      <c r="H738" s="7" t="b">
        <v>0</v>
      </c>
      <c r="I738" s="7" t="b">
        <v>0</v>
      </c>
      <c r="J738" s="7"/>
      <c r="K738" s="7">
        <v>99.0</v>
      </c>
      <c r="L738" s="7">
        <v>126.8</v>
      </c>
      <c r="M738" s="7">
        <v>284.95</v>
      </c>
      <c r="N738" s="7">
        <v>4.76</v>
      </c>
      <c r="O738" s="7"/>
      <c r="P738" s="7"/>
      <c r="Q738" s="10">
        <f t="shared" si="2"/>
        <v>130.6060762</v>
      </c>
      <c r="R738" s="11" t="str">
        <f t="shared" si="167"/>
        <v>#REF!</v>
      </c>
      <c r="S738" s="12">
        <f t="shared" si="4"/>
        <v>1.05</v>
      </c>
      <c r="T738" s="13" t="str">
        <f t="shared" si="168"/>
        <v>#N/A</v>
      </c>
      <c r="U738" s="8"/>
      <c r="V738" s="8">
        <f t="shared" si="175"/>
        <v>116.5991604</v>
      </c>
      <c r="W738" s="13" t="str">
        <f t="shared" si="170"/>
        <v>#REF!</v>
      </c>
      <c r="X738" s="39">
        <f t="shared" si="176"/>
        <v>1.360669107</v>
      </c>
      <c r="Y738" s="40">
        <f t="shared" si="177"/>
        <v>138.6479473</v>
      </c>
      <c r="Z738" s="40">
        <f t="shared" si="178"/>
        <v>101.8968878</v>
      </c>
      <c r="AA738" s="15" t="str">
        <f t="shared" si="179"/>
        <v>#N/A</v>
      </c>
      <c r="AB738" s="15"/>
      <c r="AC738" s="15"/>
      <c r="AD738" s="15"/>
      <c r="AE738" s="15"/>
      <c r="AF738" s="15"/>
      <c r="AG738" s="15"/>
    </row>
    <row r="739" ht="15.75" hidden="1" customHeight="1">
      <c r="A739" s="16" t="s">
        <v>991</v>
      </c>
      <c r="B739" s="16" t="s">
        <v>991</v>
      </c>
      <c r="C739" s="16"/>
      <c r="D739" s="16"/>
      <c r="E739" s="16"/>
      <c r="F739" s="16" t="b">
        <v>0</v>
      </c>
      <c r="G739" s="16" t="b">
        <v>1</v>
      </c>
      <c r="H739" s="16" t="b">
        <v>0</v>
      </c>
      <c r="I739" s="16" t="b">
        <v>0</v>
      </c>
      <c r="J739" s="16"/>
      <c r="K739" s="16">
        <v>21.77</v>
      </c>
      <c r="L739" s="16">
        <v>35.5</v>
      </c>
      <c r="M739" s="16">
        <v>204.0</v>
      </c>
      <c r="N739" s="16"/>
      <c r="O739" s="16"/>
      <c r="P739" s="16"/>
      <c r="Q739" s="19">
        <f t="shared" si="2"/>
        <v>166.2835345</v>
      </c>
      <c r="R739" s="20" t="str">
        <f t="shared" si="167"/>
        <v>#REF!</v>
      </c>
      <c r="S739" s="21">
        <f t="shared" si="4"/>
        <v>1.05</v>
      </c>
      <c r="T739" s="13" t="str">
        <f t="shared" si="168"/>
        <v>#N/A</v>
      </c>
      <c r="U739" s="8"/>
      <c r="V739" s="8">
        <f t="shared" si="175"/>
        <v>47.15329523</v>
      </c>
      <c r="W739" s="13" t="str">
        <f t="shared" si="170"/>
        <v>#REF!</v>
      </c>
      <c r="X739" s="39">
        <f t="shared" si="176"/>
        <v>0</v>
      </c>
      <c r="Y739" s="40">
        <f t="shared" si="177"/>
        <v>0</v>
      </c>
      <c r="Z739" s="40">
        <f t="shared" si="178"/>
        <v>31.26785353</v>
      </c>
      <c r="AA739" s="15">
        <f t="shared" si="179"/>
        <v>0</v>
      </c>
      <c r="AB739" s="15"/>
      <c r="AC739" s="15"/>
      <c r="AD739" s="15"/>
      <c r="AE739" s="15"/>
      <c r="AF739" s="15"/>
      <c r="AG739" s="15"/>
    </row>
    <row r="740" ht="15.75" hidden="1" customHeight="1">
      <c r="A740" s="16" t="s">
        <v>992</v>
      </c>
      <c r="B740" s="16" t="s">
        <v>978</v>
      </c>
      <c r="C740" s="16"/>
      <c r="D740" s="16"/>
      <c r="E740" s="16"/>
      <c r="F740" s="16" t="b">
        <v>0</v>
      </c>
      <c r="G740" s="16" t="b">
        <v>1</v>
      </c>
      <c r="H740" s="16" t="b">
        <v>0</v>
      </c>
      <c r="I740" s="16" t="b">
        <v>0</v>
      </c>
      <c r="J740" s="16"/>
      <c r="K740" s="16">
        <v>36000.0</v>
      </c>
      <c r="L740" s="16">
        <v>7040.0</v>
      </c>
      <c r="M740" s="16">
        <v>277.0</v>
      </c>
      <c r="N740" s="16">
        <v>6.4</v>
      </c>
      <c r="O740" s="16"/>
      <c r="P740" s="16"/>
      <c r="Q740" s="19">
        <f t="shared" si="2"/>
        <v>19.941117</v>
      </c>
      <c r="R740" s="20" t="str">
        <f t="shared" si="167"/>
        <v>#REF!</v>
      </c>
      <c r="S740" s="21">
        <f t="shared" si="4"/>
        <v>1.05</v>
      </c>
      <c r="T740" s="13" t="str">
        <f t="shared" si="168"/>
        <v>#N/A</v>
      </c>
      <c r="U740" s="8"/>
      <c r="V740" s="8">
        <f t="shared" si="175"/>
        <v>4476.75385</v>
      </c>
      <c r="W740" s="13" t="str">
        <f t="shared" si="170"/>
        <v>#REF!</v>
      </c>
      <c r="X740" s="39">
        <f t="shared" si="176"/>
        <v>0.5525725016</v>
      </c>
      <c r="Y740" s="40">
        <f t="shared" si="177"/>
        <v>2393.117347</v>
      </c>
      <c r="Z740" s="40">
        <f t="shared" si="178"/>
        <v>4330.865797</v>
      </c>
      <c r="AA740" s="15" t="str">
        <f t="shared" si="179"/>
        <v>#N/A</v>
      </c>
      <c r="AB740" s="15"/>
      <c r="AC740" s="15"/>
      <c r="AD740" s="15"/>
      <c r="AE740" s="15"/>
      <c r="AF740" s="15"/>
      <c r="AG740" s="15"/>
    </row>
    <row r="741" ht="15.75" hidden="1" customHeight="1">
      <c r="A741" s="16" t="s">
        <v>993</v>
      </c>
      <c r="B741" s="16" t="s">
        <v>994</v>
      </c>
      <c r="C741" s="16"/>
      <c r="D741" s="16"/>
      <c r="E741" s="16"/>
      <c r="F741" s="16" t="b">
        <v>0</v>
      </c>
      <c r="G741" s="16" t="b">
        <v>1</v>
      </c>
      <c r="H741" s="16" t="b">
        <v>0</v>
      </c>
      <c r="I741" s="16" t="b">
        <v>0</v>
      </c>
      <c r="J741" s="16"/>
      <c r="K741" s="16">
        <v>17.55</v>
      </c>
      <c r="L741" s="16">
        <v>21.35</v>
      </c>
      <c r="M741" s="16">
        <v>282.0</v>
      </c>
      <c r="N741" s="16">
        <v>5.56</v>
      </c>
      <c r="O741" s="16"/>
      <c r="P741" s="16"/>
      <c r="Q741" s="19">
        <f t="shared" si="2"/>
        <v>124.0509463</v>
      </c>
      <c r="R741" s="20" t="str">
        <f t="shared" si="167"/>
        <v>#REF!</v>
      </c>
      <c r="S741" s="21">
        <f t="shared" si="4"/>
        <v>1.05</v>
      </c>
      <c r="T741" s="13" t="str">
        <f t="shared" si="168"/>
        <v>#N/A</v>
      </c>
      <c r="U741" s="8"/>
      <c r="V741" s="8">
        <f t="shared" si="175"/>
        <v>41.51077214</v>
      </c>
      <c r="W741" s="13" t="str">
        <f t="shared" si="170"/>
        <v>#REF!</v>
      </c>
      <c r="X741" s="39">
        <f t="shared" si="176"/>
        <v>2.005251362</v>
      </c>
      <c r="Y741" s="40">
        <f t="shared" si="177"/>
        <v>67.19298523</v>
      </c>
      <c r="Z741" s="40">
        <f t="shared" si="178"/>
        <v>33.50850995</v>
      </c>
      <c r="AA741" s="15">
        <f t="shared" si="179"/>
        <v>0</v>
      </c>
      <c r="AB741" s="15"/>
      <c r="AC741" s="15"/>
      <c r="AD741" s="15"/>
      <c r="AE741" s="15"/>
      <c r="AF741" s="15"/>
      <c r="AG741" s="15"/>
    </row>
    <row r="742" ht="15.75" hidden="1" customHeight="1">
      <c r="A742" s="16" t="s">
        <v>995</v>
      </c>
      <c r="B742" s="16" t="s">
        <v>939</v>
      </c>
      <c r="C742" s="16"/>
      <c r="D742" s="16"/>
      <c r="E742" s="16"/>
      <c r="F742" s="16" t="b">
        <v>0</v>
      </c>
      <c r="G742" s="16" t="b">
        <v>1</v>
      </c>
      <c r="H742" s="16" t="b">
        <v>0</v>
      </c>
      <c r="I742" s="16" t="b">
        <v>0</v>
      </c>
      <c r="J742" s="16"/>
      <c r="K742" s="16">
        <v>26.67</v>
      </c>
      <c r="L742" s="16">
        <v>23.4</v>
      </c>
      <c r="M742" s="16">
        <v>291.4</v>
      </c>
      <c r="N742" s="16">
        <v>4.11</v>
      </c>
      <c r="O742" s="16"/>
      <c r="P742" s="16"/>
      <c r="Q742" s="19">
        <f t="shared" si="2"/>
        <v>89.46891381</v>
      </c>
      <c r="R742" s="20" t="str">
        <f t="shared" si="167"/>
        <v>#REF!</v>
      </c>
      <c r="S742" s="21">
        <f t="shared" si="4"/>
        <v>1.05</v>
      </c>
      <c r="T742" s="13" t="str">
        <f t="shared" si="168"/>
        <v>#N/A</v>
      </c>
      <c r="U742" s="8"/>
      <c r="V742" s="8">
        <f t="shared" si="175"/>
        <v>53.18606411</v>
      </c>
      <c r="W742" s="13" t="str">
        <f t="shared" si="170"/>
        <v>#REF!</v>
      </c>
      <c r="X742" s="39">
        <f t="shared" si="176"/>
        <v>1.585511872</v>
      </c>
      <c r="Y742" s="40">
        <f t="shared" si="177"/>
        <v>70.88590393</v>
      </c>
      <c r="Z742" s="40">
        <f t="shared" si="178"/>
        <v>44.70852928</v>
      </c>
      <c r="AA742" s="15" t="str">
        <f t="shared" si="179"/>
        <v>#N/A</v>
      </c>
      <c r="AB742" s="15"/>
      <c r="AC742" s="15"/>
      <c r="AD742" s="15"/>
      <c r="AE742" s="15"/>
      <c r="AF742" s="15"/>
      <c r="AG742" s="15"/>
    </row>
    <row r="743" ht="15.75" hidden="1" customHeight="1">
      <c r="A743" s="16" t="s">
        <v>996</v>
      </c>
      <c r="B743" s="16" t="s">
        <v>997</v>
      </c>
      <c r="C743" s="16"/>
      <c r="D743" s="16"/>
      <c r="E743" s="16"/>
      <c r="F743" s="16" t="b">
        <v>0</v>
      </c>
      <c r="G743" s="16" t="b">
        <v>1</v>
      </c>
      <c r="H743" s="16" t="b">
        <v>0</v>
      </c>
      <c r="I743" s="16" t="b">
        <v>0</v>
      </c>
      <c r="J743" s="16"/>
      <c r="K743" s="16">
        <v>32.84</v>
      </c>
      <c r="L743" s="16">
        <v>30.9</v>
      </c>
      <c r="M743" s="16">
        <v>292.3</v>
      </c>
      <c r="N743" s="16">
        <v>3.56</v>
      </c>
      <c r="O743" s="16"/>
      <c r="P743" s="16"/>
      <c r="Q743" s="19">
        <f t="shared" si="2"/>
        <v>95.94771891</v>
      </c>
      <c r="R743" s="20" t="str">
        <f t="shared" si="167"/>
        <v>#REF!</v>
      </c>
      <c r="S743" s="21">
        <f t="shared" si="4"/>
        <v>1.05</v>
      </c>
      <c r="T743" s="13" t="str">
        <f t="shared" si="168"/>
        <v>#N/A</v>
      </c>
      <c r="U743" s="8"/>
      <c r="V743" s="8">
        <f t="shared" si="175"/>
        <v>60.19144537</v>
      </c>
      <c r="W743" s="13" t="str">
        <f t="shared" si="170"/>
        <v>#REF!</v>
      </c>
      <c r="X743" s="39">
        <f t="shared" si="176"/>
        <v>1.427037623</v>
      </c>
      <c r="Y743" s="40">
        <f t="shared" si="177"/>
        <v>73.01876847</v>
      </c>
      <c r="Z743" s="40">
        <f t="shared" si="178"/>
        <v>51.16807524</v>
      </c>
      <c r="AA743" s="15">
        <f t="shared" si="179"/>
        <v>0</v>
      </c>
      <c r="AB743" s="15"/>
      <c r="AC743" s="15"/>
      <c r="AD743" s="15"/>
      <c r="AE743" s="15"/>
      <c r="AF743" s="15"/>
      <c r="AG743" s="15"/>
    </row>
    <row r="744" ht="15.75" customHeight="1">
      <c r="R744" s="41"/>
      <c r="U744" s="42"/>
      <c r="V744" s="42"/>
      <c r="X744" s="39"/>
      <c r="Y744" s="39"/>
      <c r="Z744" s="43"/>
      <c r="AA744" s="15"/>
      <c r="AB744" s="15"/>
      <c r="AC744" s="15"/>
      <c r="AD744" s="15"/>
      <c r="AE744" s="15"/>
      <c r="AF744" s="15"/>
      <c r="AG744" s="15"/>
    </row>
    <row r="745" ht="15.75" customHeight="1">
      <c r="R745" s="41"/>
      <c r="U745" s="42"/>
      <c r="V745" s="42"/>
      <c r="Z745" s="43"/>
      <c r="AA745" s="43"/>
      <c r="AB745" s="43"/>
      <c r="AC745" s="43"/>
      <c r="AD745" s="43"/>
      <c r="AE745" s="43"/>
      <c r="AF745" s="43"/>
      <c r="AG745" s="43"/>
    </row>
    <row r="746" ht="15.75" customHeight="1">
      <c r="R746" s="41"/>
      <c r="U746" s="42"/>
      <c r="V746" s="42"/>
      <c r="Z746" s="43"/>
      <c r="AA746" s="43"/>
      <c r="AB746" s="43"/>
      <c r="AC746" s="43"/>
      <c r="AD746" s="43"/>
      <c r="AE746" s="43"/>
      <c r="AF746" s="43"/>
      <c r="AG746" s="43"/>
    </row>
    <row r="747" ht="15.75" customHeight="1">
      <c r="R747" s="41"/>
      <c r="U747" s="42"/>
      <c r="V747" s="42"/>
      <c r="Z747" s="43"/>
      <c r="AA747" s="43"/>
      <c r="AB747" s="43"/>
      <c r="AC747" s="43"/>
      <c r="AD747" s="43"/>
      <c r="AE747" s="43"/>
      <c r="AF747" s="43"/>
      <c r="AG747" s="43"/>
    </row>
    <row r="748" ht="15.75" customHeight="1">
      <c r="R748" s="41"/>
      <c r="U748" s="42"/>
      <c r="V748" s="42"/>
      <c r="Z748" s="43"/>
      <c r="AA748" s="43"/>
      <c r="AB748" s="43"/>
      <c r="AC748" s="43"/>
      <c r="AD748" s="43"/>
      <c r="AE748" s="43"/>
      <c r="AF748" s="43"/>
      <c r="AG748" s="43"/>
    </row>
    <row r="749" ht="15.75" customHeight="1">
      <c r="R749" s="41"/>
      <c r="U749" s="42"/>
      <c r="V749" s="42"/>
      <c r="Z749" s="43"/>
      <c r="AA749" s="43"/>
      <c r="AB749" s="43"/>
      <c r="AC749" s="43"/>
      <c r="AD749" s="43"/>
      <c r="AE749" s="43"/>
      <c r="AF749" s="43"/>
      <c r="AG749" s="43"/>
    </row>
    <row r="750" ht="15.75" customHeight="1">
      <c r="R750" s="41"/>
      <c r="U750" s="42"/>
      <c r="V750" s="42"/>
      <c r="Z750" s="43"/>
      <c r="AA750" s="43"/>
      <c r="AB750" s="43"/>
      <c r="AC750" s="43"/>
      <c r="AD750" s="43"/>
      <c r="AE750" s="43"/>
      <c r="AF750" s="43"/>
      <c r="AG750" s="43"/>
    </row>
    <row r="751" ht="15.75" customHeight="1">
      <c r="R751" s="41"/>
      <c r="U751" s="42"/>
      <c r="V751" s="42"/>
      <c r="Z751" s="43"/>
      <c r="AA751" s="43"/>
      <c r="AB751" s="43"/>
      <c r="AC751" s="43"/>
      <c r="AD751" s="43"/>
      <c r="AE751" s="43"/>
      <c r="AF751" s="43"/>
      <c r="AG751" s="43"/>
    </row>
    <row r="752" ht="15.75" customHeight="1">
      <c r="R752" s="41"/>
      <c r="U752" s="42"/>
      <c r="V752" s="42"/>
      <c r="Z752" s="43"/>
      <c r="AA752" s="43"/>
      <c r="AB752" s="43"/>
      <c r="AC752" s="43"/>
      <c r="AD752" s="43"/>
      <c r="AE752" s="43"/>
      <c r="AF752" s="43"/>
      <c r="AG752" s="43"/>
    </row>
    <row r="753" ht="15.75" customHeight="1">
      <c r="R753" s="41"/>
      <c r="U753" s="42"/>
      <c r="V753" s="42"/>
      <c r="Z753" s="43"/>
      <c r="AA753" s="43"/>
      <c r="AB753" s="43"/>
      <c r="AC753" s="43"/>
      <c r="AD753" s="43"/>
      <c r="AE753" s="43"/>
      <c r="AF753" s="43"/>
      <c r="AG753" s="43"/>
    </row>
    <row r="754" ht="15.75" customHeight="1">
      <c r="R754" s="41"/>
      <c r="U754" s="42"/>
      <c r="V754" s="42"/>
      <c r="Z754" s="43"/>
      <c r="AA754" s="43"/>
      <c r="AB754" s="43"/>
      <c r="AC754" s="43"/>
      <c r="AD754" s="43"/>
      <c r="AE754" s="43"/>
      <c r="AF754" s="43"/>
      <c r="AG754" s="43"/>
    </row>
    <row r="755" ht="15.75" customHeight="1">
      <c r="R755" s="41"/>
      <c r="U755" s="42"/>
      <c r="V755" s="42"/>
      <c r="Z755" s="43"/>
      <c r="AA755" s="43"/>
      <c r="AB755" s="43"/>
      <c r="AC755" s="43"/>
      <c r="AD755" s="43"/>
      <c r="AE755" s="43"/>
      <c r="AF755" s="43"/>
      <c r="AG755" s="43"/>
    </row>
    <row r="756" ht="15.75" customHeight="1">
      <c r="R756" s="41"/>
      <c r="U756" s="42"/>
      <c r="V756" s="42"/>
      <c r="Z756" s="43"/>
      <c r="AA756" s="43"/>
      <c r="AB756" s="43"/>
      <c r="AC756" s="43"/>
      <c r="AD756" s="43"/>
      <c r="AE756" s="43"/>
      <c r="AF756" s="43"/>
      <c r="AG756" s="43"/>
    </row>
    <row r="757" ht="15.75" customHeight="1">
      <c r="R757" s="41"/>
      <c r="U757" s="42"/>
      <c r="V757" s="42"/>
      <c r="Z757" s="43"/>
      <c r="AA757" s="43"/>
      <c r="AB757" s="43"/>
      <c r="AC757" s="43"/>
      <c r="AD757" s="43"/>
      <c r="AE757" s="43"/>
      <c r="AF757" s="43"/>
      <c r="AG757" s="43"/>
    </row>
    <row r="758" ht="15.75" customHeight="1">
      <c r="R758" s="41"/>
      <c r="U758" s="42"/>
      <c r="V758" s="42"/>
      <c r="Z758" s="43"/>
      <c r="AA758" s="43"/>
      <c r="AB758" s="43"/>
      <c r="AC758" s="43"/>
      <c r="AD758" s="43"/>
      <c r="AE758" s="43"/>
      <c r="AF758" s="43"/>
      <c r="AG758" s="43"/>
    </row>
    <row r="759" ht="15.75" customHeight="1">
      <c r="R759" s="41"/>
      <c r="U759" s="42"/>
      <c r="V759" s="42"/>
      <c r="Z759" s="43"/>
      <c r="AA759" s="43"/>
      <c r="AB759" s="43"/>
      <c r="AC759" s="43"/>
      <c r="AD759" s="43"/>
      <c r="AE759" s="43"/>
      <c r="AF759" s="43"/>
      <c r="AG759" s="43"/>
    </row>
    <row r="760" ht="15.75" customHeight="1">
      <c r="R760" s="41"/>
      <c r="U760" s="42"/>
      <c r="V760" s="42"/>
      <c r="Z760" s="43"/>
      <c r="AA760" s="43"/>
      <c r="AB760" s="43"/>
      <c r="AC760" s="43"/>
      <c r="AD760" s="43"/>
      <c r="AE760" s="43"/>
      <c r="AF760" s="43"/>
      <c r="AG760" s="43"/>
    </row>
    <row r="761" ht="15.75" customHeight="1">
      <c r="R761" s="41"/>
      <c r="U761" s="42"/>
      <c r="V761" s="42"/>
      <c r="Z761" s="43"/>
      <c r="AA761" s="43"/>
      <c r="AB761" s="43"/>
      <c r="AC761" s="43"/>
      <c r="AD761" s="43"/>
      <c r="AE761" s="43"/>
      <c r="AF761" s="43"/>
      <c r="AG761" s="43"/>
    </row>
    <row r="762" ht="15.75" customHeight="1">
      <c r="R762" s="41"/>
      <c r="U762" s="42"/>
      <c r="V762" s="42"/>
      <c r="Z762" s="43"/>
      <c r="AA762" s="43"/>
      <c r="AB762" s="43"/>
      <c r="AC762" s="43"/>
      <c r="AD762" s="43"/>
      <c r="AE762" s="43"/>
      <c r="AF762" s="43"/>
      <c r="AG762" s="43"/>
    </row>
    <row r="763" ht="15.75" customHeight="1">
      <c r="R763" s="41"/>
      <c r="U763" s="42"/>
      <c r="V763" s="42"/>
      <c r="Z763" s="43"/>
      <c r="AA763" s="43"/>
      <c r="AB763" s="43"/>
      <c r="AC763" s="43"/>
      <c r="AD763" s="43"/>
      <c r="AE763" s="43"/>
      <c r="AF763" s="43"/>
      <c r="AG763" s="43"/>
    </row>
    <row r="764" ht="15.75" customHeight="1">
      <c r="R764" s="41"/>
      <c r="U764" s="42"/>
      <c r="V764" s="42"/>
      <c r="Z764" s="43"/>
      <c r="AA764" s="43"/>
      <c r="AB764" s="43"/>
      <c r="AC764" s="43"/>
      <c r="AD764" s="43"/>
      <c r="AE764" s="43"/>
      <c r="AF764" s="43"/>
      <c r="AG764" s="43"/>
    </row>
    <row r="765" ht="15.75" customHeight="1">
      <c r="R765" s="41"/>
      <c r="U765" s="42"/>
      <c r="V765" s="42"/>
      <c r="Z765" s="43"/>
      <c r="AA765" s="43"/>
      <c r="AB765" s="43"/>
      <c r="AC765" s="43"/>
      <c r="AD765" s="43"/>
      <c r="AE765" s="43"/>
      <c r="AF765" s="43"/>
      <c r="AG765" s="43"/>
    </row>
    <row r="766" ht="15.75" customHeight="1">
      <c r="R766" s="41"/>
      <c r="U766" s="42"/>
      <c r="V766" s="42"/>
      <c r="Z766" s="43"/>
      <c r="AA766" s="43"/>
      <c r="AB766" s="43"/>
      <c r="AC766" s="43"/>
      <c r="AD766" s="43"/>
      <c r="AE766" s="43"/>
      <c r="AF766" s="43"/>
      <c r="AG766" s="43"/>
    </row>
    <row r="767" ht="15.75" customHeight="1">
      <c r="R767" s="41"/>
      <c r="U767" s="42"/>
      <c r="V767" s="42"/>
      <c r="Z767" s="43"/>
      <c r="AA767" s="43"/>
      <c r="AB767" s="43"/>
      <c r="AC767" s="43"/>
      <c r="AD767" s="43"/>
      <c r="AE767" s="43"/>
      <c r="AF767" s="43"/>
      <c r="AG767" s="43"/>
    </row>
    <row r="768" ht="15.75" customHeight="1">
      <c r="R768" s="41"/>
      <c r="U768" s="42"/>
      <c r="V768" s="42"/>
      <c r="Z768" s="43"/>
      <c r="AA768" s="43"/>
      <c r="AB768" s="43"/>
      <c r="AC768" s="43"/>
      <c r="AD768" s="43"/>
      <c r="AE768" s="43"/>
      <c r="AF768" s="43"/>
      <c r="AG768" s="43"/>
    </row>
    <row r="769" ht="15.75" customHeight="1">
      <c r="R769" s="41"/>
      <c r="U769" s="42"/>
      <c r="V769" s="42"/>
      <c r="Z769" s="43"/>
      <c r="AA769" s="43"/>
      <c r="AB769" s="43"/>
      <c r="AC769" s="43"/>
      <c r="AD769" s="43"/>
      <c r="AE769" s="43"/>
      <c r="AF769" s="43"/>
      <c r="AG769" s="43"/>
    </row>
    <row r="770" ht="15.75" customHeight="1">
      <c r="R770" s="41"/>
      <c r="U770" s="42"/>
      <c r="V770" s="42"/>
      <c r="Z770" s="43"/>
      <c r="AA770" s="43"/>
      <c r="AB770" s="43"/>
      <c r="AC770" s="43"/>
      <c r="AD770" s="43"/>
      <c r="AE770" s="43"/>
      <c r="AF770" s="43"/>
      <c r="AG770" s="43"/>
    </row>
    <row r="771" ht="15.75" customHeight="1">
      <c r="R771" s="41"/>
      <c r="U771" s="42"/>
      <c r="V771" s="42"/>
      <c r="Z771" s="43"/>
      <c r="AA771" s="43"/>
      <c r="AB771" s="43"/>
      <c r="AC771" s="43"/>
      <c r="AD771" s="43"/>
      <c r="AE771" s="43"/>
      <c r="AF771" s="43"/>
      <c r="AG771" s="43"/>
    </row>
    <row r="772" ht="15.75" customHeight="1">
      <c r="R772" s="41"/>
      <c r="U772" s="42"/>
      <c r="V772" s="42"/>
      <c r="Z772" s="43"/>
      <c r="AA772" s="43"/>
      <c r="AB772" s="43"/>
      <c r="AC772" s="43"/>
      <c r="AD772" s="43"/>
      <c r="AE772" s="43"/>
      <c r="AF772" s="43"/>
      <c r="AG772" s="43"/>
    </row>
    <row r="773" ht="15.75" customHeight="1">
      <c r="R773" s="41"/>
      <c r="U773" s="42"/>
      <c r="V773" s="42"/>
      <c r="Z773" s="43"/>
      <c r="AA773" s="43"/>
      <c r="AB773" s="43"/>
      <c r="AC773" s="43"/>
      <c r="AD773" s="43"/>
      <c r="AE773" s="43"/>
      <c r="AF773" s="43"/>
      <c r="AG773" s="43"/>
    </row>
    <row r="774" ht="15.75" customHeight="1">
      <c r="R774" s="41"/>
      <c r="U774" s="42"/>
      <c r="V774" s="42"/>
      <c r="Z774" s="43"/>
      <c r="AA774" s="43"/>
      <c r="AB774" s="43"/>
      <c r="AC774" s="43"/>
      <c r="AD774" s="43"/>
      <c r="AE774" s="43"/>
      <c r="AF774" s="43"/>
      <c r="AG774" s="43"/>
    </row>
    <row r="775" ht="15.75" customHeight="1">
      <c r="R775" s="41"/>
      <c r="U775" s="42"/>
      <c r="V775" s="42"/>
      <c r="Z775" s="43"/>
      <c r="AA775" s="43"/>
      <c r="AB775" s="43"/>
      <c r="AC775" s="43"/>
      <c r="AD775" s="43"/>
      <c r="AE775" s="43"/>
      <c r="AF775" s="43"/>
      <c r="AG775" s="43"/>
    </row>
    <row r="776" ht="15.75" customHeight="1">
      <c r="R776" s="41"/>
      <c r="U776" s="42"/>
      <c r="V776" s="42"/>
      <c r="Z776" s="43"/>
      <c r="AA776" s="43"/>
      <c r="AB776" s="43"/>
      <c r="AC776" s="43"/>
      <c r="AD776" s="43"/>
      <c r="AE776" s="43"/>
      <c r="AF776" s="43"/>
      <c r="AG776" s="43"/>
    </row>
    <row r="777" ht="15.75" customHeight="1">
      <c r="R777" s="41"/>
      <c r="U777" s="42"/>
      <c r="V777" s="42"/>
      <c r="Z777" s="43"/>
      <c r="AA777" s="43"/>
      <c r="AB777" s="43"/>
      <c r="AC777" s="43"/>
      <c r="AD777" s="43"/>
      <c r="AE777" s="43"/>
      <c r="AF777" s="43"/>
      <c r="AG777" s="43"/>
    </row>
    <row r="778" ht="15.75" customHeight="1">
      <c r="R778" s="41"/>
      <c r="U778" s="42"/>
      <c r="V778" s="42"/>
      <c r="Z778" s="43"/>
      <c r="AA778" s="43"/>
      <c r="AB778" s="43"/>
      <c r="AC778" s="43"/>
      <c r="AD778" s="43"/>
      <c r="AE778" s="43"/>
      <c r="AF778" s="43"/>
      <c r="AG778" s="43"/>
    </row>
    <row r="779" ht="15.75" customHeight="1">
      <c r="R779" s="41"/>
      <c r="U779" s="42"/>
      <c r="V779" s="42"/>
      <c r="Z779" s="43"/>
      <c r="AA779" s="43"/>
      <c r="AB779" s="43"/>
      <c r="AC779" s="43"/>
      <c r="AD779" s="43"/>
      <c r="AE779" s="43"/>
      <c r="AF779" s="43"/>
      <c r="AG779" s="43"/>
    </row>
    <row r="780" ht="15.75" customHeight="1">
      <c r="R780" s="41"/>
      <c r="U780" s="42"/>
      <c r="V780" s="42"/>
      <c r="Z780" s="43"/>
      <c r="AA780" s="43"/>
      <c r="AB780" s="43"/>
      <c r="AC780" s="43"/>
      <c r="AD780" s="43"/>
      <c r="AE780" s="43"/>
      <c r="AF780" s="43"/>
      <c r="AG780" s="43"/>
    </row>
    <row r="781" ht="15.75" customHeight="1">
      <c r="R781" s="41"/>
      <c r="U781" s="42"/>
      <c r="V781" s="42"/>
      <c r="Z781" s="43"/>
      <c r="AA781" s="43"/>
      <c r="AB781" s="43"/>
      <c r="AC781" s="43"/>
      <c r="AD781" s="43"/>
      <c r="AE781" s="43"/>
      <c r="AF781" s="43"/>
      <c r="AG781" s="43"/>
    </row>
    <row r="782" ht="15.75" customHeight="1">
      <c r="R782" s="41"/>
      <c r="U782" s="42"/>
      <c r="V782" s="42"/>
      <c r="Z782" s="43"/>
      <c r="AA782" s="43"/>
      <c r="AB782" s="43"/>
      <c r="AC782" s="43"/>
      <c r="AD782" s="43"/>
      <c r="AE782" s="43"/>
      <c r="AF782" s="43"/>
      <c r="AG782" s="43"/>
    </row>
    <row r="783" ht="15.75" customHeight="1">
      <c r="R783" s="41"/>
      <c r="U783" s="42"/>
      <c r="V783" s="42"/>
      <c r="Z783" s="43"/>
      <c r="AA783" s="43"/>
      <c r="AB783" s="43"/>
      <c r="AC783" s="43"/>
      <c r="AD783" s="43"/>
      <c r="AE783" s="43"/>
      <c r="AF783" s="43"/>
      <c r="AG783" s="43"/>
    </row>
    <row r="784" ht="15.75" customHeight="1">
      <c r="R784" s="41"/>
      <c r="U784" s="42"/>
      <c r="V784" s="42"/>
      <c r="Z784" s="43"/>
      <c r="AA784" s="43"/>
      <c r="AB784" s="43"/>
      <c r="AC784" s="43"/>
      <c r="AD784" s="43"/>
      <c r="AE784" s="43"/>
      <c r="AF784" s="43"/>
      <c r="AG784" s="43"/>
    </row>
    <row r="785" ht="15.75" customHeight="1">
      <c r="R785" s="41"/>
      <c r="U785" s="42"/>
      <c r="V785" s="42"/>
      <c r="Z785" s="43"/>
      <c r="AA785" s="43"/>
      <c r="AB785" s="43"/>
      <c r="AC785" s="43"/>
      <c r="AD785" s="43"/>
      <c r="AE785" s="43"/>
      <c r="AF785" s="43"/>
      <c r="AG785" s="43"/>
    </row>
    <row r="786" ht="15.75" customHeight="1">
      <c r="R786" s="41"/>
      <c r="U786" s="42"/>
      <c r="V786" s="42"/>
      <c r="Z786" s="43"/>
      <c r="AA786" s="43"/>
      <c r="AB786" s="43"/>
      <c r="AC786" s="43"/>
      <c r="AD786" s="43"/>
      <c r="AE786" s="43"/>
      <c r="AF786" s="43"/>
      <c r="AG786" s="43"/>
    </row>
    <row r="787" ht="15.75" customHeight="1">
      <c r="R787" s="41"/>
      <c r="U787" s="42"/>
      <c r="V787" s="42"/>
      <c r="Z787" s="43"/>
      <c r="AA787" s="43"/>
      <c r="AB787" s="43"/>
      <c r="AC787" s="43"/>
      <c r="AD787" s="43"/>
      <c r="AE787" s="43"/>
      <c r="AF787" s="43"/>
      <c r="AG787" s="43"/>
    </row>
    <row r="788" ht="15.75" customHeight="1">
      <c r="R788" s="41"/>
      <c r="U788" s="42"/>
      <c r="V788" s="42"/>
      <c r="Z788" s="43"/>
      <c r="AA788" s="43"/>
      <c r="AB788" s="43"/>
      <c r="AC788" s="43"/>
      <c r="AD788" s="43"/>
      <c r="AE788" s="43"/>
      <c r="AF788" s="43"/>
      <c r="AG788" s="43"/>
    </row>
    <row r="789" ht="15.75" customHeight="1">
      <c r="R789" s="41"/>
      <c r="U789" s="42"/>
      <c r="V789" s="42"/>
      <c r="Z789" s="43"/>
      <c r="AA789" s="43"/>
      <c r="AB789" s="43"/>
      <c r="AC789" s="43"/>
      <c r="AD789" s="43"/>
      <c r="AE789" s="43"/>
      <c r="AF789" s="43"/>
      <c r="AG789" s="43"/>
    </row>
    <row r="790" ht="15.75" customHeight="1">
      <c r="R790" s="41"/>
      <c r="U790" s="42"/>
      <c r="V790" s="42"/>
      <c r="Z790" s="43"/>
      <c r="AA790" s="43"/>
      <c r="AB790" s="43"/>
      <c r="AC790" s="43"/>
      <c r="AD790" s="43"/>
      <c r="AE790" s="43"/>
      <c r="AF790" s="43"/>
      <c r="AG790" s="43"/>
    </row>
    <row r="791" ht="15.75" customHeight="1">
      <c r="R791" s="41"/>
      <c r="U791" s="42"/>
      <c r="V791" s="42"/>
      <c r="Z791" s="43"/>
      <c r="AA791" s="43"/>
      <c r="AB791" s="43"/>
      <c r="AC791" s="43"/>
      <c r="AD791" s="43"/>
      <c r="AE791" s="43"/>
      <c r="AF791" s="43"/>
      <c r="AG791" s="43"/>
    </row>
    <row r="792" ht="15.75" customHeight="1">
      <c r="R792" s="41"/>
      <c r="U792" s="42"/>
      <c r="V792" s="42"/>
      <c r="Z792" s="43"/>
      <c r="AA792" s="43"/>
      <c r="AB792" s="43"/>
      <c r="AC792" s="43"/>
      <c r="AD792" s="43"/>
      <c r="AE792" s="43"/>
      <c r="AF792" s="43"/>
      <c r="AG792" s="43"/>
    </row>
    <row r="793" ht="15.75" customHeight="1">
      <c r="R793" s="41"/>
      <c r="U793" s="42"/>
      <c r="V793" s="42"/>
      <c r="Z793" s="43"/>
      <c r="AA793" s="43"/>
      <c r="AB793" s="43"/>
      <c r="AC793" s="43"/>
      <c r="AD793" s="43"/>
      <c r="AE793" s="43"/>
      <c r="AF793" s="43"/>
      <c r="AG793" s="43"/>
    </row>
    <row r="794" ht="15.75" customHeight="1">
      <c r="R794" s="41"/>
      <c r="U794" s="42"/>
      <c r="V794" s="42"/>
      <c r="Z794" s="43"/>
      <c r="AA794" s="43"/>
      <c r="AB794" s="43"/>
      <c r="AC794" s="43"/>
      <c r="AD794" s="43"/>
      <c r="AE794" s="43"/>
      <c r="AF794" s="43"/>
      <c r="AG794" s="43"/>
    </row>
    <row r="795" ht="15.75" customHeight="1">
      <c r="R795" s="41"/>
      <c r="U795" s="42"/>
      <c r="V795" s="42"/>
      <c r="Z795" s="43"/>
      <c r="AA795" s="43"/>
      <c r="AB795" s="43"/>
      <c r="AC795" s="43"/>
      <c r="AD795" s="43"/>
      <c r="AE795" s="43"/>
      <c r="AF795" s="43"/>
      <c r="AG795" s="43"/>
    </row>
    <row r="796" ht="15.75" customHeight="1">
      <c r="R796" s="41"/>
      <c r="U796" s="42"/>
      <c r="V796" s="42"/>
      <c r="Z796" s="43"/>
      <c r="AA796" s="43"/>
      <c r="AB796" s="43"/>
      <c r="AC796" s="43"/>
      <c r="AD796" s="43"/>
      <c r="AE796" s="43"/>
      <c r="AF796" s="43"/>
      <c r="AG796" s="43"/>
    </row>
    <row r="797" ht="15.75" customHeight="1">
      <c r="R797" s="41"/>
      <c r="U797" s="42"/>
      <c r="V797" s="42"/>
      <c r="Z797" s="43"/>
      <c r="AA797" s="43"/>
      <c r="AB797" s="43"/>
      <c r="AC797" s="43"/>
      <c r="AD797" s="43"/>
      <c r="AE797" s="43"/>
      <c r="AF797" s="43"/>
      <c r="AG797" s="43"/>
    </row>
    <row r="798" ht="15.75" customHeight="1">
      <c r="R798" s="41"/>
      <c r="U798" s="42"/>
      <c r="V798" s="42"/>
      <c r="Z798" s="43"/>
      <c r="AA798" s="43"/>
      <c r="AB798" s="43"/>
      <c r="AC798" s="43"/>
      <c r="AD798" s="43"/>
      <c r="AE798" s="43"/>
      <c r="AF798" s="43"/>
      <c r="AG798" s="43"/>
    </row>
    <row r="799" ht="15.75" customHeight="1">
      <c r="R799" s="41"/>
      <c r="U799" s="42"/>
      <c r="V799" s="42"/>
      <c r="Z799" s="43"/>
      <c r="AA799" s="43"/>
      <c r="AB799" s="43"/>
      <c r="AC799" s="43"/>
      <c r="AD799" s="43"/>
      <c r="AE799" s="43"/>
      <c r="AF799" s="43"/>
      <c r="AG799" s="43"/>
    </row>
    <row r="800" ht="15.75" customHeight="1">
      <c r="R800" s="41"/>
      <c r="U800" s="42"/>
      <c r="V800" s="42"/>
      <c r="Z800" s="43"/>
      <c r="AA800" s="43"/>
      <c r="AB800" s="43"/>
      <c r="AC800" s="43"/>
      <c r="AD800" s="43"/>
      <c r="AE800" s="43"/>
      <c r="AF800" s="43"/>
      <c r="AG800" s="43"/>
    </row>
    <row r="801" ht="15.75" customHeight="1">
      <c r="R801" s="41"/>
      <c r="U801" s="42"/>
      <c r="V801" s="42"/>
      <c r="Z801" s="43"/>
      <c r="AA801" s="43"/>
      <c r="AB801" s="43"/>
      <c r="AC801" s="43"/>
      <c r="AD801" s="43"/>
      <c r="AE801" s="43"/>
      <c r="AF801" s="43"/>
      <c r="AG801" s="43"/>
    </row>
    <row r="802" ht="15.75" customHeight="1">
      <c r="R802" s="41"/>
      <c r="U802" s="42"/>
      <c r="V802" s="42"/>
      <c r="Z802" s="43"/>
      <c r="AA802" s="43"/>
      <c r="AB802" s="43"/>
      <c r="AC802" s="43"/>
      <c r="AD802" s="43"/>
      <c r="AE802" s="43"/>
      <c r="AF802" s="43"/>
      <c r="AG802" s="43"/>
    </row>
    <row r="803" ht="15.75" customHeight="1">
      <c r="R803" s="41"/>
      <c r="U803" s="42"/>
      <c r="V803" s="42"/>
      <c r="Z803" s="43"/>
      <c r="AA803" s="43"/>
      <c r="AB803" s="43"/>
      <c r="AC803" s="43"/>
      <c r="AD803" s="43"/>
      <c r="AE803" s="43"/>
      <c r="AF803" s="43"/>
      <c r="AG803" s="43"/>
    </row>
    <row r="804" ht="15.75" customHeight="1">
      <c r="R804" s="41"/>
      <c r="U804" s="42"/>
      <c r="V804" s="42"/>
      <c r="Z804" s="43"/>
      <c r="AA804" s="43"/>
      <c r="AB804" s="43"/>
      <c r="AC804" s="43"/>
      <c r="AD804" s="43"/>
      <c r="AE804" s="43"/>
      <c r="AF804" s="43"/>
      <c r="AG804" s="43"/>
    </row>
    <row r="805" ht="15.75" customHeight="1">
      <c r="R805" s="41"/>
      <c r="U805" s="42"/>
      <c r="V805" s="42"/>
      <c r="Z805" s="43"/>
      <c r="AA805" s="43"/>
      <c r="AB805" s="43"/>
      <c r="AC805" s="43"/>
      <c r="AD805" s="43"/>
      <c r="AE805" s="43"/>
      <c r="AF805" s="43"/>
      <c r="AG805" s="43"/>
    </row>
    <row r="806" ht="15.75" customHeight="1">
      <c r="R806" s="41"/>
      <c r="U806" s="42"/>
      <c r="V806" s="42"/>
      <c r="Z806" s="43"/>
      <c r="AA806" s="43"/>
      <c r="AB806" s="43"/>
      <c r="AC806" s="43"/>
      <c r="AD806" s="43"/>
      <c r="AE806" s="43"/>
      <c r="AF806" s="43"/>
      <c r="AG806" s="43"/>
    </row>
    <row r="807" ht="15.75" customHeight="1">
      <c r="R807" s="41"/>
      <c r="U807" s="42"/>
      <c r="V807" s="42"/>
      <c r="Z807" s="43"/>
      <c r="AA807" s="43"/>
      <c r="AB807" s="43"/>
      <c r="AC807" s="43"/>
      <c r="AD807" s="43"/>
      <c r="AE807" s="43"/>
      <c r="AF807" s="43"/>
      <c r="AG807" s="43"/>
    </row>
    <row r="808" ht="15.75" customHeight="1">
      <c r="R808" s="41"/>
      <c r="U808" s="42"/>
      <c r="V808" s="42"/>
      <c r="Z808" s="43"/>
      <c r="AA808" s="43"/>
      <c r="AB808" s="43"/>
      <c r="AC808" s="43"/>
      <c r="AD808" s="43"/>
      <c r="AE808" s="43"/>
      <c r="AF808" s="43"/>
      <c r="AG808" s="43"/>
    </row>
    <row r="809" ht="15.75" customHeight="1">
      <c r="R809" s="41"/>
      <c r="U809" s="42"/>
      <c r="V809" s="42"/>
      <c r="Z809" s="43"/>
      <c r="AA809" s="43"/>
      <c r="AB809" s="43"/>
      <c r="AC809" s="43"/>
      <c r="AD809" s="43"/>
      <c r="AE809" s="43"/>
      <c r="AF809" s="43"/>
      <c r="AG809" s="43"/>
    </row>
    <row r="810" ht="15.75" customHeight="1">
      <c r="R810" s="41"/>
      <c r="U810" s="42"/>
      <c r="V810" s="42"/>
      <c r="Z810" s="43"/>
      <c r="AA810" s="43"/>
      <c r="AB810" s="43"/>
      <c r="AC810" s="43"/>
      <c r="AD810" s="43"/>
      <c r="AE810" s="43"/>
      <c r="AF810" s="43"/>
      <c r="AG810" s="43"/>
    </row>
    <row r="811" ht="15.75" customHeight="1">
      <c r="R811" s="41"/>
      <c r="U811" s="42"/>
      <c r="V811" s="42"/>
      <c r="Z811" s="43"/>
      <c r="AA811" s="43"/>
      <c r="AB811" s="43"/>
      <c r="AC811" s="43"/>
      <c r="AD811" s="43"/>
      <c r="AE811" s="43"/>
      <c r="AF811" s="43"/>
      <c r="AG811" s="43"/>
    </row>
    <row r="812" ht="15.75" customHeight="1">
      <c r="R812" s="41"/>
      <c r="U812" s="42"/>
      <c r="V812" s="42"/>
      <c r="Z812" s="43"/>
      <c r="AA812" s="43"/>
      <c r="AB812" s="43"/>
      <c r="AC812" s="43"/>
      <c r="AD812" s="43"/>
      <c r="AE812" s="43"/>
      <c r="AF812" s="43"/>
      <c r="AG812" s="43"/>
    </row>
    <row r="813" ht="15.75" customHeight="1">
      <c r="R813" s="41"/>
      <c r="U813" s="42"/>
      <c r="V813" s="42"/>
      <c r="Z813" s="43"/>
      <c r="AA813" s="43"/>
      <c r="AB813" s="43"/>
      <c r="AC813" s="43"/>
      <c r="AD813" s="43"/>
      <c r="AE813" s="43"/>
      <c r="AF813" s="43"/>
      <c r="AG813" s="43"/>
    </row>
    <row r="814" ht="15.75" customHeight="1">
      <c r="R814" s="41"/>
      <c r="U814" s="42"/>
      <c r="V814" s="42"/>
      <c r="Z814" s="43"/>
      <c r="AA814" s="43"/>
      <c r="AB814" s="43"/>
      <c r="AC814" s="43"/>
      <c r="AD814" s="43"/>
      <c r="AE814" s="43"/>
      <c r="AF814" s="43"/>
      <c r="AG814" s="43"/>
    </row>
    <row r="815" ht="15.75" customHeight="1">
      <c r="R815" s="41"/>
      <c r="U815" s="42"/>
      <c r="V815" s="42"/>
      <c r="Z815" s="43"/>
      <c r="AA815" s="43"/>
      <c r="AB815" s="43"/>
      <c r="AC815" s="43"/>
      <c r="AD815" s="43"/>
      <c r="AE815" s="43"/>
      <c r="AF815" s="43"/>
      <c r="AG815" s="43"/>
    </row>
    <row r="816" ht="15.75" customHeight="1">
      <c r="R816" s="41"/>
      <c r="U816" s="42"/>
      <c r="V816" s="42"/>
      <c r="Z816" s="43"/>
      <c r="AA816" s="43"/>
      <c r="AB816" s="43"/>
      <c r="AC816" s="43"/>
      <c r="AD816" s="43"/>
      <c r="AE816" s="43"/>
      <c r="AF816" s="43"/>
      <c r="AG816" s="43"/>
    </row>
    <row r="817" ht="15.75" customHeight="1">
      <c r="R817" s="41"/>
      <c r="U817" s="42"/>
      <c r="V817" s="42"/>
      <c r="Z817" s="43"/>
      <c r="AA817" s="43"/>
      <c r="AB817" s="43"/>
      <c r="AC817" s="43"/>
      <c r="AD817" s="43"/>
      <c r="AE817" s="43"/>
      <c r="AF817" s="43"/>
      <c r="AG817" s="43"/>
    </row>
    <row r="818" ht="15.75" customHeight="1">
      <c r="R818" s="41"/>
      <c r="U818" s="42"/>
      <c r="V818" s="42"/>
      <c r="Z818" s="43"/>
      <c r="AA818" s="43"/>
      <c r="AB818" s="43"/>
      <c r="AC818" s="43"/>
      <c r="AD818" s="43"/>
      <c r="AE818" s="43"/>
      <c r="AF818" s="43"/>
      <c r="AG818" s="43"/>
    </row>
    <row r="819" ht="15.75" customHeight="1">
      <c r="R819" s="41"/>
      <c r="U819" s="42"/>
      <c r="V819" s="42"/>
      <c r="Z819" s="43"/>
      <c r="AA819" s="43"/>
      <c r="AB819" s="43"/>
      <c r="AC819" s="43"/>
      <c r="AD819" s="43"/>
      <c r="AE819" s="43"/>
      <c r="AF819" s="43"/>
      <c r="AG819" s="43"/>
    </row>
    <row r="820" ht="15.75" customHeight="1">
      <c r="R820" s="41"/>
      <c r="U820" s="42"/>
      <c r="V820" s="42"/>
      <c r="Z820" s="43"/>
      <c r="AA820" s="43"/>
      <c r="AB820" s="43"/>
      <c r="AC820" s="43"/>
      <c r="AD820" s="43"/>
      <c r="AE820" s="43"/>
      <c r="AF820" s="43"/>
      <c r="AG820" s="43"/>
    </row>
    <row r="821" ht="15.75" customHeight="1">
      <c r="R821" s="41"/>
      <c r="U821" s="42"/>
      <c r="V821" s="42"/>
      <c r="Z821" s="43"/>
      <c r="AA821" s="43"/>
      <c r="AB821" s="43"/>
      <c r="AC821" s="43"/>
      <c r="AD821" s="43"/>
      <c r="AE821" s="43"/>
      <c r="AF821" s="43"/>
      <c r="AG821" s="43"/>
    </row>
    <row r="822" ht="15.75" customHeight="1">
      <c r="R822" s="41"/>
      <c r="U822" s="42"/>
      <c r="V822" s="42"/>
      <c r="Z822" s="43"/>
      <c r="AA822" s="43"/>
      <c r="AB822" s="43"/>
      <c r="AC822" s="43"/>
      <c r="AD822" s="43"/>
      <c r="AE822" s="43"/>
      <c r="AF822" s="43"/>
      <c r="AG822" s="43"/>
    </row>
    <row r="823" ht="15.75" customHeight="1">
      <c r="R823" s="41"/>
      <c r="U823" s="42"/>
      <c r="V823" s="42"/>
      <c r="Z823" s="43"/>
      <c r="AA823" s="43"/>
      <c r="AB823" s="43"/>
      <c r="AC823" s="43"/>
      <c r="AD823" s="43"/>
      <c r="AE823" s="43"/>
      <c r="AF823" s="43"/>
      <c r="AG823" s="43"/>
    </row>
    <row r="824" ht="15.75" customHeight="1">
      <c r="R824" s="41"/>
      <c r="U824" s="42"/>
      <c r="V824" s="42"/>
      <c r="Z824" s="43"/>
      <c r="AA824" s="43"/>
      <c r="AB824" s="43"/>
      <c r="AC824" s="43"/>
      <c r="AD824" s="43"/>
      <c r="AE824" s="43"/>
      <c r="AF824" s="43"/>
      <c r="AG824" s="43"/>
    </row>
    <row r="825" ht="15.75" customHeight="1">
      <c r="R825" s="41"/>
      <c r="U825" s="42"/>
      <c r="V825" s="42"/>
      <c r="Z825" s="43"/>
      <c r="AA825" s="43"/>
      <c r="AB825" s="43"/>
      <c r="AC825" s="43"/>
      <c r="AD825" s="43"/>
      <c r="AE825" s="43"/>
      <c r="AF825" s="43"/>
      <c r="AG825" s="43"/>
    </row>
    <row r="826" ht="15.75" customHeight="1">
      <c r="R826" s="41"/>
      <c r="U826" s="42"/>
      <c r="V826" s="42"/>
      <c r="Z826" s="43"/>
      <c r="AA826" s="43"/>
      <c r="AB826" s="43"/>
      <c r="AC826" s="43"/>
      <c r="AD826" s="43"/>
      <c r="AE826" s="43"/>
      <c r="AF826" s="43"/>
      <c r="AG826" s="43"/>
    </row>
    <row r="827" ht="15.75" customHeight="1">
      <c r="R827" s="41"/>
      <c r="U827" s="42"/>
      <c r="V827" s="42"/>
      <c r="Z827" s="43"/>
      <c r="AA827" s="43"/>
      <c r="AB827" s="43"/>
      <c r="AC827" s="43"/>
      <c r="AD827" s="43"/>
      <c r="AE827" s="43"/>
      <c r="AF827" s="43"/>
      <c r="AG827" s="43"/>
    </row>
    <row r="828" ht="15.75" customHeight="1">
      <c r="R828" s="41"/>
      <c r="U828" s="42"/>
      <c r="V828" s="42"/>
      <c r="Z828" s="43"/>
      <c r="AA828" s="43"/>
      <c r="AB828" s="43"/>
      <c r="AC828" s="43"/>
      <c r="AD828" s="43"/>
      <c r="AE828" s="43"/>
      <c r="AF828" s="43"/>
      <c r="AG828" s="43"/>
    </row>
    <row r="829" ht="15.75" customHeight="1">
      <c r="R829" s="41"/>
      <c r="U829" s="42"/>
      <c r="V829" s="42"/>
      <c r="Z829" s="43"/>
      <c r="AA829" s="43"/>
      <c r="AB829" s="43"/>
      <c r="AC829" s="43"/>
      <c r="AD829" s="43"/>
      <c r="AE829" s="43"/>
      <c r="AF829" s="43"/>
      <c r="AG829" s="43"/>
    </row>
    <row r="830" ht="15.75" customHeight="1">
      <c r="R830" s="41"/>
      <c r="U830" s="42"/>
      <c r="V830" s="42"/>
      <c r="Z830" s="43"/>
      <c r="AA830" s="43"/>
      <c r="AB830" s="43"/>
      <c r="AC830" s="43"/>
      <c r="AD830" s="43"/>
      <c r="AE830" s="43"/>
      <c r="AF830" s="43"/>
      <c r="AG830" s="43"/>
    </row>
    <row r="831" ht="15.75" customHeight="1">
      <c r="R831" s="41"/>
      <c r="U831" s="42"/>
      <c r="V831" s="42"/>
      <c r="Z831" s="43"/>
      <c r="AA831" s="43"/>
      <c r="AB831" s="43"/>
      <c r="AC831" s="43"/>
      <c r="AD831" s="43"/>
      <c r="AE831" s="43"/>
      <c r="AF831" s="43"/>
      <c r="AG831" s="43"/>
    </row>
    <row r="832" ht="15.75" customHeight="1">
      <c r="R832" s="41"/>
      <c r="U832" s="42"/>
      <c r="V832" s="42"/>
      <c r="Z832" s="43"/>
      <c r="AA832" s="43"/>
      <c r="AB832" s="43"/>
      <c r="AC832" s="43"/>
      <c r="AD832" s="43"/>
      <c r="AE832" s="43"/>
      <c r="AF832" s="43"/>
      <c r="AG832" s="43"/>
    </row>
    <row r="833" ht="15.75" customHeight="1">
      <c r="R833" s="41"/>
      <c r="U833" s="42"/>
      <c r="V833" s="42"/>
      <c r="Z833" s="43"/>
      <c r="AA833" s="43"/>
      <c r="AB833" s="43"/>
      <c r="AC833" s="43"/>
      <c r="AD833" s="43"/>
      <c r="AE833" s="43"/>
      <c r="AF833" s="43"/>
      <c r="AG833" s="43"/>
    </row>
    <row r="834" ht="15.75" customHeight="1">
      <c r="R834" s="41"/>
      <c r="U834" s="42"/>
      <c r="V834" s="42"/>
      <c r="Z834" s="43"/>
      <c r="AA834" s="43"/>
      <c r="AB834" s="43"/>
      <c r="AC834" s="43"/>
      <c r="AD834" s="43"/>
      <c r="AE834" s="43"/>
      <c r="AF834" s="43"/>
      <c r="AG834" s="43"/>
    </row>
    <row r="835" ht="15.75" customHeight="1">
      <c r="R835" s="41"/>
      <c r="U835" s="42"/>
      <c r="V835" s="42"/>
      <c r="Z835" s="43"/>
      <c r="AA835" s="43"/>
      <c r="AB835" s="43"/>
      <c r="AC835" s="43"/>
      <c r="AD835" s="43"/>
      <c r="AE835" s="43"/>
      <c r="AF835" s="43"/>
      <c r="AG835" s="43"/>
    </row>
    <row r="836" ht="15.75" customHeight="1">
      <c r="R836" s="41"/>
      <c r="U836" s="42"/>
      <c r="V836" s="42"/>
      <c r="Z836" s="43"/>
      <c r="AA836" s="43"/>
      <c r="AB836" s="43"/>
      <c r="AC836" s="43"/>
      <c r="AD836" s="43"/>
      <c r="AE836" s="43"/>
      <c r="AF836" s="43"/>
      <c r="AG836" s="43"/>
    </row>
    <row r="837" ht="15.75" customHeight="1">
      <c r="R837" s="41"/>
      <c r="U837" s="42"/>
      <c r="V837" s="42"/>
      <c r="Z837" s="43"/>
      <c r="AA837" s="43"/>
      <c r="AB837" s="43"/>
      <c r="AC837" s="43"/>
      <c r="AD837" s="43"/>
      <c r="AE837" s="43"/>
      <c r="AF837" s="43"/>
      <c r="AG837" s="43"/>
    </row>
    <row r="838" ht="15.75" customHeight="1">
      <c r="R838" s="41"/>
      <c r="U838" s="42"/>
      <c r="V838" s="42"/>
      <c r="Z838" s="43"/>
      <c r="AA838" s="43"/>
      <c r="AB838" s="43"/>
      <c r="AC838" s="43"/>
      <c r="AD838" s="43"/>
      <c r="AE838" s="43"/>
      <c r="AF838" s="43"/>
      <c r="AG838" s="43"/>
    </row>
    <row r="839" ht="15.75" customHeight="1">
      <c r="R839" s="41"/>
      <c r="U839" s="42"/>
      <c r="V839" s="42"/>
      <c r="Z839" s="43"/>
      <c r="AA839" s="43"/>
      <c r="AB839" s="43"/>
      <c r="AC839" s="43"/>
      <c r="AD839" s="43"/>
      <c r="AE839" s="43"/>
      <c r="AF839" s="43"/>
      <c r="AG839" s="43"/>
    </row>
    <row r="840" ht="15.75" customHeight="1">
      <c r="R840" s="41"/>
      <c r="U840" s="42"/>
      <c r="V840" s="42"/>
      <c r="Z840" s="43"/>
      <c r="AA840" s="43"/>
      <c r="AB840" s="43"/>
      <c r="AC840" s="43"/>
      <c r="AD840" s="43"/>
      <c r="AE840" s="43"/>
      <c r="AF840" s="43"/>
      <c r="AG840" s="43"/>
    </row>
    <row r="841" ht="15.75" customHeight="1">
      <c r="R841" s="41"/>
      <c r="U841" s="42"/>
      <c r="V841" s="42"/>
      <c r="Z841" s="43"/>
      <c r="AA841" s="43"/>
      <c r="AB841" s="43"/>
      <c r="AC841" s="43"/>
      <c r="AD841" s="43"/>
      <c r="AE841" s="43"/>
      <c r="AF841" s="43"/>
      <c r="AG841" s="43"/>
    </row>
    <row r="842" ht="15.75" customHeight="1">
      <c r="R842" s="41"/>
      <c r="U842" s="42"/>
      <c r="V842" s="42"/>
      <c r="Z842" s="43"/>
      <c r="AA842" s="43"/>
      <c r="AB842" s="43"/>
      <c r="AC842" s="43"/>
      <c r="AD842" s="43"/>
      <c r="AE842" s="43"/>
      <c r="AF842" s="43"/>
      <c r="AG842" s="43"/>
    </row>
    <row r="843" ht="15.75" customHeight="1">
      <c r="R843" s="41"/>
      <c r="U843" s="42"/>
      <c r="V843" s="42"/>
      <c r="Z843" s="43"/>
      <c r="AA843" s="43"/>
      <c r="AB843" s="43"/>
      <c r="AC843" s="43"/>
      <c r="AD843" s="43"/>
      <c r="AE843" s="43"/>
      <c r="AF843" s="43"/>
      <c r="AG843" s="43"/>
    </row>
    <row r="844" ht="15.75" customHeight="1">
      <c r="R844" s="41"/>
      <c r="U844" s="42"/>
      <c r="V844" s="42"/>
      <c r="Z844" s="43"/>
      <c r="AA844" s="43"/>
      <c r="AB844" s="43"/>
      <c r="AC844" s="43"/>
      <c r="AD844" s="43"/>
      <c r="AE844" s="43"/>
      <c r="AF844" s="43"/>
      <c r="AG844" s="43"/>
    </row>
    <row r="845" ht="15.75" customHeight="1">
      <c r="R845" s="41"/>
      <c r="U845" s="42"/>
      <c r="V845" s="42"/>
      <c r="Z845" s="43"/>
      <c r="AA845" s="43"/>
      <c r="AB845" s="43"/>
      <c r="AC845" s="43"/>
      <c r="AD845" s="43"/>
      <c r="AE845" s="43"/>
      <c r="AF845" s="43"/>
      <c r="AG845" s="43"/>
    </row>
    <row r="846" ht="15.75" customHeight="1">
      <c r="R846" s="41"/>
      <c r="U846" s="42"/>
      <c r="V846" s="42"/>
      <c r="Z846" s="43"/>
      <c r="AA846" s="43"/>
      <c r="AB846" s="43"/>
      <c r="AC846" s="43"/>
      <c r="AD846" s="43"/>
      <c r="AE846" s="43"/>
      <c r="AF846" s="43"/>
      <c r="AG846" s="43"/>
    </row>
    <row r="847" ht="15.75" customHeight="1">
      <c r="R847" s="41"/>
      <c r="U847" s="42"/>
      <c r="V847" s="42"/>
      <c r="Z847" s="43"/>
      <c r="AA847" s="43"/>
      <c r="AB847" s="43"/>
      <c r="AC847" s="43"/>
      <c r="AD847" s="43"/>
      <c r="AE847" s="43"/>
      <c r="AF847" s="43"/>
      <c r="AG847" s="43"/>
    </row>
    <row r="848" ht="15.75" customHeight="1">
      <c r="R848" s="41"/>
      <c r="U848" s="42"/>
      <c r="V848" s="42"/>
      <c r="Z848" s="43"/>
      <c r="AA848" s="43"/>
      <c r="AB848" s="43"/>
      <c r="AC848" s="43"/>
      <c r="AD848" s="43"/>
      <c r="AE848" s="43"/>
      <c r="AF848" s="43"/>
      <c r="AG848" s="43"/>
    </row>
    <row r="849" ht="15.75" customHeight="1">
      <c r="R849" s="41"/>
      <c r="U849" s="42"/>
      <c r="V849" s="42"/>
      <c r="Z849" s="43"/>
      <c r="AA849" s="43"/>
      <c r="AB849" s="43"/>
      <c r="AC849" s="43"/>
      <c r="AD849" s="43"/>
      <c r="AE849" s="43"/>
      <c r="AF849" s="43"/>
      <c r="AG849" s="43"/>
    </row>
    <row r="850" ht="15.75" customHeight="1">
      <c r="R850" s="41"/>
      <c r="U850" s="42"/>
      <c r="V850" s="42"/>
      <c r="Z850" s="43"/>
      <c r="AA850" s="43"/>
      <c r="AB850" s="43"/>
      <c r="AC850" s="43"/>
      <c r="AD850" s="43"/>
      <c r="AE850" s="43"/>
      <c r="AF850" s="43"/>
      <c r="AG850" s="43"/>
    </row>
    <row r="851" ht="15.75" customHeight="1">
      <c r="R851" s="41"/>
      <c r="U851" s="42"/>
      <c r="V851" s="42"/>
      <c r="Z851" s="43"/>
      <c r="AA851" s="43"/>
      <c r="AB851" s="43"/>
      <c r="AC851" s="43"/>
      <c r="AD851" s="43"/>
      <c r="AE851" s="43"/>
      <c r="AF851" s="43"/>
      <c r="AG851" s="43"/>
    </row>
    <row r="852" ht="15.75" customHeight="1">
      <c r="R852" s="41"/>
      <c r="U852" s="42"/>
      <c r="V852" s="42"/>
      <c r="Z852" s="43"/>
      <c r="AA852" s="43"/>
      <c r="AB852" s="43"/>
      <c r="AC852" s="43"/>
      <c r="AD852" s="43"/>
      <c r="AE852" s="43"/>
      <c r="AF852" s="43"/>
      <c r="AG852" s="43"/>
    </row>
    <row r="853" ht="15.75" customHeight="1">
      <c r="R853" s="41"/>
      <c r="U853" s="42"/>
      <c r="V853" s="42"/>
      <c r="Z853" s="43"/>
      <c r="AA853" s="43"/>
      <c r="AB853" s="43"/>
      <c r="AC853" s="43"/>
      <c r="AD853" s="43"/>
      <c r="AE853" s="43"/>
      <c r="AF853" s="43"/>
      <c r="AG853" s="43"/>
    </row>
    <row r="854" ht="15.75" customHeight="1">
      <c r="R854" s="41"/>
      <c r="U854" s="42"/>
      <c r="V854" s="42"/>
      <c r="Z854" s="43"/>
      <c r="AA854" s="43"/>
      <c r="AB854" s="43"/>
      <c r="AC854" s="43"/>
      <c r="AD854" s="43"/>
      <c r="AE854" s="43"/>
      <c r="AF854" s="43"/>
      <c r="AG854" s="43"/>
    </row>
    <row r="855" ht="15.75" customHeight="1">
      <c r="R855" s="41"/>
      <c r="U855" s="42"/>
      <c r="V855" s="42"/>
      <c r="Z855" s="43"/>
      <c r="AA855" s="43"/>
      <c r="AB855" s="43"/>
      <c r="AC855" s="43"/>
      <c r="AD855" s="43"/>
      <c r="AE855" s="43"/>
      <c r="AF855" s="43"/>
      <c r="AG855" s="43"/>
    </row>
    <row r="856" ht="15.75" customHeight="1">
      <c r="R856" s="41"/>
      <c r="U856" s="42"/>
      <c r="V856" s="42"/>
      <c r="Z856" s="43"/>
      <c r="AA856" s="43"/>
      <c r="AB856" s="43"/>
      <c r="AC856" s="43"/>
      <c r="AD856" s="43"/>
      <c r="AE856" s="43"/>
      <c r="AF856" s="43"/>
      <c r="AG856" s="43"/>
    </row>
    <row r="857" ht="15.75" customHeight="1">
      <c r="R857" s="41"/>
      <c r="U857" s="42"/>
      <c r="V857" s="42"/>
      <c r="Z857" s="43"/>
      <c r="AA857" s="43"/>
      <c r="AB857" s="43"/>
      <c r="AC857" s="43"/>
      <c r="AD857" s="43"/>
      <c r="AE857" s="43"/>
      <c r="AF857" s="43"/>
      <c r="AG857" s="43"/>
    </row>
    <row r="858" ht="15.75" customHeight="1">
      <c r="R858" s="41"/>
      <c r="U858" s="42"/>
      <c r="V858" s="42"/>
      <c r="Z858" s="43"/>
      <c r="AA858" s="43"/>
      <c r="AB858" s="43"/>
      <c r="AC858" s="43"/>
      <c r="AD858" s="43"/>
      <c r="AE858" s="43"/>
      <c r="AF858" s="43"/>
      <c r="AG858" s="43"/>
    </row>
    <row r="859" ht="15.75" customHeight="1">
      <c r="R859" s="41"/>
      <c r="U859" s="42"/>
      <c r="V859" s="42"/>
      <c r="Z859" s="43"/>
      <c r="AA859" s="43"/>
      <c r="AB859" s="43"/>
      <c r="AC859" s="43"/>
      <c r="AD859" s="43"/>
      <c r="AE859" s="43"/>
      <c r="AF859" s="43"/>
      <c r="AG859" s="43"/>
    </row>
    <row r="860" ht="15.75" customHeight="1">
      <c r="R860" s="41"/>
      <c r="U860" s="42"/>
      <c r="V860" s="42"/>
      <c r="Z860" s="43"/>
      <c r="AA860" s="43"/>
      <c r="AB860" s="43"/>
      <c r="AC860" s="43"/>
      <c r="AD860" s="43"/>
      <c r="AE860" s="43"/>
      <c r="AF860" s="43"/>
      <c r="AG860" s="43"/>
    </row>
    <row r="861" ht="15.75" customHeight="1">
      <c r="R861" s="41"/>
      <c r="U861" s="42"/>
      <c r="V861" s="42"/>
      <c r="Z861" s="43"/>
      <c r="AA861" s="43"/>
      <c r="AB861" s="43"/>
      <c r="AC861" s="43"/>
      <c r="AD861" s="43"/>
      <c r="AE861" s="43"/>
      <c r="AF861" s="43"/>
      <c r="AG861" s="43"/>
    </row>
    <row r="862" ht="15.75" customHeight="1">
      <c r="R862" s="41"/>
      <c r="U862" s="42"/>
      <c r="V862" s="42"/>
      <c r="Z862" s="43"/>
      <c r="AA862" s="43"/>
      <c r="AB862" s="43"/>
      <c r="AC862" s="43"/>
      <c r="AD862" s="43"/>
      <c r="AE862" s="43"/>
      <c r="AF862" s="43"/>
      <c r="AG862" s="43"/>
    </row>
    <row r="863" ht="15.75" customHeight="1">
      <c r="R863" s="41"/>
      <c r="U863" s="42"/>
      <c r="V863" s="42"/>
      <c r="Z863" s="43"/>
      <c r="AA863" s="43"/>
      <c r="AB863" s="43"/>
      <c r="AC863" s="43"/>
      <c r="AD863" s="43"/>
      <c r="AE863" s="43"/>
      <c r="AF863" s="43"/>
      <c r="AG863" s="43"/>
    </row>
    <row r="864" ht="15.75" customHeight="1">
      <c r="R864" s="41"/>
      <c r="U864" s="42"/>
      <c r="V864" s="42"/>
      <c r="Z864" s="43"/>
      <c r="AA864" s="43"/>
      <c r="AB864" s="43"/>
      <c r="AC864" s="43"/>
      <c r="AD864" s="43"/>
      <c r="AE864" s="43"/>
      <c r="AF864" s="43"/>
      <c r="AG864" s="43"/>
    </row>
    <row r="865" ht="15.75" customHeight="1">
      <c r="R865" s="41"/>
      <c r="U865" s="42"/>
      <c r="V865" s="42"/>
      <c r="Z865" s="43"/>
      <c r="AA865" s="43"/>
      <c r="AB865" s="43"/>
      <c r="AC865" s="43"/>
      <c r="AD865" s="43"/>
      <c r="AE865" s="43"/>
      <c r="AF865" s="43"/>
      <c r="AG865" s="43"/>
    </row>
    <row r="866" ht="15.75" customHeight="1">
      <c r="R866" s="41"/>
      <c r="U866" s="42"/>
      <c r="V866" s="42"/>
      <c r="Z866" s="43"/>
      <c r="AA866" s="43"/>
      <c r="AB866" s="43"/>
      <c r="AC866" s="43"/>
      <c r="AD866" s="43"/>
      <c r="AE866" s="43"/>
      <c r="AF866" s="43"/>
      <c r="AG866" s="43"/>
    </row>
    <row r="867" ht="15.75" customHeight="1">
      <c r="R867" s="41"/>
      <c r="U867" s="42"/>
      <c r="V867" s="42"/>
      <c r="Z867" s="43"/>
      <c r="AA867" s="43"/>
      <c r="AB867" s="43"/>
      <c r="AC867" s="43"/>
      <c r="AD867" s="43"/>
      <c r="AE867" s="43"/>
      <c r="AF867" s="43"/>
      <c r="AG867" s="43"/>
    </row>
    <row r="868" ht="15.75" customHeight="1">
      <c r="R868" s="41"/>
      <c r="U868" s="42"/>
      <c r="V868" s="42"/>
      <c r="Z868" s="43"/>
      <c r="AA868" s="43"/>
      <c r="AB868" s="43"/>
      <c r="AC868" s="43"/>
      <c r="AD868" s="43"/>
      <c r="AE868" s="43"/>
      <c r="AF868" s="43"/>
      <c r="AG868" s="43"/>
    </row>
    <row r="869" ht="15.75" customHeight="1">
      <c r="R869" s="41"/>
      <c r="U869" s="42"/>
      <c r="V869" s="42"/>
      <c r="Z869" s="43"/>
      <c r="AA869" s="43"/>
      <c r="AB869" s="43"/>
      <c r="AC869" s="43"/>
      <c r="AD869" s="43"/>
      <c r="AE869" s="43"/>
      <c r="AF869" s="43"/>
      <c r="AG869" s="43"/>
    </row>
    <row r="870" ht="15.75" customHeight="1">
      <c r="R870" s="41"/>
      <c r="U870" s="42"/>
      <c r="V870" s="42"/>
      <c r="Z870" s="43"/>
      <c r="AA870" s="43"/>
      <c r="AB870" s="43"/>
      <c r="AC870" s="43"/>
      <c r="AD870" s="43"/>
      <c r="AE870" s="43"/>
      <c r="AF870" s="43"/>
      <c r="AG870" s="43"/>
    </row>
    <row r="871" ht="15.75" customHeight="1">
      <c r="R871" s="41"/>
      <c r="U871" s="42"/>
      <c r="V871" s="42"/>
      <c r="Z871" s="43"/>
      <c r="AA871" s="43"/>
      <c r="AB871" s="43"/>
      <c r="AC871" s="43"/>
      <c r="AD871" s="43"/>
      <c r="AE871" s="43"/>
      <c r="AF871" s="43"/>
      <c r="AG871" s="43"/>
    </row>
    <row r="872" ht="15.75" customHeight="1">
      <c r="R872" s="41"/>
      <c r="U872" s="42"/>
      <c r="V872" s="42"/>
      <c r="Z872" s="43"/>
      <c r="AA872" s="43"/>
      <c r="AB872" s="43"/>
      <c r="AC872" s="43"/>
      <c r="AD872" s="43"/>
      <c r="AE872" s="43"/>
      <c r="AF872" s="43"/>
      <c r="AG872" s="43"/>
    </row>
    <row r="873" ht="15.75" customHeight="1">
      <c r="R873" s="41"/>
      <c r="U873" s="42"/>
      <c r="V873" s="42"/>
      <c r="Z873" s="43"/>
      <c r="AA873" s="43"/>
      <c r="AB873" s="43"/>
      <c r="AC873" s="43"/>
      <c r="AD873" s="43"/>
      <c r="AE873" s="43"/>
      <c r="AF873" s="43"/>
      <c r="AG873" s="43"/>
    </row>
    <row r="874" ht="15.75" customHeight="1">
      <c r="R874" s="41"/>
      <c r="U874" s="42"/>
      <c r="V874" s="42"/>
      <c r="Z874" s="43"/>
      <c r="AA874" s="43"/>
      <c r="AB874" s="43"/>
      <c r="AC874" s="43"/>
      <c r="AD874" s="43"/>
      <c r="AE874" s="43"/>
      <c r="AF874" s="43"/>
      <c r="AG874" s="43"/>
    </row>
    <row r="875" ht="15.75" customHeight="1">
      <c r="R875" s="41"/>
      <c r="U875" s="42"/>
      <c r="V875" s="42"/>
      <c r="Z875" s="43"/>
      <c r="AA875" s="43"/>
      <c r="AB875" s="43"/>
      <c r="AC875" s="43"/>
      <c r="AD875" s="43"/>
      <c r="AE875" s="43"/>
      <c r="AF875" s="43"/>
      <c r="AG875" s="43"/>
    </row>
    <row r="876" ht="15.75" customHeight="1">
      <c r="R876" s="41"/>
      <c r="U876" s="42"/>
      <c r="V876" s="42"/>
      <c r="Z876" s="43"/>
      <c r="AA876" s="43"/>
      <c r="AB876" s="43"/>
      <c r="AC876" s="43"/>
      <c r="AD876" s="43"/>
      <c r="AE876" s="43"/>
      <c r="AF876" s="43"/>
      <c r="AG876" s="43"/>
    </row>
    <row r="877" ht="15.75" customHeight="1">
      <c r="R877" s="41"/>
      <c r="U877" s="42"/>
      <c r="V877" s="42"/>
      <c r="Z877" s="43"/>
      <c r="AA877" s="43"/>
      <c r="AB877" s="43"/>
      <c r="AC877" s="43"/>
      <c r="AD877" s="43"/>
      <c r="AE877" s="43"/>
      <c r="AF877" s="43"/>
      <c r="AG877" s="43"/>
    </row>
    <row r="878" ht="15.75" customHeight="1">
      <c r="R878" s="41"/>
      <c r="U878" s="42"/>
      <c r="V878" s="42"/>
      <c r="Z878" s="43"/>
      <c r="AA878" s="43"/>
      <c r="AB878" s="43"/>
      <c r="AC878" s="43"/>
      <c r="AD878" s="43"/>
      <c r="AE878" s="43"/>
      <c r="AF878" s="43"/>
      <c r="AG878" s="43"/>
    </row>
    <row r="879" ht="15.75" customHeight="1">
      <c r="R879" s="41"/>
      <c r="U879" s="42"/>
      <c r="V879" s="42"/>
      <c r="Z879" s="43"/>
      <c r="AA879" s="43"/>
      <c r="AB879" s="43"/>
      <c r="AC879" s="43"/>
      <c r="AD879" s="43"/>
      <c r="AE879" s="43"/>
      <c r="AF879" s="43"/>
      <c r="AG879" s="43"/>
    </row>
    <row r="880" ht="15.75" customHeight="1">
      <c r="R880" s="41"/>
      <c r="U880" s="42"/>
      <c r="V880" s="42"/>
      <c r="Z880" s="43"/>
      <c r="AA880" s="43"/>
      <c r="AB880" s="43"/>
      <c r="AC880" s="43"/>
      <c r="AD880" s="43"/>
      <c r="AE880" s="43"/>
      <c r="AF880" s="43"/>
      <c r="AG880" s="43"/>
    </row>
    <row r="881" ht="15.75" customHeight="1">
      <c r="R881" s="41"/>
      <c r="U881" s="42"/>
      <c r="V881" s="42"/>
      <c r="Z881" s="43"/>
      <c r="AA881" s="43"/>
      <c r="AB881" s="43"/>
      <c r="AC881" s="43"/>
      <c r="AD881" s="43"/>
      <c r="AE881" s="43"/>
      <c r="AF881" s="43"/>
      <c r="AG881" s="43"/>
    </row>
    <row r="882" ht="15.75" customHeight="1">
      <c r="R882" s="41"/>
      <c r="U882" s="42"/>
      <c r="V882" s="42"/>
      <c r="Z882" s="43"/>
      <c r="AA882" s="43"/>
      <c r="AB882" s="43"/>
      <c r="AC882" s="43"/>
      <c r="AD882" s="43"/>
      <c r="AE882" s="43"/>
      <c r="AF882" s="43"/>
      <c r="AG882" s="43"/>
    </row>
    <row r="883" ht="15.75" customHeight="1">
      <c r="R883" s="41"/>
      <c r="U883" s="42"/>
      <c r="V883" s="42"/>
      <c r="Z883" s="43"/>
      <c r="AA883" s="43"/>
      <c r="AB883" s="43"/>
      <c r="AC883" s="43"/>
      <c r="AD883" s="43"/>
      <c r="AE883" s="43"/>
      <c r="AF883" s="43"/>
      <c r="AG883" s="43"/>
    </row>
    <row r="884" ht="15.75" customHeight="1">
      <c r="R884" s="41"/>
      <c r="U884" s="42"/>
      <c r="V884" s="42"/>
      <c r="Z884" s="43"/>
      <c r="AA884" s="43"/>
      <c r="AB884" s="43"/>
      <c r="AC884" s="43"/>
      <c r="AD884" s="43"/>
      <c r="AE884" s="43"/>
      <c r="AF884" s="43"/>
      <c r="AG884" s="43"/>
    </row>
    <row r="885" ht="15.75" customHeight="1">
      <c r="R885" s="41"/>
      <c r="U885" s="42"/>
      <c r="V885" s="42"/>
      <c r="Z885" s="43"/>
      <c r="AA885" s="43"/>
      <c r="AB885" s="43"/>
      <c r="AC885" s="43"/>
      <c r="AD885" s="43"/>
      <c r="AE885" s="43"/>
      <c r="AF885" s="43"/>
      <c r="AG885" s="43"/>
    </row>
    <row r="886" ht="15.75" customHeight="1">
      <c r="R886" s="41"/>
      <c r="U886" s="42"/>
      <c r="V886" s="42"/>
      <c r="Z886" s="43"/>
      <c r="AA886" s="43"/>
      <c r="AB886" s="43"/>
      <c r="AC886" s="43"/>
      <c r="AD886" s="43"/>
      <c r="AE886" s="43"/>
      <c r="AF886" s="43"/>
      <c r="AG886" s="43"/>
    </row>
    <row r="887" ht="15.75" customHeight="1">
      <c r="R887" s="41"/>
      <c r="U887" s="42"/>
      <c r="V887" s="42"/>
      <c r="Z887" s="43"/>
      <c r="AA887" s="43"/>
      <c r="AB887" s="43"/>
      <c r="AC887" s="43"/>
      <c r="AD887" s="43"/>
      <c r="AE887" s="43"/>
      <c r="AF887" s="43"/>
      <c r="AG887" s="43"/>
    </row>
    <row r="888" ht="15.75" customHeight="1">
      <c r="R888" s="41"/>
      <c r="U888" s="42"/>
      <c r="V888" s="42"/>
      <c r="Z888" s="43"/>
      <c r="AA888" s="43"/>
      <c r="AB888" s="43"/>
      <c r="AC888" s="43"/>
      <c r="AD888" s="43"/>
      <c r="AE888" s="43"/>
      <c r="AF888" s="43"/>
      <c r="AG888" s="43"/>
    </row>
    <row r="889" ht="15.75" customHeight="1">
      <c r="R889" s="41"/>
      <c r="U889" s="42"/>
      <c r="V889" s="42"/>
      <c r="Z889" s="43"/>
      <c r="AA889" s="43"/>
      <c r="AB889" s="43"/>
      <c r="AC889" s="43"/>
      <c r="AD889" s="43"/>
      <c r="AE889" s="43"/>
      <c r="AF889" s="43"/>
      <c r="AG889" s="43"/>
    </row>
    <row r="890" ht="15.75" customHeight="1">
      <c r="R890" s="41"/>
      <c r="U890" s="42"/>
      <c r="V890" s="42"/>
      <c r="Z890" s="43"/>
      <c r="AA890" s="43"/>
      <c r="AB890" s="43"/>
      <c r="AC890" s="43"/>
      <c r="AD890" s="43"/>
      <c r="AE890" s="43"/>
      <c r="AF890" s="43"/>
      <c r="AG890" s="43"/>
    </row>
    <row r="891" ht="15.75" customHeight="1">
      <c r="R891" s="41"/>
      <c r="U891" s="42"/>
      <c r="V891" s="42"/>
      <c r="Z891" s="43"/>
      <c r="AA891" s="43"/>
      <c r="AB891" s="43"/>
      <c r="AC891" s="43"/>
      <c r="AD891" s="43"/>
      <c r="AE891" s="43"/>
      <c r="AF891" s="43"/>
      <c r="AG891" s="43"/>
    </row>
    <row r="892" ht="15.75" customHeight="1">
      <c r="R892" s="41"/>
      <c r="U892" s="42"/>
      <c r="V892" s="42"/>
      <c r="Z892" s="43"/>
      <c r="AA892" s="43"/>
      <c r="AB892" s="43"/>
      <c r="AC892" s="43"/>
      <c r="AD892" s="43"/>
      <c r="AE892" s="43"/>
      <c r="AF892" s="43"/>
      <c r="AG892" s="43"/>
    </row>
    <row r="893" ht="15.75" customHeight="1">
      <c r="R893" s="41"/>
      <c r="U893" s="42"/>
      <c r="V893" s="42"/>
      <c r="Z893" s="43"/>
      <c r="AA893" s="43"/>
      <c r="AB893" s="43"/>
      <c r="AC893" s="43"/>
      <c r="AD893" s="43"/>
      <c r="AE893" s="43"/>
      <c r="AF893" s="43"/>
      <c r="AG893" s="43"/>
    </row>
    <row r="894" ht="15.75" customHeight="1">
      <c r="R894" s="41"/>
      <c r="U894" s="42"/>
      <c r="V894" s="42"/>
      <c r="Z894" s="43"/>
      <c r="AA894" s="43"/>
      <c r="AB894" s="43"/>
      <c r="AC894" s="43"/>
      <c r="AD894" s="43"/>
      <c r="AE894" s="43"/>
      <c r="AF894" s="43"/>
      <c r="AG894" s="43"/>
    </row>
    <row r="895" ht="15.75" customHeight="1">
      <c r="R895" s="41"/>
      <c r="U895" s="42"/>
      <c r="V895" s="42"/>
      <c r="Z895" s="43"/>
      <c r="AA895" s="43"/>
      <c r="AB895" s="43"/>
      <c r="AC895" s="43"/>
      <c r="AD895" s="43"/>
      <c r="AE895" s="43"/>
      <c r="AF895" s="43"/>
      <c r="AG895" s="43"/>
    </row>
    <row r="896" ht="15.75" customHeight="1">
      <c r="R896" s="41"/>
      <c r="U896" s="42"/>
      <c r="V896" s="42"/>
      <c r="Z896" s="43"/>
      <c r="AA896" s="43"/>
      <c r="AB896" s="43"/>
      <c r="AC896" s="43"/>
      <c r="AD896" s="43"/>
      <c r="AE896" s="43"/>
      <c r="AF896" s="43"/>
      <c r="AG896" s="43"/>
    </row>
    <row r="897" ht="15.75" customHeight="1">
      <c r="R897" s="41"/>
      <c r="U897" s="42"/>
      <c r="V897" s="42"/>
      <c r="Z897" s="43"/>
      <c r="AA897" s="43"/>
      <c r="AB897" s="43"/>
      <c r="AC897" s="43"/>
      <c r="AD897" s="43"/>
      <c r="AE897" s="43"/>
      <c r="AF897" s="43"/>
      <c r="AG897" s="43"/>
    </row>
    <row r="898" ht="15.75" customHeight="1">
      <c r="R898" s="41"/>
      <c r="U898" s="42"/>
      <c r="V898" s="42"/>
      <c r="Z898" s="43"/>
      <c r="AA898" s="43"/>
      <c r="AB898" s="43"/>
      <c r="AC898" s="43"/>
      <c r="AD898" s="43"/>
      <c r="AE898" s="43"/>
      <c r="AF898" s="43"/>
      <c r="AG898" s="43"/>
    </row>
    <row r="899" ht="15.75" customHeight="1">
      <c r="R899" s="41"/>
      <c r="U899" s="42"/>
      <c r="V899" s="42"/>
      <c r="Z899" s="43"/>
      <c r="AA899" s="43"/>
      <c r="AB899" s="43"/>
      <c r="AC899" s="43"/>
      <c r="AD899" s="43"/>
      <c r="AE899" s="43"/>
      <c r="AF899" s="43"/>
      <c r="AG899" s="43"/>
    </row>
    <row r="900" ht="15.75" customHeight="1">
      <c r="R900" s="41"/>
      <c r="U900" s="42"/>
      <c r="V900" s="42"/>
      <c r="Z900" s="43"/>
      <c r="AA900" s="43"/>
      <c r="AB900" s="43"/>
      <c r="AC900" s="43"/>
      <c r="AD900" s="43"/>
      <c r="AE900" s="43"/>
      <c r="AF900" s="43"/>
      <c r="AG900" s="43"/>
    </row>
    <row r="901" ht="15.75" customHeight="1">
      <c r="R901" s="41"/>
      <c r="U901" s="42"/>
      <c r="V901" s="42"/>
      <c r="Z901" s="43"/>
      <c r="AA901" s="43"/>
      <c r="AB901" s="43"/>
      <c r="AC901" s="43"/>
      <c r="AD901" s="43"/>
      <c r="AE901" s="43"/>
      <c r="AF901" s="43"/>
      <c r="AG901" s="43"/>
    </row>
    <row r="902" ht="15.75" customHeight="1">
      <c r="R902" s="41"/>
      <c r="U902" s="42"/>
      <c r="V902" s="42"/>
      <c r="Z902" s="43"/>
      <c r="AA902" s="43"/>
      <c r="AB902" s="43"/>
      <c r="AC902" s="43"/>
      <c r="AD902" s="43"/>
      <c r="AE902" s="43"/>
      <c r="AF902" s="43"/>
      <c r="AG902" s="43"/>
    </row>
    <row r="903" ht="15.75" customHeight="1">
      <c r="R903" s="41"/>
      <c r="U903" s="42"/>
      <c r="V903" s="42"/>
      <c r="Z903" s="43"/>
      <c r="AA903" s="43"/>
      <c r="AB903" s="43"/>
      <c r="AC903" s="43"/>
      <c r="AD903" s="43"/>
      <c r="AE903" s="43"/>
      <c r="AF903" s="43"/>
      <c r="AG903" s="43"/>
    </row>
    <row r="904" ht="15.75" customHeight="1">
      <c r="R904" s="41"/>
      <c r="U904" s="42"/>
      <c r="V904" s="42"/>
      <c r="Z904" s="43"/>
      <c r="AA904" s="43"/>
      <c r="AB904" s="43"/>
      <c r="AC904" s="43"/>
      <c r="AD904" s="43"/>
      <c r="AE904" s="43"/>
      <c r="AF904" s="43"/>
      <c r="AG904" s="43"/>
    </row>
    <row r="905" ht="15.75" customHeight="1">
      <c r="R905" s="41"/>
      <c r="U905" s="42"/>
      <c r="V905" s="42"/>
      <c r="Z905" s="43"/>
      <c r="AA905" s="43"/>
      <c r="AB905" s="43"/>
      <c r="AC905" s="43"/>
      <c r="AD905" s="43"/>
      <c r="AE905" s="43"/>
      <c r="AF905" s="43"/>
      <c r="AG905" s="43"/>
    </row>
    <row r="906" ht="15.75" customHeight="1">
      <c r="R906" s="41"/>
      <c r="U906" s="42"/>
      <c r="V906" s="42"/>
      <c r="Z906" s="43"/>
      <c r="AA906" s="43"/>
      <c r="AB906" s="43"/>
      <c r="AC906" s="43"/>
      <c r="AD906" s="43"/>
      <c r="AE906" s="43"/>
      <c r="AF906" s="43"/>
      <c r="AG906" s="43"/>
    </row>
    <row r="907" ht="15.75" customHeight="1">
      <c r="R907" s="41"/>
      <c r="U907" s="42"/>
      <c r="V907" s="42"/>
      <c r="Z907" s="43"/>
      <c r="AA907" s="43"/>
      <c r="AB907" s="43"/>
      <c r="AC907" s="43"/>
      <c r="AD907" s="43"/>
      <c r="AE907" s="43"/>
      <c r="AF907" s="43"/>
      <c r="AG907" s="43"/>
    </row>
    <row r="908" ht="15.75" customHeight="1">
      <c r="R908" s="41"/>
      <c r="U908" s="42"/>
      <c r="V908" s="42"/>
      <c r="Z908" s="43"/>
      <c r="AA908" s="43"/>
      <c r="AB908" s="43"/>
      <c r="AC908" s="43"/>
      <c r="AD908" s="43"/>
      <c r="AE908" s="43"/>
      <c r="AF908" s="43"/>
      <c r="AG908" s="43"/>
    </row>
    <row r="909" ht="15.75" customHeight="1">
      <c r="R909" s="41"/>
      <c r="U909" s="42"/>
      <c r="V909" s="42"/>
      <c r="Z909" s="43"/>
      <c r="AA909" s="43"/>
      <c r="AB909" s="43"/>
      <c r="AC909" s="43"/>
      <c r="AD909" s="43"/>
      <c r="AE909" s="43"/>
      <c r="AF909" s="43"/>
      <c r="AG909" s="43"/>
    </row>
    <row r="910" ht="15.75" customHeight="1">
      <c r="R910" s="41"/>
      <c r="U910" s="42"/>
      <c r="V910" s="42"/>
      <c r="Z910" s="43"/>
      <c r="AA910" s="43"/>
      <c r="AB910" s="43"/>
      <c r="AC910" s="43"/>
      <c r="AD910" s="43"/>
      <c r="AE910" s="43"/>
      <c r="AF910" s="43"/>
      <c r="AG910" s="43"/>
    </row>
    <row r="911" ht="15.75" customHeight="1">
      <c r="R911" s="41"/>
      <c r="U911" s="42"/>
      <c r="V911" s="42"/>
      <c r="Z911" s="43"/>
      <c r="AA911" s="43"/>
      <c r="AB911" s="43"/>
      <c r="AC911" s="43"/>
      <c r="AD911" s="43"/>
      <c r="AE911" s="43"/>
      <c r="AF911" s="43"/>
      <c r="AG911" s="43"/>
    </row>
    <row r="912" ht="15.75" customHeight="1">
      <c r="R912" s="41"/>
      <c r="U912" s="42"/>
      <c r="V912" s="42"/>
      <c r="Z912" s="43"/>
      <c r="AA912" s="43"/>
      <c r="AB912" s="43"/>
      <c r="AC912" s="43"/>
      <c r="AD912" s="43"/>
      <c r="AE912" s="43"/>
      <c r="AF912" s="43"/>
      <c r="AG912" s="43"/>
    </row>
    <row r="913" ht="15.75" customHeight="1">
      <c r="R913" s="41"/>
      <c r="U913" s="42"/>
      <c r="V913" s="42"/>
      <c r="Z913" s="43"/>
      <c r="AA913" s="43"/>
      <c r="AB913" s="43"/>
      <c r="AC913" s="43"/>
      <c r="AD913" s="43"/>
      <c r="AE913" s="43"/>
      <c r="AF913" s="43"/>
      <c r="AG913" s="43"/>
    </row>
    <row r="914" ht="15.75" customHeight="1">
      <c r="R914" s="41"/>
      <c r="U914" s="42"/>
      <c r="V914" s="42"/>
      <c r="Z914" s="43"/>
      <c r="AA914" s="43"/>
      <c r="AB914" s="43"/>
      <c r="AC914" s="43"/>
      <c r="AD914" s="43"/>
      <c r="AE914" s="43"/>
      <c r="AF914" s="43"/>
      <c r="AG914" s="43"/>
    </row>
    <row r="915" ht="15.75" customHeight="1">
      <c r="R915" s="41"/>
      <c r="U915" s="42"/>
      <c r="V915" s="42"/>
      <c r="Z915" s="43"/>
      <c r="AA915" s="43"/>
      <c r="AB915" s="43"/>
      <c r="AC915" s="43"/>
      <c r="AD915" s="43"/>
      <c r="AE915" s="43"/>
      <c r="AF915" s="43"/>
      <c r="AG915" s="43"/>
    </row>
    <row r="916" ht="15.75" customHeight="1">
      <c r="R916" s="41"/>
      <c r="U916" s="42"/>
      <c r="V916" s="42"/>
      <c r="Z916" s="43"/>
      <c r="AA916" s="43"/>
      <c r="AB916" s="43"/>
      <c r="AC916" s="43"/>
      <c r="AD916" s="43"/>
      <c r="AE916" s="43"/>
      <c r="AF916" s="43"/>
      <c r="AG916" s="43"/>
    </row>
    <row r="917" ht="15.75" customHeight="1">
      <c r="R917" s="41"/>
      <c r="U917" s="42"/>
      <c r="V917" s="42"/>
      <c r="Z917" s="43"/>
      <c r="AA917" s="43"/>
      <c r="AB917" s="43"/>
      <c r="AC917" s="43"/>
      <c r="AD917" s="43"/>
      <c r="AE917" s="43"/>
      <c r="AF917" s="43"/>
      <c r="AG917" s="43"/>
    </row>
    <row r="918" ht="15.75" customHeight="1">
      <c r="R918" s="41"/>
      <c r="U918" s="42"/>
      <c r="V918" s="42"/>
      <c r="Z918" s="43"/>
      <c r="AA918" s="43"/>
      <c r="AB918" s="43"/>
      <c r="AC918" s="43"/>
      <c r="AD918" s="43"/>
      <c r="AE918" s="43"/>
      <c r="AF918" s="43"/>
      <c r="AG918" s="43"/>
    </row>
    <row r="919" ht="15.75" customHeight="1">
      <c r="R919" s="41"/>
      <c r="U919" s="42"/>
      <c r="V919" s="42"/>
      <c r="Z919" s="43"/>
      <c r="AA919" s="43"/>
      <c r="AB919" s="43"/>
      <c r="AC919" s="43"/>
      <c r="AD919" s="43"/>
      <c r="AE919" s="43"/>
      <c r="AF919" s="43"/>
      <c r="AG919" s="43"/>
    </row>
    <row r="920" ht="15.75" customHeight="1">
      <c r="R920" s="41"/>
      <c r="U920" s="42"/>
      <c r="V920" s="42"/>
      <c r="Z920" s="43"/>
      <c r="AA920" s="43"/>
      <c r="AB920" s="43"/>
      <c r="AC920" s="43"/>
      <c r="AD920" s="43"/>
      <c r="AE920" s="43"/>
      <c r="AF920" s="43"/>
      <c r="AG920" s="43"/>
    </row>
    <row r="921" ht="15.75" customHeight="1">
      <c r="R921" s="41"/>
      <c r="U921" s="42"/>
      <c r="V921" s="42"/>
      <c r="Z921" s="43"/>
      <c r="AA921" s="43"/>
      <c r="AB921" s="43"/>
      <c r="AC921" s="43"/>
      <c r="AD921" s="43"/>
      <c r="AE921" s="43"/>
      <c r="AF921" s="43"/>
      <c r="AG921" s="43"/>
    </row>
    <row r="922" ht="15.75" customHeight="1">
      <c r="R922" s="41"/>
      <c r="U922" s="42"/>
      <c r="V922" s="42"/>
      <c r="Z922" s="43"/>
      <c r="AA922" s="43"/>
      <c r="AB922" s="43"/>
      <c r="AC922" s="43"/>
      <c r="AD922" s="43"/>
      <c r="AE922" s="43"/>
      <c r="AF922" s="43"/>
      <c r="AG922" s="43"/>
    </row>
    <row r="923" ht="15.75" customHeight="1">
      <c r="R923" s="41"/>
      <c r="U923" s="42"/>
      <c r="V923" s="42"/>
      <c r="Z923" s="43"/>
      <c r="AA923" s="43"/>
      <c r="AB923" s="43"/>
      <c r="AC923" s="43"/>
      <c r="AD923" s="43"/>
      <c r="AE923" s="43"/>
      <c r="AF923" s="43"/>
      <c r="AG923" s="43"/>
    </row>
    <row r="924" ht="15.75" customHeight="1">
      <c r="R924" s="41"/>
      <c r="U924" s="42"/>
      <c r="V924" s="42"/>
      <c r="Z924" s="43"/>
      <c r="AA924" s="43"/>
      <c r="AB924" s="43"/>
      <c r="AC924" s="43"/>
      <c r="AD924" s="43"/>
      <c r="AE924" s="43"/>
      <c r="AF924" s="43"/>
      <c r="AG924" s="43"/>
    </row>
    <row r="925" ht="15.75" customHeight="1">
      <c r="R925" s="41"/>
      <c r="U925" s="42"/>
      <c r="V925" s="42"/>
      <c r="Z925" s="43"/>
      <c r="AA925" s="43"/>
      <c r="AB925" s="43"/>
      <c r="AC925" s="43"/>
      <c r="AD925" s="43"/>
      <c r="AE925" s="43"/>
      <c r="AF925" s="43"/>
      <c r="AG925" s="43"/>
    </row>
    <row r="926" ht="15.75" customHeight="1">
      <c r="R926" s="41"/>
      <c r="U926" s="42"/>
      <c r="V926" s="42"/>
      <c r="Z926" s="43"/>
      <c r="AA926" s="43"/>
      <c r="AB926" s="43"/>
      <c r="AC926" s="43"/>
      <c r="AD926" s="43"/>
      <c r="AE926" s="43"/>
      <c r="AF926" s="43"/>
      <c r="AG926" s="43"/>
    </row>
    <row r="927" ht="15.75" customHeight="1">
      <c r="R927" s="41"/>
      <c r="U927" s="42"/>
      <c r="V927" s="42"/>
      <c r="Z927" s="43"/>
      <c r="AA927" s="43"/>
      <c r="AB927" s="43"/>
      <c r="AC927" s="43"/>
      <c r="AD927" s="43"/>
      <c r="AE927" s="43"/>
      <c r="AF927" s="43"/>
      <c r="AG927" s="43"/>
    </row>
    <row r="928" ht="15.75" customHeight="1">
      <c r="R928" s="41"/>
      <c r="U928" s="42"/>
      <c r="V928" s="42"/>
      <c r="Z928" s="43"/>
      <c r="AA928" s="43"/>
      <c r="AB928" s="43"/>
      <c r="AC928" s="43"/>
      <c r="AD928" s="43"/>
      <c r="AE928" s="43"/>
      <c r="AF928" s="43"/>
      <c r="AG928" s="43"/>
    </row>
    <row r="929" ht="15.75" customHeight="1">
      <c r="R929" s="41"/>
      <c r="U929" s="42"/>
      <c r="V929" s="42"/>
      <c r="Z929" s="43"/>
      <c r="AA929" s="43"/>
      <c r="AB929" s="43"/>
      <c r="AC929" s="43"/>
      <c r="AD929" s="43"/>
      <c r="AE929" s="43"/>
      <c r="AF929" s="43"/>
      <c r="AG929" s="43"/>
    </row>
    <row r="930" ht="15.75" customHeight="1">
      <c r="R930" s="41"/>
      <c r="U930" s="42"/>
      <c r="V930" s="42"/>
      <c r="Z930" s="43"/>
      <c r="AA930" s="43"/>
      <c r="AB930" s="43"/>
      <c r="AC930" s="43"/>
      <c r="AD930" s="43"/>
      <c r="AE930" s="43"/>
      <c r="AF930" s="43"/>
      <c r="AG930" s="43"/>
    </row>
    <row r="931" ht="15.75" customHeight="1">
      <c r="R931" s="41"/>
      <c r="U931" s="42"/>
      <c r="V931" s="42"/>
      <c r="Z931" s="43"/>
      <c r="AA931" s="43"/>
      <c r="AB931" s="43"/>
      <c r="AC931" s="43"/>
      <c r="AD931" s="43"/>
      <c r="AE931" s="43"/>
      <c r="AF931" s="43"/>
      <c r="AG931" s="43"/>
    </row>
    <row r="932" ht="15.75" customHeight="1">
      <c r="R932" s="41"/>
      <c r="U932" s="42"/>
      <c r="V932" s="42"/>
      <c r="Z932" s="43"/>
      <c r="AA932" s="43"/>
      <c r="AB932" s="43"/>
      <c r="AC932" s="43"/>
      <c r="AD932" s="43"/>
      <c r="AE932" s="43"/>
      <c r="AF932" s="43"/>
      <c r="AG932" s="43"/>
    </row>
    <row r="933" ht="15.75" customHeight="1">
      <c r="R933" s="41"/>
      <c r="U933" s="42"/>
      <c r="V933" s="42"/>
      <c r="Z933" s="43"/>
      <c r="AA933" s="43"/>
      <c r="AB933" s="43"/>
      <c r="AC933" s="43"/>
      <c r="AD933" s="43"/>
      <c r="AE933" s="43"/>
      <c r="AF933" s="43"/>
      <c r="AG933" s="43"/>
    </row>
    <row r="934" ht="15.75" customHeight="1">
      <c r="R934" s="41"/>
      <c r="U934" s="42"/>
      <c r="V934" s="42"/>
      <c r="Z934" s="43"/>
      <c r="AA934" s="43"/>
      <c r="AB934" s="43"/>
      <c r="AC934" s="43"/>
      <c r="AD934" s="43"/>
      <c r="AE934" s="43"/>
      <c r="AF934" s="43"/>
      <c r="AG934" s="43"/>
    </row>
    <row r="935" ht="15.75" customHeight="1">
      <c r="R935" s="41"/>
      <c r="U935" s="42"/>
      <c r="V935" s="42"/>
      <c r="Z935" s="43"/>
      <c r="AA935" s="43"/>
      <c r="AB935" s="43"/>
      <c r="AC935" s="43"/>
      <c r="AD935" s="43"/>
      <c r="AE935" s="43"/>
      <c r="AF935" s="43"/>
      <c r="AG935" s="43"/>
    </row>
    <row r="936" ht="15.75" customHeight="1">
      <c r="R936" s="41"/>
      <c r="U936" s="42"/>
      <c r="V936" s="42"/>
      <c r="Z936" s="43"/>
      <c r="AA936" s="43"/>
      <c r="AB936" s="43"/>
      <c r="AC936" s="43"/>
      <c r="AD936" s="43"/>
      <c r="AE936" s="43"/>
      <c r="AF936" s="43"/>
      <c r="AG936" s="43"/>
    </row>
    <row r="937" ht="15.75" customHeight="1">
      <c r="R937" s="41"/>
      <c r="U937" s="42"/>
      <c r="V937" s="42"/>
      <c r="Z937" s="43"/>
      <c r="AA937" s="43"/>
      <c r="AB937" s="43"/>
      <c r="AC937" s="43"/>
      <c r="AD937" s="43"/>
      <c r="AE937" s="43"/>
      <c r="AF937" s="43"/>
      <c r="AG937" s="43"/>
    </row>
    <row r="938" ht="15.75" customHeight="1">
      <c r="R938" s="41"/>
      <c r="U938" s="42"/>
      <c r="V938" s="42"/>
      <c r="Z938" s="43"/>
      <c r="AA938" s="43"/>
      <c r="AB938" s="43"/>
      <c r="AC938" s="43"/>
      <c r="AD938" s="43"/>
      <c r="AE938" s="43"/>
      <c r="AF938" s="43"/>
      <c r="AG938" s="43"/>
    </row>
    <row r="939" ht="15.75" customHeight="1">
      <c r="R939" s="41"/>
      <c r="U939" s="42"/>
      <c r="V939" s="42"/>
      <c r="Z939" s="43"/>
      <c r="AA939" s="43"/>
      <c r="AB939" s="43"/>
      <c r="AC939" s="43"/>
      <c r="AD939" s="43"/>
      <c r="AE939" s="43"/>
      <c r="AF939" s="43"/>
      <c r="AG939" s="43"/>
    </row>
    <row r="940" ht="15.75" customHeight="1">
      <c r="R940" s="41"/>
      <c r="U940" s="42"/>
      <c r="V940" s="42"/>
      <c r="Z940" s="43"/>
      <c r="AA940" s="43"/>
      <c r="AB940" s="43"/>
      <c r="AC940" s="43"/>
      <c r="AD940" s="43"/>
      <c r="AE940" s="43"/>
      <c r="AF940" s="43"/>
      <c r="AG940" s="43"/>
    </row>
    <row r="941" ht="15.75" customHeight="1">
      <c r="R941" s="41"/>
      <c r="U941" s="42"/>
      <c r="V941" s="42"/>
      <c r="Z941" s="43"/>
      <c r="AA941" s="43"/>
      <c r="AB941" s="43"/>
      <c r="AC941" s="43"/>
      <c r="AD941" s="43"/>
      <c r="AE941" s="43"/>
      <c r="AF941" s="43"/>
      <c r="AG941" s="43"/>
    </row>
    <row r="942" ht="15.75" customHeight="1">
      <c r="R942" s="41"/>
      <c r="U942" s="42"/>
      <c r="V942" s="42"/>
      <c r="Z942" s="43"/>
      <c r="AA942" s="43"/>
      <c r="AB942" s="43"/>
      <c r="AC942" s="43"/>
      <c r="AD942" s="43"/>
      <c r="AE942" s="43"/>
      <c r="AF942" s="43"/>
      <c r="AG942" s="43"/>
    </row>
    <row r="943" ht="15.75" customHeight="1">
      <c r="R943" s="41"/>
      <c r="U943" s="42"/>
      <c r="V943" s="42"/>
      <c r="Z943" s="43"/>
      <c r="AA943" s="43"/>
      <c r="AB943" s="43"/>
      <c r="AC943" s="43"/>
      <c r="AD943" s="43"/>
      <c r="AE943" s="43"/>
      <c r="AF943" s="43"/>
      <c r="AG943" s="43"/>
    </row>
    <row r="944" ht="15.75" customHeight="1">
      <c r="Z944" s="43"/>
      <c r="AA944" s="43"/>
      <c r="AB944" s="43"/>
      <c r="AC944" s="43"/>
      <c r="AD944" s="43"/>
      <c r="AE944" s="43"/>
      <c r="AF944" s="43"/>
      <c r="AG944" s="43"/>
    </row>
    <row r="945" ht="15.75" customHeight="1">
      <c r="Z945" s="43"/>
      <c r="AA945" s="43"/>
      <c r="AB945" s="43"/>
      <c r="AC945" s="43"/>
      <c r="AD945" s="43"/>
      <c r="AE945" s="43"/>
      <c r="AF945" s="43"/>
      <c r="AG945" s="43"/>
    </row>
    <row r="946" ht="15.75" customHeight="1">
      <c r="Z946" s="43"/>
      <c r="AA946" s="43"/>
      <c r="AB946" s="43"/>
      <c r="AC946" s="43"/>
      <c r="AD946" s="43"/>
      <c r="AE946" s="43"/>
      <c r="AF946" s="43"/>
      <c r="AG946" s="43"/>
    </row>
    <row r="947" ht="15.75" customHeight="1">
      <c r="Z947" s="43"/>
      <c r="AA947" s="43"/>
      <c r="AB947" s="43"/>
      <c r="AC947" s="43"/>
      <c r="AD947" s="43"/>
      <c r="AE947" s="43"/>
      <c r="AF947" s="43"/>
      <c r="AG947" s="43"/>
    </row>
    <row r="948" ht="15.75" customHeight="1">
      <c r="Z948" s="43"/>
      <c r="AA948" s="43"/>
      <c r="AB948" s="43"/>
      <c r="AC948" s="43"/>
      <c r="AD948" s="43"/>
      <c r="AE948" s="43"/>
      <c r="AF948" s="43"/>
      <c r="AG948" s="43"/>
    </row>
    <row r="949" ht="15.75" customHeight="1">
      <c r="Z949" s="43"/>
      <c r="AA949" s="43"/>
      <c r="AB949" s="43"/>
      <c r="AC949" s="43"/>
      <c r="AD949" s="43"/>
      <c r="AE949" s="43"/>
      <c r="AF949" s="43"/>
      <c r="AG949" s="43"/>
    </row>
    <row r="950" ht="15.75" customHeight="1">
      <c r="Z950" s="43"/>
      <c r="AA950" s="43"/>
      <c r="AB950" s="43"/>
      <c r="AC950" s="43"/>
      <c r="AD950" s="43"/>
      <c r="AE950" s="43"/>
      <c r="AF950" s="43"/>
      <c r="AG950" s="43"/>
    </row>
    <row r="951" ht="15.75" customHeight="1">
      <c r="Z951" s="43"/>
      <c r="AA951" s="43"/>
      <c r="AB951" s="43"/>
      <c r="AC951" s="43"/>
      <c r="AD951" s="43"/>
      <c r="AE951" s="43"/>
      <c r="AF951" s="43"/>
      <c r="AG951" s="43"/>
    </row>
    <row r="952" ht="15.75" customHeight="1">
      <c r="Z952" s="43"/>
      <c r="AA952" s="43"/>
      <c r="AB952" s="43"/>
      <c r="AC952" s="43"/>
      <c r="AD952" s="43"/>
      <c r="AE952" s="43"/>
      <c r="AF952" s="43"/>
      <c r="AG952" s="43"/>
    </row>
    <row r="953" ht="15.75" customHeight="1">
      <c r="Z953" s="43"/>
      <c r="AA953" s="43"/>
      <c r="AB953" s="43"/>
      <c r="AC953" s="43"/>
      <c r="AD953" s="43"/>
      <c r="AE953" s="43"/>
      <c r="AF953" s="43"/>
      <c r="AG953" s="43"/>
    </row>
    <row r="954" ht="15.75" customHeight="1">
      <c r="Z954" s="43"/>
      <c r="AA954" s="43"/>
      <c r="AB954" s="43"/>
      <c r="AC954" s="43"/>
      <c r="AD954" s="43"/>
      <c r="AE954" s="43"/>
      <c r="AF954" s="43"/>
      <c r="AG954" s="43"/>
    </row>
    <row r="955" ht="15.75" customHeight="1">
      <c r="Z955" s="43"/>
      <c r="AA955" s="43"/>
      <c r="AB955" s="43"/>
      <c r="AC955" s="43"/>
      <c r="AD955" s="43"/>
      <c r="AE955" s="43"/>
      <c r="AF955" s="43"/>
      <c r="AG955" s="43"/>
    </row>
    <row r="956" ht="15.75" customHeight="1">
      <c r="Z956" s="43"/>
      <c r="AA956" s="43"/>
      <c r="AB956" s="43"/>
      <c r="AC956" s="43"/>
      <c r="AD956" s="43"/>
      <c r="AE956" s="43"/>
      <c r="AF956" s="43"/>
      <c r="AG956" s="43"/>
    </row>
    <row r="957" ht="15.75" customHeight="1">
      <c r="Z957" s="43"/>
      <c r="AA957" s="43"/>
      <c r="AB957" s="43"/>
      <c r="AC957" s="43"/>
      <c r="AD957" s="43"/>
      <c r="AE957" s="43"/>
      <c r="AF957" s="43"/>
      <c r="AG957" s="43"/>
    </row>
    <row r="958" ht="15.75" customHeight="1">
      <c r="Z958" s="43"/>
      <c r="AA958" s="43"/>
      <c r="AB958" s="43"/>
      <c r="AC958" s="43"/>
      <c r="AD958" s="43"/>
      <c r="AE958" s="43"/>
      <c r="AF958" s="43"/>
      <c r="AG958" s="43"/>
    </row>
    <row r="959" ht="15.75" customHeight="1">
      <c r="Z959" s="43"/>
      <c r="AA959" s="43"/>
      <c r="AB959" s="43"/>
      <c r="AC959" s="43"/>
      <c r="AD959" s="43"/>
      <c r="AE959" s="43"/>
      <c r="AF959" s="43"/>
      <c r="AG959" s="43"/>
    </row>
    <row r="960" ht="15.75" customHeight="1">
      <c r="Z960" s="43"/>
      <c r="AA960" s="43"/>
      <c r="AB960" s="43"/>
      <c r="AC960" s="43"/>
      <c r="AD960" s="43"/>
      <c r="AE960" s="43"/>
      <c r="AF960" s="43"/>
      <c r="AG960" s="43"/>
    </row>
    <row r="961" ht="15.75" customHeight="1">
      <c r="Z961" s="43"/>
      <c r="AA961" s="43"/>
      <c r="AB961" s="43"/>
      <c r="AC961" s="43"/>
      <c r="AD961" s="43"/>
      <c r="AE961" s="43"/>
      <c r="AF961" s="43"/>
      <c r="AG961" s="43"/>
    </row>
    <row r="962" ht="15.75" customHeight="1">
      <c r="Z962" s="43"/>
      <c r="AA962" s="43"/>
      <c r="AB962" s="43"/>
      <c r="AC962" s="43"/>
      <c r="AD962" s="43"/>
      <c r="AE962" s="43"/>
      <c r="AF962" s="43"/>
      <c r="AG962" s="43"/>
    </row>
    <row r="963" ht="15.75" customHeight="1">
      <c r="Z963" s="43"/>
      <c r="AA963" s="43"/>
      <c r="AB963" s="43"/>
      <c r="AC963" s="43"/>
      <c r="AD963" s="43"/>
      <c r="AE963" s="43"/>
      <c r="AF963" s="43"/>
      <c r="AG963" s="43"/>
    </row>
    <row r="964" ht="15.75" customHeight="1">
      <c r="Z964" s="43"/>
      <c r="AA964" s="43"/>
      <c r="AB964" s="43"/>
      <c r="AC964" s="43"/>
      <c r="AD964" s="43"/>
      <c r="AE964" s="43"/>
      <c r="AF964" s="43"/>
      <c r="AG964" s="43"/>
    </row>
    <row r="965" ht="15.75" customHeight="1">
      <c r="Z965" s="43"/>
      <c r="AA965" s="43"/>
      <c r="AB965" s="43"/>
      <c r="AC965" s="43"/>
      <c r="AD965" s="43"/>
      <c r="AE965" s="43"/>
      <c r="AF965" s="43"/>
      <c r="AG965" s="43"/>
    </row>
    <row r="966" ht="15.75" customHeight="1">
      <c r="Z966" s="43"/>
      <c r="AA966" s="43"/>
      <c r="AB966" s="43"/>
      <c r="AC966" s="43"/>
      <c r="AD966" s="43"/>
      <c r="AE966" s="43"/>
      <c r="AF966" s="43"/>
      <c r="AG966" s="43"/>
    </row>
    <row r="967" ht="15.75" customHeight="1">
      <c r="Z967" s="43"/>
      <c r="AA967" s="43"/>
      <c r="AB967" s="43"/>
      <c r="AC967" s="43"/>
      <c r="AD967" s="43"/>
      <c r="AE967" s="43"/>
      <c r="AF967" s="43"/>
      <c r="AG967" s="43"/>
    </row>
    <row r="968" ht="15.75" customHeight="1">
      <c r="Z968" s="43"/>
      <c r="AA968" s="43"/>
      <c r="AB968" s="43"/>
      <c r="AC968" s="43"/>
      <c r="AD968" s="43"/>
      <c r="AE968" s="43"/>
      <c r="AF968" s="43"/>
      <c r="AG968" s="43"/>
    </row>
    <row r="969" ht="15.75" customHeight="1">
      <c r="Z969" s="43"/>
      <c r="AA969" s="43"/>
      <c r="AB969" s="43"/>
      <c r="AC969" s="43"/>
      <c r="AD969" s="43"/>
      <c r="AE969" s="43"/>
      <c r="AF969" s="43"/>
      <c r="AG969" s="43"/>
    </row>
    <row r="970" ht="15.75" customHeight="1">
      <c r="Z970" s="43"/>
      <c r="AA970" s="43"/>
      <c r="AB970" s="43"/>
      <c r="AC970" s="43"/>
      <c r="AD970" s="43"/>
      <c r="AE970" s="43"/>
      <c r="AF970" s="43"/>
      <c r="AG970" s="43"/>
    </row>
    <row r="971" ht="15.75" customHeight="1">
      <c r="Z971" s="43"/>
      <c r="AA971" s="43"/>
      <c r="AB971" s="43"/>
      <c r="AC971" s="43"/>
      <c r="AD971" s="43"/>
      <c r="AE971" s="43"/>
      <c r="AF971" s="43"/>
      <c r="AG971" s="43"/>
    </row>
    <row r="972" ht="15.75" customHeight="1">
      <c r="Z972" s="43"/>
      <c r="AA972" s="43"/>
      <c r="AB972" s="43"/>
      <c r="AC972" s="43"/>
      <c r="AD972" s="43"/>
      <c r="AE972" s="43"/>
      <c r="AF972" s="43"/>
      <c r="AG972" s="43"/>
    </row>
    <row r="973" ht="15.75" customHeight="1">
      <c r="Z973" s="43"/>
      <c r="AA973" s="43"/>
      <c r="AB973" s="43"/>
      <c r="AC973" s="43"/>
      <c r="AD973" s="43"/>
      <c r="AE973" s="43"/>
      <c r="AF973" s="43"/>
      <c r="AG973" s="43"/>
    </row>
    <row r="974" ht="15.75" customHeight="1">
      <c r="Z974" s="43"/>
      <c r="AA974" s="43"/>
      <c r="AB974" s="43"/>
      <c r="AC974" s="43"/>
      <c r="AD974" s="43"/>
      <c r="AE974" s="43"/>
      <c r="AF974" s="43"/>
      <c r="AG974" s="43"/>
    </row>
    <row r="975" ht="15.75" customHeight="1">
      <c r="Z975" s="43"/>
      <c r="AA975" s="43"/>
      <c r="AB975" s="43"/>
      <c r="AC975" s="43"/>
      <c r="AD975" s="43"/>
      <c r="AE975" s="43"/>
      <c r="AF975" s="43"/>
      <c r="AG975" s="43"/>
    </row>
    <row r="976" ht="15.75" customHeight="1">
      <c r="Z976" s="43"/>
      <c r="AA976" s="43"/>
      <c r="AB976" s="43"/>
      <c r="AC976" s="43"/>
      <c r="AD976" s="43"/>
      <c r="AE976" s="43"/>
      <c r="AF976" s="43"/>
      <c r="AG976" s="43"/>
    </row>
    <row r="977" ht="15.75" customHeight="1">
      <c r="Z977" s="43"/>
      <c r="AA977" s="43"/>
      <c r="AB977" s="43"/>
      <c r="AC977" s="43"/>
      <c r="AD977" s="43"/>
      <c r="AE977" s="43"/>
      <c r="AF977" s="43"/>
      <c r="AG977" s="43"/>
    </row>
    <row r="978" ht="15.75" customHeight="1">
      <c r="Z978" s="43"/>
      <c r="AA978" s="43"/>
      <c r="AB978" s="43"/>
      <c r="AC978" s="43"/>
      <c r="AD978" s="43"/>
      <c r="AE978" s="43"/>
      <c r="AF978" s="43"/>
      <c r="AG978" s="43"/>
    </row>
    <row r="979" ht="15.75" customHeight="1">
      <c r="Z979" s="43"/>
      <c r="AA979" s="43"/>
      <c r="AB979" s="43"/>
      <c r="AC979" s="43"/>
      <c r="AD979" s="43"/>
      <c r="AE979" s="43"/>
      <c r="AF979" s="43"/>
      <c r="AG979" s="43"/>
    </row>
    <row r="980" ht="15.75" customHeight="1">
      <c r="Z980" s="43"/>
      <c r="AA980" s="43"/>
      <c r="AB980" s="43"/>
      <c r="AC980" s="43"/>
      <c r="AD980" s="43"/>
      <c r="AE980" s="43"/>
      <c r="AF980" s="43"/>
      <c r="AG980" s="43"/>
    </row>
    <row r="981" ht="15.75" customHeight="1">
      <c r="Z981" s="43"/>
      <c r="AA981" s="43"/>
      <c r="AB981" s="43"/>
      <c r="AC981" s="43"/>
      <c r="AD981" s="43"/>
      <c r="AE981" s="43"/>
      <c r="AF981" s="43"/>
      <c r="AG981" s="43"/>
    </row>
    <row r="982" ht="15.75" customHeight="1">
      <c r="Z982" s="43"/>
      <c r="AA982" s="43"/>
      <c r="AB982" s="43"/>
      <c r="AC982" s="43"/>
      <c r="AD982" s="43"/>
      <c r="AE982" s="43"/>
      <c r="AF982" s="43"/>
      <c r="AG982" s="43"/>
    </row>
    <row r="983" ht="15.75" customHeight="1">
      <c r="Z983" s="43"/>
      <c r="AA983" s="43"/>
      <c r="AB983" s="43"/>
      <c r="AC983" s="43"/>
      <c r="AD983" s="43"/>
      <c r="AE983" s="43"/>
      <c r="AF983" s="43"/>
      <c r="AG983" s="43"/>
    </row>
    <row r="984" ht="15.75" customHeight="1">
      <c r="Z984" s="43"/>
      <c r="AA984" s="43"/>
      <c r="AB984" s="43"/>
      <c r="AC984" s="43"/>
      <c r="AD984" s="43"/>
      <c r="AE984" s="43"/>
      <c r="AF984" s="43"/>
      <c r="AG984" s="43"/>
    </row>
    <row r="985" ht="15.75" customHeight="1">
      <c r="Z985" s="43"/>
      <c r="AA985" s="43"/>
      <c r="AB985" s="43"/>
      <c r="AC985" s="43"/>
      <c r="AD985" s="43"/>
      <c r="AE985" s="43"/>
      <c r="AF985" s="43"/>
      <c r="AG985" s="43"/>
    </row>
    <row r="986" ht="15.75" customHeight="1">
      <c r="Z986" s="43"/>
      <c r="AA986" s="43"/>
      <c r="AB986" s="43"/>
      <c r="AC986" s="43"/>
      <c r="AD986" s="43"/>
      <c r="AE986" s="43"/>
      <c r="AF986" s="43"/>
      <c r="AG986" s="43"/>
    </row>
    <row r="987" ht="15.75" customHeight="1">
      <c r="Z987" s="43"/>
      <c r="AA987" s="43"/>
      <c r="AB987" s="43"/>
      <c r="AC987" s="43"/>
      <c r="AD987" s="43"/>
      <c r="AE987" s="43"/>
      <c r="AF987" s="43"/>
      <c r="AG987" s="43"/>
    </row>
    <row r="988" ht="15.75" customHeight="1">
      <c r="Z988" s="43"/>
      <c r="AA988" s="43"/>
      <c r="AB988" s="43"/>
      <c r="AC988" s="43"/>
      <c r="AD988" s="43"/>
      <c r="AE988" s="43"/>
      <c r="AF988" s="43"/>
      <c r="AG988" s="43"/>
    </row>
    <row r="989" ht="15.75" customHeight="1">
      <c r="Z989" s="43"/>
      <c r="AA989" s="43"/>
      <c r="AB989" s="43"/>
      <c r="AC989" s="43"/>
      <c r="AD989" s="43"/>
      <c r="AE989" s="43"/>
      <c r="AF989" s="43"/>
      <c r="AG989" s="43"/>
    </row>
    <row r="990" ht="15.75" customHeight="1">
      <c r="Z990" s="43"/>
      <c r="AA990" s="43"/>
      <c r="AB990" s="43"/>
      <c r="AC990" s="43"/>
      <c r="AD990" s="43"/>
      <c r="AE990" s="43"/>
      <c r="AF990" s="43"/>
      <c r="AG990" s="43"/>
    </row>
    <row r="991" ht="15.75" customHeight="1">
      <c r="Z991" s="43"/>
      <c r="AA991" s="43"/>
      <c r="AB991" s="43"/>
      <c r="AC991" s="43"/>
      <c r="AD991" s="43"/>
      <c r="AE991" s="43"/>
      <c r="AF991" s="43"/>
      <c r="AG991" s="43"/>
    </row>
    <row r="992" ht="15.75" customHeight="1">
      <c r="Z992" s="43"/>
      <c r="AA992" s="43"/>
      <c r="AB992" s="43"/>
      <c r="AC992" s="43"/>
      <c r="AD992" s="43"/>
      <c r="AE992" s="43"/>
      <c r="AF992" s="43"/>
      <c r="AG992" s="43"/>
    </row>
    <row r="993" ht="15.75" customHeight="1">
      <c r="Z993" s="43"/>
      <c r="AA993" s="43"/>
      <c r="AB993" s="43"/>
      <c r="AC993" s="43"/>
      <c r="AD993" s="43"/>
      <c r="AE993" s="43"/>
      <c r="AF993" s="43"/>
      <c r="AG993" s="43"/>
    </row>
    <row r="994" ht="15.75" customHeight="1">
      <c r="Z994" s="43"/>
      <c r="AA994" s="43"/>
      <c r="AB994" s="43"/>
      <c r="AC994" s="43"/>
      <c r="AD994" s="43"/>
      <c r="AE994" s="43"/>
      <c r="AF994" s="43"/>
      <c r="AG994" s="43"/>
    </row>
    <row r="995" ht="15.75" customHeight="1">
      <c r="Z995" s="43"/>
      <c r="AA995" s="43"/>
      <c r="AB995" s="43"/>
      <c r="AC995" s="43"/>
      <c r="AD995" s="43"/>
      <c r="AE995" s="43"/>
      <c r="AF995" s="43"/>
      <c r="AG995" s="43"/>
    </row>
    <row r="996" ht="15.75" customHeight="1">
      <c r="Z996" s="43"/>
      <c r="AA996" s="43"/>
      <c r="AB996" s="43"/>
      <c r="AC996" s="43"/>
      <c r="AD996" s="43"/>
      <c r="AE996" s="43"/>
      <c r="AF996" s="43"/>
      <c r="AG996" s="43"/>
    </row>
    <row r="997" ht="15.75" customHeight="1">
      <c r="Z997" s="43"/>
      <c r="AA997" s="43"/>
      <c r="AB997" s="43"/>
      <c r="AC997" s="43"/>
      <c r="AD997" s="43"/>
      <c r="AE997" s="43"/>
      <c r="AF997" s="43"/>
      <c r="AG997" s="43"/>
    </row>
    <row r="998" ht="15.75" customHeight="1">
      <c r="Z998" s="43"/>
      <c r="AA998" s="43"/>
      <c r="AB998" s="43"/>
      <c r="AC998" s="43"/>
      <c r="AD998" s="43"/>
      <c r="AE998" s="43"/>
      <c r="AF998" s="43"/>
      <c r="AG998" s="43"/>
    </row>
    <row r="999" ht="15.75" customHeight="1">
      <c r="Z999" s="43"/>
      <c r="AA999" s="43"/>
      <c r="AB999" s="43"/>
      <c r="AC999" s="43"/>
      <c r="AD999" s="43"/>
      <c r="AE999" s="43"/>
      <c r="AF999" s="43"/>
      <c r="AG999" s="43"/>
    </row>
    <row r="1000" ht="15.75" customHeight="1">
      <c r="Z1000" s="43"/>
      <c r="AA1000" s="43"/>
      <c r="AB1000" s="43"/>
      <c r="AC1000" s="43"/>
      <c r="AD1000" s="43"/>
      <c r="AE1000" s="43"/>
      <c r="AF1000" s="43"/>
      <c r="AG1000" s="43"/>
    </row>
    <row r="1001" ht="15.75" customHeight="1">
      <c r="Z1001" s="43"/>
      <c r="AA1001" s="43"/>
      <c r="AB1001" s="43"/>
      <c r="AC1001" s="43"/>
      <c r="AD1001" s="43"/>
      <c r="AE1001" s="43"/>
      <c r="AF1001" s="43"/>
      <c r="AG1001" s="43"/>
    </row>
    <row r="1002" ht="15.75" customHeight="1">
      <c r="Z1002" s="43"/>
      <c r="AA1002" s="43"/>
      <c r="AB1002" s="43"/>
      <c r="AC1002" s="43"/>
      <c r="AD1002" s="43"/>
      <c r="AE1002" s="43"/>
      <c r="AF1002" s="43"/>
      <c r="AG1002" s="43"/>
    </row>
    <row r="1003" ht="15.75" customHeight="1">
      <c r="Z1003" s="43"/>
      <c r="AA1003" s="43"/>
      <c r="AB1003" s="43"/>
      <c r="AC1003" s="43"/>
      <c r="AD1003" s="43"/>
      <c r="AE1003" s="43"/>
      <c r="AF1003" s="43"/>
      <c r="AG1003" s="43"/>
    </row>
    <row r="1004" ht="15.75" customHeight="1">
      <c r="Z1004" s="43"/>
      <c r="AA1004" s="43"/>
      <c r="AB1004" s="43"/>
      <c r="AC1004" s="43"/>
      <c r="AD1004" s="43"/>
      <c r="AE1004" s="43"/>
      <c r="AF1004" s="43"/>
      <c r="AG1004" s="43"/>
    </row>
    <row r="1005" ht="15.75" customHeight="1">
      <c r="Z1005" s="43"/>
      <c r="AA1005" s="43"/>
      <c r="AB1005" s="43"/>
      <c r="AC1005" s="43"/>
      <c r="AD1005" s="43"/>
      <c r="AE1005" s="43"/>
      <c r="AF1005" s="43"/>
      <c r="AG1005" s="43"/>
    </row>
    <row r="1006" ht="15.75" customHeight="1">
      <c r="Z1006" s="43"/>
      <c r="AA1006" s="43"/>
      <c r="AB1006" s="43"/>
      <c r="AC1006" s="43"/>
      <c r="AD1006" s="43"/>
      <c r="AE1006" s="43"/>
      <c r="AF1006" s="43"/>
      <c r="AG1006" s="43"/>
    </row>
    <row r="1007" ht="15.75" customHeight="1">
      <c r="Z1007" s="43"/>
      <c r="AA1007" s="43"/>
      <c r="AB1007" s="43"/>
      <c r="AC1007" s="43"/>
      <c r="AD1007" s="43"/>
      <c r="AE1007" s="43"/>
      <c r="AF1007" s="43"/>
      <c r="AG1007" s="43"/>
    </row>
    <row r="1008" ht="15.75" customHeight="1">
      <c r="Z1008" s="43"/>
      <c r="AA1008" s="43"/>
      <c r="AB1008" s="43"/>
      <c r="AC1008" s="43"/>
      <c r="AD1008" s="43"/>
      <c r="AE1008" s="43"/>
      <c r="AF1008" s="43"/>
      <c r="AG1008" s="43"/>
    </row>
    <row r="1009" ht="15.75" customHeight="1">
      <c r="Z1009" s="43"/>
      <c r="AA1009" s="43"/>
      <c r="AB1009" s="43"/>
      <c r="AC1009" s="43"/>
      <c r="AD1009" s="43"/>
      <c r="AE1009" s="43"/>
      <c r="AF1009" s="43"/>
      <c r="AG1009" s="43"/>
    </row>
    <row r="1010" ht="15.75" customHeight="1">
      <c r="Z1010" s="43"/>
      <c r="AA1010" s="43"/>
      <c r="AB1010" s="43"/>
      <c r="AC1010" s="43"/>
      <c r="AD1010" s="43"/>
      <c r="AE1010" s="43"/>
      <c r="AF1010" s="43"/>
      <c r="AG1010" s="43"/>
    </row>
    <row r="1011" ht="15.75" customHeight="1">
      <c r="Z1011" s="43"/>
      <c r="AA1011" s="43"/>
      <c r="AB1011" s="43"/>
      <c r="AC1011" s="43"/>
      <c r="AD1011" s="43"/>
      <c r="AE1011" s="43"/>
      <c r="AF1011" s="43"/>
      <c r="AG1011" s="43"/>
    </row>
    <row r="1012" ht="15.75" customHeight="1">
      <c r="Z1012" s="43"/>
      <c r="AA1012" s="43"/>
      <c r="AB1012" s="43"/>
      <c r="AC1012" s="43"/>
      <c r="AD1012" s="43"/>
      <c r="AE1012" s="43"/>
      <c r="AF1012" s="43"/>
      <c r="AG1012" s="43"/>
    </row>
    <row r="1013" ht="15.75" customHeight="1">
      <c r="Z1013" s="43"/>
      <c r="AA1013" s="43"/>
      <c r="AB1013" s="43"/>
      <c r="AC1013" s="43"/>
      <c r="AD1013" s="43"/>
      <c r="AE1013" s="43"/>
      <c r="AF1013" s="43"/>
      <c r="AG1013" s="43"/>
    </row>
    <row r="1014" ht="15.75" customHeight="1">
      <c r="Z1014" s="43"/>
      <c r="AA1014" s="43"/>
      <c r="AB1014" s="43"/>
      <c r="AC1014" s="43"/>
      <c r="AD1014" s="43"/>
      <c r="AE1014" s="43"/>
      <c r="AF1014" s="43"/>
      <c r="AG1014" s="43"/>
    </row>
    <row r="1015" ht="15.75" customHeight="1">
      <c r="Z1015" s="43"/>
      <c r="AA1015" s="43"/>
      <c r="AB1015" s="43"/>
      <c r="AC1015" s="43"/>
      <c r="AD1015" s="43"/>
      <c r="AE1015" s="43"/>
      <c r="AF1015" s="43"/>
      <c r="AG1015" s="43"/>
    </row>
    <row r="1016" ht="15.75" customHeight="1">
      <c r="Z1016" s="43"/>
      <c r="AA1016" s="43"/>
      <c r="AB1016" s="43"/>
      <c r="AC1016" s="43"/>
      <c r="AD1016" s="43"/>
      <c r="AE1016" s="43"/>
      <c r="AF1016" s="43"/>
      <c r="AG1016" s="43"/>
    </row>
    <row r="1017" ht="15.75" customHeight="1">
      <c r="Z1017" s="43"/>
      <c r="AA1017" s="43"/>
      <c r="AB1017" s="43"/>
      <c r="AC1017" s="43"/>
      <c r="AD1017" s="43"/>
      <c r="AE1017" s="43"/>
      <c r="AF1017" s="43"/>
      <c r="AG1017" s="43"/>
    </row>
    <row r="1018" ht="15.75" customHeight="1">
      <c r="Z1018" s="43"/>
      <c r="AA1018" s="43"/>
      <c r="AB1018" s="43"/>
      <c r="AC1018" s="43"/>
      <c r="AD1018" s="43"/>
      <c r="AE1018" s="43"/>
      <c r="AF1018" s="43"/>
      <c r="AG1018" s="43"/>
    </row>
    <row r="1019" ht="15.75" customHeight="1">
      <c r="Z1019" s="43"/>
      <c r="AA1019" s="43"/>
      <c r="AB1019" s="43"/>
      <c r="AC1019" s="43"/>
      <c r="AD1019" s="43"/>
      <c r="AE1019" s="43"/>
      <c r="AF1019" s="43"/>
      <c r="AG1019" s="43"/>
    </row>
    <row r="1020" ht="15.75" customHeight="1">
      <c r="Z1020" s="43"/>
      <c r="AA1020" s="43"/>
      <c r="AB1020" s="43"/>
      <c r="AC1020" s="43"/>
      <c r="AD1020" s="43"/>
      <c r="AE1020" s="43"/>
      <c r="AF1020" s="43"/>
      <c r="AG1020" s="43"/>
    </row>
    <row r="1021" ht="15.75" customHeight="1">
      <c r="Z1021" s="43"/>
      <c r="AA1021" s="43"/>
      <c r="AB1021" s="43"/>
      <c r="AC1021" s="43"/>
      <c r="AD1021" s="43"/>
      <c r="AE1021" s="43"/>
      <c r="AF1021" s="43"/>
      <c r="AG1021" s="43"/>
    </row>
    <row r="1022" ht="15.75" customHeight="1">
      <c r="Z1022" s="43"/>
      <c r="AA1022" s="43"/>
      <c r="AB1022" s="43"/>
      <c r="AC1022" s="43"/>
      <c r="AD1022" s="43"/>
      <c r="AE1022" s="43"/>
      <c r="AF1022" s="43"/>
      <c r="AG1022" s="43"/>
    </row>
    <row r="1023" ht="15.75" customHeight="1">
      <c r="Z1023" s="43"/>
      <c r="AA1023" s="43"/>
      <c r="AB1023" s="43"/>
      <c r="AC1023" s="43"/>
      <c r="AD1023" s="43"/>
      <c r="AE1023" s="43"/>
      <c r="AF1023" s="43"/>
      <c r="AG1023" s="43"/>
    </row>
    <row r="1024" ht="15.75" customHeight="1">
      <c r="Z1024" s="43"/>
      <c r="AA1024" s="43"/>
      <c r="AB1024" s="43"/>
      <c r="AC1024" s="43"/>
      <c r="AD1024" s="43"/>
      <c r="AE1024" s="43"/>
      <c r="AF1024" s="43"/>
      <c r="AG1024" s="43"/>
    </row>
    <row r="1025" ht="15.75" customHeight="1">
      <c r="Z1025" s="43"/>
      <c r="AA1025" s="43"/>
      <c r="AB1025" s="43"/>
      <c r="AC1025" s="43"/>
      <c r="AD1025" s="43"/>
      <c r="AE1025" s="43"/>
      <c r="AF1025" s="43"/>
      <c r="AG1025" s="43"/>
    </row>
    <row r="1026" ht="15.75" customHeight="1">
      <c r="Z1026" s="43"/>
      <c r="AA1026" s="43"/>
      <c r="AB1026" s="43"/>
      <c r="AC1026" s="43"/>
      <c r="AD1026" s="43"/>
      <c r="AE1026" s="43"/>
      <c r="AF1026" s="43"/>
      <c r="AG1026" s="43"/>
    </row>
    <row r="1027" ht="15.75" customHeight="1">
      <c r="Z1027" s="43"/>
      <c r="AA1027" s="43"/>
      <c r="AB1027" s="43"/>
      <c r="AC1027" s="43"/>
      <c r="AD1027" s="43"/>
      <c r="AE1027" s="43"/>
      <c r="AF1027" s="43"/>
      <c r="AG1027" s="43"/>
    </row>
    <row r="1028" ht="15.75" customHeight="1">
      <c r="Z1028" s="43"/>
      <c r="AA1028" s="43"/>
      <c r="AB1028" s="43"/>
      <c r="AC1028" s="43"/>
      <c r="AD1028" s="43"/>
      <c r="AE1028" s="43"/>
      <c r="AF1028" s="43"/>
      <c r="AG1028" s="43"/>
    </row>
    <row r="1029" ht="15.75" customHeight="1">
      <c r="Z1029" s="43"/>
      <c r="AA1029" s="43"/>
      <c r="AB1029" s="43"/>
      <c r="AC1029" s="43"/>
      <c r="AD1029" s="43"/>
      <c r="AE1029" s="43"/>
      <c r="AF1029" s="43"/>
      <c r="AG1029" s="43"/>
    </row>
    <row r="1030" ht="15.75" customHeight="1">
      <c r="Z1030" s="43"/>
      <c r="AA1030" s="43"/>
      <c r="AB1030" s="43"/>
      <c r="AC1030" s="43"/>
      <c r="AD1030" s="43"/>
      <c r="AE1030" s="43"/>
      <c r="AF1030" s="43"/>
      <c r="AG1030" s="43"/>
    </row>
    <row r="1031" ht="15.75" customHeight="1">
      <c r="Z1031" s="43"/>
      <c r="AA1031" s="43"/>
      <c r="AB1031" s="43"/>
      <c r="AC1031" s="43"/>
      <c r="AD1031" s="43"/>
      <c r="AE1031" s="43"/>
      <c r="AF1031" s="43"/>
      <c r="AG1031" s="43"/>
    </row>
    <row r="1032" ht="15.75" customHeight="1">
      <c r="Z1032" s="43"/>
      <c r="AA1032" s="43"/>
      <c r="AB1032" s="43"/>
      <c r="AC1032" s="43"/>
      <c r="AD1032" s="43"/>
      <c r="AE1032" s="43"/>
      <c r="AF1032" s="43"/>
      <c r="AG1032" s="43"/>
    </row>
    <row r="1033" ht="15.75" customHeight="1">
      <c r="Z1033" s="43"/>
      <c r="AA1033" s="43"/>
      <c r="AB1033" s="43"/>
      <c r="AC1033" s="43"/>
      <c r="AD1033" s="43"/>
      <c r="AE1033" s="43"/>
      <c r="AF1033" s="43"/>
      <c r="AG1033" s="43"/>
    </row>
    <row r="1034" ht="15.75" customHeight="1">
      <c r="Z1034" s="43"/>
      <c r="AA1034" s="43"/>
      <c r="AB1034" s="43"/>
      <c r="AC1034" s="43"/>
      <c r="AD1034" s="43"/>
      <c r="AE1034" s="43"/>
      <c r="AF1034" s="43"/>
      <c r="AG1034" s="43"/>
    </row>
    <row r="1035" ht="15.75" customHeight="1">
      <c r="Z1035" s="43"/>
      <c r="AA1035" s="43"/>
      <c r="AB1035" s="43"/>
      <c r="AC1035" s="43"/>
      <c r="AD1035" s="43"/>
      <c r="AE1035" s="43"/>
      <c r="AF1035" s="43"/>
      <c r="AG1035" s="43"/>
    </row>
    <row r="1036" ht="15.75" customHeight="1">
      <c r="Z1036" s="43"/>
      <c r="AA1036" s="43"/>
      <c r="AB1036" s="43"/>
      <c r="AC1036" s="43"/>
      <c r="AD1036" s="43"/>
      <c r="AE1036" s="43"/>
      <c r="AF1036" s="43"/>
      <c r="AG1036" s="43"/>
    </row>
    <row r="1037" ht="15.75" customHeight="1">
      <c r="Z1037" s="43"/>
      <c r="AA1037" s="43"/>
      <c r="AB1037" s="43"/>
      <c r="AC1037" s="43"/>
      <c r="AD1037" s="43"/>
      <c r="AE1037" s="43"/>
      <c r="AF1037" s="43"/>
      <c r="AG1037" s="43"/>
    </row>
    <row r="1038" ht="15.75" customHeight="1">
      <c r="Z1038" s="43"/>
      <c r="AA1038" s="43"/>
      <c r="AB1038" s="43"/>
      <c r="AC1038" s="43"/>
      <c r="AD1038" s="43"/>
      <c r="AE1038" s="43"/>
      <c r="AF1038" s="43"/>
      <c r="AG1038" s="43"/>
    </row>
    <row r="1039" ht="15.75" customHeight="1">
      <c r="Z1039" s="43"/>
      <c r="AA1039" s="43"/>
      <c r="AB1039" s="43"/>
      <c r="AC1039" s="43"/>
      <c r="AD1039" s="43"/>
      <c r="AE1039" s="43"/>
      <c r="AF1039" s="43"/>
      <c r="AG1039" s="43"/>
    </row>
    <row r="1040" ht="15.75" customHeight="1">
      <c r="Z1040" s="43"/>
      <c r="AA1040" s="43"/>
      <c r="AB1040" s="43"/>
      <c r="AC1040" s="43"/>
      <c r="AD1040" s="43"/>
      <c r="AE1040" s="43"/>
      <c r="AF1040" s="43"/>
      <c r="AG1040" s="43"/>
    </row>
    <row r="1041" ht="15.75" customHeight="1">
      <c r="Z1041" s="43"/>
      <c r="AA1041" s="43"/>
      <c r="AB1041" s="43"/>
      <c r="AC1041" s="43"/>
      <c r="AD1041" s="43"/>
      <c r="AE1041" s="43"/>
      <c r="AF1041" s="43"/>
      <c r="AG1041" s="43"/>
    </row>
    <row r="1042" ht="15.75" customHeight="1">
      <c r="Z1042" s="43"/>
      <c r="AA1042" s="43"/>
      <c r="AB1042" s="43"/>
      <c r="AC1042" s="43"/>
      <c r="AD1042" s="43"/>
      <c r="AE1042" s="43"/>
      <c r="AF1042" s="43"/>
      <c r="AG1042" s="43"/>
    </row>
    <row r="1043" ht="15.75" customHeight="1">
      <c r="Z1043" s="43"/>
      <c r="AA1043" s="43"/>
      <c r="AB1043" s="43"/>
      <c r="AC1043" s="43"/>
      <c r="AD1043" s="43"/>
      <c r="AE1043" s="43"/>
      <c r="AF1043" s="43"/>
      <c r="AG1043" s="43"/>
    </row>
    <row r="1044" ht="15.75" customHeight="1">
      <c r="Z1044" s="43"/>
      <c r="AA1044" s="43"/>
      <c r="AB1044" s="43"/>
      <c r="AC1044" s="43"/>
      <c r="AD1044" s="43"/>
      <c r="AE1044" s="43"/>
      <c r="AF1044" s="43"/>
      <c r="AG1044" s="43"/>
    </row>
    <row r="1045" ht="15.75" customHeight="1">
      <c r="Z1045" s="43"/>
      <c r="AA1045" s="43"/>
      <c r="AB1045" s="43"/>
      <c r="AC1045" s="43"/>
      <c r="AD1045" s="43"/>
      <c r="AE1045" s="43"/>
      <c r="AF1045" s="43"/>
      <c r="AG1045" s="43"/>
    </row>
    <row r="1046" ht="15.75" customHeight="1">
      <c r="Z1046" s="43"/>
      <c r="AA1046" s="43"/>
      <c r="AB1046" s="43"/>
      <c r="AC1046" s="43"/>
      <c r="AD1046" s="43"/>
      <c r="AE1046" s="43"/>
      <c r="AF1046" s="43"/>
      <c r="AG1046" s="43"/>
    </row>
    <row r="1047" ht="15.75" customHeight="1">
      <c r="Z1047" s="43"/>
      <c r="AA1047" s="43"/>
      <c r="AB1047" s="43"/>
      <c r="AC1047" s="43"/>
      <c r="AD1047" s="43"/>
      <c r="AE1047" s="43"/>
      <c r="AF1047" s="43"/>
      <c r="AG1047" s="43"/>
    </row>
    <row r="1048" ht="15.75" customHeight="1">
      <c r="Z1048" s="43"/>
      <c r="AA1048" s="43"/>
      <c r="AB1048" s="43"/>
      <c r="AC1048" s="43"/>
      <c r="AD1048" s="43"/>
      <c r="AE1048" s="43"/>
      <c r="AF1048" s="43"/>
      <c r="AG1048" s="43"/>
    </row>
    <row r="1049" ht="15.75" customHeight="1">
      <c r="Z1049" s="43"/>
      <c r="AA1049" s="43"/>
      <c r="AB1049" s="43"/>
      <c r="AC1049" s="43"/>
      <c r="AD1049" s="43"/>
      <c r="AE1049" s="43"/>
      <c r="AF1049" s="43"/>
      <c r="AG1049" s="43"/>
    </row>
    <row r="1050" ht="15.75" customHeight="1">
      <c r="Z1050" s="43"/>
      <c r="AA1050" s="43"/>
      <c r="AB1050" s="43"/>
      <c r="AC1050" s="43"/>
      <c r="AD1050" s="43"/>
      <c r="AE1050" s="43"/>
      <c r="AF1050" s="43"/>
      <c r="AG1050" s="43"/>
    </row>
    <row r="1051" ht="15.75" customHeight="1">
      <c r="Z1051" s="43"/>
      <c r="AA1051" s="43"/>
      <c r="AB1051" s="43"/>
      <c r="AC1051" s="43"/>
      <c r="AD1051" s="43"/>
      <c r="AE1051" s="43"/>
      <c r="AF1051" s="43"/>
      <c r="AG1051" s="43"/>
    </row>
    <row r="1052" ht="15.75" customHeight="1">
      <c r="Z1052" s="43"/>
      <c r="AA1052" s="43"/>
      <c r="AB1052" s="43"/>
      <c r="AC1052" s="43"/>
      <c r="AD1052" s="43"/>
      <c r="AE1052" s="43"/>
      <c r="AF1052" s="43"/>
      <c r="AG1052" s="43"/>
    </row>
    <row r="1053" ht="15.75" customHeight="1">
      <c r="Z1053" s="43"/>
      <c r="AA1053" s="43"/>
      <c r="AB1053" s="43"/>
      <c r="AC1053" s="43"/>
      <c r="AD1053" s="43"/>
      <c r="AE1053" s="43"/>
      <c r="AF1053" s="43"/>
      <c r="AG1053" s="43"/>
    </row>
    <row r="1054" ht="15.75" customHeight="1">
      <c r="Z1054" s="43"/>
      <c r="AA1054" s="43"/>
      <c r="AB1054" s="43"/>
      <c r="AC1054" s="43"/>
      <c r="AD1054" s="43"/>
      <c r="AE1054" s="43"/>
      <c r="AF1054" s="43"/>
      <c r="AG1054" s="43"/>
    </row>
    <row r="1055" ht="15.75" customHeight="1">
      <c r="Z1055" s="43"/>
      <c r="AA1055" s="43"/>
      <c r="AB1055" s="43"/>
      <c r="AC1055" s="43"/>
      <c r="AD1055" s="43"/>
      <c r="AE1055" s="43"/>
      <c r="AF1055" s="43"/>
      <c r="AG1055" s="43"/>
    </row>
    <row r="1056" ht="15.75" customHeight="1">
      <c r="Z1056" s="43"/>
      <c r="AA1056" s="43"/>
      <c r="AB1056" s="43"/>
      <c r="AC1056" s="43"/>
      <c r="AD1056" s="43"/>
      <c r="AE1056" s="43"/>
      <c r="AF1056" s="43"/>
      <c r="AG1056" s="43"/>
    </row>
    <row r="1057" ht="15.75" customHeight="1">
      <c r="Z1057" s="43"/>
      <c r="AA1057" s="43"/>
      <c r="AB1057" s="43"/>
      <c r="AC1057" s="43"/>
      <c r="AD1057" s="43"/>
      <c r="AE1057" s="43"/>
      <c r="AF1057" s="43"/>
      <c r="AG1057" s="43"/>
    </row>
    <row r="1058" ht="15.75" customHeight="1">
      <c r="Z1058" s="43"/>
      <c r="AA1058" s="43"/>
      <c r="AB1058" s="43"/>
      <c r="AC1058" s="43"/>
      <c r="AD1058" s="43"/>
      <c r="AE1058" s="43"/>
      <c r="AF1058" s="43"/>
      <c r="AG1058" s="43"/>
    </row>
    <row r="1059" ht="15.75" customHeight="1">
      <c r="Z1059" s="43"/>
      <c r="AA1059" s="43"/>
      <c r="AB1059" s="43"/>
      <c r="AC1059" s="43"/>
      <c r="AD1059" s="43"/>
      <c r="AE1059" s="43"/>
      <c r="AF1059" s="43"/>
      <c r="AG1059" s="43"/>
    </row>
    <row r="1060" ht="15.75" customHeight="1">
      <c r="Z1060" s="43"/>
      <c r="AA1060" s="43"/>
      <c r="AB1060" s="43"/>
      <c r="AC1060" s="43"/>
      <c r="AD1060" s="43"/>
      <c r="AE1060" s="43"/>
      <c r="AF1060" s="43"/>
      <c r="AG1060" s="43"/>
    </row>
    <row r="1061" ht="15.75" customHeight="1">
      <c r="Z1061" s="43"/>
      <c r="AA1061" s="43"/>
      <c r="AB1061" s="43"/>
      <c r="AC1061" s="43"/>
      <c r="AD1061" s="43"/>
      <c r="AE1061" s="43"/>
      <c r="AF1061" s="43"/>
      <c r="AG1061" s="43"/>
    </row>
    <row r="1062" ht="15.75" customHeight="1">
      <c r="Z1062" s="43"/>
      <c r="AA1062" s="43"/>
      <c r="AB1062" s="43"/>
      <c r="AC1062" s="43"/>
      <c r="AD1062" s="43"/>
      <c r="AE1062" s="43"/>
      <c r="AF1062" s="43"/>
      <c r="AG1062" s="43"/>
    </row>
    <row r="1063" ht="15.75" customHeight="1">
      <c r="Z1063" s="43"/>
      <c r="AA1063" s="43"/>
      <c r="AB1063" s="43"/>
      <c r="AC1063" s="43"/>
      <c r="AD1063" s="43"/>
      <c r="AE1063" s="43"/>
      <c r="AF1063" s="43"/>
      <c r="AG1063" s="43"/>
    </row>
    <row r="1064" ht="15.75" customHeight="1">
      <c r="Z1064" s="43"/>
      <c r="AA1064" s="43"/>
      <c r="AB1064" s="43"/>
      <c r="AC1064" s="43"/>
      <c r="AD1064" s="43"/>
      <c r="AE1064" s="43"/>
      <c r="AF1064" s="43"/>
      <c r="AG1064" s="43"/>
    </row>
    <row r="1065" ht="15.75" customHeight="1">
      <c r="Z1065" s="43"/>
      <c r="AA1065" s="43"/>
      <c r="AB1065" s="43"/>
      <c r="AC1065" s="43"/>
      <c r="AD1065" s="43"/>
      <c r="AE1065" s="43"/>
      <c r="AF1065" s="43"/>
      <c r="AG1065" s="43"/>
    </row>
    <row r="1066" ht="15.75" customHeight="1">
      <c r="Z1066" s="43"/>
      <c r="AA1066" s="43"/>
      <c r="AB1066" s="43"/>
      <c r="AC1066" s="43"/>
      <c r="AD1066" s="43"/>
      <c r="AE1066" s="43"/>
      <c r="AF1066" s="43"/>
      <c r="AG1066" s="43"/>
    </row>
    <row r="1067" ht="15.75" customHeight="1">
      <c r="Z1067" s="43"/>
      <c r="AA1067" s="43"/>
      <c r="AB1067" s="43"/>
      <c r="AC1067" s="43"/>
      <c r="AD1067" s="43"/>
      <c r="AE1067" s="43"/>
      <c r="AF1067" s="43"/>
      <c r="AG1067" s="43"/>
    </row>
    <row r="1068" ht="15.75" customHeight="1">
      <c r="Z1068" s="43"/>
      <c r="AA1068" s="43"/>
      <c r="AB1068" s="43"/>
      <c r="AC1068" s="43"/>
      <c r="AD1068" s="43"/>
      <c r="AE1068" s="43"/>
      <c r="AF1068" s="43"/>
      <c r="AG1068" s="43"/>
    </row>
    <row r="1069" ht="15.75" customHeight="1">
      <c r="Z1069" s="43"/>
      <c r="AA1069" s="43"/>
      <c r="AB1069" s="43"/>
      <c r="AC1069" s="43"/>
      <c r="AD1069" s="43"/>
      <c r="AE1069" s="43"/>
      <c r="AF1069" s="43"/>
      <c r="AG1069" s="43"/>
    </row>
    <row r="1070" ht="15.75" customHeight="1">
      <c r="Z1070" s="43"/>
      <c r="AA1070" s="43"/>
      <c r="AB1070" s="43"/>
      <c r="AC1070" s="43"/>
      <c r="AD1070" s="43"/>
      <c r="AE1070" s="43"/>
      <c r="AF1070" s="43"/>
      <c r="AG1070" s="43"/>
    </row>
    <row r="1071" ht="15.75" customHeight="1">
      <c r="Z1071" s="43"/>
      <c r="AA1071" s="43"/>
      <c r="AB1071" s="43"/>
      <c r="AC1071" s="43"/>
      <c r="AD1071" s="43"/>
      <c r="AE1071" s="43"/>
      <c r="AF1071" s="43"/>
      <c r="AG1071" s="43"/>
    </row>
    <row r="1072" ht="15.75" customHeight="1">
      <c r="Z1072" s="43"/>
      <c r="AA1072" s="43"/>
      <c r="AB1072" s="43"/>
      <c r="AC1072" s="43"/>
      <c r="AD1072" s="43"/>
      <c r="AE1072" s="43"/>
      <c r="AF1072" s="43"/>
      <c r="AG1072" s="43"/>
    </row>
    <row r="1073" ht="15.75" customHeight="1">
      <c r="Z1073" s="43"/>
      <c r="AA1073" s="43"/>
      <c r="AB1073" s="43"/>
      <c r="AC1073" s="43"/>
      <c r="AD1073" s="43"/>
      <c r="AE1073" s="43"/>
      <c r="AF1073" s="43"/>
      <c r="AG1073" s="43"/>
    </row>
    <row r="1074" ht="15.75" customHeight="1">
      <c r="Z1074" s="43"/>
      <c r="AA1074" s="43"/>
      <c r="AB1074" s="43"/>
      <c r="AC1074" s="43"/>
      <c r="AD1074" s="43"/>
      <c r="AE1074" s="43"/>
      <c r="AF1074" s="43"/>
      <c r="AG1074" s="43"/>
    </row>
    <row r="1075" ht="15.75" customHeight="1">
      <c r="Z1075" s="43"/>
      <c r="AA1075" s="43"/>
      <c r="AB1075" s="43"/>
      <c r="AC1075" s="43"/>
      <c r="AD1075" s="43"/>
      <c r="AE1075" s="43"/>
      <c r="AF1075" s="43"/>
      <c r="AG1075" s="43"/>
    </row>
    <row r="1076" ht="15.75" customHeight="1">
      <c r="Z1076" s="43"/>
      <c r="AA1076" s="43"/>
      <c r="AB1076" s="43"/>
      <c r="AC1076" s="43"/>
      <c r="AD1076" s="43"/>
      <c r="AE1076" s="43"/>
      <c r="AF1076" s="43"/>
      <c r="AG1076" s="43"/>
    </row>
    <row r="1077" ht="15.75" customHeight="1">
      <c r="Z1077" s="43"/>
      <c r="AA1077" s="43"/>
      <c r="AB1077" s="43"/>
      <c r="AC1077" s="43"/>
      <c r="AD1077" s="43"/>
      <c r="AE1077" s="43"/>
      <c r="AF1077" s="43"/>
      <c r="AG1077" s="43"/>
    </row>
    <row r="1078" ht="15.75" customHeight="1">
      <c r="Z1078" s="43"/>
      <c r="AA1078" s="43"/>
      <c r="AB1078" s="43"/>
      <c r="AC1078" s="43"/>
      <c r="AD1078" s="43"/>
      <c r="AE1078" s="43"/>
      <c r="AF1078" s="43"/>
      <c r="AG1078" s="43"/>
    </row>
    <row r="1079" ht="15.75" customHeight="1">
      <c r="Z1079" s="43"/>
      <c r="AA1079" s="43"/>
      <c r="AB1079" s="43"/>
      <c r="AC1079" s="43"/>
      <c r="AD1079" s="43"/>
      <c r="AE1079" s="43"/>
      <c r="AF1079" s="43"/>
      <c r="AG1079" s="43"/>
    </row>
    <row r="1080" ht="15.75" customHeight="1">
      <c r="Z1080" s="43"/>
      <c r="AA1080" s="43"/>
      <c r="AB1080" s="43"/>
      <c r="AC1080" s="43"/>
      <c r="AD1080" s="43"/>
      <c r="AE1080" s="43"/>
      <c r="AF1080" s="43"/>
      <c r="AG1080" s="43"/>
    </row>
    <row r="1081" ht="15.75" customHeight="1">
      <c r="Z1081" s="43"/>
      <c r="AA1081" s="43"/>
      <c r="AB1081" s="43"/>
      <c r="AC1081" s="43"/>
      <c r="AD1081" s="43"/>
      <c r="AE1081" s="43"/>
      <c r="AF1081" s="43"/>
      <c r="AG1081" s="43"/>
    </row>
    <row r="1082" ht="15.75" customHeight="1">
      <c r="Z1082" s="43"/>
      <c r="AA1082" s="43"/>
      <c r="AB1082" s="43"/>
      <c r="AC1082" s="43"/>
      <c r="AD1082" s="43"/>
      <c r="AE1082" s="43"/>
      <c r="AF1082" s="43"/>
      <c r="AG1082" s="43"/>
    </row>
    <row r="1083" ht="15.75" customHeight="1">
      <c r="Z1083" s="43"/>
      <c r="AA1083" s="43"/>
      <c r="AB1083" s="43"/>
      <c r="AC1083" s="43"/>
      <c r="AD1083" s="43"/>
      <c r="AE1083" s="43"/>
      <c r="AF1083" s="43"/>
      <c r="AG1083" s="43"/>
    </row>
    <row r="1084" ht="15.75" customHeight="1">
      <c r="Z1084" s="43"/>
      <c r="AA1084" s="43"/>
      <c r="AB1084" s="43"/>
      <c r="AC1084" s="43"/>
      <c r="AD1084" s="43"/>
      <c r="AE1084" s="43"/>
      <c r="AF1084" s="43"/>
      <c r="AG1084" s="43"/>
    </row>
    <row r="1085" ht="15.75" customHeight="1">
      <c r="Z1085" s="43"/>
      <c r="AA1085" s="43"/>
      <c r="AB1085" s="43"/>
      <c r="AC1085" s="43"/>
      <c r="AD1085" s="43"/>
      <c r="AE1085" s="43"/>
      <c r="AF1085" s="43"/>
      <c r="AG1085" s="43"/>
    </row>
    <row r="1086" ht="15.75" customHeight="1">
      <c r="Z1086" s="43"/>
      <c r="AA1086" s="43"/>
      <c r="AB1086" s="43"/>
      <c r="AC1086" s="43"/>
      <c r="AD1086" s="43"/>
      <c r="AE1086" s="43"/>
      <c r="AF1086" s="43"/>
      <c r="AG1086" s="43"/>
    </row>
    <row r="1087" ht="15.75" customHeight="1">
      <c r="Z1087" s="43"/>
      <c r="AA1087" s="43"/>
      <c r="AB1087" s="43"/>
      <c r="AC1087" s="43"/>
      <c r="AD1087" s="43"/>
      <c r="AE1087" s="43"/>
      <c r="AF1087" s="43"/>
      <c r="AG1087" s="43"/>
    </row>
    <row r="1088" ht="15.75" customHeight="1">
      <c r="Z1088" s="43"/>
      <c r="AA1088" s="43"/>
      <c r="AB1088" s="43"/>
      <c r="AC1088" s="43"/>
      <c r="AD1088" s="43"/>
      <c r="AE1088" s="43"/>
      <c r="AF1088" s="43"/>
      <c r="AG1088" s="43"/>
    </row>
    <row r="1089" ht="15.75" customHeight="1">
      <c r="Z1089" s="43"/>
      <c r="AA1089" s="43"/>
      <c r="AB1089" s="43"/>
      <c r="AC1089" s="43"/>
      <c r="AD1089" s="43"/>
      <c r="AE1089" s="43"/>
      <c r="AF1089" s="43"/>
      <c r="AG1089" s="43"/>
    </row>
    <row r="1090" ht="15.75" customHeight="1">
      <c r="Z1090" s="43"/>
      <c r="AA1090" s="43"/>
      <c r="AB1090" s="43"/>
      <c r="AC1090" s="43"/>
      <c r="AD1090" s="43"/>
      <c r="AE1090" s="43"/>
      <c r="AF1090" s="43"/>
      <c r="AG1090" s="43"/>
    </row>
    <row r="1091" ht="15.75" customHeight="1">
      <c r="Z1091" s="43"/>
      <c r="AA1091" s="43"/>
      <c r="AB1091" s="43"/>
      <c r="AC1091" s="43"/>
      <c r="AD1091" s="43"/>
      <c r="AE1091" s="43"/>
      <c r="AF1091" s="43"/>
      <c r="AG1091" s="43"/>
    </row>
    <row r="1092" ht="15.75" customHeight="1">
      <c r="Z1092" s="43"/>
      <c r="AA1092" s="43"/>
      <c r="AB1092" s="43"/>
      <c r="AC1092" s="43"/>
      <c r="AD1092" s="43"/>
      <c r="AE1092" s="43"/>
      <c r="AF1092" s="43"/>
      <c r="AG1092" s="43"/>
    </row>
    <row r="1093" ht="15.75" customHeight="1">
      <c r="Z1093" s="43"/>
      <c r="AA1093" s="43"/>
      <c r="AB1093" s="43"/>
      <c r="AC1093" s="43"/>
      <c r="AD1093" s="43"/>
      <c r="AE1093" s="43"/>
      <c r="AF1093" s="43"/>
      <c r="AG1093" s="43"/>
    </row>
    <row r="1094" ht="15.75" customHeight="1">
      <c r="Z1094" s="43"/>
      <c r="AA1094" s="43"/>
      <c r="AB1094" s="43"/>
      <c r="AC1094" s="43"/>
      <c r="AD1094" s="43"/>
      <c r="AE1094" s="43"/>
      <c r="AF1094" s="43"/>
      <c r="AG1094" s="43"/>
    </row>
    <row r="1095" ht="15.75" customHeight="1">
      <c r="Z1095" s="43"/>
      <c r="AA1095" s="43"/>
      <c r="AB1095" s="43"/>
      <c r="AC1095" s="43"/>
      <c r="AD1095" s="43"/>
      <c r="AE1095" s="43"/>
      <c r="AF1095" s="43"/>
      <c r="AG1095" s="43"/>
    </row>
    <row r="1096" ht="15.75" customHeight="1">
      <c r="Z1096" s="43"/>
      <c r="AA1096" s="43"/>
      <c r="AB1096" s="43"/>
      <c r="AC1096" s="43"/>
      <c r="AD1096" s="43"/>
      <c r="AE1096" s="43"/>
      <c r="AF1096" s="43"/>
      <c r="AG1096" s="43"/>
    </row>
    <row r="1097" ht="15.75" customHeight="1">
      <c r="Z1097" s="43"/>
      <c r="AA1097" s="43"/>
      <c r="AB1097" s="43"/>
      <c r="AC1097" s="43"/>
      <c r="AD1097" s="43"/>
      <c r="AE1097" s="43"/>
      <c r="AF1097" s="43"/>
      <c r="AG1097" s="43"/>
    </row>
    <row r="1098" ht="15.75" customHeight="1">
      <c r="Z1098" s="43"/>
      <c r="AA1098" s="43"/>
      <c r="AB1098" s="43"/>
      <c r="AC1098" s="43"/>
      <c r="AD1098" s="43"/>
      <c r="AE1098" s="43"/>
      <c r="AF1098" s="43"/>
      <c r="AG1098" s="43"/>
    </row>
    <row r="1099" ht="15.75" customHeight="1">
      <c r="Z1099" s="43"/>
      <c r="AA1099" s="43"/>
      <c r="AB1099" s="43"/>
      <c r="AC1099" s="43"/>
      <c r="AD1099" s="43"/>
      <c r="AE1099" s="43"/>
      <c r="AF1099" s="43"/>
      <c r="AG1099" s="43"/>
    </row>
    <row r="1100" ht="15.75" customHeight="1">
      <c r="Z1100" s="43"/>
      <c r="AA1100" s="43"/>
      <c r="AB1100" s="43"/>
      <c r="AC1100" s="43"/>
      <c r="AD1100" s="43"/>
      <c r="AE1100" s="43"/>
      <c r="AF1100" s="43"/>
      <c r="AG1100" s="43"/>
    </row>
    <row r="1101" ht="15.75" customHeight="1">
      <c r="Z1101" s="43"/>
      <c r="AA1101" s="43"/>
      <c r="AB1101" s="43"/>
      <c r="AC1101" s="43"/>
      <c r="AD1101" s="43"/>
      <c r="AE1101" s="43"/>
      <c r="AF1101" s="43"/>
      <c r="AG1101" s="43"/>
    </row>
    <row r="1102" ht="15.75" customHeight="1">
      <c r="Z1102" s="43"/>
      <c r="AA1102" s="43"/>
      <c r="AB1102" s="43"/>
      <c r="AC1102" s="43"/>
      <c r="AD1102" s="43"/>
      <c r="AE1102" s="43"/>
      <c r="AF1102" s="43"/>
      <c r="AG1102" s="43"/>
    </row>
    <row r="1103" ht="15.75" customHeight="1">
      <c r="Z1103" s="43"/>
      <c r="AA1103" s="43"/>
      <c r="AB1103" s="43"/>
      <c r="AC1103" s="43"/>
      <c r="AD1103" s="43"/>
      <c r="AE1103" s="43"/>
      <c r="AF1103" s="43"/>
      <c r="AG1103" s="43"/>
    </row>
    <row r="1104" ht="15.75" customHeight="1">
      <c r="Z1104" s="43"/>
      <c r="AA1104" s="43"/>
      <c r="AB1104" s="43"/>
      <c r="AC1104" s="43"/>
      <c r="AD1104" s="43"/>
      <c r="AE1104" s="43"/>
      <c r="AF1104" s="43"/>
      <c r="AG1104" s="43"/>
    </row>
    <row r="1105" ht="15.75" customHeight="1">
      <c r="Z1105" s="43"/>
      <c r="AA1105" s="43"/>
      <c r="AB1105" s="43"/>
      <c r="AC1105" s="43"/>
      <c r="AD1105" s="43"/>
      <c r="AE1105" s="43"/>
      <c r="AF1105" s="43"/>
      <c r="AG1105" s="43"/>
    </row>
    <row r="1106" ht="15.75" customHeight="1">
      <c r="Z1106" s="43"/>
      <c r="AA1106" s="43"/>
      <c r="AB1106" s="43"/>
      <c r="AC1106" s="43"/>
      <c r="AD1106" s="43"/>
      <c r="AE1106" s="43"/>
      <c r="AF1106" s="43"/>
      <c r="AG1106" s="43"/>
    </row>
    <row r="1107" ht="15.75" customHeight="1">
      <c r="Z1107" s="43"/>
      <c r="AA1107" s="43"/>
      <c r="AB1107" s="43"/>
      <c r="AC1107" s="43"/>
      <c r="AD1107" s="43"/>
      <c r="AE1107" s="43"/>
      <c r="AF1107" s="43"/>
      <c r="AG1107" s="43"/>
    </row>
    <row r="1108" ht="15.75" customHeight="1">
      <c r="Z1108" s="43"/>
      <c r="AA1108" s="43"/>
      <c r="AB1108" s="43"/>
      <c r="AC1108" s="43"/>
      <c r="AD1108" s="43"/>
      <c r="AE1108" s="43"/>
      <c r="AF1108" s="43"/>
      <c r="AG1108" s="43"/>
    </row>
    <row r="1109" ht="15.75" customHeight="1">
      <c r="Z1109" s="43"/>
      <c r="AA1109" s="43"/>
      <c r="AB1109" s="43"/>
      <c r="AC1109" s="43"/>
      <c r="AD1109" s="43"/>
      <c r="AE1109" s="43"/>
      <c r="AF1109" s="43"/>
      <c r="AG1109" s="43"/>
    </row>
    <row r="1110" ht="15.75" customHeight="1">
      <c r="Z1110" s="43"/>
      <c r="AA1110" s="43"/>
      <c r="AB1110" s="43"/>
      <c r="AC1110" s="43"/>
      <c r="AD1110" s="43"/>
      <c r="AE1110" s="43"/>
      <c r="AF1110" s="43"/>
      <c r="AG1110" s="43"/>
    </row>
    <row r="1111" ht="15.75" customHeight="1">
      <c r="Z1111" s="43"/>
      <c r="AA1111" s="43"/>
      <c r="AB1111" s="43"/>
      <c r="AC1111" s="43"/>
      <c r="AD1111" s="43"/>
      <c r="AE1111" s="43"/>
      <c r="AF1111" s="43"/>
      <c r="AG1111" s="43"/>
    </row>
    <row r="1112" ht="15.75" customHeight="1">
      <c r="Z1112" s="43"/>
      <c r="AA1112" s="43"/>
      <c r="AB1112" s="43"/>
      <c r="AC1112" s="43"/>
      <c r="AD1112" s="43"/>
      <c r="AE1112" s="43"/>
      <c r="AF1112" s="43"/>
      <c r="AG1112" s="43"/>
    </row>
    <row r="1113" ht="15.75" customHeight="1">
      <c r="Z1113" s="43"/>
      <c r="AA1113" s="43"/>
      <c r="AB1113" s="43"/>
      <c r="AC1113" s="43"/>
      <c r="AD1113" s="43"/>
      <c r="AE1113" s="43"/>
      <c r="AF1113" s="43"/>
      <c r="AG1113" s="43"/>
    </row>
    <row r="1114" ht="15.75" customHeight="1">
      <c r="Z1114" s="43"/>
      <c r="AA1114" s="43"/>
      <c r="AB1114" s="43"/>
      <c r="AC1114" s="43"/>
      <c r="AD1114" s="43"/>
      <c r="AE1114" s="43"/>
      <c r="AF1114" s="43"/>
      <c r="AG1114" s="43"/>
    </row>
    <row r="1115" ht="15.75" customHeight="1">
      <c r="Z1115" s="43"/>
      <c r="AA1115" s="43"/>
      <c r="AB1115" s="43"/>
      <c r="AC1115" s="43"/>
      <c r="AD1115" s="43"/>
      <c r="AE1115" s="43"/>
      <c r="AF1115" s="43"/>
      <c r="AG1115" s="43"/>
    </row>
    <row r="1116" ht="15.75" customHeight="1">
      <c r="Z1116" s="43"/>
      <c r="AA1116" s="43"/>
      <c r="AB1116" s="43"/>
      <c r="AC1116" s="43"/>
      <c r="AD1116" s="43"/>
      <c r="AE1116" s="43"/>
      <c r="AF1116" s="43"/>
      <c r="AG1116" s="43"/>
    </row>
    <row r="1117" ht="15.75" customHeight="1">
      <c r="Z1117" s="43"/>
      <c r="AA1117" s="43"/>
      <c r="AB1117" s="43"/>
      <c r="AC1117" s="43"/>
      <c r="AD1117" s="43"/>
      <c r="AE1117" s="43"/>
      <c r="AF1117" s="43"/>
      <c r="AG1117" s="43"/>
    </row>
    <row r="1118" ht="15.75" customHeight="1">
      <c r="Z1118" s="43"/>
      <c r="AA1118" s="43"/>
      <c r="AB1118" s="43"/>
      <c r="AC1118" s="43"/>
      <c r="AD1118" s="43"/>
      <c r="AE1118" s="43"/>
      <c r="AF1118" s="43"/>
      <c r="AG1118" s="43"/>
    </row>
    <row r="1119" ht="15.75" customHeight="1">
      <c r="Z1119" s="43"/>
      <c r="AA1119" s="43"/>
      <c r="AB1119" s="43"/>
      <c r="AC1119" s="43"/>
      <c r="AD1119" s="43"/>
      <c r="AE1119" s="43"/>
      <c r="AF1119" s="43"/>
      <c r="AG1119" s="43"/>
    </row>
    <row r="1120" ht="15.75" customHeight="1">
      <c r="Z1120" s="43"/>
      <c r="AA1120" s="43"/>
      <c r="AB1120" s="43"/>
      <c r="AC1120" s="43"/>
      <c r="AD1120" s="43"/>
      <c r="AE1120" s="43"/>
      <c r="AF1120" s="43"/>
      <c r="AG1120" s="43"/>
    </row>
    <row r="1121" ht="15.75" customHeight="1">
      <c r="Z1121" s="43"/>
      <c r="AA1121" s="43"/>
      <c r="AB1121" s="43"/>
      <c r="AC1121" s="43"/>
      <c r="AD1121" s="43"/>
      <c r="AE1121" s="43"/>
      <c r="AF1121" s="43"/>
      <c r="AG1121" s="43"/>
    </row>
    <row r="1122" ht="15.75" customHeight="1">
      <c r="Z1122" s="43"/>
      <c r="AA1122" s="43"/>
      <c r="AB1122" s="43"/>
      <c r="AC1122" s="43"/>
      <c r="AD1122" s="43"/>
      <c r="AE1122" s="43"/>
      <c r="AF1122" s="43"/>
      <c r="AG1122" s="43"/>
    </row>
    <row r="1123" ht="15.75" customHeight="1">
      <c r="Z1123" s="43"/>
      <c r="AA1123" s="43"/>
      <c r="AB1123" s="43"/>
      <c r="AC1123" s="43"/>
      <c r="AD1123" s="43"/>
      <c r="AE1123" s="43"/>
      <c r="AF1123" s="43"/>
      <c r="AG1123" s="43"/>
    </row>
    <row r="1124" ht="15.75" customHeight="1">
      <c r="Z1124" s="43"/>
      <c r="AA1124" s="43"/>
      <c r="AB1124" s="43"/>
      <c r="AC1124" s="43"/>
      <c r="AD1124" s="43"/>
      <c r="AE1124" s="43"/>
      <c r="AF1124" s="43"/>
      <c r="AG1124" s="43"/>
    </row>
    <row r="1125" ht="15.75" customHeight="1">
      <c r="Z1125" s="43"/>
      <c r="AA1125" s="43"/>
      <c r="AB1125" s="43"/>
      <c r="AC1125" s="43"/>
      <c r="AD1125" s="43"/>
      <c r="AE1125" s="43"/>
      <c r="AF1125" s="43"/>
      <c r="AG1125" s="43"/>
    </row>
    <row r="1126" ht="15.75" customHeight="1">
      <c r="Z1126" s="43"/>
      <c r="AA1126" s="43"/>
      <c r="AB1126" s="43"/>
      <c r="AC1126" s="43"/>
      <c r="AD1126" s="43"/>
      <c r="AE1126" s="43"/>
      <c r="AF1126" s="43"/>
      <c r="AG1126" s="43"/>
    </row>
    <row r="1127" ht="15.75" customHeight="1">
      <c r="Z1127" s="43"/>
      <c r="AA1127" s="43"/>
      <c r="AB1127" s="43"/>
      <c r="AC1127" s="43"/>
      <c r="AD1127" s="43"/>
      <c r="AE1127" s="43"/>
      <c r="AF1127" s="43"/>
      <c r="AG1127" s="43"/>
    </row>
    <row r="1128" ht="15.75" customHeight="1">
      <c r="Z1128" s="43"/>
      <c r="AA1128" s="43"/>
      <c r="AB1128" s="43"/>
      <c r="AC1128" s="43"/>
      <c r="AD1128" s="43"/>
      <c r="AE1128" s="43"/>
      <c r="AF1128" s="43"/>
      <c r="AG1128" s="43"/>
    </row>
    <row r="1129" ht="15.75" customHeight="1">
      <c r="Z1129" s="43"/>
      <c r="AA1129" s="43"/>
      <c r="AB1129" s="43"/>
      <c r="AC1129" s="43"/>
      <c r="AD1129" s="43"/>
      <c r="AE1129" s="43"/>
      <c r="AF1129" s="43"/>
      <c r="AG1129" s="43"/>
    </row>
    <row r="1130" ht="15.75" customHeight="1">
      <c r="Z1130" s="43"/>
      <c r="AA1130" s="43"/>
      <c r="AB1130" s="43"/>
      <c r="AC1130" s="43"/>
      <c r="AD1130" s="43"/>
      <c r="AE1130" s="43"/>
      <c r="AF1130" s="43"/>
      <c r="AG1130" s="43"/>
    </row>
    <row r="1131" ht="15.75" customHeight="1">
      <c r="Z1131" s="43"/>
      <c r="AA1131" s="43"/>
      <c r="AB1131" s="43"/>
      <c r="AC1131" s="43"/>
      <c r="AD1131" s="43"/>
      <c r="AE1131" s="43"/>
      <c r="AF1131" s="43"/>
      <c r="AG1131" s="43"/>
    </row>
    <row r="1132" ht="15.75" customHeight="1">
      <c r="Z1132" s="43"/>
      <c r="AA1132" s="43"/>
      <c r="AB1132" s="43"/>
      <c r="AC1132" s="43"/>
      <c r="AD1132" s="43"/>
      <c r="AE1132" s="43"/>
      <c r="AF1132" s="43"/>
      <c r="AG1132" s="43"/>
    </row>
    <row r="1133" ht="15.75" customHeight="1">
      <c r="Z1133" s="43"/>
      <c r="AA1133" s="43"/>
      <c r="AB1133" s="43"/>
      <c r="AC1133" s="43"/>
      <c r="AD1133" s="43"/>
      <c r="AE1133" s="43"/>
      <c r="AF1133" s="43"/>
      <c r="AG1133" s="43"/>
    </row>
    <row r="1134" ht="15.75" customHeight="1">
      <c r="Z1134" s="43"/>
      <c r="AA1134" s="43"/>
      <c r="AB1134" s="43"/>
      <c r="AC1134" s="43"/>
      <c r="AD1134" s="43"/>
      <c r="AE1134" s="43"/>
      <c r="AF1134" s="43"/>
      <c r="AG1134" s="43"/>
    </row>
    <row r="1135" ht="15.75" customHeight="1">
      <c r="Z1135" s="43"/>
      <c r="AA1135" s="43"/>
      <c r="AB1135" s="43"/>
      <c r="AC1135" s="43"/>
      <c r="AD1135" s="43"/>
      <c r="AE1135" s="43"/>
      <c r="AF1135" s="43"/>
      <c r="AG1135" s="43"/>
    </row>
    <row r="1136" ht="15.75" customHeight="1">
      <c r="Z1136" s="43"/>
      <c r="AA1136" s="43"/>
      <c r="AB1136" s="43"/>
      <c r="AC1136" s="43"/>
      <c r="AD1136" s="43"/>
      <c r="AE1136" s="43"/>
      <c r="AF1136" s="43"/>
      <c r="AG1136" s="43"/>
    </row>
    <row r="1137" ht="15.75" customHeight="1">
      <c r="Z1137" s="43"/>
      <c r="AA1137" s="43"/>
      <c r="AB1137" s="43"/>
      <c r="AC1137" s="43"/>
      <c r="AD1137" s="43"/>
      <c r="AE1137" s="43"/>
      <c r="AF1137" s="43"/>
      <c r="AG1137" s="43"/>
    </row>
    <row r="1138" ht="15.75" customHeight="1">
      <c r="Z1138" s="43"/>
      <c r="AA1138" s="43"/>
      <c r="AB1138" s="43"/>
      <c r="AC1138" s="43"/>
      <c r="AD1138" s="43"/>
      <c r="AE1138" s="43"/>
      <c r="AF1138" s="43"/>
      <c r="AG1138" s="43"/>
    </row>
    <row r="1139" ht="15.75" customHeight="1">
      <c r="Z1139" s="43"/>
      <c r="AA1139" s="43"/>
      <c r="AB1139" s="43"/>
      <c r="AC1139" s="43"/>
      <c r="AD1139" s="43"/>
      <c r="AE1139" s="43"/>
      <c r="AF1139" s="43"/>
      <c r="AG1139" s="43"/>
    </row>
    <row r="1140" ht="15.75" customHeight="1">
      <c r="Z1140" s="43"/>
      <c r="AA1140" s="43"/>
      <c r="AB1140" s="43"/>
      <c r="AC1140" s="43"/>
      <c r="AD1140" s="43"/>
      <c r="AE1140" s="43"/>
      <c r="AF1140" s="43"/>
      <c r="AG1140" s="43"/>
    </row>
    <row r="1141" ht="15.75" customHeight="1">
      <c r="Z1141" s="43"/>
      <c r="AA1141" s="43"/>
      <c r="AB1141" s="43"/>
      <c r="AC1141" s="43"/>
      <c r="AD1141" s="43"/>
      <c r="AE1141" s="43"/>
      <c r="AF1141" s="43"/>
      <c r="AG1141" s="43"/>
    </row>
    <row r="1142" ht="15.75" customHeight="1">
      <c r="Z1142" s="43"/>
      <c r="AA1142" s="43"/>
      <c r="AB1142" s="43"/>
      <c r="AC1142" s="43"/>
      <c r="AD1142" s="43"/>
      <c r="AE1142" s="43"/>
      <c r="AF1142" s="43"/>
      <c r="AG1142" s="43"/>
    </row>
    <row r="1143" ht="15.75" customHeight="1">
      <c r="Z1143" s="43"/>
      <c r="AA1143" s="43"/>
      <c r="AB1143" s="43"/>
      <c r="AC1143" s="43"/>
      <c r="AD1143" s="43"/>
      <c r="AE1143" s="43"/>
      <c r="AF1143" s="43"/>
      <c r="AG1143" s="43"/>
    </row>
    <row r="1144" ht="15.75" customHeight="1">
      <c r="Z1144" s="43"/>
      <c r="AA1144" s="43"/>
      <c r="AB1144" s="43"/>
      <c r="AC1144" s="43"/>
      <c r="AD1144" s="43"/>
      <c r="AE1144" s="43"/>
      <c r="AF1144" s="43"/>
      <c r="AG1144" s="43"/>
    </row>
    <row r="1145" ht="15.75" customHeight="1">
      <c r="Z1145" s="43"/>
      <c r="AA1145" s="43"/>
      <c r="AB1145" s="43"/>
      <c r="AC1145" s="43"/>
      <c r="AD1145" s="43"/>
      <c r="AE1145" s="43"/>
      <c r="AF1145" s="43"/>
      <c r="AG1145" s="43"/>
    </row>
    <row r="1146" ht="15.75" customHeight="1">
      <c r="Z1146" s="43"/>
      <c r="AA1146" s="43"/>
      <c r="AB1146" s="43"/>
      <c r="AC1146" s="43"/>
      <c r="AD1146" s="43"/>
      <c r="AE1146" s="43"/>
      <c r="AF1146" s="43"/>
      <c r="AG1146" s="43"/>
    </row>
    <row r="1147" ht="15.75" customHeight="1">
      <c r="Z1147" s="43"/>
      <c r="AA1147" s="43"/>
      <c r="AB1147" s="43"/>
      <c r="AC1147" s="43"/>
      <c r="AD1147" s="43"/>
      <c r="AE1147" s="43"/>
      <c r="AF1147" s="43"/>
      <c r="AG1147" s="43"/>
    </row>
    <row r="1148" ht="15.75" customHeight="1">
      <c r="Z1148" s="43"/>
      <c r="AA1148" s="43"/>
      <c r="AB1148" s="43"/>
      <c r="AC1148" s="43"/>
      <c r="AD1148" s="43"/>
      <c r="AE1148" s="43"/>
      <c r="AF1148" s="43"/>
      <c r="AG1148" s="43"/>
    </row>
    <row r="1149" ht="15.75" customHeight="1">
      <c r="Z1149" s="43"/>
      <c r="AA1149" s="43"/>
      <c r="AB1149" s="43"/>
      <c r="AC1149" s="43"/>
      <c r="AD1149" s="43"/>
      <c r="AE1149" s="43"/>
      <c r="AF1149" s="43"/>
      <c r="AG1149" s="43"/>
    </row>
    <row r="1150" ht="15.75" customHeight="1">
      <c r="Z1150" s="43"/>
      <c r="AA1150" s="43"/>
      <c r="AB1150" s="43"/>
      <c r="AC1150" s="43"/>
      <c r="AD1150" s="43"/>
      <c r="AE1150" s="43"/>
      <c r="AF1150" s="43"/>
      <c r="AG1150" s="43"/>
    </row>
    <row r="1151" ht="15.75" customHeight="1">
      <c r="Z1151" s="43"/>
      <c r="AA1151" s="43"/>
      <c r="AB1151" s="43"/>
      <c r="AC1151" s="43"/>
      <c r="AD1151" s="43"/>
      <c r="AE1151" s="43"/>
      <c r="AF1151" s="43"/>
      <c r="AG1151" s="43"/>
    </row>
    <row r="1152" ht="15.75" customHeight="1">
      <c r="Z1152" s="43"/>
      <c r="AA1152" s="43"/>
      <c r="AB1152" s="43"/>
      <c r="AC1152" s="43"/>
      <c r="AD1152" s="43"/>
      <c r="AE1152" s="43"/>
      <c r="AF1152" s="43"/>
      <c r="AG1152" s="43"/>
    </row>
    <row r="1153" ht="15.75" customHeight="1">
      <c r="Z1153" s="43"/>
      <c r="AA1153" s="43"/>
      <c r="AB1153" s="43"/>
      <c r="AC1153" s="43"/>
      <c r="AD1153" s="43"/>
      <c r="AE1153" s="43"/>
      <c r="AF1153" s="43"/>
      <c r="AG1153" s="43"/>
    </row>
    <row r="1154" ht="15.75" customHeight="1">
      <c r="Z1154" s="43"/>
      <c r="AA1154" s="43"/>
      <c r="AB1154" s="43"/>
      <c r="AC1154" s="43"/>
      <c r="AD1154" s="43"/>
      <c r="AE1154" s="43"/>
      <c r="AF1154" s="43"/>
      <c r="AG1154" s="43"/>
    </row>
    <row r="1155" ht="15.75" customHeight="1">
      <c r="Z1155" s="43"/>
      <c r="AA1155" s="43"/>
      <c r="AB1155" s="43"/>
      <c r="AC1155" s="43"/>
      <c r="AD1155" s="43"/>
      <c r="AE1155" s="43"/>
      <c r="AF1155" s="43"/>
      <c r="AG1155" s="43"/>
    </row>
    <row r="1156" ht="15.75" customHeight="1">
      <c r="Z1156" s="43"/>
      <c r="AA1156" s="43"/>
      <c r="AB1156" s="43"/>
      <c r="AC1156" s="43"/>
      <c r="AD1156" s="43"/>
      <c r="AE1156" s="43"/>
      <c r="AF1156" s="43"/>
      <c r="AG1156" s="43"/>
    </row>
    <row r="1157" ht="15.75" customHeight="1">
      <c r="Z1157" s="43"/>
      <c r="AA1157" s="43"/>
      <c r="AB1157" s="43"/>
      <c r="AC1157" s="43"/>
      <c r="AD1157" s="43"/>
      <c r="AE1157" s="43"/>
      <c r="AF1157" s="43"/>
      <c r="AG1157" s="43"/>
    </row>
    <row r="1158" ht="15.75" customHeight="1">
      <c r="Z1158" s="43"/>
      <c r="AA1158" s="43"/>
      <c r="AB1158" s="43"/>
      <c r="AC1158" s="43"/>
      <c r="AD1158" s="43"/>
      <c r="AE1158" s="43"/>
      <c r="AF1158" s="43"/>
      <c r="AG1158" s="43"/>
    </row>
    <row r="1159" ht="15.75" customHeight="1">
      <c r="Z1159" s="43"/>
      <c r="AA1159" s="43"/>
      <c r="AB1159" s="43"/>
      <c r="AC1159" s="43"/>
      <c r="AD1159" s="43"/>
      <c r="AE1159" s="43"/>
      <c r="AF1159" s="43"/>
      <c r="AG1159" s="43"/>
    </row>
    <row r="1160" ht="15.75" customHeight="1">
      <c r="Z1160" s="43"/>
      <c r="AA1160" s="43"/>
      <c r="AB1160" s="43"/>
      <c r="AC1160" s="43"/>
      <c r="AD1160" s="43"/>
      <c r="AE1160" s="43"/>
      <c r="AF1160" s="43"/>
      <c r="AG1160" s="43"/>
    </row>
    <row r="1161" ht="15.75" customHeight="1">
      <c r="Z1161" s="43"/>
      <c r="AA1161" s="43"/>
      <c r="AB1161" s="43"/>
      <c r="AC1161" s="43"/>
      <c r="AD1161" s="43"/>
      <c r="AE1161" s="43"/>
      <c r="AF1161" s="43"/>
      <c r="AG1161" s="43"/>
    </row>
    <row r="1162" ht="15.75" customHeight="1">
      <c r="Z1162" s="43"/>
      <c r="AA1162" s="43"/>
      <c r="AB1162" s="43"/>
      <c r="AC1162" s="43"/>
      <c r="AD1162" s="43"/>
      <c r="AE1162" s="43"/>
      <c r="AF1162" s="43"/>
      <c r="AG1162" s="43"/>
    </row>
    <row r="1163" ht="15.75" customHeight="1">
      <c r="Z1163" s="43"/>
      <c r="AA1163" s="43"/>
      <c r="AB1163" s="43"/>
      <c r="AC1163" s="43"/>
      <c r="AD1163" s="43"/>
      <c r="AE1163" s="43"/>
      <c r="AF1163" s="43"/>
      <c r="AG1163" s="43"/>
    </row>
    <row r="1164" ht="15.75" customHeight="1">
      <c r="Z1164" s="43"/>
      <c r="AA1164" s="43"/>
      <c r="AB1164" s="43"/>
      <c r="AC1164" s="43"/>
      <c r="AD1164" s="43"/>
      <c r="AE1164" s="43"/>
      <c r="AF1164" s="43"/>
      <c r="AG1164" s="43"/>
    </row>
    <row r="1165" ht="15.75" customHeight="1">
      <c r="Z1165" s="43"/>
      <c r="AA1165" s="43"/>
      <c r="AB1165" s="43"/>
      <c r="AC1165" s="43"/>
      <c r="AD1165" s="43"/>
      <c r="AE1165" s="43"/>
      <c r="AF1165" s="43"/>
      <c r="AG1165" s="43"/>
    </row>
    <row r="1166" ht="15.75" customHeight="1">
      <c r="Z1166" s="43"/>
      <c r="AA1166" s="43"/>
      <c r="AB1166" s="43"/>
      <c r="AC1166" s="43"/>
      <c r="AD1166" s="43"/>
      <c r="AE1166" s="43"/>
      <c r="AF1166" s="43"/>
      <c r="AG1166" s="43"/>
    </row>
    <row r="1167" ht="15.75" customHeight="1">
      <c r="Z1167" s="43"/>
      <c r="AA1167" s="43"/>
      <c r="AB1167" s="43"/>
      <c r="AC1167" s="43"/>
      <c r="AD1167" s="43"/>
      <c r="AE1167" s="43"/>
      <c r="AF1167" s="43"/>
      <c r="AG1167" s="43"/>
    </row>
    <row r="1168" ht="15.75" customHeight="1">
      <c r="Z1168" s="43"/>
      <c r="AA1168" s="43"/>
      <c r="AB1168" s="43"/>
      <c r="AC1168" s="43"/>
      <c r="AD1168" s="43"/>
      <c r="AE1168" s="43"/>
      <c r="AF1168" s="43"/>
      <c r="AG1168" s="43"/>
    </row>
    <row r="1169" ht="15.75" customHeight="1">
      <c r="Z1169" s="43"/>
      <c r="AA1169" s="43"/>
      <c r="AB1169" s="43"/>
      <c r="AC1169" s="43"/>
      <c r="AD1169" s="43"/>
      <c r="AE1169" s="43"/>
      <c r="AF1169" s="43"/>
      <c r="AG1169" s="43"/>
    </row>
    <row r="1170" ht="15.75" customHeight="1">
      <c r="Z1170" s="43"/>
      <c r="AA1170" s="43"/>
      <c r="AB1170" s="43"/>
      <c r="AC1170" s="43"/>
      <c r="AD1170" s="43"/>
      <c r="AE1170" s="43"/>
      <c r="AF1170" s="43"/>
      <c r="AG1170" s="43"/>
    </row>
    <row r="1171" ht="15.75" customHeight="1">
      <c r="Z1171" s="43"/>
      <c r="AA1171" s="43"/>
      <c r="AB1171" s="43"/>
      <c r="AC1171" s="43"/>
      <c r="AD1171" s="43"/>
      <c r="AE1171" s="43"/>
      <c r="AF1171" s="43"/>
      <c r="AG1171" s="43"/>
    </row>
    <row r="1172" ht="15.75" customHeight="1">
      <c r="Z1172" s="43"/>
      <c r="AA1172" s="43"/>
      <c r="AB1172" s="43"/>
      <c r="AC1172" s="43"/>
      <c r="AD1172" s="43"/>
      <c r="AE1172" s="43"/>
      <c r="AF1172" s="43"/>
      <c r="AG1172" s="43"/>
    </row>
    <row r="1173" ht="15.75" customHeight="1">
      <c r="Z1173" s="43"/>
      <c r="AA1173" s="43"/>
      <c r="AB1173" s="43"/>
      <c r="AC1173" s="43"/>
      <c r="AD1173" s="43"/>
      <c r="AE1173" s="43"/>
      <c r="AF1173" s="43"/>
      <c r="AG1173" s="43"/>
    </row>
    <row r="1174" ht="15.75" customHeight="1">
      <c r="Z1174" s="43"/>
      <c r="AA1174" s="43"/>
      <c r="AB1174" s="43"/>
      <c r="AC1174" s="43"/>
      <c r="AD1174" s="43"/>
      <c r="AE1174" s="43"/>
      <c r="AF1174" s="43"/>
      <c r="AG1174" s="43"/>
    </row>
    <row r="1175" ht="15.75" customHeight="1">
      <c r="Z1175" s="43"/>
      <c r="AA1175" s="43"/>
      <c r="AB1175" s="43"/>
      <c r="AC1175" s="43"/>
      <c r="AD1175" s="43"/>
      <c r="AE1175" s="43"/>
      <c r="AF1175" s="43"/>
      <c r="AG1175" s="43"/>
    </row>
    <row r="1176" ht="15.75" customHeight="1">
      <c r="Z1176" s="43"/>
      <c r="AA1176" s="43"/>
      <c r="AB1176" s="43"/>
      <c r="AC1176" s="43"/>
      <c r="AD1176" s="43"/>
      <c r="AE1176" s="43"/>
      <c r="AF1176" s="43"/>
      <c r="AG1176" s="43"/>
    </row>
    <row r="1177" ht="15.75" customHeight="1">
      <c r="Z1177" s="43"/>
      <c r="AA1177" s="43"/>
      <c r="AB1177" s="43"/>
      <c r="AC1177" s="43"/>
      <c r="AD1177" s="43"/>
      <c r="AE1177" s="43"/>
      <c r="AF1177" s="43"/>
      <c r="AG1177" s="43"/>
    </row>
    <row r="1178" ht="15.75" customHeight="1">
      <c r="Z1178" s="43"/>
      <c r="AA1178" s="43"/>
      <c r="AB1178" s="43"/>
      <c r="AC1178" s="43"/>
      <c r="AD1178" s="43"/>
      <c r="AE1178" s="43"/>
      <c r="AF1178" s="43"/>
      <c r="AG1178" s="43"/>
    </row>
    <row r="1179" ht="15.75" customHeight="1">
      <c r="Z1179" s="43"/>
      <c r="AA1179" s="43"/>
      <c r="AB1179" s="43"/>
      <c r="AC1179" s="43"/>
      <c r="AD1179" s="43"/>
      <c r="AE1179" s="43"/>
      <c r="AF1179" s="43"/>
      <c r="AG1179" s="43"/>
    </row>
    <row r="1180" ht="15.75" customHeight="1">
      <c r="Z1180" s="43"/>
      <c r="AA1180" s="43"/>
      <c r="AB1180" s="43"/>
      <c r="AC1180" s="43"/>
      <c r="AD1180" s="43"/>
      <c r="AE1180" s="43"/>
      <c r="AF1180" s="43"/>
      <c r="AG1180" s="43"/>
    </row>
    <row r="1181" ht="15.75" customHeight="1">
      <c r="Z1181" s="43"/>
      <c r="AA1181" s="43"/>
      <c r="AB1181" s="43"/>
      <c r="AC1181" s="43"/>
      <c r="AD1181" s="43"/>
      <c r="AE1181" s="43"/>
      <c r="AF1181" s="43"/>
      <c r="AG1181" s="43"/>
    </row>
    <row r="1182" ht="15.75" customHeight="1">
      <c r="Z1182" s="43"/>
      <c r="AA1182" s="43"/>
      <c r="AB1182" s="43"/>
      <c r="AC1182" s="43"/>
      <c r="AD1182" s="43"/>
      <c r="AE1182" s="43"/>
      <c r="AF1182" s="43"/>
      <c r="AG1182" s="43"/>
    </row>
    <row r="1183" ht="15.75" customHeight="1">
      <c r="Z1183" s="43"/>
      <c r="AA1183" s="43"/>
      <c r="AB1183" s="43"/>
      <c r="AC1183" s="43"/>
      <c r="AD1183" s="43"/>
      <c r="AE1183" s="43"/>
      <c r="AF1183" s="43"/>
      <c r="AG1183" s="43"/>
    </row>
    <row r="1184" ht="15.75" customHeight="1">
      <c r="Z1184" s="43"/>
      <c r="AA1184" s="43"/>
      <c r="AB1184" s="43"/>
      <c r="AC1184" s="43"/>
      <c r="AD1184" s="43"/>
      <c r="AE1184" s="43"/>
      <c r="AF1184" s="43"/>
      <c r="AG1184" s="43"/>
    </row>
    <row r="1185" ht="15.75" customHeight="1">
      <c r="Z1185" s="43"/>
      <c r="AA1185" s="43"/>
      <c r="AB1185" s="43"/>
      <c r="AC1185" s="43"/>
      <c r="AD1185" s="43"/>
      <c r="AE1185" s="43"/>
      <c r="AF1185" s="43"/>
      <c r="AG1185" s="43"/>
    </row>
    <row r="1186" ht="15.75" customHeight="1">
      <c r="Z1186" s="43"/>
      <c r="AA1186" s="43"/>
      <c r="AB1186" s="43"/>
      <c r="AC1186" s="43"/>
      <c r="AD1186" s="43"/>
      <c r="AE1186" s="43"/>
      <c r="AF1186" s="43"/>
      <c r="AG1186" s="43"/>
    </row>
    <row r="1187" ht="15.75" customHeight="1">
      <c r="Z1187" s="43"/>
      <c r="AA1187" s="43"/>
      <c r="AB1187" s="43"/>
      <c r="AC1187" s="43"/>
      <c r="AD1187" s="43"/>
      <c r="AE1187" s="43"/>
      <c r="AF1187" s="43"/>
      <c r="AG1187" s="43"/>
    </row>
    <row r="1188" ht="15.75" customHeight="1">
      <c r="Z1188" s="43"/>
      <c r="AA1188" s="43"/>
      <c r="AB1188" s="43"/>
      <c r="AC1188" s="43"/>
      <c r="AD1188" s="43"/>
      <c r="AE1188" s="43"/>
      <c r="AF1188" s="43"/>
      <c r="AG1188" s="43"/>
    </row>
    <row r="1189" ht="15.75" customHeight="1">
      <c r="Z1189" s="43"/>
      <c r="AA1189" s="43"/>
      <c r="AB1189" s="43"/>
      <c r="AC1189" s="43"/>
      <c r="AD1189" s="43"/>
      <c r="AE1189" s="43"/>
      <c r="AF1189" s="43"/>
      <c r="AG1189" s="43"/>
    </row>
    <row r="1190" ht="15.75" customHeight="1">
      <c r="Z1190" s="43"/>
      <c r="AA1190" s="43"/>
      <c r="AB1190" s="43"/>
      <c r="AC1190" s="43"/>
      <c r="AD1190" s="43"/>
      <c r="AE1190" s="43"/>
      <c r="AF1190" s="43"/>
      <c r="AG1190" s="43"/>
    </row>
    <row r="1191" ht="15.75" customHeight="1">
      <c r="Z1191" s="43"/>
      <c r="AA1191" s="43"/>
      <c r="AB1191" s="43"/>
      <c r="AC1191" s="43"/>
      <c r="AD1191" s="43"/>
      <c r="AE1191" s="43"/>
      <c r="AF1191" s="43"/>
      <c r="AG1191" s="43"/>
    </row>
    <row r="1192" ht="15.75" customHeight="1">
      <c r="Z1192" s="43"/>
      <c r="AA1192" s="43"/>
      <c r="AB1192" s="43"/>
      <c r="AC1192" s="43"/>
      <c r="AD1192" s="43"/>
      <c r="AE1192" s="43"/>
      <c r="AF1192" s="43"/>
      <c r="AG1192" s="43"/>
    </row>
    <row r="1193" ht="15.75" customHeight="1">
      <c r="Z1193" s="43"/>
      <c r="AA1193" s="43"/>
      <c r="AB1193" s="43"/>
      <c r="AC1193" s="43"/>
      <c r="AD1193" s="43"/>
      <c r="AE1193" s="43"/>
      <c r="AF1193" s="43"/>
      <c r="AG1193" s="43"/>
    </row>
    <row r="1194" ht="15.75" customHeight="1">
      <c r="Z1194" s="43"/>
      <c r="AA1194" s="43"/>
      <c r="AB1194" s="43"/>
      <c r="AC1194" s="43"/>
      <c r="AD1194" s="43"/>
      <c r="AE1194" s="43"/>
      <c r="AF1194" s="43"/>
      <c r="AG1194" s="43"/>
    </row>
    <row r="1195" ht="15.75" customHeight="1">
      <c r="Z1195" s="43"/>
      <c r="AA1195" s="43"/>
      <c r="AB1195" s="43"/>
      <c r="AC1195" s="43"/>
      <c r="AD1195" s="43"/>
      <c r="AE1195" s="43"/>
      <c r="AF1195" s="43"/>
      <c r="AG1195" s="43"/>
    </row>
    <row r="1196" ht="15.75" customHeight="1">
      <c r="Z1196" s="43"/>
      <c r="AA1196" s="43"/>
      <c r="AB1196" s="43"/>
      <c r="AC1196" s="43"/>
      <c r="AD1196" s="43"/>
      <c r="AE1196" s="43"/>
      <c r="AF1196" s="43"/>
      <c r="AG1196" s="43"/>
    </row>
    <row r="1197" ht="15.75" customHeight="1">
      <c r="Z1197" s="43"/>
      <c r="AA1197" s="43"/>
      <c r="AB1197" s="43"/>
      <c r="AC1197" s="43"/>
      <c r="AD1197" s="43"/>
      <c r="AE1197" s="43"/>
      <c r="AF1197" s="43"/>
      <c r="AG1197" s="43"/>
    </row>
    <row r="1198" ht="15.75" customHeight="1">
      <c r="Z1198" s="43"/>
      <c r="AA1198" s="43"/>
      <c r="AB1198" s="43"/>
      <c r="AC1198" s="43"/>
      <c r="AD1198" s="43"/>
      <c r="AE1198" s="43"/>
      <c r="AF1198" s="43"/>
      <c r="AG1198" s="43"/>
    </row>
    <row r="1199" ht="15.75" customHeight="1">
      <c r="Z1199" s="43"/>
      <c r="AA1199" s="43"/>
      <c r="AB1199" s="43"/>
      <c r="AC1199" s="43"/>
      <c r="AD1199" s="43"/>
      <c r="AE1199" s="43"/>
      <c r="AF1199" s="43"/>
      <c r="AG1199" s="43"/>
    </row>
    <row r="1200" ht="15.75" customHeight="1">
      <c r="Z1200" s="43"/>
      <c r="AA1200" s="43"/>
      <c r="AB1200" s="43"/>
      <c r="AC1200" s="43"/>
      <c r="AD1200" s="43"/>
      <c r="AE1200" s="43"/>
      <c r="AF1200" s="43"/>
      <c r="AG1200" s="43"/>
    </row>
    <row r="1201" ht="15.75" customHeight="1">
      <c r="Z1201" s="43"/>
      <c r="AA1201" s="43"/>
      <c r="AB1201" s="43"/>
      <c r="AC1201" s="43"/>
      <c r="AD1201" s="43"/>
      <c r="AE1201" s="43"/>
      <c r="AF1201" s="43"/>
      <c r="AG1201" s="43"/>
    </row>
    <row r="1202" ht="15.75" customHeight="1">
      <c r="Z1202" s="43"/>
      <c r="AA1202" s="43"/>
      <c r="AB1202" s="43"/>
      <c r="AC1202" s="43"/>
      <c r="AD1202" s="43"/>
      <c r="AE1202" s="43"/>
      <c r="AF1202" s="43"/>
      <c r="AG1202" s="43"/>
    </row>
    <row r="1203" ht="15.75" customHeight="1">
      <c r="Z1203" s="43"/>
      <c r="AA1203" s="43"/>
      <c r="AB1203" s="43"/>
      <c r="AC1203" s="43"/>
      <c r="AD1203" s="43"/>
      <c r="AE1203" s="43"/>
      <c r="AF1203" s="43"/>
      <c r="AG1203" s="43"/>
    </row>
    <row r="1204" ht="15.75" customHeight="1">
      <c r="Z1204" s="43"/>
      <c r="AA1204" s="43"/>
      <c r="AB1204" s="43"/>
      <c r="AC1204" s="43"/>
      <c r="AD1204" s="43"/>
      <c r="AE1204" s="43"/>
      <c r="AF1204" s="43"/>
      <c r="AG1204" s="43"/>
    </row>
    <row r="1205" ht="15.75" customHeight="1">
      <c r="Z1205" s="43"/>
      <c r="AA1205" s="43"/>
      <c r="AB1205" s="43"/>
      <c r="AC1205" s="43"/>
      <c r="AD1205" s="43"/>
      <c r="AE1205" s="43"/>
      <c r="AF1205" s="43"/>
      <c r="AG1205" s="43"/>
    </row>
    <row r="1206" ht="15.75" customHeight="1">
      <c r="Z1206" s="43"/>
      <c r="AA1206" s="43"/>
      <c r="AB1206" s="43"/>
      <c r="AC1206" s="43"/>
      <c r="AD1206" s="43"/>
      <c r="AE1206" s="43"/>
      <c r="AF1206" s="43"/>
      <c r="AG1206" s="43"/>
    </row>
    <row r="1207" ht="15.75" customHeight="1">
      <c r="Z1207" s="43"/>
      <c r="AA1207" s="43"/>
      <c r="AB1207" s="43"/>
      <c r="AC1207" s="43"/>
      <c r="AD1207" s="43"/>
      <c r="AE1207" s="43"/>
      <c r="AF1207" s="43"/>
      <c r="AG1207" s="43"/>
    </row>
    <row r="1208" ht="15.75" customHeight="1">
      <c r="Z1208" s="43"/>
      <c r="AA1208" s="43"/>
      <c r="AB1208" s="43"/>
      <c r="AC1208" s="43"/>
      <c r="AD1208" s="43"/>
      <c r="AE1208" s="43"/>
      <c r="AF1208" s="43"/>
      <c r="AG1208" s="43"/>
    </row>
    <row r="1209" ht="15.75" customHeight="1">
      <c r="Z1209" s="43"/>
      <c r="AA1209" s="43"/>
      <c r="AB1209" s="43"/>
      <c r="AC1209" s="43"/>
      <c r="AD1209" s="43"/>
      <c r="AE1209" s="43"/>
      <c r="AF1209" s="43"/>
      <c r="AG1209" s="43"/>
    </row>
    <row r="1210" ht="15.75" customHeight="1">
      <c r="Z1210" s="43"/>
      <c r="AA1210" s="43"/>
      <c r="AB1210" s="43"/>
      <c r="AC1210" s="43"/>
      <c r="AD1210" s="43"/>
      <c r="AE1210" s="43"/>
      <c r="AF1210" s="43"/>
      <c r="AG1210" s="43"/>
    </row>
    <row r="1211" ht="15.75" customHeight="1">
      <c r="Z1211" s="43"/>
      <c r="AA1211" s="43"/>
      <c r="AB1211" s="43"/>
      <c r="AC1211" s="43"/>
      <c r="AD1211" s="43"/>
      <c r="AE1211" s="43"/>
      <c r="AF1211" s="43"/>
      <c r="AG1211" s="43"/>
    </row>
    <row r="1212" ht="15.75" customHeight="1">
      <c r="Z1212" s="43"/>
      <c r="AA1212" s="43"/>
      <c r="AB1212" s="43"/>
      <c r="AC1212" s="43"/>
      <c r="AD1212" s="43"/>
      <c r="AE1212" s="43"/>
      <c r="AF1212" s="43"/>
      <c r="AG1212" s="43"/>
    </row>
    <row r="1213" ht="15.75" customHeight="1">
      <c r="Z1213" s="43"/>
      <c r="AA1213" s="43"/>
      <c r="AB1213" s="43"/>
      <c r="AC1213" s="43"/>
      <c r="AD1213" s="43"/>
      <c r="AE1213" s="43"/>
      <c r="AF1213" s="43"/>
      <c r="AG1213" s="43"/>
    </row>
    <row r="1214" ht="15.75" customHeight="1">
      <c r="Z1214" s="43"/>
      <c r="AA1214" s="43"/>
      <c r="AB1214" s="43"/>
      <c r="AC1214" s="43"/>
      <c r="AD1214" s="43"/>
      <c r="AE1214" s="43"/>
      <c r="AF1214" s="43"/>
      <c r="AG1214" s="43"/>
    </row>
    <row r="1215" ht="15.75" customHeight="1">
      <c r="Z1215" s="43"/>
      <c r="AA1215" s="43"/>
      <c r="AB1215" s="43"/>
      <c r="AC1215" s="43"/>
      <c r="AD1215" s="43"/>
      <c r="AE1215" s="43"/>
      <c r="AF1215" s="43"/>
      <c r="AG1215" s="43"/>
    </row>
    <row r="1216" ht="15.75" customHeight="1">
      <c r="Z1216" s="43"/>
      <c r="AA1216" s="43"/>
      <c r="AB1216" s="43"/>
      <c r="AC1216" s="43"/>
      <c r="AD1216" s="43"/>
      <c r="AE1216" s="43"/>
      <c r="AF1216" s="43"/>
      <c r="AG1216" s="43"/>
    </row>
    <row r="1217" ht="15.75" customHeight="1">
      <c r="Z1217" s="43"/>
      <c r="AA1217" s="43"/>
      <c r="AB1217" s="43"/>
      <c r="AC1217" s="43"/>
      <c r="AD1217" s="43"/>
      <c r="AE1217" s="43"/>
      <c r="AF1217" s="43"/>
      <c r="AG1217" s="43"/>
    </row>
    <row r="1218" ht="15.75" customHeight="1">
      <c r="Z1218" s="43"/>
      <c r="AA1218" s="43"/>
      <c r="AB1218" s="43"/>
      <c r="AC1218" s="43"/>
      <c r="AD1218" s="43"/>
      <c r="AE1218" s="43"/>
      <c r="AF1218" s="43"/>
      <c r="AG1218" s="43"/>
    </row>
    <row r="1219" ht="15.75" customHeight="1">
      <c r="Z1219" s="43"/>
      <c r="AA1219" s="43"/>
      <c r="AB1219" s="43"/>
      <c r="AC1219" s="43"/>
      <c r="AD1219" s="43"/>
      <c r="AE1219" s="43"/>
      <c r="AF1219" s="43"/>
      <c r="AG1219" s="43"/>
    </row>
    <row r="1220" ht="15.75" customHeight="1">
      <c r="Z1220" s="43"/>
      <c r="AA1220" s="43"/>
      <c r="AB1220" s="43"/>
      <c r="AC1220" s="43"/>
      <c r="AD1220" s="43"/>
      <c r="AE1220" s="43"/>
      <c r="AF1220" s="43"/>
      <c r="AG1220" s="43"/>
    </row>
    <row r="1221" ht="15.75" customHeight="1">
      <c r="Z1221" s="43"/>
      <c r="AA1221" s="43"/>
      <c r="AB1221" s="43"/>
      <c r="AC1221" s="43"/>
      <c r="AD1221" s="43"/>
      <c r="AE1221" s="43"/>
      <c r="AF1221" s="43"/>
      <c r="AG1221" s="43"/>
    </row>
    <row r="1222" ht="15.75" customHeight="1">
      <c r="Z1222" s="43"/>
      <c r="AA1222" s="43"/>
      <c r="AB1222" s="43"/>
      <c r="AC1222" s="43"/>
      <c r="AD1222" s="43"/>
      <c r="AE1222" s="43"/>
      <c r="AF1222" s="43"/>
      <c r="AG1222" s="43"/>
    </row>
    <row r="1223" ht="15.75" customHeight="1">
      <c r="Z1223" s="43"/>
      <c r="AA1223" s="43"/>
      <c r="AB1223" s="43"/>
      <c r="AC1223" s="43"/>
      <c r="AD1223" s="43"/>
      <c r="AE1223" s="43"/>
      <c r="AF1223" s="43"/>
      <c r="AG1223" s="43"/>
    </row>
    <row r="1224" ht="15.75" customHeight="1">
      <c r="Z1224" s="43"/>
      <c r="AA1224" s="43"/>
      <c r="AB1224" s="43"/>
      <c r="AC1224" s="43"/>
      <c r="AD1224" s="43"/>
      <c r="AE1224" s="43"/>
      <c r="AF1224" s="43"/>
      <c r="AG1224" s="43"/>
    </row>
    <row r="1225" ht="15.75" customHeight="1">
      <c r="Z1225" s="43"/>
      <c r="AA1225" s="43"/>
      <c r="AB1225" s="43"/>
      <c r="AC1225" s="43"/>
      <c r="AD1225" s="43"/>
      <c r="AE1225" s="43"/>
      <c r="AF1225" s="43"/>
      <c r="AG1225" s="43"/>
    </row>
    <row r="1226" ht="15.75" customHeight="1">
      <c r="Z1226" s="43"/>
      <c r="AA1226" s="43"/>
      <c r="AB1226" s="43"/>
      <c r="AC1226" s="43"/>
      <c r="AD1226" s="43"/>
      <c r="AE1226" s="43"/>
      <c r="AF1226" s="43"/>
      <c r="AG1226" s="43"/>
    </row>
    <row r="1227" ht="15.75" customHeight="1">
      <c r="Z1227" s="43"/>
      <c r="AA1227" s="43"/>
      <c r="AB1227" s="43"/>
      <c r="AC1227" s="43"/>
      <c r="AD1227" s="43"/>
      <c r="AE1227" s="43"/>
      <c r="AF1227" s="43"/>
      <c r="AG1227" s="43"/>
    </row>
    <row r="1228" ht="15.75" customHeight="1">
      <c r="Z1228" s="43"/>
      <c r="AA1228" s="43"/>
      <c r="AB1228" s="43"/>
      <c r="AC1228" s="43"/>
      <c r="AD1228" s="43"/>
      <c r="AE1228" s="43"/>
      <c r="AF1228" s="43"/>
      <c r="AG1228" s="43"/>
    </row>
    <row r="1229" ht="15.75" customHeight="1">
      <c r="Z1229" s="43"/>
      <c r="AA1229" s="43"/>
      <c r="AB1229" s="43"/>
      <c r="AC1229" s="43"/>
      <c r="AD1229" s="43"/>
      <c r="AE1229" s="43"/>
      <c r="AF1229" s="43"/>
      <c r="AG1229" s="43"/>
    </row>
    <row r="1230" ht="15.75" customHeight="1">
      <c r="Z1230" s="43"/>
      <c r="AA1230" s="43"/>
      <c r="AB1230" s="43"/>
      <c r="AC1230" s="43"/>
      <c r="AD1230" s="43"/>
      <c r="AE1230" s="43"/>
      <c r="AF1230" s="43"/>
      <c r="AG1230" s="43"/>
    </row>
    <row r="1231" ht="15.75" customHeight="1">
      <c r="Z1231" s="43"/>
      <c r="AA1231" s="43"/>
      <c r="AB1231" s="43"/>
      <c r="AC1231" s="43"/>
      <c r="AD1231" s="43"/>
      <c r="AE1231" s="43"/>
      <c r="AF1231" s="43"/>
      <c r="AG1231" s="43"/>
    </row>
    <row r="1232" ht="15.75" customHeight="1">
      <c r="Z1232" s="43"/>
      <c r="AA1232" s="43"/>
      <c r="AB1232" s="43"/>
      <c r="AC1232" s="43"/>
      <c r="AD1232" s="43"/>
      <c r="AE1232" s="43"/>
      <c r="AF1232" s="43"/>
      <c r="AG1232" s="43"/>
    </row>
    <row r="1233" ht="15.75" customHeight="1">
      <c r="Z1233" s="43"/>
      <c r="AA1233" s="43"/>
      <c r="AB1233" s="43"/>
      <c r="AC1233" s="43"/>
      <c r="AD1233" s="43"/>
      <c r="AE1233" s="43"/>
      <c r="AF1233" s="43"/>
      <c r="AG1233" s="43"/>
    </row>
    <row r="1234" ht="15.75" customHeight="1">
      <c r="Z1234" s="43"/>
      <c r="AA1234" s="43"/>
      <c r="AB1234" s="43"/>
      <c r="AC1234" s="43"/>
      <c r="AD1234" s="43"/>
      <c r="AE1234" s="43"/>
      <c r="AF1234" s="43"/>
      <c r="AG1234" s="43"/>
    </row>
    <row r="1235" ht="15.75" customHeight="1">
      <c r="Z1235" s="43"/>
      <c r="AA1235" s="43"/>
      <c r="AB1235" s="43"/>
      <c r="AC1235" s="43"/>
      <c r="AD1235" s="43"/>
      <c r="AE1235" s="43"/>
      <c r="AF1235" s="43"/>
      <c r="AG1235" s="43"/>
    </row>
    <row r="1236" ht="15.75" customHeight="1">
      <c r="Z1236" s="43"/>
      <c r="AA1236" s="43"/>
      <c r="AB1236" s="43"/>
      <c r="AC1236" s="43"/>
      <c r="AD1236" s="43"/>
      <c r="AE1236" s="43"/>
      <c r="AF1236" s="43"/>
      <c r="AG1236" s="43"/>
    </row>
    <row r="1237" ht="15.75" customHeight="1">
      <c r="Z1237" s="43"/>
      <c r="AA1237" s="43"/>
      <c r="AB1237" s="43"/>
      <c r="AC1237" s="43"/>
      <c r="AD1237" s="43"/>
      <c r="AE1237" s="43"/>
      <c r="AF1237" s="43"/>
      <c r="AG1237" s="43"/>
    </row>
    <row r="1238" ht="15.75" customHeight="1">
      <c r="Z1238" s="43"/>
      <c r="AA1238" s="43"/>
      <c r="AB1238" s="43"/>
      <c r="AC1238" s="43"/>
      <c r="AD1238" s="43"/>
      <c r="AE1238" s="43"/>
      <c r="AF1238" s="43"/>
      <c r="AG1238" s="43"/>
    </row>
    <row r="1239" ht="15.75" customHeight="1">
      <c r="Z1239" s="43"/>
      <c r="AA1239" s="43"/>
      <c r="AB1239" s="43"/>
      <c r="AC1239" s="43"/>
      <c r="AD1239" s="43"/>
      <c r="AE1239" s="43"/>
      <c r="AF1239" s="43"/>
      <c r="AG1239" s="43"/>
    </row>
    <row r="1240" ht="15.75" customHeight="1">
      <c r="Z1240" s="43"/>
      <c r="AA1240" s="43"/>
      <c r="AB1240" s="43"/>
      <c r="AC1240" s="43"/>
      <c r="AD1240" s="43"/>
      <c r="AE1240" s="43"/>
      <c r="AF1240" s="43"/>
      <c r="AG1240" s="43"/>
    </row>
    <row r="1241" ht="15.75" customHeight="1">
      <c r="Z1241" s="43"/>
      <c r="AA1241" s="43"/>
      <c r="AB1241" s="43"/>
      <c r="AC1241" s="43"/>
      <c r="AD1241" s="43"/>
      <c r="AE1241" s="43"/>
      <c r="AF1241" s="43"/>
      <c r="AG1241" s="43"/>
    </row>
    <row r="1242" ht="15.75" customHeight="1">
      <c r="Z1242" s="43"/>
      <c r="AA1242" s="43"/>
      <c r="AB1242" s="43"/>
      <c r="AC1242" s="43"/>
      <c r="AD1242" s="43"/>
      <c r="AE1242" s="43"/>
      <c r="AF1242" s="43"/>
      <c r="AG1242" s="43"/>
    </row>
    <row r="1243" ht="15.75" customHeight="1">
      <c r="Z1243" s="43"/>
      <c r="AA1243" s="43"/>
      <c r="AB1243" s="43"/>
      <c r="AC1243" s="43"/>
      <c r="AD1243" s="43"/>
      <c r="AE1243" s="43"/>
      <c r="AF1243" s="43"/>
      <c r="AG1243" s="43"/>
    </row>
    <row r="1244" ht="15.75" customHeight="1">
      <c r="Z1244" s="43"/>
      <c r="AA1244" s="43"/>
      <c r="AB1244" s="43"/>
      <c r="AC1244" s="43"/>
      <c r="AD1244" s="43"/>
      <c r="AE1244" s="43"/>
      <c r="AF1244" s="43"/>
      <c r="AG1244" s="43"/>
    </row>
    <row r="1245" ht="15.75" customHeight="1">
      <c r="Z1245" s="43"/>
      <c r="AA1245" s="43"/>
      <c r="AB1245" s="43"/>
      <c r="AC1245" s="43"/>
      <c r="AD1245" s="43"/>
      <c r="AE1245" s="43"/>
      <c r="AF1245" s="43"/>
      <c r="AG1245" s="43"/>
    </row>
    <row r="1246" ht="15.75" customHeight="1">
      <c r="Z1246" s="43"/>
      <c r="AA1246" s="43"/>
      <c r="AB1246" s="43"/>
      <c r="AC1246" s="43"/>
      <c r="AD1246" s="43"/>
      <c r="AE1246" s="43"/>
      <c r="AF1246" s="43"/>
      <c r="AG1246" s="43"/>
    </row>
    <row r="1247" ht="15.75" customHeight="1">
      <c r="Z1247" s="43"/>
      <c r="AA1247" s="43"/>
      <c r="AB1247" s="43"/>
      <c r="AC1247" s="43"/>
      <c r="AD1247" s="43"/>
      <c r="AE1247" s="43"/>
      <c r="AF1247" s="43"/>
      <c r="AG1247" s="43"/>
    </row>
    <row r="1248" ht="15.75" customHeight="1">
      <c r="Z1248" s="43"/>
      <c r="AA1248" s="43"/>
      <c r="AB1248" s="43"/>
      <c r="AC1248" s="43"/>
      <c r="AD1248" s="43"/>
      <c r="AE1248" s="43"/>
      <c r="AF1248" s="43"/>
      <c r="AG1248" s="43"/>
    </row>
    <row r="1249" ht="15.75" customHeight="1">
      <c r="Z1249" s="43"/>
      <c r="AA1249" s="43"/>
      <c r="AB1249" s="43"/>
      <c r="AC1249" s="43"/>
      <c r="AD1249" s="43"/>
      <c r="AE1249" s="43"/>
      <c r="AF1249" s="43"/>
      <c r="AG1249" s="43"/>
    </row>
    <row r="1250" ht="15.75" customHeight="1">
      <c r="Z1250" s="43"/>
      <c r="AA1250" s="43"/>
      <c r="AB1250" s="43"/>
      <c r="AC1250" s="43"/>
      <c r="AD1250" s="43"/>
      <c r="AE1250" s="43"/>
      <c r="AF1250" s="43"/>
      <c r="AG1250" s="43"/>
    </row>
    <row r="1251" ht="15.75" customHeight="1">
      <c r="Z1251" s="43"/>
      <c r="AA1251" s="43"/>
      <c r="AB1251" s="43"/>
      <c r="AC1251" s="43"/>
      <c r="AD1251" s="43"/>
      <c r="AE1251" s="43"/>
      <c r="AF1251" s="43"/>
      <c r="AG1251" s="43"/>
    </row>
    <row r="1252" ht="15.75" customHeight="1">
      <c r="Z1252" s="43"/>
      <c r="AA1252" s="43"/>
      <c r="AB1252" s="43"/>
      <c r="AC1252" s="43"/>
      <c r="AD1252" s="43"/>
      <c r="AE1252" s="43"/>
      <c r="AF1252" s="43"/>
      <c r="AG1252" s="43"/>
    </row>
    <row r="1253" ht="15.75" customHeight="1">
      <c r="Z1253" s="43"/>
      <c r="AA1253" s="43"/>
      <c r="AB1253" s="43"/>
      <c r="AC1253" s="43"/>
      <c r="AD1253" s="43"/>
      <c r="AE1253" s="43"/>
      <c r="AF1253" s="43"/>
      <c r="AG1253" s="43"/>
    </row>
    <row r="1254" ht="15.75" customHeight="1">
      <c r="Z1254" s="43"/>
      <c r="AA1254" s="43"/>
      <c r="AB1254" s="43"/>
      <c r="AC1254" s="43"/>
      <c r="AD1254" s="43"/>
      <c r="AE1254" s="43"/>
      <c r="AF1254" s="43"/>
      <c r="AG1254" s="43"/>
    </row>
    <row r="1255" ht="15.75" customHeight="1">
      <c r="Z1255" s="43"/>
      <c r="AA1255" s="43"/>
      <c r="AB1255" s="43"/>
      <c r="AC1255" s="43"/>
      <c r="AD1255" s="43"/>
      <c r="AE1255" s="43"/>
      <c r="AF1255" s="43"/>
      <c r="AG1255" s="43"/>
    </row>
  </sheetData>
  <autoFilter ref="$A$1:$AG$657">
    <sortState ref="A1:AG657">
      <sortCondition ref="B1:B657"/>
      <sortCondition ref="D1:D657"/>
      <sortCondition descending="1" ref="Q1:Q657"/>
      <sortCondition ref="A1:A657"/>
    </sortState>
  </autoFilter>
  <customSheetViews>
    <customSheetView guid="{13844019-9ED9-4FD1-B1E0-423230C1E434}" filter="1" showAutoFilter="1">
      <autoFilter ref="$A$1:$AE$657"/>
    </customSheetView>
    <customSheetView guid="{9DB68C93-84DC-4985-B22F-B6683FB4F2A1}" filter="1" showAutoFilter="1">
      <autoFilter ref="$A$1:$AE$657"/>
    </customSheetView>
  </customSheetViews>
  <conditionalFormatting sqref="U2:U657">
    <cfRule type="colorScale" priority="1">
      <colorScale>
        <cfvo type="formula" val="0.5"/>
        <cfvo type="formula" val="1"/>
        <cfvo type="formula" val="2"/>
        <color rgb="FF57BB8A"/>
        <color rgb="FFABDDC5"/>
        <color rgb="FFFF9900"/>
      </colorScale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13"/>
    <col customWidth="1" min="2" max="4" width="12.63"/>
    <col customWidth="1" hidden="1" min="5" max="5" width="9.88"/>
    <col customWidth="1" hidden="1" min="6" max="6" width="8.25"/>
    <col customWidth="1" hidden="1" min="7" max="7" width="6.63"/>
    <col customWidth="1" hidden="1" min="8" max="8" width="8.38"/>
    <col customWidth="1" hidden="1" min="9" max="9" width="9.13"/>
    <col customWidth="1" hidden="1" min="10" max="11" width="9.0"/>
    <col customWidth="1" hidden="1" min="12" max="12" width="8.88"/>
    <col customWidth="1" min="13" max="14" width="10.0"/>
    <col customWidth="1" min="15" max="16" width="9.75"/>
    <col customWidth="1" min="17" max="17" width="11.13"/>
    <col customWidth="1" min="18" max="18" width="9.75"/>
    <col customWidth="1" min="19" max="19" width="12.13"/>
    <col customWidth="1" min="20" max="20" width="7.0"/>
    <col customWidth="1" min="21" max="21" width="11.75"/>
    <col customWidth="1" min="22" max="22" width="9.13"/>
    <col customWidth="1" min="23" max="23" width="9.75"/>
    <col customWidth="1" min="24" max="24" width="8.75"/>
    <col customWidth="1" min="25" max="25" width="9.63"/>
    <col customWidth="1" min="26" max="26" width="12.63"/>
    <col customWidth="1" min="27" max="28" width="10.25"/>
    <col customWidth="1" min="29" max="31" width="9.13"/>
    <col customWidth="1" min="32" max="32" width="11.5"/>
    <col customWidth="1" min="33" max="37" width="10.2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998</v>
      </c>
      <c r="L1" s="1" t="s">
        <v>999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1000</v>
      </c>
      <c r="T1" s="1" t="s">
        <v>16</v>
      </c>
      <c r="U1" s="3" t="s">
        <v>17</v>
      </c>
      <c r="V1" s="44" t="s">
        <v>1001</v>
      </c>
      <c r="W1" s="1" t="s">
        <v>18</v>
      </c>
      <c r="X1" s="2" t="s">
        <v>1002</v>
      </c>
      <c r="Y1" s="2" t="s">
        <v>1003</v>
      </c>
      <c r="Z1" s="44" t="s">
        <v>1004</v>
      </c>
      <c r="AA1" s="2" t="s">
        <v>1005</v>
      </c>
      <c r="AB1" s="1" t="s">
        <v>1006</v>
      </c>
      <c r="AC1" s="4" t="s">
        <v>1007</v>
      </c>
      <c r="AD1" s="4" t="s">
        <v>20</v>
      </c>
      <c r="AE1" s="4" t="s">
        <v>21</v>
      </c>
      <c r="AF1" s="5" t="s">
        <v>22</v>
      </c>
      <c r="AG1" s="5" t="s">
        <v>23</v>
      </c>
      <c r="AH1" s="5" t="s">
        <v>24</v>
      </c>
      <c r="AI1" s="6" t="s">
        <v>25</v>
      </c>
      <c r="AJ1" s="6" t="s">
        <v>26</v>
      </c>
      <c r="AK1" s="6"/>
    </row>
    <row r="2" ht="15.75" customHeight="1">
      <c r="A2" s="7" t="s">
        <v>413</v>
      </c>
      <c r="B2" s="7" t="s">
        <v>414</v>
      </c>
      <c r="C2" s="8">
        <f t="shared" ref="C2:C577" si="1">if(countif(B$2:B2,B2)&gt;1,AA2-vlookup(B2,$B$2:$AA2,26,false),AA2)</f>
        <v>34</v>
      </c>
      <c r="D2" s="7">
        <v>1936.0</v>
      </c>
      <c r="E2" s="7"/>
      <c r="F2" s="7" t="b">
        <v>0</v>
      </c>
      <c r="G2" s="7" t="b">
        <v>0</v>
      </c>
      <c r="H2" s="7" t="b">
        <v>1</v>
      </c>
      <c r="I2" s="9" t="b">
        <v>1</v>
      </c>
      <c r="J2" s="9" t="b">
        <v>0</v>
      </c>
      <c r="K2" s="7">
        <v>15.0</v>
      </c>
      <c r="L2" s="7">
        <v>0.0</v>
      </c>
      <c r="M2" s="9">
        <v>14.3</v>
      </c>
      <c r="N2" s="7">
        <v>1.785</v>
      </c>
      <c r="O2" s="7">
        <v>215.0</v>
      </c>
      <c r="P2" s="7">
        <v>2.53</v>
      </c>
      <c r="Q2" s="7">
        <v>0.96</v>
      </c>
      <c r="R2" s="7">
        <v>0.9</v>
      </c>
      <c r="S2" s="10">
        <f t="shared" ref="S2:S663" si="2">K2+L2</f>
        <v>15</v>
      </c>
      <c r="T2" s="10">
        <f t="shared" ref="T2:T663" si="3">(N2*101.971621)/M2</f>
        <v>12.72862542</v>
      </c>
      <c r="U2" s="11">
        <f t="shared" ref="U2:U663" si="4">V2/N2</f>
        <v>15.84863541</v>
      </c>
      <c r="V2" s="8">
        <f>(0.2*(8.17*POWER(M2*P2,0.46))+0.8*(0.146*POWER(M2*O2,0.639)))</f>
        <v>28.2898142</v>
      </c>
      <c r="W2" s="12">
        <f t="shared" ref="W2:W663" si="5">IF(F2,4,1)*IF(G2,1.05,1)*IF(AND(NOT(F2),NOT(G2)),1.75,1)</f>
        <v>1.75</v>
      </c>
      <c r="X2" s="12">
        <f t="shared" ref="X2:X663" si="6">V2+V2*W2</f>
        <v>77.79698905</v>
      </c>
      <c r="Y2" s="12">
        <f t="shared" ref="Y2:Y663" si="7">X2/N2</f>
        <v>43.58374737</v>
      </c>
      <c r="Z2" s="8">
        <f>V2</f>
        <v>28.2898142</v>
      </c>
      <c r="AA2" s="8">
        <f t="shared" ref="AA2:AA7" si="8">round(AE2*AF2*AG2*AH2*AI2,0)</f>
        <v>34</v>
      </c>
      <c r="AB2" s="13">
        <f t="shared" ref="AB2:AB577" si="9">IFERROR(AA2/S2,#N/A)</f>
        <v>2.266666667</v>
      </c>
      <c r="AC2" s="13">
        <f t="shared" ref="AC2:AC577" si="10">AA2/Z2</f>
        <v>1.201845999</v>
      </c>
      <c r="AD2" s="13">
        <f>AA2/vlookup(A2,Max!$A$2:$AP$700,column(Max!$AP$2),false)</f>
        <v>1.096774194</v>
      </c>
      <c r="AE2" s="8">
        <f t="shared" ref="AE2:AE577" si="11">0.65*(3.43*M2^0.46+4.47*M2^0.649+if(E2,10*ln(M2),0))</f>
        <v>23.91167199</v>
      </c>
      <c r="AF2" s="14">
        <f t="shared" ref="AF2:AF577" si="12">if(J2,T2^0.5*0.75*(max(700,O2)/700)^2,(1-min(15,max(0,O2-300))/15)*((O2/300)^((0.2/300^6)*max(189,O2)^6+(0.7/300^2)*max(189,O2)^2))+(min(15,max(0,O2-300))/15)*(O2/300)^(min(1000,O2)/150))</f>
        <v>0.8791478901</v>
      </c>
      <c r="AG2" s="14">
        <f t="shared" ref="AG2:AG577" si="13">(0.88*P2^0.3)^if(H2,0.75,1)</f>
        <v>1.119603175</v>
      </c>
      <c r="AH2" s="14">
        <f t="shared" ref="AH2:AH577" si="14">if(J2,2,1)*IF(I2,1.5,1)</f>
        <v>1.5</v>
      </c>
      <c r="AI2" s="14">
        <f t="shared" ref="AI2:AI577" si="15">IF(Q2*R2*D2&gt;0,(if(H2,Q2,1)*R2/min(0.99,16649*(D2/10000)^2-6443.4*(D2/10000)+624.3))^2.5,1)</f>
        <v>0.9598930328</v>
      </c>
      <c r="AJ2" s="15">
        <f t="shared" ref="AJ2:AJ577" si="16">if(countif(B$2:B2,B2)&gt;1,AA2-vlookup(B2,$B$2:$AA2,26,false),0)</f>
        <v>0</v>
      </c>
      <c r="AK2" s="15" t="str">
        <f t="shared" ref="AK2:AK577" si="17">if(iserror(AA2),"","  @CONFIG["&amp;substitute(A2," ","?")&amp;"] {"&amp;char(10)&amp;"   %cost = "&amp;AA2&amp;char(10)&amp;"   @cost -= #$../../cost$"&amp;char(10)&amp;"  }")</f>
        <v>  @CONFIG[ORM-65] {
   %cost = 34
   @cost -= #$../../cost$
  }</v>
      </c>
    </row>
    <row r="3" ht="15.75" customHeight="1">
      <c r="A3" s="16" t="s">
        <v>415</v>
      </c>
      <c r="B3" s="16" t="s">
        <v>414</v>
      </c>
      <c r="C3" s="8">
        <f t="shared" si="1"/>
        <v>7</v>
      </c>
      <c r="D3" s="16">
        <v>1938.0</v>
      </c>
      <c r="E3" s="16"/>
      <c r="F3" s="16" t="b">
        <v>0</v>
      </c>
      <c r="G3" s="16" t="b">
        <v>0</v>
      </c>
      <c r="H3" s="16" t="b">
        <v>1</v>
      </c>
      <c r="I3" s="18" t="b">
        <v>1</v>
      </c>
      <c r="J3" s="9" t="b">
        <v>0</v>
      </c>
      <c r="K3" s="16">
        <v>15.0</v>
      </c>
      <c r="L3" s="16">
        <v>5.0</v>
      </c>
      <c r="M3" s="18">
        <v>12.3</v>
      </c>
      <c r="N3" s="16">
        <v>1.46</v>
      </c>
      <c r="O3" s="16">
        <v>215.0</v>
      </c>
      <c r="P3" s="16">
        <v>2.53</v>
      </c>
      <c r="Q3" s="16">
        <v>0.98</v>
      </c>
      <c r="R3" s="16">
        <v>0.99</v>
      </c>
      <c r="S3" s="19">
        <f t="shared" si="2"/>
        <v>20</v>
      </c>
      <c r="T3" s="19">
        <f t="shared" si="3"/>
        <v>12.10394851</v>
      </c>
      <c r="U3" s="20">
        <f t="shared" si="4"/>
        <v>17.74292153</v>
      </c>
      <c r="V3" s="17">
        <f t="shared" ref="V3:V18" si="18">0.2*(8.17*POWER(M3*P3,0.46))+0.8*(0.146*POWER(M3*O3,0.639))</f>
        <v>25.90466543</v>
      </c>
      <c r="W3" s="21">
        <f t="shared" si="5"/>
        <v>1.75</v>
      </c>
      <c r="X3" s="21">
        <f t="shared" si="6"/>
        <v>71.23782993</v>
      </c>
      <c r="Y3" s="21">
        <f t="shared" si="7"/>
        <v>48.7930342</v>
      </c>
      <c r="Z3" s="8">
        <f t="shared" ref="Z3:Z577" si="19">V3*IF(I3,1.5,1)*IF(Q3*R3&gt;0,(Q3*R3+0.02),1)</f>
        <v>38.47619956</v>
      </c>
      <c r="AA3" s="8">
        <f t="shared" si="8"/>
        <v>41</v>
      </c>
      <c r="AB3" s="13">
        <f t="shared" si="9"/>
        <v>2.05</v>
      </c>
      <c r="AC3" s="13">
        <f t="shared" si="10"/>
        <v>1.065593808</v>
      </c>
      <c r="AD3" s="13">
        <f>AA3/vlookup(A3,Max!$A$2:$AP$700,column(Max!$AP$2),false)</f>
        <v>0.82</v>
      </c>
      <c r="AE3" s="8">
        <f t="shared" si="11"/>
        <v>21.88283691</v>
      </c>
      <c r="AF3" s="14">
        <f t="shared" si="12"/>
        <v>0.8791478901</v>
      </c>
      <c r="AG3" s="14">
        <f t="shared" si="13"/>
        <v>1.119603175</v>
      </c>
      <c r="AH3" s="14">
        <f t="shared" si="14"/>
        <v>1.5</v>
      </c>
      <c r="AI3" s="14">
        <f t="shared" si="15"/>
        <v>1.277923497</v>
      </c>
      <c r="AJ3" s="27">
        <f t="shared" si="16"/>
        <v>7</v>
      </c>
      <c r="AK3" s="15" t="str">
        <f t="shared" si="17"/>
        <v>  @CONFIG[RDA-1-150] {
   %cost = 41
   @cost -= #$../../cost$
  }</v>
      </c>
    </row>
    <row r="4" ht="15.75" customHeight="1">
      <c r="A4" s="16" t="s">
        <v>36</v>
      </c>
      <c r="B4" s="16" t="s">
        <v>36</v>
      </c>
      <c r="C4" s="8">
        <f t="shared" si="1"/>
        <v>320</v>
      </c>
      <c r="D4" s="16">
        <v>1939.0</v>
      </c>
      <c r="E4" s="16"/>
      <c r="F4" s="16" t="b">
        <v>1</v>
      </c>
      <c r="G4" s="16" t="b">
        <v>0</v>
      </c>
      <c r="H4" s="16" t="b">
        <v>0</v>
      </c>
      <c r="I4" s="16" t="b">
        <v>0</v>
      </c>
      <c r="J4" s="9" t="b">
        <v>0</v>
      </c>
      <c r="K4" s="16">
        <v>150.0</v>
      </c>
      <c r="L4" s="16">
        <v>0.0</v>
      </c>
      <c r="M4" s="16">
        <v>929.86</v>
      </c>
      <c r="N4" s="16">
        <v>284.68</v>
      </c>
      <c r="O4" s="16">
        <v>242.0</v>
      </c>
      <c r="P4" s="16">
        <v>1.5</v>
      </c>
      <c r="Q4" s="16">
        <v>0.97</v>
      </c>
      <c r="R4" s="16">
        <v>0.95</v>
      </c>
      <c r="S4" s="19">
        <f t="shared" si="2"/>
        <v>150</v>
      </c>
      <c r="T4" s="19">
        <f t="shared" si="3"/>
        <v>31.21898035</v>
      </c>
      <c r="U4" s="20">
        <f t="shared" si="4"/>
        <v>1.239811951</v>
      </c>
      <c r="V4" s="17">
        <f t="shared" si="18"/>
        <v>352.9496663</v>
      </c>
      <c r="W4" s="21">
        <f t="shared" si="5"/>
        <v>4</v>
      </c>
      <c r="X4" s="21">
        <f t="shared" si="6"/>
        <v>1764.748331</v>
      </c>
      <c r="Y4" s="21">
        <f t="shared" si="7"/>
        <v>6.199059756</v>
      </c>
      <c r="Z4" s="8">
        <f t="shared" si="19"/>
        <v>332.3021108</v>
      </c>
      <c r="AA4" s="8">
        <f t="shared" si="8"/>
        <v>320</v>
      </c>
      <c r="AB4" s="13">
        <f t="shared" si="9"/>
        <v>2.133333333</v>
      </c>
      <c r="AC4" s="13">
        <f t="shared" si="10"/>
        <v>0.9629791373</v>
      </c>
      <c r="AD4" s="13">
        <f>AA4/vlookup(A4,Max!$A$2:$AP$700,column(Max!$AP$2),false)</f>
        <v>1.28</v>
      </c>
      <c r="AE4" s="8">
        <f t="shared" si="11"/>
        <v>297.0373791</v>
      </c>
      <c r="AF4" s="14">
        <f t="shared" si="12"/>
        <v>0.896102545</v>
      </c>
      <c r="AG4" s="14">
        <f t="shared" si="13"/>
        <v>0.9938253032</v>
      </c>
      <c r="AH4" s="14">
        <f t="shared" si="14"/>
        <v>1</v>
      </c>
      <c r="AI4" s="14">
        <f t="shared" si="15"/>
        <v>1.208515503</v>
      </c>
      <c r="AJ4" s="15">
        <f t="shared" si="16"/>
        <v>0</v>
      </c>
      <c r="AK4" s="15" t="str">
        <f t="shared" si="17"/>
        <v>  @CONFIG[A-4] {
   %cost = 320
   @cost -= #$../../cost$
  }</v>
      </c>
    </row>
    <row r="5" ht="15.75" customHeight="1">
      <c r="A5" s="7" t="s">
        <v>416</v>
      </c>
      <c r="B5" s="7" t="s">
        <v>414</v>
      </c>
      <c r="C5" s="8">
        <f t="shared" si="1"/>
        <v>7</v>
      </c>
      <c r="D5" s="7">
        <v>1940.0</v>
      </c>
      <c r="E5" s="7"/>
      <c r="F5" s="7" t="b">
        <v>0</v>
      </c>
      <c r="G5" s="7" t="b">
        <v>0</v>
      </c>
      <c r="H5" s="7" t="b">
        <v>1</v>
      </c>
      <c r="I5" s="9" t="b">
        <v>1</v>
      </c>
      <c r="J5" s="9" t="b">
        <v>0</v>
      </c>
      <c r="K5" s="7">
        <v>15.0</v>
      </c>
      <c r="L5" s="7">
        <v>5.0</v>
      </c>
      <c r="M5" s="9">
        <v>12.3</v>
      </c>
      <c r="N5" s="7">
        <v>2.942</v>
      </c>
      <c r="O5" s="7">
        <v>215.0</v>
      </c>
      <c r="P5" s="7">
        <v>2.53</v>
      </c>
      <c r="Q5" s="7">
        <v>0.98</v>
      </c>
      <c r="R5" s="7">
        <v>0.99</v>
      </c>
      <c r="S5" s="10">
        <f t="shared" si="2"/>
        <v>20</v>
      </c>
      <c r="T5" s="10">
        <f t="shared" si="3"/>
        <v>24.39028528</v>
      </c>
      <c r="U5" s="11">
        <f t="shared" si="4"/>
        <v>8.805120812</v>
      </c>
      <c r="V5" s="8">
        <f t="shared" si="18"/>
        <v>25.90466543</v>
      </c>
      <c r="W5" s="12">
        <f t="shared" si="5"/>
        <v>1.75</v>
      </c>
      <c r="X5" s="12">
        <f t="shared" si="6"/>
        <v>71.23782993</v>
      </c>
      <c r="Y5" s="12">
        <f t="shared" si="7"/>
        <v>24.21408223</v>
      </c>
      <c r="Z5" s="8">
        <f t="shared" si="19"/>
        <v>38.47619956</v>
      </c>
      <c r="AA5" s="8">
        <f t="shared" si="8"/>
        <v>41</v>
      </c>
      <c r="AB5" s="13">
        <f t="shared" si="9"/>
        <v>2.05</v>
      </c>
      <c r="AC5" s="13">
        <f t="shared" si="10"/>
        <v>1.065593808</v>
      </c>
      <c r="AD5" s="13">
        <f>AA5/vlookup(A5,Max!$A$2:$AP$700,column(Max!$AP$2),false)</f>
        <v>0.6507936508</v>
      </c>
      <c r="AE5" s="8">
        <f t="shared" si="11"/>
        <v>21.88283691</v>
      </c>
      <c r="AF5" s="14">
        <f t="shared" si="12"/>
        <v>0.8791478901</v>
      </c>
      <c r="AG5" s="14">
        <f t="shared" si="13"/>
        <v>1.119603175</v>
      </c>
      <c r="AH5" s="14">
        <f t="shared" si="14"/>
        <v>1.5</v>
      </c>
      <c r="AI5" s="14">
        <f t="shared" si="15"/>
        <v>1.268468973</v>
      </c>
      <c r="AJ5" s="27">
        <f t="shared" si="16"/>
        <v>7</v>
      </c>
      <c r="AK5" s="15" t="str">
        <f t="shared" si="17"/>
        <v>  @CONFIG[RDA-1-300] {
   %cost = 41
   @cost -= #$../../cost$
  }</v>
      </c>
    </row>
    <row r="6" ht="15.75" customHeight="1">
      <c r="A6" s="7" t="s">
        <v>517</v>
      </c>
      <c r="B6" s="7" t="s">
        <v>518</v>
      </c>
      <c r="C6" s="8">
        <f t="shared" si="1"/>
        <v>42</v>
      </c>
      <c r="D6" s="7">
        <v>1942.0</v>
      </c>
      <c r="E6" s="7"/>
      <c r="F6" s="7" t="b">
        <v>1</v>
      </c>
      <c r="G6" s="7" t="b">
        <v>0</v>
      </c>
      <c r="H6" s="7" t="b">
        <v>1</v>
      </c>
      <c r="I6" s="7" t="b">
        <v>0</v>
      </c>
      <c r="J6" s="9" t="b">
        <v>0</v>
      </c>
      <c r="K6" s="7"/>
      <c r="L6" s="7"/>
      <c r="M6" s="7">
        <v>56.0</v>
      </c>
      <c r="N6" s="7">
        <v>12.6</v>
      </c>
      <c r="O6" s="7">
        <v>215.0</v>
      </c>
      <c r="P6" s="7">
        <v>2.0</v>
      </c>
      <c r="Q6" s="7">
        <v>0.95</v>
      </c>
      <c r="R6" s="7">
        <v>0.867</v>
      </c>
      <c r="S6" s="10">
        <f t="shared" si="2"/>
        <v>0</v>
      </c>
      <c r="T6" s="10">
        <f t="shared" si="3"/>
        <v>22.94361473</v>
      </c>
      <c r="U6" s="11">
        <f t="shared" si="4"/>
        <v>4.891225595</v>
      </c>
      <c r="V6" s="8">
        <f t="shared" si="18"/>
        <v>61.6294425</v>
      </c>
      <c r="W6" s="12">
        <f t="shared" si="5"/>
        <v>4</v>
      </c>
      <c r="X6" s="12">
        <f t="shared" si="6"/>
        <v>308.1472125</v>
      </c>
      <c r="Y6" s="12">
        <f t="shared" si="7"/>
        <v>24.45612797</v>
      </c>
      <c r="Z6" s="8">
        <f t="shared" si="19"/>
        <v>51.99367916</v>
      </c>
      <c r="AA6" s="8">
        <f t="shared" si="8"/>
        <v>42</v>
      </c>
      <c r="AB6" s="13" t="str">
        <f t="shared" si="9"/>
        <v>#N/A</v>
      </c>
      <c r="AC6" s="13">
        <f t="shared" si="10"/>
        <v>0.8077904983</v>
      </c>
      <c r="AD6" s="13">
        <f>AA6/vlookup(A6,Max!$A$2:$AP$700,column(Max!$AP$2),false)</f>
        <v>0.976744186</v>
      </c>
      <c r="AE6" s="8">
        <f t="shared" si="11"/>
        <v>53.81189398</v>
      </c>
      <c r="AF6" s="14">
        <f t="shared" si="12"/>
        <v>0.8791478901</v>
      </c>
      <c r="AG6" s="14">
        <f t="shared" si="13"/>
        <v>1.061924775</v>
      </c>
      <c r="AH6" s="14">
        <f t="shared" si="14"/>
        <v>1</v>
      </c>
      <c r="AI6" s="14">
        <f t="shared" si="15"/>
        <v>0.8329803777</v>
      </c>
      <c r="AJ6" s="15">
        <f t="shared" si="16"/>
        <v>0</v>
      </c>
      <c r="AK6" s="15" t="str">
        <f t="shared" si="17"/>
        <v>  @CONFIG[RD-1] {
   %cost = 42
   @cost -= #$../../cost$
  }</v>
      </c>
    </row>
    <row r="7" ht="15.75" customHeight="1">
      <c r="A7" s="16" t="s">
        <v>46</v>
      </c>
      <c r="B7" s="16" t="s">
        <v>47</v>
      </c>
      <c r="C7" s="8">
        <f t="shared" si="1"/>
        <v>18</v>
      </c>
      <c r="D7" s="16">
        <v>1944.0</v>
      </c>
      <c r="E7" s="16"/>
      <c r="F7" s="16" t="b">
        <v>0</v>
      </c>
      <c r="G7" s="16" t="b">
        <v>0</v>
      </c>
      <c r="H7" s="16" t="b">
        <v>0</v>
      </c>
      <c r="I7" s="16" t="b">
        <v>0</v>
      </c>
      <c r="J7" s="9" t="b">
        <v>0</v>
      </c>
      <c r="K7" s="16">
        <v>30.0</v>
      </c>
      <c r="L7" s="16">
        <v>0.0</v>
      </c>
      <c r="M7" s="16">
        <v>8.0</v>
      </c>
      <c r="N7" s="16">
        <v>7.733</v>
      </c>
      <c r="O7" s="16">
        <v>226.0</v>
      </c>
      <c r="P7" s="16">
        <v>2.06</v>
      </c>
      <c r="Q7" s="16">
        <v>0.96</v>
      </c>
      <c r="R7" s="16">
        <v>0.93</v>
      </c>
      <c r="S7" s="19">
        <f t="shared" si="2"/>
        <v>30</v>
      </c>
      <c r="T7" s="19">
        <f t="shared" si="3"/>
        <v>98.56831815</v>
      </c>
      <c r="U7" s="20">
        <f t="shared" si="4"/>
        <v>2.588404098</v>
      </c>
      <c r="V7" s="17">
        <f t="shared" si="18"/>
        <v>20.01612889</v>
      </c>
      <c r="W7" s="21">
        <f t="shared" si="5"/>
        <v>1.75</v>
      </c>
      <c r="X7" s="21">
        <f t="shared" si="6"/>
        <v>55.04435445</v>
      </c>
      <c r="Y7" s="21">
        <f t="shared" si="7"/>
        <v>7.11811127</v>
      </c>
      <c r="Z7" s="8">
        <f t="shared" si="19"/>
        <v>18.27072245</v>
      </c>
      <c r="AA7" s="8">
        <f t="shared" si="8"/>
        <v>18</v>
      </c>
      <c r="AB7" s="13">
        <f t="shared" si="9"/>
        <v>0.6</v>
      </c>
      <c r="AC7" s="13">
        <f t="shared" si="10"/>
        <v>0.9851827177</v>
      </c>
      <c r="AD7" s="13">
        <f>AA7/vlookup(A7,Max!$A$2:$AP$700,column(Max!$AP$2),false)</f>
        <v>1</v>
      </c>
      <c r="AE7" s="8">
        <f t="shared" si="11"/>
        <v>17.00547556</v>
      </c>
      <c r="AF7" s="14">
        <f t="shared" si="12"/>
        <v>0.8843728541</v>
      </c>
      <c r="AG7" s="14">
        <f t="shared" si="13"/>
        <v>1.093057072</v>
      </c>
      <c r="AH7" s="14">
        <f t="shared" si="14"/>
        <v>1</v>
      </c>
      <c r="AI7" s="14">
        <f t="shared" si="15"/>
        <v>1.111820716</v>
      </c>
      <c r="AJ7" s="15">
        <f t="shared" si="16"/>
        <v>0</v>
      </c>
      <c r="AK7" s="15" t="str">
        <f t="shared" si="17"/>
        <v>  @CONFIG[WAC-Corporal] {
   %cost = 18
   @cost -= #$../../cost$
  }</v>
      </c>
    </row>
    <row r="8" ht="15.75" customHeight="1">
      <c r="A8" s="7" t="s">
        <v>37</v>
      </c>
      <c r="B8" s="7" t="s">
        <v>36</v>
      </c>
      <c r="C8" s="8">
        <f t="shared" si="1"/>
        <v>30</v>
      </c>
      <c r="D8" s="7">
        <v>1945.0</v>
      </c>
      <c r="E8" s="7"/>
      <c r="F8" s="7" t="b">
        <v>1</v>
      </c>
      <c r="G8" s="7" t="b">
        <v>0</v>
      </c>
      <c r="H8" s="7" t="b">
        <v>1</v>
      </c>
      <c r="I8" s="7" t="b">
        <v>0</v>
      </c>
      <c r="J8" s="9" t="b">
        <v>0</v>
      </c>
      <c r="K8" s="7">
        <v>150.0</v>
      </c>
      <c r="L8" s="7">
        <v>550.0</v>
      </c>
      <c r="M8" s="7">
        <f>929.86*1.045</f>
        <v>971.7037</v>
      </c>
      <c r="N8" s="7">
        <v>288.68</v>
      </c>
      <c r="O8" s="7">
        <v>255.0</v>
      </c>
      <c r="P8" s="7">
        <v>1.7</v>
      </c>
      <c r="Q8" s="9">
        <v>0.98</v>
      </c>
      <c r="R8" s="9">
        <v>0.94</v>
      </c>
      <c r="S8" s="10">
        <f t="shared" si="2"/>
        <v>700</v>
      </c>
      <c r="T8" s="10">
        <f t="shared" si="3"/>
        <v>30.2943866</v>
      </c>
      <c r="U8" s="11">
        <f t="shared" si="4"/>
        <v>1.303025668</v>
      </c>
      <c r="V8" s="8">
        <f t="shared" si="18"/>
        <v>376.1574498</v>
      </c>
      <c r="W8" s="12">
        <f t="shared" si="5"/>
        <v>4</v>
      </c>
      <c r="X8" s="12">
        <f t="shared" si="6"/>
        <v>1880.787249</v>
      </c>
      <c r="Y8" s="12">
        <f t="shared" si="7"/>
        <v>6.515128339</v>
      </c>
      <c r="Z8" s="8">
        <f t="shared" si="19"/>
        <v>354.0393917</v>
      </c>
      <c r="AA8" s="45">
        <v>350.0</v>
      </c>
      <c r="AB8" s="13">
        <f t="shared" si="9"/>
        <v>0.5</v>
      </c>
      <c r="AC8" s="13">
        <f t="shared" si="10"/>
        <v>0.9885905585</v>
      </c>
      <c r="AD8" s="13">
        <f>AA8/vlookup(A8,Max!$A$2:$AP$700,column(Max!$AP$2),false)</f>
        <v>1.166666667</v>
      </c>
      <c r="AE8" s="8">
        <f t="shared" si="11"/>
        <v>305.2042757</v>
      </c>
      <c r="AF8" s="14">
        <f t="shared" si="12"/>
        <v>0.909870738</v>
      </c>
      <c r="AG8" s="14">
        <f t="shared" si="13"/>
        <v>1.023795017</v>
      </c>
      <c r="AH8" s="14">
        <f t="shared" si="14"/>
        <v>1</v>
      </c>
      <c r="AI8" s="14">
        <f t="shared" si="15"/>
        <v>1.076204533</v>
      </c>
      <c r="AJ8" s="27">
        <f t="shared" si="16"/>
        <v>30</v>
      </c>
      <c r="AK8" s="15" t="str">
        <f t="shared" si="17"/>
        <v>  @CONFIG[A-9] {
   %cost = 350
   @cost -= #$../../cost$
  }</v>
      </c>
    </row>
    <row r="9" ht="15.75" customHeight="1">
      <c r="A9" s="7" t="s">
        <v>789</v>
      </c>
      <c r="B9" s="7" t="s">
        <v>790</v>
      </c>
      <c r="C9" s="8">
        <f t="shared" si="1"/>
        <v>26</v>
      </c>
      <c r="D9" s="7">
        <v>1945.0</v>
      </c>
      <c r="E9" s="7"/>
      <c r="F9" s="7" t="b">
        <v>0</v>
      </c>
      <c r="G9" s="7" t="b">
        <v>0</v>
      </c>
      <c r="H9" s="7" t="b">
        <v>0</v>
      </c>
      <c r="I9" s="7" t="b">
        <v>0</v>
      </c>
      <c r="J9" s="9" t="b">
        <v>0</v>
      </c>
      <c r="K9" s="7">
        <v>45.0</v>
      </c>
      <c r="L9" s="7">
        <v>0.0</v>
      </c>
      <c r="M9" s="7">
        <v>14.7</v>
      </c>
      <c r="N9" s="7">
        <v>14.417</v>
      </c>
      <c r="O9" s="7">
        <v>232.1</v>
      </c>
      <c r="P9" s="7">
        <v>2.1</v>
      </c>
      <c r="Q9" s="7">
        <v>0.96</v>
      </c>
      <c r="R9" s="7">
        <v>0.93</v>
      </c>
      <c r="S9" s="10">
        <f t="shared" si="2"/>
        <v>45</v>
      </c>
      <c r="T9" s="10">
        <f t="shared" si="3"/>
        <v>100.0084939</v>
      </c>
      <c r="U9" s="11">
        <f t="shared" si="4"/>
        <v>2.015044026</v>
      </c>
      <c r="V9" s="8">
        <f t="shared" si="18"/>
        <v>29.05088972</v>
      </c>
      <c r="W9" s="12">
        <f t="shared" si="5"/>
        <v>1.75</v>
      </c>
      <c r="X9" s="12">
        <f t="shared" si="6"/>
        <v>79.88994672</v>
      </c>
      <c r="Y9" s="12">
        <f t="shared" si="7"/>
        <v>5.54137107</v>
      </c>
      <c r="Z9" s="8">
        <f t="shared" si="19"/>
        <v>26.51765213</v>
      </c>
      <c r="AA9" s="8">
        <f>round(AE9*AF9*AG9*AH9*AI9,0)</f>
        <v>26</v>
      </c>
      <c r="AB9" s="13">
        <f t="shared" si="9"/>
        <v>0.5777777778</v>
      </c>
      <c r="AC9" s="13">
        <f t="shared" si="10"/>
        <v>0.9804789605</v>
      </c>
      <c r="AD9" s="13">
        <f>AA9/vlookup(A9,Max!$A$2:$AP$700,column(Max!$AP$2),false)</f>
        <v>0.8387096774</v>
      </c>
      <c r="AE9" s="8">
        <f t="shared" si="11"/>
        <v>24.30352454</v>
      </c>
      <c r="AF9" s="14">
        <f t="shared" si="12"/>
        <v>0.8882292431</v>
      </c>
      <c r="AG9" s="14">
        <f t="shared" si="13"/>
        <v>1.099381591</v>
      </c>
      <c r="AH9" s="14">
        <f t="shared" si="14"/>
        <v>1</v>
      </c>
      <c r="AI9" s="14">
        <f t="shared" si="15"/>
        <v>1.10209077</v>
      </c>
      <c r="AJ9" s="15">
        <f t="shared" si="16"/>
        <v>0</v>
      </c>
      <c r="AK9" s="15" t="str">
        <f t="shared" si="17"/>
        <v>  @CONFIG[U-1250] {
   %cost = 26
   @cost -= #$../../cost$
  }</v>
      </c>
    </row>
    <row r="10" ht="15.75" customHeight="1">
      <c r="A10" s="16" t="s">
        <v>519</v>
      </c>
      <c r="B10" s="16" t="s">
        <v>520</v>
      </c>
      <c r="C10" s="8">
        <f t="shared" si="1"/>
        <v>320</v>
      </c>
      <c r="D10" s="16">
        <v>1946.0</v>
      </c>
      <c r="E10" s="16"/>
      <c r="F10" s="16" t="b">
        <v>1</v>
      </c>
      <c r="G10" s="16" t="b">
        <v>0</v>
      </c>
      <c r="H10" s="16" t="b">
        <v>0</v>
      </c>
      <c r="I10" s="16" t="b">
        <v>0</v>
      </c>
      <c r="J10" s="9" t="b">
        <v>0</v>
      </c>
      <c r="K10" s="16">
        <v>150.0</v>
      </c>
      <c r="L10" s="16">
        <v>0.0</v>
      </c>
      <c r="M10" s="16">
        <v>885.0</v>
      </c>
      <c r="N10" s="16">
        <v>307.0</v>
      </c>
      <c r="O10" s="16">
        <v>237.0</v>
      </c>
      <c r="P10" s="16">
        <v>1.62</v>
      </c>
      <c r="Q10" s="16">
        <v>0.95</v>
      </c>
      <c r="R10" s="16">
        <v>0.94</v>
      </c>
      <c r="S10" s="19">
        <f t="shared" si="2"/>
        <v>150</v>
      </c>
      <c r="T10" s="19">
        <f t="shared" si="3"/>
        <v>35.37320638</v>
      </c>
      <c r="U10" s="20">
        <f t="shared" si="4"/>
        <v>1.107587498</v>
      </c>
      <c r="V10" s="17">
        <f t="shared" si="18"/>
        <v>340.0293619</v>
      </c>
      <c r="W10" s="21">
        <f t="shared" si="5"/>
        <v>4</v>
      </c>
      <c r="X10" s="21">
        <f t="shared" si="6"/>
        <v>1700.146809</v>
      </c>
      <c r="Y10" s="21">
        <f t="shared" si="7"/>
        <v>5.53793749</v>
      </c>
      <c r="Z10" s="8">
        <f t="shared" si="19"/>
        <v>310.4468074</v>
      </c>
      <c r="AA10" s="45">
        <v>320.0</v>
      </c>
      <c r="AB10" s="13">
        <f t="shared" si="9"/>
        <v>2.133333333</v>
      </c>
      <c r="AC10" s="13">
        <f t="shared" si="10"/>
        <v>1.030772398</v>
      </c>
      <c r="AD10" s="13">
        <f>AA10/vlookup(A10,Max!$A$2:$AP$700,column(Max!$AP$2),false)</f>
        <v>1.28</v>
      </c>
      <c r="AE10" s="8">
        <f t="shared" si="11"/>
        <v>288.1268574</v>
      </c>
      <c r="AF10" s="14">
        <f t="shared" si="12"/>
        <v>0.8918652309</v>
      </c>
      <c r="AG10" s="14">
        <f t="shared" si="13"/>
        <v>1.017037992</v>
      </c>
      <c r="AH10" s="14">
        <f t="shared" si="14"/>
        <v>1</v>
      </c>
      <c r="AI10" s="14">
        <f t="shared" si="15"/>
        <v>1.121044728</v>
      </c>
      <c r="AJ10" s="15">
        <f t="shared" si="16"/>
        <v>0</v>
      </c>
      <c r="AK10" s="15" t="str">
        <f t="shared" si="17"/>
        <v>  @CONFIG[RD-100] {
   %cost = 320
   @cost -= #$../../cost$
  }</v>
      </c>
    </row>
    <row r="11" ht="15.75" customHeight="1">
      <c r="A11" s="7" t="s">
        <v>793</v>
      </c>
      <c r="B11" s="7" t="s">
        <v>793</v>
      </c>
      <c r="C11" s="8">
        <f t="shared" si="1"/>
        <v>80</v>
      </c>
      <c r="D11" s="7">
        <v>1946.0</v>
      </c>
      <c r="E11" s="7"/>
      <c r="F11" s="7" t="b">
        <v>0</v>
      </c>
      <c r="G11" s="7" t="b">
        <v>0</v>
      </c>
      <c r="H11" s="7" t="b">
        <v>0</v>
      </c>
      <c r="I11" s="7" t="b">
        <v>0</v>
      </c>
      <c r="J11" s="9" t="b">
        <v>0</v>
      </c>
      <c r="K11" s="7">
        <v>75.0</v>
      </c>
      <c r="L11" s="7">
        <v>0.0</v>
      </c>
      <c r="M11" s="7">
        <v>150.0</v>
      </c>
      <c r="N11" s="7">
        <v>49.3</v>
      </c>
      <c r="O11" s="7">
        <v>249.0</v>
      </c>
      <c r="P11" s="7">
        <v>1.5</v>
      </c>
      <c r="Q11" s="7">
        <v>0.95</v>
      </c>
      <c r="R11" s="7">
        <v>0.95</v>
      </c>
      <c r="S11" s="10">
        <f t="shared" si="2"/>
        <v>75</v>
      </c>
      <c r="T11" s="10">
        <f t="shared" si="3"/>
        <v>33.51467277</v>
      </c>
      <c r="U11" s="11">
        <f t="shared" si="4"/>
        <v>2.378610137</v>
      </c>
      <c r="V11" s="8">
        <f t="shared" si="18"/>
        <v>117.2654797</v>
      </c>
      <c r="W11" s="12">
        <f t="shared" si="5"/>
        <v>1.75</v>
      </c>
      <c r="X11" s="12">
        <f t="shared" si="6"/>
        <v>322.4800693</v>
      </c>
      <c r="Y11" s="12">
        <f t="shared" si="7"/>
        <v>6.541177876</v>
      </c>
      <c r="Z11" s="8">
        <f t="shared" si="19"/>
        <v>108.1774051</v>
      </c>
      <c r="AA11" s="45">
        <v>80.0</v>
      </c>
      <c r="AB11" s="13">
        <f t="shared" si="9"/>
        <v>1.066666667</v>
      </c>
      <c r="AC11" s="13">
        <f t="shared" si="10"/>
        <v>0.7395259662</v>
      </c>
      <c r="AD11" s="13">
        <f>AA11/vlookup(A11,Max!$A$2:$AP$700,column(Max!$AP$2),false)</f>
        <v>1.777777778</v>
      </c>
      <c r="AE11" s="8">
        <f t="shared" si="11"/>
        <v>97.42301249</v>
      </c>
      <c r="AF11" s="14">
        <f t="shared" si="12"/>
        <v>0.9029957385</v>
      </c>
      <c r="AG11" s="14">
        <f t="shared" si="13"/>
        <v>0.9938253032</v>
      </c>
      <c r="AH11" s="14">
        <f t="shared" si="14"/>
        <v>1</v>
      </c>
      <c r="AI11" s="14">
        <f t="shared" si="15"/>
        <v>1.151098054</v>
      </c>
      <c r="AJ11" s="15">
        <f t="shared" si="16"/>
        <v>0</v>
      </c>
      <c r="AK11" s="15" t="str">
        <f t="shared" si="17"/>
        <v>  @CONFIG[Veronique] {
   %cost = 80
   @cost -= #$../../cost$
  }</v>
      </c>
    </row>
    <row r="12" ht="15.75" customHeight="1">
      <c r="A12" s="7" t="s">
        <v>827</v>
      </c>
      <c r="B12" s="7" t="s">
        <v>828</v>
      </c>
      <c r="C12" s="8">
        <f t="shared" si="1"/>
        <v>163</v>
      </c>
      <c r="D12" s="7">
        <v>1946.0</v>
      </c>
      <c r="E12" s="7"/>
      <c r="F12" s="7" t="b">
        <v>0</v>
      </c>
      <c r="G12" s="7" t="b">
        <v>0</v>
      </c>
      <c r="H12" s="7" t="b">
        <v>1</v>
      </c>
      <c r="I12" s="7" t="b">
        <v>1</v>
      </c>
      <c r="J12" s="9" t="b">
        <v>0</v>
      </c>
      <c r="K12" s="7">
        <v>300.0</v>
      </c>
      <c r="L12" s="7">
        <v>0.0</v>
      </c>
      <c r="M12" s="7">
        <v>150.0</v>
      </c>
      <c r="N12" s="7">
        <v>26.68</v>
      </c>
      <c r="O12" s="7">
        <v>226.6</v>
      </c>
      <c r="P12" s="7">
        <v>1.52</v>
      </c>
      <c r="Q12" s="7">
        <v>0.987</v>
      </c>
      <c r="R12" s="7">
        <v>0.998</v>
      </c>
      <c r="S12" s="10">
        <f t="shared" si="2"/>
        <v>300</v>
      </c>
      <c r="T12" s="10">
        <f t="shared" si="3"/>
        <v>18.13735232</v>
      </c>
      <c r="U12" s="11">
        <f t="shared" si="4"/>
        <v>4.18608346</v>
      </c>
      <c r="V12" s="8">
        <f t="shared" si="18"/>
        <v>111.6847067</v>
      </c>
      <c r="W12" s="12">
        <f t="shared" si="5"/>
        <v>1.75</v>
      </c>
      <c r="X12" s="12">
        <f t="shared" si="6"/>
        <v>307.1329435</v>
      </c>
      <c r="Y12" s="12">
        <f t="shared" si="7"/>
        <v>11.51172952</v>
      </c>
      <c r="Z12" s="8">
        <f t="shared" si="19"/>
        <v>168.3690511</v>
      </c>
      <c r="AA12" s="8">
        <f>round(AE12*AF12*AG12*AH12*AI12,0)</f>
        <v>163</v>
      </c>
      <c r="AB12" s="13">
        <f t="shared" si="9"/>
        <v>0.5433333333</v>
      </c>
      <c r="AC12" s="13">
        <f t="shared" si="10"/>
        <v>0.9681114132</v>
      </c>
      <c r="AD12" s="13">
        <f>AA12/vlookup(A12,Max!$A$2:$AP$700,column(Max!$AP$2),false)</f>
        <v>0.6037037037</v>
      </c>
      <c r="AE12" s="8">
        <f t="shared" si="11"/>
        <v>97.42301249</v>
      </c>
      <c r="AF12" s="14">
        <f t="shared" si="12"/>
        <v>0.8847205292</v>
      </c>
      <c r="AG12" s="14">
        <f t="shared" si="13"/>
        <v>0.9983361824</v>
      </c>
      <c r="AH12" s="14">
        <f t="shared" si="14"/>
        <v>1.5</v>
      </c>
      <c r="AI12" s="14">
        <f t="shared" si="15"/>
        <v>1.260150864</v>
      </c>
      <c r="AJ12" s="15">
        <f t="shared" si="16"/>
        <v>0</v>
      </c>
      <c r="AK12" s="15" t="str">
        <f t="shared" si="17"/>
        <v>  @CONFIG[XLR11-RM-3] {
   %cost = 163
   @cost -= #$../../cost$
  }</v>
      </c>
    </row>
    <row r="13" ht="15.75" customHeight="1">
      <c r="A13" s="16" t="s">
        <v>836</v>
      </c>
      <c r="B13" s="16" t="s">
        <v>837</v>
      </c>
      <c r="C13" s="8">
        <f t="shared" si="1"/>
        <v>330</v>
      </c>
      <c r="D13" s="16">
        <v>1946.0</v>
      </c>
      <c r="E13" s="16"/>
      <c r="F13" s="16" t="b">
        <v>1</v>
      </c>
      <c r="G13" s="16" t="b">
        <v>0</v>
      </c>
      <c r="H13" s="16" t="b">
        <v>0</v>
      </c>
      <c r="I13" s="16" t="b">
        <v>0</v>
      </c>
      <c r="J13" s="9" t="b">
        <v>0</v>
      </c>
      <c r="K13" s="16">
        <v>135.0</v>
      </c>
      <c r="L13" s="16">
        <v>0.0</v>
      </c>
      <c r="M13" s="16">
        <v>791.0</v>
      </c>
      <c r="N13" s="16">
        <v>333.0</v>
      </c>
      <c r="O13" s="16">
        <v>239.0</v>
      </c>
      <c r="P13" s="16">
        <v>1.5</v>
      </c>
      <c r="Q13" s="16">
        <v>0.97</v>
      </c>
      <c r="R13" s="16">
        <v>0.95</v>
      </c>
      <c r="S13" s="19">
        <f t="shared" si="2"/>
        <v>135</v>
      </c>
      <c r="T13" s="19">
        <f t="shared" si="3"/>
        <v>42.92863438</v>
      </c>
      <c r="U13" s="20">
        <f t="shared" si="4"/>
        <v>0.9528656793</v>
      </c>
      <c r="V13" s="17">
        <f t="shared" si="18"/>
        <v>317.3042712</v>
      </c>
      <c r="W13" s="21">
        <f t="shared" si="5"/>
        <v>4</v>
      </c>
      <c r="X13" s="21">
        <f t="shared" si="6"/>
        <v>1586.521356</v>
      </c>
      <c r="Y13" s="21">
        <f t="shared" si="7"/>
        <v>4.764328397</v>
      </c>
      <c r="Z13" s="8">
        <f t="shared" si="19"/>
        <v>298.7419713</v>
      </c>
      <c r="AA13" s="45">
        <v>330.0</v>
      </c>
      <c r="AB13" s="13">
        <f t="shared" si="9"/>
        <v>2.444444444</v>
      </c>
      <c r="AC13" s="13">
        <f t="shared" si="10"/>
        <v>1.104632197</v>
      </c>
      <c r="AD13" s="13">
        <f>AA13/vlookup(A13,Max!$A$2:$AP$700,column(Max!$AP$2),false)</f>
        <v>1.137931034</v>
      </c>
      <c r="AE13" s="8">
        <f t="shared" si="11"/>
        <v>268.8844343</v>
      </c>
      <c r="AF13" s="14">
        <f t="shared" si="12"/>
        <v>0.8934944272</v>
      </c>
      <c r="AG13" s="14">
        <f t="shared" si="13"/>
        <v>0.9938253032</v>
      </c>
      <c r="AH13" s="14">
        <f t="shared" si="14"/>
        <v>1</v>
      </c>
      <c r="AI13" s="14">
        <f t="shared" si="15"/>
        <v>1.151098054</v>
      </c>
      <c r="AJ13" s="15">
        <f t="shared" si="16"/>
        <v>0</v>
      </c>
      <c r="AK13" s="15" t="str">
        <f t="shared" si="17"/>
        <v>  @CONFIG[XLR41-NA-1] {
   %cost = 330
   @cost -= #$../../cost$
  }</v>
      </c>
    </row>
    <row r="14" ht="15.75" customHeight="1">
      <c r="A14" s="7" t="s">
        <v>521</v>
      </c>
      <c r="B14" s="7" t="s">
        <v>520</v>
      </c>
      <c r="C14" s="8">
        <f t="shared" si="1"/>
        <v>-15</v>
      </c>
      <c r="D14" s="7">
        <v>1948.0</v>
      </c>
      <c r="E14" s="7"/>
      <c r="F14" s="7" t="b">
        <v>1</v>
      </c>
      <c r="G14" s="7" t="b">
        <v>0</v>
      </c>
      <c r="H14" s="7" t="b">
        <v>0</v>
      </c>
      <c r="I14" s="7" t="b">
        <v>0</v>
      </c>
      <c r="J14" s="9" t="b">
        <v>0</v>
      </c>
      <c r="K14" s="7">
        <v>150.0</v>
      </c>
      <c r="L14" s="7">
        <v>75.0</v>
      </c>
      <c r="M14" s="7">
        <v>888.0</v>
      </c>
      <c r="N14" s="7">
        <v>404.0</v>
      </c>
      <c r="O14" s="7">
        <v>237.0</v>
      </c>
      <c r="P14" s="7">
        <v>2.16</v>
      </c>
      <c r="Q14" s="7">
        <v>0.94</v>
      </c>
      <c r="R14" s="7">
        <v>0.93</v>
      </c>
      <c r="S14" s="10">
        <f t="shared" si="2"/>
        <v>225</v>
      </c>
      <c r="T14" s="10">
        <f t="shared" si="3"/>
        <v>46.39249424</v>
      </c>
      <c r="U14" s="11">
        <f t="shared" si="4"/>
        <v>0.8596364445</v>
      </c>
      <c r="V14" s="8">
        <f t="shared" si="18"/>
        <v>347.2931236</v>
      </c>
      <c r="W14" s="12">
        <f t="shared" si="5"/>
        <v>4</v>
      </c>
      <c r="X14" s="12">
        <f t="shared" si="6"/>
        <v>1736.465618</v>
      </c>
      <c r="Y14" s="12">
        <f t="shared" si="7"/>
        <v>4.298182222</v>
      </c>
      <c r="Z14" s="8">
        <f t="shared" si="19"/>
        <v>310.5495111</v>
      </c>
      <c r="AA14" s="8">
        <f t="shared" ref="AA14:AA23" si="20">round(AE14*AF14*AG14*AH14*AI14,0)</f>
        <v>305</v>
      </c>
      <c r="AB14" s="13">
        <f t="shared" si="9"/>
        <v>1.355555556</v>
      </c>
      <c r="AC14" s="13">
        <f t="shared" si="10"/>
        <v>0.9821300279</v>
      </c>
      <c r="AD14" s="13">
        <f>AA14/vlookup(A14,Max!$A$2:$AP$700,column(Max!$AP$2),false)</f>
        <v>1.173076923</v>
      </c>
      <c r="AE14" s="8">
        <f t="shared" si="11"/>
        <v>288.7279617</v>
      </c>
      <c r="AF14" s="14">
        <f t="shared" si="12"/>
        <v>0.8918652309</v>
      </c>
      <c r="AG14" s="14">
        <f t="shared" si="13"/>
        <v>1.108712126</v>
      </c>
      <c r="AH14" s="14">
        <f t="shared" si="14"/>
        <v>1</v>
      </c>
      <c r="AI14" s="14">
        <f t="shared" si="15"/>
        <v>1.067697054</v>
      </c>
      <c r="AJ14" s="27">
        <f t="shared" si="16"/>
        <v>-15</v>
      </c>
      <c r="AK14" s="15" t="str">
        <f t="shared" si="17"/>
        <v>  @CONFIG[RD-101] {
   %cost = 305
   @cost -= #$../../cost$
  }</v>
      </c>
    </row>
    <row r="15" ht="15.75" customHeight="1">
      <c r="A15" s="16" t="s">
        <v>791</v>
      </c>
      <c r="B15" s="16" t="s">
        <v>790</v>
      </c>
      <c r="C15" s="8">
        <f t="shared" si="1"/>
        <v>2</v>
      </c>
      <c r="D15" s="16">
        <v>1948.0</v>
      </c>
      <c r="E15" s="16"/>
      <c r="F15" s="16" t="b">
        <v>0</v>
      </c>
      <c r="G15" s="16" t="b">
        <v>0</v>
      </c>
      <c r="H15" s="16" t="b">
        <v>0</v>
      </c>
      <c r="I15" s="16" t="b">
        <v>0</v>
      </c>
      <c r="J15" s="9" t="b">
        <v>0</v>
      </c>
      <c r="K15" s="16">
        <v>45.0</v>
      </c>
      <c r="L15" s="16">
        <v>15.0</v>
      </c>
      <c r="M15" s="16">
        <v>14.7</v>
      </c>
      <c r="N15" s="16">
        <v>19.411</v>
      </c>
      <c r="O15" s="16">
        <v>236.4</v>
      </c>
      <c r="P15" s="16">
        <v>2.2</v>
      </c>
      <c r="Q15" s="16">
        <v>0.97</v>
      </c>
      <c r="R15" s="16">
        <v>0.955</v>
      </c>
      <c r="S15" s="19">
        <f t="shared" si="2"/>
        <v>60</v>
      </c>
      <c r="T15" s="19">
        <f t="shared" si="3"/>
        <v>134.6510976</v>
      </c>
      <c r="U15" s="20">
        <f t="shared" si="4"/>
        <v>1.518287236</v>
      </c>
      <c r="V15" s="17">
        <f t="shared" si="18"/>
        <v>29.47147354</v>
      </c>
      <c r="W15" s="21">
        <f t="shared" si="5"/>
        <v>1.75</v>
      </c>
      <c r="X15" s="21">
        <f t="shared" si="6"/>
        <v>81.04655224</v>
      </c>
      <c r="Y15" s="21">
        <f t="shared" si="7"/>
        <v>4.175289899</v>
      </c>
      <c r="Z15" s="8">
        <f t="shared" si="19"/>
        <v>27.89032899</v>
      </c>
      <c r="AA15" s="8">
        <f t="shared" si="20"/>
        <v>28</v>
      </c>
      <c r="AB15" s="13">
        <f t="shared" si="9"/>
        <v>0.4666666667</v>
      </c>
      <c r="AC15" s="13">
        <f t="shared" si="10"/>
        <v>1.003932224</v>
      </c>
      <c r="AD15" s="13">
        <f>AA15/vlookup(A15,Max!$A$2:$AP$700,column(Max!$AP$2),false)</f>
        <v>0.8</v>
      </c>
      <c r="AE15" s="8">
        <f t="shared" si="11"/>
        <v>24.30352454</v>
      </c>
      <c r="AF15" s="14">
        <f t="shared" si="12"/>
        <v>0.8913931655</v>
      </c>
      <c r="AG15" s="14">
        <f t="shared" si="13"/>
        <v>1.114832129</v>
      </c>
      <c r="AH15" s="14">
        <f t="shared" si="14"/>
        <v>1</v>
      </c>
      <c r="AI15" s="14">
        <f t="shared" si="15"/>
        <v>1.140903998</v>
      </c>
      <c r="AJ15" s="27">
        <f t="shared" si="16"/>
        <v>2</v>
      </c>
      <c r="AK15" s="15" t="str">
        <f t="shared" si="17"/>
        <v>  @CONFIG[U-1700] {
   %cost = 28
   @cost -= #$../../cost$
  }</v>
      </c>
    </row>
    <row r="16" ht="15.75" customHeight="1">
      <c r="A16" s="7" t="s">
        <v>48</v>
      </c>
      <c r="B16" s="7" t="s">
        <v>47</v>
      </c>
      <c r="C16" s="8">
        <f t="shared" si="1"/>
        <v>5</v>
      </c>
      <c r="D16" s="7">
        <v>1948.0</v>
      </c>
      <c r="E16" s="7"/>
      <c r="F16" s="7" t="b">
        <v>0</v>
      </c>
      <c r="G16" s="7" t="b">
        <v>0</v>
      </c>
      <c r="H16" s="7" t="b">
        <v>0</v>
      </c>
      <c r="I16" s="7" t="b">
        <v>0</v>
      </c>
      <c r="J16" s="9" t="b">
        <v>0</v>
      </c>
      <c r="K16" s="7">
        <v>30.0</v>
      </c>
      <c r="L16" s="7">
        <v>10.0</v>
      </c>
      <c r="M16" s="7">
        <v>10.4</v>
      </c>
      <c r="N16" s="7">
        <v>13.7628</v>
      </c>
      <c r="O16" s="7">
        <v>235.44</v>
      </c>
      <c r="P16" s="7">
        <v>2.28</v>
      </c>
      <c r="Q16" s="7">
        <v>0.97</v>
      </c>
      <c r="R16" s="7">
        <v>0.955</v>
      </c>
      <c r="S16" s="10">
        <f t="shared" si="2"/>
        <v>40</v>
      </c>
      <c r="T16" s="10">
        <f t="shared" si="3"/>
        <v>134.9437525</v>
      </c>
      <c r="U16" s="11">
        <f t="shared" si="4"/>
        <v>1.751739274</v>
      </c>
      <c r="V16" s="8">
        <f t="shared" si="18"/>
        <v>24.10883728</v>
      </c>
      <c r="W16" s="12">
        <f t="shared" si="5"/>
        <v>1.75</v>
      </c>
      <c r="X16" s="12">
        <f t="shared" si="6"/>
        <v>66.29930252</v>
      </c>
      <c r="Y16" s="12">
        <f t="shared" si="7"/>
        <v>4.817283003</v>
      </c>
      <c r="Z16" s="8">
        <f t="shared" si="19"/>
        <v>22.81539816</v>
      </c>
      <c r="AA16" s="8">
        <f t="shared" si="20"/>
        <v>23</v>
      </c>
      <c r="AB16" s="13">
        <f t="shared" si="9"/>
        <v>0.575</v>
      </c>
      <c r="AC16" s="13">
        <f t="shared" si="10"/>
        <v>1.008091108</v>
      </c>
      <c r="AD16" s="13">
        <f>AA16/vlookup(A16,Max!$A$2:$AP$700,column(Max!$AP$2),false)</f>
        <v>1.277777778</v>
      </c>
      <c r="AE16" s="8">
        <f t="shared" si="11"/>
        <v>19.82937537</v>
      </c>
      <c r="AF16" s="14">
        <f t="shared" si="12"/>
        <v>0.8906536532</v>
      </c>
      <c r="AG16" s="14">
        <f t="shared" si="13"/>
        <v>1.126842261</v>
      </c>
      <c r="AH16" s="14">
        <f t="shared" si="14"/>
        <v>1</v>
      </c>
      <c r="AI16" s="14">
        <f t="shared" si="15"/>
        <v>1.140903998</v>
      </c>
      <c r="AJ16" s="27">
        <f t="shared" si="16"/>
        <v>5</v>
      </c>
      <c r="AK16" s="15" t="str">
        <f t="shared" si="17"/>
        <v>  @CONFIG[XASR-1] {
   %cost = 23
   @cost -= #$../../cost$
  }</v>
      </c>
    </row>
    <row r="17" ht="15.75" customHeight="1">
      <c r="A17" s="16" t="s">
        <v>825</v>
      </c>
      <c r="B17" s="16" t="s">
        <v>826</v>
      </c>
      <c r="C17" s="8">
        <f t="shared" si="1"/>
        <v>114</v>
      </c>
      <c r="D17" s="16">
        <v>1948.0</v>
      </c>
      <c r="E17" s="16"/>
      <c r="F17" s="16" t="b">
        <v>1</v>
      </c>
      <c r="G17" s="16" t="b">
        <v>0</v>
      </c>
      <c r="H17" s="16" t="b">
        <v>0</v>
      </c>
      <c r="I17" s="16" t="b">
        <v>0</v>
      </c>
      <c r="J17" s="9" t="b">
        <v>0</v>
      </c>
      <c r="K17" s="16">
        <v>100.0</v>
      </c>
      <c r="L17" s="16">
        <v>0.0</v>
      </c>
      <c r="M17" s="16">
        <v>192.0</v>
      </c>
      <c r="N17" s="16">
        <v>110.5</v>
      </c>
      <c r="O17" s="16">
        <v>214.5</v>
      </c>
      <c r="P17" s="16">
        <v>1.5</v>
      </c>
      <c r="Q17" s="16">
        <v>0.960714</v>
      </c>
      <c r="R17" s="16">
        <v>0.960714</v>
      </c>
      <c r="S17" s="19">
        <f t="shared" si="2"/>
        <v>100</v>
      </c>
      <c r="T17" s="19">
        <f t="shared" si="3"/>
        <v>58.68679229</v>
      </c>
      <c r="U17" s="20">
        <f t="shared" si="4"/>
        <v>1.139572909</v>
      </c>
      <c r="V17" s="17">
        <f t="shared" si="18"/>
        <v>125.9228064</v>
      </c>
      <c r="W17" s="21">
        <f t="shared" si="5"/>
        <v>4</v>
      </c>
      <c r="X17" s="21">
        <f t="shared" si="6"/>
        <v>629.6140321</v>
      </c>
      <c r="Y17" s="21">
        <f t="shared" si="7"/>
        <v>5.697864544</v>
      </c>
      <c r="Z17" s="8">
        <f t="shared" si="19"/>
        <v>118.7416038</v>
      </c>
      <c r="AA17" s="8">
        <f t="shared" si="20"/>
        <v>114</v>
      </c>
      <c r="AB17" s="13">
        <f t="shared" si="9"/>
        <v>1.14</v>
      </c>
      <c r="AC17" s="13">
        <f t="shared" si="10"/>
        <v>0.9600678816</v>
      </c>
      <c r="AD17" s="13">
        <f>AA17/vlookup(A17,Max!$A$2:$AP$700,column(Max!$AP$2),false)</f>
        <v>1.036363636</v>
      </c>
      <c r="AE17" s="8">
        <f t="shared" si="11"/>
        <v>113.1555611</v>
      </c>
      <c r="AF17" s="14">
        <f t="shared" si="12"/>
        <v>0.8789600065</v>
      </c>
      <c r="AG17" s="14">
        <f t="shared" si="13"/>
        <v>0.9938253032</v>
      </c>
      <c r="AH17" s="14">
        <f t="shared" si="14"/>
        <v>1</v>
      </c>
      <c r="AI17" s="14">
        <f t="shared" si="15"/>
        <v>1.158046429</v>
      </c>
      <c r="AJ17" s="15">
        <f t="shared" si="16"/>
        <v>0</v>
      </c>
      <c r="AK17" s="15" t="str">
        <f t="shared" si="17"/>
        <v>  @CONFIG[XLR10-RM-2] {
   %cost = 114
   @cost -= #$../../cost$
  }</v>
      </c>
    </row>
    <row r="18" ht="15.75" customHeight="1">
      <c r="A18" s="16" t="s">
        <v>522</v>
      </c>
      <c r="B18" s="16" t="s">
        <v>520</v>
      </c>
      <c r="C18" s="8">
        <f t="shared" si="1"/>
        <v>-27</v>
      </c>
      <c r="D18" s="16">
        <v>1950.0</v>
      </c>
      <c r="E18" s="16"/>
      <c r="F18" s="16" t="b">
        <v>1</v>
      </c>
      <c r="G18" s="16" t="b">
        <v>0</v>
      </c>
      <c r="H18" s="16" t="b">
        <v>0</v>
      </c>
      <c r="I18" s="16" t="b">
        <v>0</v>
      </c>
      <c r="J18" s="9" t="b">
        <v>0</v>
      </c>
      <c r="K18" s="16">
        <v>150.0</v>
      </c>
      <c r="L18" s="16">
        <v>120.0</v>
      </c>
      <c r="M18" s="16">
        <v>885.0</v>
      </c>
      <c r="N18" s="16">
        <v>428.0</v>
      </c>
      <c r="O18" s="16">
        <v>235.0</v>
      </c>
      <c r="P18" s="16">
        <v>2.28</v>
      </c>
      <c r="Q18" s="16">
        <v>0.93</v>
      </c>
      <c r="R18" s="16">
        <v>0.92</v>
      </c>
      <c r="S18" s="19">
        <f t="shared" si="2"/>
        <v>270</v>
      </c>
      <c r="T18" s="19">
        <f t="shared" si="3"/>
        <v>49.31508903</v>
      </c>
      <c r="U18" s="20">
        <f t="shared" si="4"/>
        <v>0.8091547074</v>
      </c>
      <c r="V18" s="17">
        <f t="shared" si="18"/>
        <v>346.3182148</v>
      </c>
      <c r="W18" s="21">
        <f t="shared" si="5"/>
        <v>4</v>
      </c>
      <c r="X18" s="21">
        <f t="shared" si="6"/>
        <v>1731.591074</v>
      </c>
      <c r="Y18" s="21">
        <f t="shared" si="7"/>
        <v>4.045773537</v>
      </c>
      <c r="Z18" s="8">
        <f t="shared" si="19"/>
        <v>303.2362289</v>
      </c>
      <c r="AA18" s="8">
        <f t="shared" si="20"/>
        <v>293</v>
      </c>
      <c r="AB18" s="13">
        <f t="shared" si="9"/>
        <v>1.085185185</v>
      </c>
      <c r="AC18" s="13">
        <f t="shared" si="10"/>
        <v>0.9662433842</v>
      </c>
      <c r="AD18" s="13">
        <f>AA18/vlookup(A18,Max!$A$2:$AP$700,column(Max!$AP$2),false)</f>
        <v>1.465</v>
      </c>
      <c r="AE18" s="8">
        <f t="shared" si="11"/>
        <v>288.1268574</v>
      </c>
      <c r="AF18" s="14">
        <f t="shared" si="12"/>
        <v>0.890321153</v>
      </c>
      <c r="AG18" s="14">
        <f t="shared" si="13"/>
        <v>1.126842261</v>
      </c>
      <c r="AH18" s="14">
        <f t="shared" si="14"/>
        <v>1</v>
      </c>
      <c r="AI18" s="14">
        <f t="shared" si="15"/>
        <v>1.013094323</v>
      </c>
      <c r="AJ18" s="27">
        <f t="shared" si="16"/>
        <v>-27</v>
      </c>
      <c r="AK18" s="15" t="str">
        <f t="shared" si="17"/>
        <v>  @CONFIG[RD-102] {
   %cost = 293
   @cost -= #$../../cost$
  }</v>
      </c>
    </row>
    <row r="19" ht="15.75" customHeight="1">
      <c r="A19" s="16" t="s">
        <v>830</v>
      </c>
      <c r="B19" s="16" t="s">
        <v>828</v>
      </c>
      <c r="C19" s="8">
        <f t="shared" si="1"/>
        <v>29</v>
      </c>
      <c r="D19" s="16">
        <v>1950.0</v>
      </c>
      <c r="E19" s="16"/>
      <c r="F19" s="16" t="b">
        <v>0</v>
      </c>
      <c r="G19" s="16" t="b">
        <v>0</v>
      </c>
      <c r="H19" s="16" t="b">
        <v>1</v>
      </c>
      <c r="I19" s="16" t="b">
        <v>1</v>
      </c>
      <c r="J19" s="9" t="b">
        <v>0</v>
      </c>
      <c r="K19" s="16">
        <v>300.0</v>
      </c>
      <c r="L19" s="16">
        <v>100.0</v>
      </c>
      <c r="M19" s="16">
        <v>212.0</v>
      </c>
      <c r="N19" s="16">
        <v>28.8</v>
      </c>
      <c r="O19" s="16">
        <v>228.0</v>
      </c>
      <c r="P19" s="16">
        <v>1.52</v>
      </c>
      <c r="Q19" s="16">
        <v>0.987</v>
      </c>
      <c r="R19" s="16">
        <v>0.998</v>
      </c>
      <c r="S19" s="19">
        <f t="shared" si="2"/>
        <v>400</v>
      </c>
      <c r="T19" s="19">
        <f t="shared" si="3"/>
        <v>13.85274851</v>
      </c>
      <c r="U19" s="20">
        <f t="shared" si="4"/>
        <v>8.715277778</v>
      </c>
      <c r="V19" s="17">
        <v>251.0</v>
      </c>
      <c r="W19" s="21">
        <f t="shared" si="5"/>
        <v>1.75</v>
      </c>
      <c r="X19" s="21">
        <f t="shared" si="6"/>
        <v>690.25</v>
      </c>
      <c r="Y19" s="21">
        <f t="shared" si="7"/>
        <v>23.96701389</v>
      </c>
      <c r="Z19" s="8">
        <f t="shared" si="19"/>
        <v>378.392289</v>
      </c>
      <c r="AA19" s="8">
        <f t="shared" si="20"/>
        <v>192</v>
      </c>
      <c r="AB19" s="13">
        <f t="shared" si="9"/>
        <v>0.48</v>
      </c>
      <c r="AC19" s="13">
        <f t="shared" si="10"/>
        <v>0.5074099171</v>
      </c>
      <c r="AD19" s="13">
        <f>AA19/vlookup(A19,Max!$A$2:$AP$700,column(Max!$AP$2),false)</f>
        <v>1.2</v>
      </c>
      <c r="AE19" s="8">
        <f t="shared" si="11"/>
        <v>120.17636</v>
      </c>
      <c r="AF19" s="14">
        <f t="shared" si="12"/>
        <v>0.8855582007</v>
      </c>
      <c r="AG19" s="14">
        <f t="shared" si="13"/>
        <v>0.9983361824</v>
      </c>
      <c r="AH19" s="14">
        <f t="shared" si="14"/>
        <v>1.5</v>
      </c>
      <c r="AI19" s="14">
        <f t="shared" si="15"/>
        <v>1.201709649</v>
      </c>
      <c r="AJ19" s="27">
        <f t="shared" si="16"/>
        <v>29</v>
      </c>
      <c r="AK19" s="15" t="str">
        <f t="shared" si="17"/>
        <v>  @CONFIG[XLR11-RM-5] {
   %cost = 192
   @cost -= #$../../cost$
  }</v>
      </c>
    </row>
    <row r="20" ht="15.75" customHeight="1">
      <c r="A20" s="7" t="s">
        <v>829</v>
      </c>
      <c r="B20" s="7" t="s">
        <v>828</v>
      </c>
      <c r="C20" s="8">
        <f t="shared" si="1"/>
        <v>-27</v>
      </c>
      <c r="D20" s="7">
        <v>1950.0</v>
      </c>
      <c r="E20" s="7"/>
      <c r="F20" s="7" t="b">
        <v>0</v>
      </c>
      <c r="G20" s="7" t="b">
        <v>0</v>
      </c>
      <c r="H20" s="7" t="b">
        <v>1</v>
      </c>
      <c r="I20" s="7" t="b">
        <v>0</v>
      </c>
      <c r="J20" s="9" t="b">
        <v>0</v>
      </c>
      <c r="K20" s="7">
        <v>300.0</v>
      </c>
      <c r="L20" s="7">
        <v>100.0</v>
      </c>
      <c r="M20" s="7">
        <v>185.0</v>
      </c>
      <c r="N20" s="7">
        <v>37.56</v>
      </c>
      <c r="O20" s="7">
        <v>234.4</v>
      </c>
      <c r="P20" s="7">
        <v>2.86</v>
      </c>
      <c r="Q20" s="7">
        <v>0.987</v>
      </c>
      <c r="R20" s="7">
        <v>0.998</v>
      </c>
      <c r="S20" s="10">
        <f t="shared" si="2"/>
        <v>400</v>
      </c>
      <c r="T20" s="10">
        <f t="shared" si="3"/>
        <v>20.70299505</v>
      </c>
      <c r="U20" s="11">
        <f t="shared" si="4"/>
        <v>6.602768903</v>
      </c>
      <c r="V20" s="8">
        <v>248.0</v>
      </c>
      <c r="W20" s="12">
        <f t="shared" si="5"/>
        <v>1.75</v>
      </c>
      <c r="X20" s="12">
        <f t="shared" si="6"/>
        <v>682</v>
      </c>
      <c r="Y20" s="12">
        <f t="shared" si="7"/>
        <v>18.15761448</v>
      </c>
      <c r="Z20" s="8">
        <f t="shared" si="19"/>
        <v>249.246448</v>
      </c>
      <c r="AA20" s="8">
        <f t="shared" si="20"/>
        <v>136</v>
      </c>
      <c r="AB20" s="13">
        <f t="shared" si="9"/>
        <v>0.34</v>
      </c>
      <c r="AC20" s="13">
        <f t="shared" si="10"/>
        <v>0.5456446866</v>
      </c>
      <c r="AD20" s="13">
        <f>AA20/vlookup(A20,Max!$A$2:$AP$700,column(Max!$AP$2),false)</f>
        <v>2.229508197</v>
      </c>
      <c r="AE20" s="8">
        <f t="shared" si="11"/>
        <v>110.6328566</v>
      </c>
      <c r="AF20" s="14">
        <f t="shared" si="12"/>
        <v>0.8898742175</v>
      </c>
      <c r="AG20" s="14">
        <f t="shared" si="13"/>
        <v>1.150917945</v>
      </c>
      <c r="AH20" s="14">
        <f t="shared" si="14"/>
        <v>1</v>
      </c>
      <c r="AI20" s="14">
        <f t="shared" si="15"/>
        <v>1.201709649</v>
      </c>
      <c r="AJ20" s="27">
        <f t="shared" si="16"/>
        <v>-27</v>
      </c>
      <c r="AK20" s="15" t="str">
        <f t="shared" si="17"/>
        <v>  @CONFIG[XLR35-RM-1] {
   %cost = 136
   @cost -= #$../../cost$
  }</v>
      </c>
    </row>
    <row r="21" ht="15.75" customHeight="1">
      <c r="A21" s="16" t="s">
        <v>50</v>
      </c>
      <c r="B21" s="16" t="s">
        <v>47</v>
      </c>
      <c r="C21" s="8">
        <f t="shared" si="1"/>
        <v>4</v>
      </c>
      <c r="D21" s="16">
        <v>1951.0</v>
      </c>
      <c r="E21" s="16"/>
      <c r="F21" s="16" t="b">
        <v>0</v>
      </c>
      <c r="G21" s="16" t="b">
        <v>0</v>
      </c>
      <c r="H21" s="16" t="b">
        <v>0</v>
      </c>
      <c r="I21" s="16" t="b">
        <v>0</v>
      </c>
      <c r="J21" s="9" t="b">
        <v>0</v>
      </c>
      <c r="K21" s="16">
        <v>30.0</v>
      </c>
      <c r="L21" s="16">
        <v>15.0</v>
      </c>
      <c r="M21" s="16">
        <v>10.4</v>
      </c>
      <c r="N21" s="16">
        <v>21.28</v>
      </c>
      <c r="O21" s="16">
        <v>231.0</v>
      </c>
      <c r="P21" s="16">
        <v>2.23</v>
      </c>
      <c r="Q21" s="16">
        <v>0.98</v>
      </c>
      <c r="R21" s="16">
        <v>0.96</v>
      </c>
      <c r="S21" s="19">
        <f t="shared" si="2"/>
        <v>45</v>
      </c>
      <c r="T21" s="19">
        <f t="shared" si="3"/>
        <v>208.6496245</v>
      </c>
      <c r="U21" s="20">
        <f t="shared" si="4"/>
        <v>1.119875151</v>
      </c>
      <c r="V21" s="17">
        <f t="shared" ref="V21:V34" si="21">0.2*(8.17*POWER(M21*P21,0.46))+0.8*(0.146*POWER(M21*O21,0.639))</f>
        <v>23.83094321</v>
      </c>
      <c r="W21" s="21">
        <f t="shared" si="5"/>
        <v>1.75</v>
      </c>
      <c r="X21" s="21">
        <f t="shared" si="6"/>
        <v>65.53509384</v>
      </c>
      <c r="Y21" s="21">
        <f t="shared" si="7"/>
        <v>3.079656665</v>
      </c>
      <c r="Z21" s="8">
        <f t="shared" si="19"/>
        <v>22.89677024</v>
      </c>
      <c r="AA21" s="8">
        <f t="shared" si="20"/>
        <v>22</v>
      </c>
      <c r="AB21" s="13">
        <f t="shared" si="9"/>
        <v>0.4888888889</v>
      </c>
      <c r="AC21" s="13">
        <f t="shared" si="10"/>
        <v>0.9608342037</v>
      </c>
      <c r="AD21" s="13">
        <f>AA21/vlookup(A21,Max!$A$2:$AP$700,column(Max!$AP$2),false)</f>
        <v>0.9166666667</v>
      </c>
      <c r="AE21" s="8">
        <f t="shared" si="11"/>
        <v>19.82937537</v>
      </c>
      <c r="AF21" s="14">
        <f t="shared" si="12"/>
        <v>0.8874801968</v>
      </c>
      <c r="AG21" s="14">
        <f t="shared" si="13"/>
        <v>1.119371206</v>
      </c>
      <c r="AH21" s="14">
        <f t="shared" si="14"/>
        <v>1</v>
      </c>
      <c r="AI21" s="14">
        <f t="shared" si="15"/>
        <v>1.111170765</v>
      </c>
      <c r="AJ21" s="27">
        <f t="shared" si="16"/>
        <v>4</v>
      </c>
      <c r="AK21" s="15" t="str">
        <f t="shared" si="17"/>
        <v>  @CONFIG[AJ10-27] {
   %cost = 22
   @cost -= #$../../cost$
  }</v>
      </c>
    </row>
    <row r="22" ht="15.75" customHeight="1">
      <c r="A22" s="7" t="s">
        <v>570</v>
      </c>
      <c r="B22" s="7" t="s">
        <v>571</v>
      </c>
      <c r="C22" s="8">
        <f t="shared" si="1"/>
        <v>109</v>
      </c>
      <c r="D22" s="7">
        <v>1951.0</v>
      </c>
      <c r="E22" s="7"/>
      <c r="F22" s="7" t="b">
        <v>1</v>
      </c>
      <c r="G22" s="7" t="b">
        <v>0</v>
      </c>
      <c r="H22" s="7" t="b">
        <v>0</v>
      </c>
      <c r="I22" s="7" t="b">
        <v>0</v>
      </c>
      <c r="J22" s="9" t="b">
        <v>0</v>
      </c>
      <c r="K22" s="7">
        <v>150.0</v>
      </c>
      <c r="L22" s="7">
        <v>0.0</v>
      </c>
      <c r="M22" s="7">
        <v>169.0</v>
      </c>
      <c r="N22" s="7">
        <v>98.51</v>
      </c>
      <c r="O22" s="7">
        <v>234.0</v>
      </c>
      <c r="P22" s="7">
        <v>2.35</v>
      </c>
      <c r="Q22" s="7">
        <v>0.94</v>
      </c>
      <c r="R22" s="7">
        <v>0.93</v>
      </c>
      <c r="S22" s="10">
        <f t="shared" si="2"/>
        <v>150</v>
      </c>
      <c r="T22" s="10">
        <f t="shared" si="3"/>
        <v>59.43919754</v>
      </c>
      <c r="U22" s="11">
        <f t="shared" si="4"/>
        <v>1.287049723</v>
      </c>
      <c r="V22" s="8">
        <f t="shared" si="21"/>
        <v>126.7872683</v>
      </c>
      <c r="W22" s="12">
        <f t="shared" si="5"/>
        <v>4</v>
      </c>
      <c r="X22" s="12">
        <f t="shared" si="6"/>
        <v>633.9363413</v>
      </c>
      <c r="Y22" s="12">
        <f t="shared" si="7"/>
        <v>6.435248617</v>
      </c>
      <c r="Z22" s="8">
        <f t="shared" si="19"/>
        <v>113.3731753</v>
      </c>
      <c r="AA22" s="8">
        <f t="shared" si="20"/>
        <v>109</v>
      </c>
      <c r="AB22" s="13">
        <f t="shared" si="9"/>
        <v>0.7266666667</v>
      </c>
      <c r="AC22" s="13">
        <f t="shared" si="10"/>
        <v>0.9614267197</v>
      </c>
      <c r="AD22" s="13">
        <f>AA22/vlookup(A22,Max!$A$2:$AP$700,column(Max!$AP$2),false)</f>
        <v>1.703125</v>
      </c>
      <c r="AE22" s="8">
        <f t="shared" si="11"/>
        <v>104.7250997</v>
      </c>
      <c r="AF22" s="14">
        <f t="shared" si="12"/>
        <v>0.8895803863</v>
      </c>
      <c r="AG22" s="14">
        <f t="shared" si="13"/>
        <v>1.137111445</v>
      </c>
      <c r="AH22" s="14">
        <f t="shared" si="14"/>
        <v>1</v>
      </c>
      <c r="AI22" s="14">
        <f t="shared" si="15"/>
        <v>1.026384525</v>
      </c>
      <c r="AJ22" s="15">
        <f t="shared" si="16"/>
        <v>0</v>
      </c>
      <c r="AK22" s="15" t="str">
        <f t="shared" si="17"/>
        <v>  @CONFIG[RD-200] {
   %cost = 109
   @cost -= #$../../cost$
  }</v>
      </c>
    </row>
    <row r="23" ht="15.75" customHeight="1">
      <c r="A23" s="7" t="s">
        <v>792</v>
      </c>
      <c r="B23" s="7" t="s">
        <v>790</v>
      </c>
      <c r="C23" s="8">
        <f t="shared" si="1"/>
        <v>-1</v>
      </c>
      <c r="D23" s="7">
        <v>1951.0</v>
      </c>
      <c r="E23" s="7"/>
      <c r="F23" s="7" t="b">
        <v>0</v>
      </c>
      <c r="G23" s="7" t="b">
        <v>0</v>
      </c>
      <c r="H23" s="7" t="b">
        <v>0</v>
      </c>
      <c r="I23" s="7" t="b">
        <v>0</v>
      </c>
      <c r="J23" s="9" t="b">
        <v>0</v>
      </c>
      <c r="K23" s="7">
        <v>45.0</v>
      </c>
      <c r="L23" s="7">
        <v>25.0</v>
      </c>
      <c r="M23" s="7">
        <v>12.9</v>
      </c>
      <c r="N23" s="7">
        <v>23.0</v>
      </c>
      <c r="O23" s="7">
        <v>241.3</v>
      </c>
      <c r="P23" s="7">
        <v>2.3</v>
      </c>
      <c r="Q23" s="7">
        <v>0.98</v>
      </c>
      <c r="R23" s="7">
        <v>0.96</v>
      </c>
      <c r="S23" s="10">
        <f t="shared" si="2"/>
        <v>70</v>
      </c>
      <c r="T23" s="10">
        <f t="shared" si="3"/>
        <v>181.8098669</v>
      </c>
      <c r="U23" s="11">
        <f t="shared" si="4"/>
        <v>1.204536103</v>
      </c>
      <c r="V23" s="8">
        <f t="shared" si="21"/>
        <v>27.70433038</v>
      </c>
      <c r="W23" s="12">
        <f t="shared" si="5"/>
        <v>1.75</v>
      </c>
      <c r="X23" s="12">
        <f t="shared" si="6"/>
        <v>76.18690854</v>
      </c>
      <c r="Y23" s="12">
        <f t="shared" si="7"/>
        <v>3.312474284</v>
      </c>
      <c r="Z23" s="8">
        <f t="shared" si="19"/>
        <v>26.61832063</v>
      </c>
      <c r="AA23" s="8">
        <f t="shared" si="20"/>
        <v>25</v>
      </c>
      <c r="AB23" s="13">
        <f t="shared" si="9"/>
        <v>0.3571428571</v>
      </c>
      <c r="AC23" s="13">
        <f t="shared" si="10"/>
        <v>0.9392027525</v>
      </c>
      <c r="AD23" s="13">
        <f>AA23/vlookup(A23,Max!$A$2:$AP$700,column(Max!$AP$2),false)</f>
        <v>0.8620689655</v>
      </c>
      <c r="AE23" s="8">
        <f t="shared" si="11"/>
        <v>22.50444417</v>
      </c>
      <c r="AF23" s="14">
        <f t="shared" si="12"/>
        <v>0.8954760247</v>
      </c>
      <c r="AG23" s="14">
        <f t="shared" si="13"/>
        <v>1.129798576</v>
      </c>
      <c r="AH23" s="14">
        <f t="shared" si="14"/>
        <v>1</v>
      </c>
      <c r="AI23" s="14">
        <f t="shared" si="15"/>
        <v>1.111170765</v>
      </c>
      <c r="AJ23" s="27">
        <f t="shared" si="16"/>
        <v>-1</v>
      </c>
      <c r="AK23" s="15" t="str">
        <f t="shared" si="17"/>
        <v>  @CONFIG[U-2000] {
   %cost = 25
   @cost -= #$../../cost$
  }</v>
      </c>
    </row>
    <row r="24" ht="15.75" customHeight="1">
      <c r="A24" s="7" t="s">
        <v>381</v>
      </c>
      <c r="B24" s="7" t="s">
        <v>382</v>
      </c>
      <c r="C24" s="8">
        <f t="shared" si="1"/>
        <v>270</v>
      </c>
      <c r="D24" s="7">
        <v>1951.0</v>
      </c>
      <c r="E24" s="7"/>
      <c r="F24" s="7" t="b">
        <v>1</v>
      </c>
      <c r="G24" s="7" t="b">
        <v>0</v>
      </c>
      <c r="H24" s="7" t="b">
        <v>0</v>
      </c>
      <c r="I24" s="7" t="b">
        <v>0</v>
      </c>
      <c r="J24" s="9" t="b">
        <v>0</v>
      </c>
      <c r="K24" s="7">
        <v>400.0</v>
      </c>
      <c r="L24" s="7">
        <v>0.0</v>
      </c>
      <c r="M24" s="7">
        <v>670.0</v>
      </c>
      <c r="N24" s="7">
        <v>383.0</v>
      </c>
      <c r="O24" s="7">
        <v>248.0</v>
      </c>
      <c r="P24" s="7">
        <v>2.06</v>
      </c>
      <c r="Q24" s="7">
        <v>0.95</v>
      </c>
      <c r="R24" s="7">
        <v>0.93</v>
      </c>
      <c r="S24" s="10">
        <f t="shared" si="2"/>
        <v>400</v>
      </c>
      <c r="T24" s="10">
        <f t="shared" si="3"/>
        <v>58.29124006</v>
      </c>
      <c r="U24" s="11">
        <f t="shared" si="4"/>
        <v>0.7796310602</v>
      </c>
      <c r="V24" s="8">
        <f t="shared" si="21"/>
        <v>298.5986961</v>
      </c>
      <c r="W24" s="12">
        <f t="shared" si="5"/>
        <v>4</v>
      </c>
      <c r="X24" s="12">
        <f t="shared" si="6"/>
        <v>1492.99348</v>
      </c>
      <c r="Y24" s="12">
        <f t="shared" si="7"/>
        <v>3.898155301</v>
      </c>
      <c r="Z24" s="8">
        <f t="shared" si="19"/>
        <v>269.7839219</v>
      </c>
      <c r="AA24" s="45">
        <v>270.0</v>
      </c>
      <c r="AB24" s="13">
        <f t="shared" si="9"/>
        <v>0.675</v>
      </c>
      <c r="AC24" s="13">
        <f t="shared" si="10"/>
        <v>1.00080093</v>
      </c>
      <c r="AD24" s="13">
        <f>AA24/vlookup(A24,Max!$A$2:$AP$700,column(Max!$AP$2),false)</f>
        <v>1.6875</v>
      </c>
      <c r="AE24" s="8">
        <f t="shared" si="11"/>
        <v>242.7932583</v>
      </c>
      <c r="AF24" s="14">
        <f t="shared" si="12"/>
        <v>0.9019389987</v>
      </c>
      <c r="AG24" s="14">
        <f t="shared" si="13"/>
        <v>1.093057072</v>
      </c>
      <c r="AH24" s="14">
        <f t="shared" si="14"/>
        <v>1</v>
      </c>
      <c r="AI24" s="14">
        <f t="shared" si="15"/>
        <v>1.026384525</v>
      </c>
      <c r="AJ24" s="15">
        <f t="shared" si="16"/>
        <v>0</v>
      </c>
      <c r="AK24" s="15" t="str">
        <f t="shared" si="17"/>
        <v>  @CONFIG[XLR43-NA-1] {
   %cost = 270
   @cost -= #$../../cost$
  }</v>
      </c>
    </row>
    <row r="25" ht="15.75" customHeight="1">
      <c r="A25" s="16" t="s">
        <v>383</v>
      </c>
      <c r="B25" s="16" t="s">
        <v>382</v>
      </c>
      <c r="C25" s="8">
        <f t="shared" si="1"/>
        <v>24</v>
      </c>
      <c r="D25" s="16">
        <v>1952.0</v>
      </c>
      <c r="E25" s="16"/>
      <c r="F25" s="16" t="b">
        <v>1</v>
      </c>
      <c r="G25" s="16" t="b">
        <v>0</v>
      </c>
      <c r="H25" s="16" t="b">
        <v>0</v>
      </c>
      <c r="I25" s="16" t="b">
        <v>0</v>
      </c>
      <c r="J25" s="9" t="b">
        <v>0</v>
      </c>
      <c r="K25" s="16">
        <v>400.0</v>
      </c>
      <c r="L25" s="16">
        <v>0.0</v>
      </c>
      <c r="M25" s="16">
        <v>740.0</v>
      </c>
      <c r="N25" s="16">
        <v>383.0</v>
      </c>
      <c r="O25" s="16">
        <v>248.0</v>
      </c>
      <c r="P25" s="16">
        <v>2.19</v>
      </c>
      <c r="Q25" s="16">
        <v>0.974342</v>
      </c>
      <c r="R25" s="16">
        <v>0.974342</v>
      </c>
      <c r="S25" s="19">
        <f t="shared" si="2"/>
        <v>400</v>
      </c>
      <c r="T25" s="19">
        <f t="shared" si="3"/>
        <v>52.77720384</v>
      </c>
      <c r="U25" s="20">
        <f t="shared" si="4"/>
        <v>0.8320598312</v>
      </c>
      <c r="V25" s="17">
        <f t="shared" si="21"/>
        <v>318.6789153</v>
      </c>
      <c r="W25" s="21">
        <f t="shared" si="5"/>
        <v>4</v>
      </c>
      <c r="X25" s="21">
        <f t="shared" si="6"/>
        <v>1593.394577</v>
      </c>
      <c r="Y25" s="21">
        <f t="shared" si="7"/>
        <v>4.160299156</v>
      </c>
      <c r="Z25" s="8">
        <f t="shared" si="19"/>
        <v>308.9089633</v>
      </c>
      <c r="AA25" s="8">
        <f t="shared" ref="AA25:AA27" si="22">round(AE25*AF25*AG25*AH25*AI25,0)</f>
        <v>294</v>
      </c>
      <c r="AB25" s="13">
        <f t="shared" si="9"/>
        <v>0.735</v>
      </c>
      <c r="AC25" s="13">
        <f t="shared" si="10"/>
        <v>0.9517367087</v>
      </c>
      <c r="AD25" s="13">
        <f>AA25/vlookup(A25,Max!$A$2:$AP$700,column(Max!$AP$2),false)</f>
        <v>1.225</v>
      </c>
      <c r="AE25" s="8">
        <f t="shared" si="11"/>
        <v>258.0848094</v>
      </c>
      <c r="AF25" s="14">
        <f t="shared" si="12"/>
        <v>0.9019389987</v>
      </c>
      <c r="AG25" s="14">
        <f t="shared" si="13"/>
        <v>1.113309479</v>
      </c>
      <c r="AH25" s="14">
        <f t="shared" si="14"/>
        <v>1</v>
      </c>
      <c r="AI25" s="14">
        <f t="shared" si="15"/>
        <v>1.136179541</v>
      </c>
      <c r="AJ25" s="27">
        <f t="shared" si="16"/>
        <v>24</v>
      </c>
      <c r="AK25" s="15" t="str">
        <f t="shared" si="17"/>
        <v>  @CONFIG[A-6] {
   %cost = 294
   @cost -= #$../../cost$
  }</v>
      </c>
    </row>
    <row r="26" ht="15.75" customHeight="1">
      <c r="A26" s="7" t="s">
        <v>523</v>
      </c>
      <c r="B26" s="7" t="s">
        <v>520</v>
      </c>
      <c r="C26" s="8">
        <f t="shared" si="1"/>
        <v>-39</v>
      </c>
      <c r="D26" s="7">
        <v>1952.0</v>
      </c>
      <c r="E26" s="7"/>
      <c r="F26" s="7" t="b">
        <v>1</v>
      </c>
      <c r="G26" s="7" t="b">
        <v>0</v>
      </c>
      <c r="H26" s="7" t="b">
        <v>0</v>
      </c>
      <c r="I26" s="7" t="b">
        <v>0</v>
      </c>
      <c r="J26" s="9" t="b">
        <v>0</v>
      </c>
      <c r="K26" s="7">
        <v>150.0</v>
      </c>
      <c r="L26" s="7">
        <v>300.0</v>
      </c>
      <c r="M26" s="7">
        <v>870.0</v>
      </c>
      <c r="N26" s="7">
        <v>490.33</v>
      </c>
      <c r="O26" s="7">
        <v>248.0</v>
      </c>
      <c r="P26" s="7">
        <v>2.39</v>
      </c>
      <c r="Q26" s="7">
        <v>0.93</v>
      </c>
      <c r="R26" s="7">
        <v>0.91</v>
      </c>
      <c r="S26" s="10">
        <f t="shared" si="2"/>
        <v>450</v>
      </c>
      <c r="T26" s="10">
        <f t="shared" si="3"/>
        <v>57.47097118</v>
      </c>
      <c r="U26" s="11">
        <f t="shared" si="4"/>
        <v>0.7219901042</v>
      </c>
      <c r="V26" s="8">
        <f t="shared" si="21"/>
        <v>354.0134078</v>
      </c>
      <c r="W26" s="12">
        <f t="shared" si="5"/>
        <v>4</v>
      </c>
      <c r="X26" s="12">
        <f t="shared" si="6"/>
        <v>1770.067039</v>
      </c>
      <c r="Y26" s="12">
        <f t="shared" si="7"/>
        <v>3.609950521</v>
      </c>
      <c r="Z26" s="8">
        <f t="shared" si="19"/>
        <v>306.6818152</v>
      </c>
      <c r="AA26" s="8">
        <f t="shared" si="22"/>
        <v>281</v>
      </c>
      <c r="AB26" s="13">
        <f t="shared" si="9"/>
        <v>0.6244444444</v>
      </c>
      <c r="AC26" s="13">
        <f t="shared" si="10"/>
        <v>0.9162590871</v>
      </c>
      <c r="AD26" s="13">
        <f>AA26/vlookup(A26,Max!$A$2:$AP$700,column(Max!$AP$2),false)</f>
        <v>1.338095238</v>
      </c>
      <c r="AE26" s="8">
        <f t="shared" si="11"/>
        <v>285.1097702</v>
      </c>
      <c r="AF26" s="14">
        <f t="shared" si="12"/>
        <v>0.9019389987</v>
      </c>
      <c r="AG26" s="14">
        <f t="shared" si="13"/>
        <v>1.14288371</v>
      </c>
      <c r="AH26" s="14">
        <f t="shared" si="14"/>
        <v>1</v>
      </c>
      <c r="AI26" s="14">
        <f t="shared" si="15"/>
        <v>0.9577935022</v>
      </c>
      <c r="AJ26" s="27">
        <f t="shared" si="16"/>
        <v>-39</v>
      </c>
      <c r="AK26" s="15" t="str">
        <f t="shared" si="17"/>
        <v>  @CONFIG[RD-103] {
   %cost = 281
   @cost -= #$../../cost$
  }</v>
      </c>
    </row>
    <row r="27" ht="15.75" customHeight="1">
      <c r="A27" s="7" t="s">
        <v>730</v>
      </c>
      <c r="B27" s="7" t="s">
        <v>730</v>
      </c>
      <c r="C27" s="8">
        <f t="shared" si="1"/>
        <v>184</v>
      </c>
      <c r="D27" s="7">
        <v>1953.0</v>
      </c>
      <c r="E27" s="7"/>
      <c r="F27" s="7" t="b">
        <v>0</v>
      </c>
      <c r="G27" s="7" t="b">
        <v>0</v>
      </c>
      <c r="H27" s="7" t="b">
        <v>0</v>
      </c>
      <c r="I27" s="7" t="b">
        <v>0</v>
      </c>
      <c r="J27" s="9" t="b">
        <v>0</v>
      </c>
      <c r="K27" s="7">
        <v>150.0</v>
      </c>
      <c r="L27" s="7">
        <v>0.0</v>
      </c>
      <c r="M27" s="7">
        <v>300.0</v>
      </c>
      <c r="N27" s="7">
        <v>94.8</v>
      </c>
      <c r="O27" s="7">
        <v>255.0</v>
      </c>
      <c r="P27" s="7">
        <v>2.5</v>
      </c>
      <c r="Q27" s="7">
        <v>0.994444</v>
      </c>
      <c r="R27" s="7">
        <v>0.994444</v>
      </c>
      <c r="S27" s="10">
        <f t="shared" si="2"/>
        <v>150</v>
      </c>
      <c r="T27" s="10">
        <f t="shared" si="3"/>
        <v>32.22303224</v>
      </c>
      <c r="U27" s="11">
        <f t="shared" si="4"/>
        <v>1.988869726</v>
      </c>
      <c r="V27" s="8">
        <f t="shared" si="21"/>
        <v>188.54485</v>
      </c>
      <c r="W27" s="12">
        <f t="shared" si="5"/>
        <v>1.75</v>
      </c>
      <c r="X27" s="12">
        <f t="shared" si="6"/>
        <v>518.4983376</v>
      </c>
      <c r="Y27" s="12">
        <f t="shared" si="7"/>
        <v>5.469391747</v>
      </c>
      <c r="Z27" s="8">
        <f t="shared" si="19"/>
        <v>190.2264569</v>
      </c>
      <c r="AA27" s="8">
        <f t="shared" si="22"/>
        <v>184</v>
      </c>
      <c r="AB27" s="13">
        <f t="shared" si="9"/>
        <v>1.226666667</v>
      </c>
      <c r="AC27" s="13">
        <f t="shared" si="10"/>
        <v>0.9672681866</v>
      </c>
      <c r="AD27" s="13">
        <f>AA27/vlookup(A27,Max!$A$2:$AP$700,column(Max!$AP$2),false)</f>
        <v>2.271604938</v>
      </c>
      <c r="AE27" s="8">
        <f t="shared" si="11"/>
        <v>148.4645917</v>
      </c>
      <c r="AF27" s="14">
        <f t="shared" si="12"/>
        <v>0.909870738</v>
      </c>
      <c r="AG27" s="14">
        <f t="shared" si="13"/>
        <v>1.15841634</v>
      </c>
      <c r="AH27" s="14">
        <f t="shared" si="14"/>
        <v>1</v>
      </c>
      <c r="AI27" s="14">
        <f t="shared" si="15"/>
        <v>1.177157832</v>
      </c>
      <c r="AJ27" s="15">
        <f t="shared" si="16"/>
        <v>0</v>
      </c>
      <c r="AK27" s="15" t="str">
        <f t="shared" si="17"/>
        <v>  @CONFIG[S2.253] {
   %cost = 184
   @cost -= #$../../cost$
  }</v>
      </c>
    </row>
    <row r="28" ht="15.75" customHeight="1">
      <c r="A28" s="16" t="s">
        <v>778</v>
      </c>
      <c r="B28" s="16" t="s">
        <v>778</v>
      </c>
      <c r="C28" s="8">
        <f t="shared" si="1"/>
        <v>135</v>
      </c>
      <c r="D28" s="16">
        <v>1953.0</v>
      </c>
      <c r="E28" s="16"/>
      <c r="F28" s="16" t="b">
        <v>1</v>
      </c>
      <c r="G28" s="16" t="b">
        <v>0</v>
      </c>
      <c r="H28" s="16" t="b">
        <v>0</v>
      </c>
      <c r="I28" s="16" t="b">
        <v>0</v>
      </c>
      <c r="J28" s="9" t="b">
        <v>0</v>
      </c>
      <c r="K28" s="16">
        <v>200.0</v>
      </c>
      <c r="L28" s="16">
        <v>0.0</v>
      </c>
      <c r="M28" s="16">
        <v>339.0</v>
      </c>
      <c r="N28" s="16">
        <v>110.0</v>
      </c>
      <c r="O28" s="16">
        <v>220.0</v>
      </c>
      <c r="P28" s="16">
        <v>3.28</v>
      </c>
      <c r="Q28" s="16">
        <v>0.995</v>
      </c>
      <c r="R28" s="16">
        <v>0.981667</v>
      </c>
      <c r="S28" s="19">
        <f t="shared" si="2"/>
        <v>200</v>
      </c>
      <c r="T28" s="19">
        <f t="shared" si="3"/>
        <v>33.08813661</v>
      </c>
      <c r="U28" s="20">
        <f t="shared" si="4"/>
        <v>1.753447274</v>
      </c>
      <c r="V28" s="17">
        <f t="shared" si="21"/>
        <v>192.8792001</v>
      </c>
      <c r="W28" s="21">
        <f t="shared" si="5"/>
        <v>4</v>
      </c>
      <c r="X28" s="21">
        <f t="shared" si="6"/>
        <v>964.3960007</v>
      </c>
      <c r="Y28" s="21">
        <f t="shared" si="7"/>
        <v>8.76723637</v>
      </c>
      <c r="Z28" s="8">
        <f t="shared" si="19"/>
        <v>192.254014</v>
      </c>
      <c r="AA28" s="45">
        <v>135.0</v>
      </c>
      <c r="AB28" s="13">
        <f t="shared" si="9"/>
        <v>0.675</v>
      </c>
      <c r="AC28" s="13">
        <f t="shared" si="10"/>
        <v>0.7021960019</v>
      </c>
      <c r="AD28" s="13">
        <f>AA28/vlookup(A28,Max!$A$2:$AP$700,column(Max!$AP$2),false)</f>
        <v>2.8125</v>
      </c>
      <c r="AE28" s="8">
        <f t="shared" si="11"/>
        <v>159.9604863</v>
      </c>
      <c r="AF28" s="14">
        <f t="shared" si="12"/>
        <v>0.8812590511</v>
      </c>
      <c r="AG28" s="14">
        <f t="shared" si="13"/>
        <v>1.256738226</v>
      </c>
      <c r="AH28" s="14">
        <f t="shared" si="14"/>
        <v>1</v>
      </c>
      <c r="AI28" s="14">
        <f t="shared" si="15"/>
        <v>1.139709968</v>
      </c>
      <c r="AJ28" s="15">
        <f t="shared" si="16"/>
        <v>0</v>
      </c>
      <c r="AK28" s="15" t="str">
        <f t="shared" si="17"/>
        <v>  @CONFIG[Stentor] {
   %cost = 135
   @cost -= #$../../cost$
  }</v>
      </c>
    </row>
    <row r="29" ht="15.75" customHeight="1">
      <c r="A29" s="16" t="s">
        <v>794</v>
      </c>
      <c r="B29" s="16" t="s">
        <v>793</v>
      </c>
      <c r="C29" s="8">
        <f t="shared" si="1"/>
        <v>10</v>
      </c>
      <c r="D29" s="16">
        <v>1954.0</v>
      </c>
      <c r="E29" s="16"/>
      <c r="F29" s="16" t="b">
        <v>0</v>
      </c>
      <c r="G29" s="16" t="b">
        <v>0</v>
      </c>
      <c r="H29" s="16" t="b">
        <v>0</v>
      </c>
      <c r="I29" s="16" t="b">
        <v>0</v>
      </c>
      <c r="J29" s="9" t="b">
        <v>0</v>
      </c>
      <c r="K29" s="16">
        <v>75.0</v>
      </c>
      <c r="L29" s="16">
        <v>20.0</v>
      </c>
      <c r="M29" s="16">
        <v>150.0</v>
      </c>
      <c r="N29" s="16">
        <v>49.3</v>
      </c>
      <c r="O29" s="16">
        <v>261.0</v>
      </c>
      <c r="P29" s="16">
        <v>1.76</v>
      </c>
      <c r="Q29" s="16">
        <v>0.964286</v>
      </c>
      <c r="R29" s="16">
        <v>0.964286</v>
      </c>
      <c r="S29" s="19">
        <f t="shared" si="2"/>
        <v>95</v>
      </c>
      <c r="T29" s="19">
        <f t="shared" si="3"/>
        <v>33.51467277</v>
      </c>
      <c r="U29" s="20">
        <f t="shared" si="4"/>
        <v>2.469558256</v>
      </c>
      <c r="V29" s="17">
        <f t="shared" si="21"/>
        <v>121.749222</v>
      </c>
      <c r="W29" s="21">
        <f t="shared" si="5"/>
        <v>1.75</v>
      </c>
      <c r="X29" s="21">
        <f t="shared" si="6"/>
        <v>334.8103605</v>
      </c>
      <c r="Y29" s="21">
        <f t="shared" si="7"/>
        <v>6.791285203</v>
      </c>
      <c r="Z29" s="8">
        <f t="shared" si="19"/>
        <v>115.6431929</v>
      </c>
      <c r="AA29" s="45">
        <v>90.0</v>
      </c>
      <c r="AB29" s="13">
        <f t="shared" si="9"/>
        <v>0.9473684211</v>
      </c>
      <c r="AC29" s="13">
        <f t="shared" si="10"/>
        <v>0.7782559244</v>
      </c>
      <c r="AD29" s="13">
        <f>AA29/vlookup(A29,Max!$A$2:$AP$700,column(Max!$AP$2),false)</f>
        <v>4.285714286</v>
      </c>
      <c r="AE29" s="8">
        <f t="shared" si="11"/>
        <v>97.42301249</v>
      </c>
      <c r="AF29" s="14">
        <f t="shared" si="12"/>
        <v>0.9177201729</v>
      </c>
      <c r="AG29" s="14">
        <f t="shared" si="13"/>
        <v>1.042645018</v>
      </c>
      <c r="AH29" s="14">
        <f t="shared" si="14"/>
        <v>1</v>
      </c>
      <c r="AI29" s="14">
        <f t="shared" si="15"/>
        <v>1.072186976</v>
      </c>
      <c r="AJ29" s="27">
        <f t="shared" si="16"/>
        <v>10</v>
      </c>
      <c r="AK29" s="15" t="str">
        <f t="shared" si="17"/>
        <v>  @CONFIG[VeroniqueAGI] {
   %cost = 90
   @cost -= #$../../cost$
  }</v>
      </c>
    </row>
    <row r="30" ht="15.75" customHeight="1">
      <c r="A30" s="7" t="s">
        <v>834</v>
      </c>
      <c r="B30" s="7" t="s">
        <v>835</v>
      </c>
      <c r="C30" s="8">
        <f t="shared" si="1"/>
        <v>200</v>
      </c>
      <c r="D30" s="7">
        <v>1954.0</v>
      </c>
      <c r="E30" s="7"/>
      <c r="F30" s="7" t="b">
        <v>1</v>
      </c>
      <c r="G30" s="7" t="b">
        <v>0</v>
      </c>
      <c r="H30" s="7" t="b">
        <v>1</v>
      </c>
      <c r="I30" s="7" t="b">
        <v>1</v>
      </c>
      <c r="J30" s="9" t="b">
        <v>0</v>
      </c>
      <c r="K30" s="7">
        <v>450.0</v>
      </c>
      <c r="L30" s="7">
        <v>0.0</v>
      </c>
      <c r="M30" s="7">
        <v>157.0</v>
      </c>
      <c r="N30" s="7">
        <v>66.72</v>
      </c>
      <c r="O30" s="7">
        <v>225.0</v>
      </c>
      <c r="P30" s="7">
        <v>1.52</v>
      </c>
      <c r="Q30" s="7">
        <v>0.986364</v>
      </c>
      <c r="R30" s="7">
        <v>0.986364</v>
      </c>
      <c r="S30" s="10">
        <f t="shared" si="2"/>
        <v>450</v>
      </c>
      <c r="T30" s="10">
        <f t="shared" si="3"/>
        <v>43.33469142</v>
      </c>
      <c r="U30" s="11">
        <f t="shared" si="4"/>
        <v>1.714543179</v>
      </c>
      <c r="V30" s="8">
        <f t="shared" si="21"/>
        <v>114.3943209</v>
      </c>
      <c r="W30" s="12">
        <f t="shared" si="5"/>
        <v>4</v>
      </c>
      <c r="X30" s="12">
        <f t="shared" si="6"/>
        <v>571.9716045</v>
      </c>
      <c r="Y30" s="12">
        <f t="shared" si="7"/>
        <v>8.572715895</v>
      </c>
      <c r="Z30" s="8">
        <f t="shared" si="19"/>
        <v>170.3755739</v>
      </c>
      <c r="AA30" s="45">
        <v>200.0</v>
      </c>
      <c r="AB30" s="13">
        <f t="shared" si="9"/>
        <v>0.4444444444</v>
      </c>
      <c r="AC30" s="13">
        <f t="shared" si="10"/>
        <v>1.17387719</v>
      </c>
      <c r="AD30" s="13">
        <f>AA30/vlookup(A30,Max!$A$2:$AP$700,column(Max!$AP$2),false)</f>
        <v>1.333333333</v>
      </c>
      <c r="AE30" s="8">
        <f t="shared" si="11"/>
        <v>100.1523894</v>
      </c>
      <c r="AF30" s="14">
        <f t="shared" si="12"/>
        <v>0.8838083295</v>
      </c>
      <c r="AG30" s="14">
        <f t="shared" si="13"/>
        <v>0.9983361824</v>
      </c>
      <c r="AH30" s="14">
        <f t="shared" si="14"/>
        <v>1.5</v>
      </c>
      <c r="AI30" s="14">
        <f t="shared" si="15"/>
        <v>1.096331619</v>
      </c>
      <c r="AJ30" s="15">
        <f t="shared" si="16"/>
        <v>0</v>
      </c>
      <c r="AK30" s="15" t="str">
        <f t="shared" si="17"/>
        <v>  @CONFIG[XLR25-CW-1] {
   %cost = 200
   @cost -= #$../../cost$
  }</v>
      </c>
    </row>
    <row r="31" ht="15.75" customHeight="1">
      <c r="A31" s="16" t="s">
        <v>329</v>
      </c>
      <c r="B31" s="16" t="s">
        <v>330</v>
      </c>
      <c r="C31" s="8">
        <f t="shared" si="1"/>
        <v>248</v>
      </c>
      <c r="D31" s="16">
        <v>1955.0</v>
      </c>
      <c r="E31" s="16"/>
      <c r="F31" s="16" t="b">
        <v>1</v>
      </c>
      <c r="G31" s="16" t="b">
        <v>0</v>
      </c>
      <c r="H31" s="16" t="b">
        <v>0</v>
      </c>
      <c r="I31" s="16" t="b">
        <v>0</v>
      </c>
      <c r="J31" s="9" t="b">
        <v>0</v>
      </c>
      <c r="K31" s="16">
        <v>300.0</v>
      </c>
      <c r="L31" s="16">
        <v>-50.0</v>
      </c>
      <c r="M31" s="16">
        <v>489.0</v>
      </c>
      <c r="N31" s="16">
        <v>617.4</v>
      </c>
      <c r="O31" s="16">
        <v>265.0</v>
      </c>
      <c r="P31" s="16">
        <v>3.61</v>
      </c>
      <c r="Q31" s="16">
        <v>0.958696</v>
      </c>
      <c r="R31" s="16">
        <v>0.958696</v>
      </c>
      <c r="S31" s="19">
        <f t="shared" si="2"/>
        <v>250</v>
      </c>
      <c r="T31" s="19">
        <f t="shared" si="3"/>
        <v>128.7469914</v>
      </c>
      <c r="U31" s="20">
        <f t="shared" si="4"/>
        <v>0.4322387201</v>
      </c>
      <c r="V31" s="17">
        <f t="shared" si="21"/>
        <v>266.8641858</v>
      </c>
      <c r="W31" s="21">
        <f t="shared" si="5"/>
        <v>4</v>
      </c>
      <c r="X31" s="21">
        <f t="shared" si="6"/>
        <v>1334.320929</v>
      </c>
      <c r="Y31" s="21">
        <f t="shared" si="7"/>
        <v>2.1611936</v>
      </c>
      <c r="Z31" s="8">
        <f t="shared" si="19"/>
        <v>250.6116286</v>
      </c>
      <c r="AA31" s="8">
        <f t="shared" ref="AA31:AA34" si="23">round(AE31*AF31*AG31*AH31*AI31,0)</f>
        <v>248</v>
      </c>
      <c r="AB31" s="13">
        <f t="shared" si="9"/>
        <v>0.992</v>
      </c>
      <c r="AC31" s="13">
        <f t="shared" si="10"/>
        <v>0.9895789808</v>
      </c>
      <c r="AD31" s="13">
        <f>AA31/vlookup(A31,Max!$A$2:$AP$700,column(Max!$AP$2),false)</f>
        <v>1.033333333</v>
      </c>
      <c r="AE31" s="8">
        <f t="shared" si="11"/>
        <v>200.1372924</v>
      </c>
      <c r="AF31" s="14">
        <f t="shared" si="12"/>
        <v>0.9235379953</v>
      </c>
      <c r="AG31" s="14">
        <f t="shared" si="13"/>
        <v>1.293405885</v>
      </c>
      <c r="AH31" s="14">
        <f t="shared" si="14"/>
        <v>1</v>
      </c>
      <c r="AI31" s="14">
        <f t="shared" si="15"/>
        <v>1.038708573</v>
      </c>
      <c r="AJ31" s="15">
        <f t="shared" si="16"/>
        <v>0</v>
      </c>
      <c r="AK31" s="15" t="str">
        <f t="shared" si="17"/>
        <v>  @CONFIG[XLR43-NA-3] {
   %cost = 248
   @cost -= #$../../cost$
  }</v>
      </c>
    </row>
    <row r="32" ht="15.75" customHeight="1">
      <c r="A32" s="16" t="s">
        <v>384</v>
      </c>
      <c r="B32" s="16" t="s">
        <v>382</v>
      </c>
      <c r="C32" s="8">
        <f t="shared" si="1"/>
        <v>12</v>
      </c>
      <c r="D32" s="16">
        <v>1956.0</v>
      </c>
      <c r="E32" s="16"/>
      <c r="F32" s="16" t="b">
        <v>1</v>
      </c>
      <c r="G32" s="16" t="b">
        <v>0</v>
      </c>
      <c r="H32" s="16" t="b">
        <v>0</v>
      </c>
      <c r="I32" s="16" t="b">
        <v>0</v>
      </c>
      <c r="J32" s="9" t="b">
        <v>0</v>
      </c>
      <c r="K32" s="16">
        <v>400.0</v>
      </c>
      <c r="L32" s="16">
        <v>200.0</v>
      </c>
      <c r="M32" s="16">
        <v>740.0</v>
      </c>
      <c r="N32" s="16">
        <v>409.36</v>
      </c>
      <c r="O32" s="16">
        <v>265.0</v>
      </c>
      <c r="P32" s="16">
        <v>2.19</v>
      </c>
      <c r="Q32" s="16">
        <v>0.974342</v>
      </c>
      <c r="R32" s="16">
        <v>0.974342</v>
      </c>
      <c r="S32" s="19">
        <f t="shared" si="2"/>
        <v>600</v>
      </c>
      <c r="T32" s="19">
        <f t="shared" si="3"/>
        <v>56.40959834</v>
      </c>
      <c r="U32" s="20">
        <f t="shared" si="4"/>
        <v>0.8069965879</v>
      </c>
      <c r="V32" s="17">
        <f t="shared" si="21"/>
        <v>330.3521232</v>
      </c>
      <c r="W32" s="21">
        <f t="shared" si="5"/>
        <v>4</v>
      </c>
      <c r="X32" s="21">
        <f t="shared" si="6"/>
        <v>1651.760616</v>
      </c>
      <c r="Y32" s="21">
        <f t="shared" si="7"/>
        <v>4.03498294</v>
      </c>
      <c r="Z32" s="8">
        <f t="shared" si="19"/>
        <v>320.2242978</v>
      </c>
      <c r="AA32" s="8">
        <f t="shared" si="23"/>
        <v>282</v>
      </c>
      <c r="AB32" s="13">
        <f t="shared" si="9"/>
        <v>0.47</v>
      </c>
      <c r="AC32" s="13">
        <f t="shared" si="10"/>
        <v>0.8806327375</v>
      </c>
      <c r="AD32" s="13">
        <f>AA32/vlookup(A32,Max!$A$2:$AP$700,column(Max!$AP$2),false)</f>
        <v>1.175</v>
      </c>
      <c r="AE32" s="8">
        <f t="shared" si="11"/>
        <v>258.0848094</v>
      </c>
      <c r="AF32" s="14">
        <f t="shared" si="12"/>
        <v>0.9235379953</v>
      </c>
      <c r="AG32" s="14">
        <f t="shared" si="13"/>
        <v>1.113309479</v>
      </c>
      <c r="AH32" s="14">
        <f t="shared" si="14"/>
        <v>1</v>
      </c>
      <c r="AI32" s="14">
        <f t="shared" si="15"/>
        <v>1.062371236</v>
      </c>
      <c r="AJ32" s="27">
        <f t="shared" si="16"/>
        <v>12</v>
      </c>
      <c r="AK32" s="15" t="str">
        <f t="shared" si="17"/>
        <v>  @CONFIG[A-6H] {
   %cost = 282
   @cost -= #$../../cost$
  }</v>
      </c>
    </row>
    <row r="33" ht="15.75" customHeight="1">
      <c r="A33" s="7" t="s">
        <v>385</v>
      </c>
      <c r="B33" s="7" t="s">
        <v>382</v>
      </c>
      <c r="C33" s="8">
        <f t="shared" si="1"/>
        <v>6</v>
      </c>
      <c r="D33" s="7">
        <v>1956.0</v>
      </c>
      <c r="E33" s="7"/>
      <c r="F33" s="7" t="b">
        <v>1</v>
      </c>
      <c r="G33" s="7" t="b">
        <v>0</v>
      </c>
      <c r="H33" s="7" t="b">
        <v>0</v>
      </c>
      <c r="I33" s="7" t="b">
        <v>0</v>
      </c>
      <c r="J33" s="9" t="b">
        <v>0</v>
      </c>
      <c r="K33" s="7">
        <v>400.0</v>
      </c>
      <c r="L33" s="7">
        <v>50.0</v>
      </c>
      <c r="M33" s="7">
        <v>740.0</v>
      </c>
      <c r="N33" s="7">
        <v>395.5</v>
      </c>
      <c r="O33" s="7">
        <v>249.0</v>
      </c>
      <c r="P33" s="7">
        <v>2.19</v>
      </c>
      <c r="Q33" s="7">
        <v>0.974342</v>
      </c>
      <c r="R33" s="7">
        <v>0.974342</v>
      </c>
      <c r="S33" s="10">
        <f t="shared" si="2"/>
        <v>450</v>
      </c>
      <c r="T33" s="10">
        <f t="shared" si="3"/>
        <v>54.49969744</v>
      </c>
      <c r="U33" s="11">
        <f t="shared" si="4"/>
        <v>0.8075181084</v>
      </c>
      <c r="V33" s="8">
        <f t="shared" si="21"/>
        <v>319.3734119</v>
      </c>
      <c r="W33" s="12">
        <f t="shared" si="5"/>
        <v>4</v>
      </c>
      <c r="X33" s="12">
        <f t="shared" si="6"/>
        <v>1596.867059</v>
      </c>
      <c r="Y33" s="12">
        <f t="shared" si="7"/>
        <v>4.037590542</v>
      </c>
      <c r="Z33" s="8">
        <f t="shared" si="19"/>
        <v>309.5821682</v>
      </c>
      <c r="AA33" s="8">
        <f t="shared" si="23"/>
        <v>276</v>
      </c>
      <c r="AB33" s="13">
        <f t="shared" si="9"/>
        <v>0.6133333333</v>
      </c>
      <c r="AC33" s="13">
        <f t="shared" si="10"/>
        <v>0.8915242168</v>
      </c>
      <c r="AD33" s="13">
        <f>AA33/vlookup(A33,Max!$A$2:$AP$700,column(Max!$AP$2),false)</f>
        <v>1.452631579</v>
      </c>
      <c r="AE33" s="8">
        <f t="shared" si="11"/>
        <v>258.0848094</v>
      </c>
      <c r="AF33" s="14">
        <f t="shared" si="12"/>
        <v>0.9029957385</v>
      </c>
      <c r="AG33" s="14">
        <f t="shared" si="13"/>
        <v>1.113309479</v>
      </c>
      <c r="AH33" s="14">
        <f t="shared" si="14"/>
        <v>1</v>
      </c>
      <c r="AI33" s="14">
        <f t="shared" si="15"/>
        <v>1.062371236</v>
      </c>
      <c r="AJ33" s="27">
        <f t="shared" si="16"/>
        <v>6</v>
      </c>
      <c r="AK33" s="15" t="str">
        <f t="shared" si="17"/>
        <v>  @CONFIG[A-7] {
   %cost = 276
   @cost -= #$../../cost$
  }</v>
      </c>
    </row>
    <row r="34" ht="15.75" customHeight="1">
      <c r="A34" s="16" t="s">
        <v>82</v>
      </c>
      <c r="B34" s="16" t="s">
        <v>83</v>
      </c>
      <c r="C34" s="8">
        <f t="shared" si="1"/>
        <v>52</v>
      </c>
      <c r="D34" s="16">
        <v>1956.0</v>
      </c>
      <c r="E34" s="16"/>
      <c r="F34" s="16" t="b">
        <v>0</v>
      </c>
      <c r="G34" s="16" t="b">
        <v>0</v>
      </c>
      <c r="H34" s="16" t="b">
        <v>1</v>
      </c>
      <c r="I34" s="16" t="b">
        <v>0</v>
      </c>
      <c r="J34" s="9" t="b">
        <v>0</v>
      </c>
      <c r="K34" s="16">
        <v>100.0</v>
      </c>
      <c r="L34" s="16">
        <v>0.0</v>
      </c>
      <c r="M34" s="16">
        <v>84.0</v>
      </c>
      <c r="N34" s="16">
        <v>33.8</v>
      </c>
      <c r="O34" s="16">
        <v>271.0</v>
      </c>
      <c r="P34" s="16">
        <v>1.4</v>
      </c>
      <c r="Q34" s="16">
        <v>0.965</v>
      </c>
      <c r="R34" s="16">
        <v>0.916667</v>
      </c>
      <c r="S34" s="19">
        <f t="shared" si="2"/>
        <v>100</v>
      </c>
      <c r="T34" s="19">
        <f t="shared" si="3"/>
        <v>41.03143797</v>
      </c>
      <c r="U34" s="20">
        <f t="shared" si="4"/>
        <v>2.536082678</v>
      </c>
      <c r="V34" s="17">
        <f t="shared" si="21"/>
        <v>85.71959452</v>
      </c>
      <c r="W34" s="21">
        <f t="shared" si="5"/>
        <v>1.75</v>
      </c>
      <c r="X34" s="21">
        <f t="shared" si="6"/>
        <v>235.7288849</v>
      </c>
      <c r="Y34" s="21">
        <f t="shared" si="7"/>
        <v>6.974227364</v>
      </c>
      <c r="Z34" s="8">
        <f t="shared" si="19"/>
        <v>77.54054411</v>
      </c>
      <c r="AA34" s="8">
        <f t="shared" si="23"/>
        <v>52</v>
      </c>
      <c r="AB34" s="13">
        <f t="shared" si="9"/>
        <v>0.52</v>
      </c>
      <c r="AC34" s="13">
        <f t="shared" si="10"/>
        <v>0.6706169088</v>
      </c>
      <c r="AD34" s="13">
        <f>AA34/vlookup(A34,Max!$A$2:$AP$700,column(Max!$AP$2),false)</f>
        <v>2.6</v>
      </c>
      <c r="AE34" s="8">
        <f t="shared" si="11"/>
        <v>68.64709743</v>
      </c>
      <c r="AF34" s="14">
        <f t="shared" si="12"/>
        <v>0.9332155495</v>
      </c>
      <c r="AG34" s="14">
        <f t="shared" si="13"/>
        <v>0.9800332539</v>
      </c>
      <c r="AH34" s="14">
        <f t="shared" si="14"/>
        <v>1</v>
      </c>
      <c r="AI34" s="14">
        <f t="shared" si="15"/>
        <v>0.8343437562</v>
      </c>
      <c r="AJ34" s="15">
        <f t="shared" si="16"/>
        <v>0</v>
      </c>
      <c r="AK34" s="15" t="str">
        <f t="shared" si="17"/>
        <v>  @CONFIG[AJ10-37] {
   %cost = 52
   @cost -= #$../../cost$
  }</v>
      </c>
    </row>
    <row r="35" ht="15.75" customHeight="1">
      <c r="A35" s="16" t="s">
        <v>150</v>
      </c>
      <c r="B35" s="16" t="s">
        <v>151</v>
      </c>
      <c r="C35" s="8">
        <f t="shared" si="1"/>
        <v>108</v>
      </c>
      <c r="D35" s="16">
        <v>1956.0</v>
      </c>
      <c r="E35" s="16"/>
      <c r="F35" s="16" t="b">
        <v>1</v>
      </c>
      <c r="G35" s="16" t="b">
        <v>0</v>
      </c>
      <c r="H35" s="16" t="b">
        <v>0</v>
      </c>
      <c r="I35" s="16" t="b">
        <v>0</v>
      </c>
      <c r="J35" s="9" t="b">
        <v>0</v>
      </c>
      <c r="K35" s="16">
        <v>56.0</v>
      </c>
      <c r="L35" s="16">
        <v>0.0</v>
      </c>
      <c r="M35" s="16">
        <v>204.0</v>
      </c>
      <c r="N35" s="16">
        <v>84.3</v>
      </c>
      <c r="O35" s="16">
        <v>226.9</v>
      </c>
      <c r="P35" s="16">
        <v>3.28</v>
      </c>
      <c r="Q35" s="16">
        <v>0.995</v>
      </c>
      <c r="R35" s="16">
        <v>0.981667</v>
      </c>
      <c r="S35" s="19">
        <f t="shared" si="2"/>
        <v>56</v>
      </c>
      <c r="T35" s="19">
        <f t="shared" si="3"/>
        <v>42.1382728</v>
      </c>
      <c r="U35" s="20">
        <f t="shared" si="4"/>
        <v>1.28113879</v>
      </c>
      <c r="V35" s="17">
        <v>108.0</v>
      </c>
      <c r="W35" s="21">
        <f t="shared" si="5"/>
        <v>4</v>
      </c>
      <c r="X35" s="21">
        <f t="shared" si="6"/>
        <v>540</v>
      </c>
      <c r="Y35" s="21">
        <f t="shared" si="7"/>
        <v>6.40569395</v>
      </c>
      <c r="Z35" s="8">
        <f t="shared" si="19"/>
        <v>107.6499358</v>
      </c>
      <c r="AA35" s="45">
        <v>108.0</v>
      </c>
      <c r="AB35" s="13">
        <f t="shared" si="9"/>
        <v>1.928571429</v>
      </c>
      <c r="AC35" s="13">
        <f t="shared" si="10"/>
        <v>1.003251875</v>
      </c>
      <c r="AD35" s="13">
        <f>AA35/vlookup(A35,Max!$A$2:$AP$700,column(Max!$AP$2),false)</f>
        <v>1.862068966</v>
      </c>
      <c r="AE35" s="8">
        <f t="shared" si="11"/>
        <v>117.3998093</v>
      </c>
      <c r="AF35" s="14">
        <f t="shared" si="12"/>
        <v>0.8848969049</v>
      </c>
      <c r="AG35" s="14">
        <f t="shared" si="13"/>
        <v>1.256738226</v>
      </c>
      <c r="AH35" s="14">
        <f t="shared" si="14"/>
        <v>1</v>
      </c>
      <c r="AI35" s="14">
        <f t="shared" si="15"/>
        <v>1.082450945</v>
      </c>
      <c r="AJ35" s="15">
        <f t="shared" si="16"/>
        <v>0</v>
      </c>
      <c r="AK35" s="15" t="str">
        <f t="shared" si="17"/>
        <v>  @CONFIG[Gamma-201] {
   %cost = 108
   @cost -= #$../../cost$
  }</v>
      </c>
    </row>
    <row r="36" ht="15.75" customHeight="1">
      <c r="A36" s="7" t="s">
        <v>261</v>
      </c>
      <c r="B36" s="7" t="s">
        <v>262</v>
      </c>
      <c r="C36" s="8">
        <f t="shared" si="1"/>
        <v>38</v>
      </c>
      <c r="D36" s="7">
        <v>1956.0</v>
      </c>
      <c r="E36" s="7"/>
      <c r="F36" s="7" t="b">
        <v>1</v>
      </c>
      <c r="G36" s="7" t="b">
        <v>0</v>
      </c>
      <c r="H36" s="7" t="b">
        <v>0</v>
      </c>
      <c r="I36" s="7" t="b">
        <v>0</v>
      </c>
      <c r="J36" s="9" t="b">
        <v>0</v>
      </c>
      <c r="K36" s="7">
        <v>15.0</v>
      </c>
      <c r="L36" s="7">
        <v>0.0</v>
      </c>
      <c r="M36" s="7">
        <v>24.0</v>
      </c>
      <c r="N36" s="7">
        <v>5.114</v>
      </c>
      <c r="O36" s="7">
        <v>238.0</v>
      </c>
      <c r="P36" s="7">
        <v>2.48</v>
      </c>
      <c r="Q36" s="7">
        <v>0.995</v>
      </c>
      <c r="R36" s="7">
        <v>0.998</v>
      </c>
      <c r="S36" s="10">
        <f t="shared" si="2"/>
        <v>15</v>
      </c>
      <c r="T36" s="10">
        <f t="shared" si="3"/>
        <v>21.72845291</v>
      </c>
      <c r="U36" s="11">
        <f t="shared" si="4"/>
        <v>7.8380552</v>
      </c>
      <c r="V36" s="8">
        <f t="shared" ref="V36:V47" si="24">0.2*(8.17*POWER(M36*P36,0.46))+0.8*(0.146*POWER(M36*O36,0.639))</f>
        <v>40.08381429</v>
      </c>
      <c r="W36" s="12">
        <f t="shared" si="5"/>
        <v>4</v>
      </c>
      <c r="X36" s="12">
        <f t="shared" si="6"/>
        <v>200.4190715</v>
      </c>
      <c r="Y36" s="12">
        <f t="shared" si="7"/>
        <v>39.190276</v>
      </c>
      <c r="Z36" s="8">
        <f t="shared" si="19"/>
        <v>40.60530472</v>
      </c>
      <c r="AA36" s="8">
        <f t="shared" ref="AA36:AA45" si="25">round(AE36*AF36*AG36*AH36*AI36,0)</f>
        <v>38</v>
      </c>
      <c r="AB36" s="13">
        <f t="shared" si="9"/>
        <v>2.533333333</v>
      </c>
      <c r="AC36" s="13">
        <f t="shared" si="10"/>
        <v>0.9358383163</v>
      </c>
      <c r="AD36" s="13">
        <f>AA36/vlookup(A36,Max!$A$2:$AP$700,column(Max!$AP$2),false)</f>
        <v>2.451612903</v>
      </c>
      <c r="AE36" s="8">
        <f t="shared" si="11"/>
        <v>32.47326914</v>
      </c>
      <c r="AF36" s="14">
        <f t="shared" si="12"/>
        <v>0.892669057</v>
      </c>
      <c r="AG36" s="14">
        <f t="shared" si="13"/>
        <v>1.155628321</v>
      </c>
      <c r="AH36" s="14">
        <f t="shared" si="14"/>
        <v>1</v>
      </c>
      <c r="AI36" s="14">
        <f t="shared" si="15"/>
        <v>1.128038955</v>
      </c>
      <c r="AJ36" s="15">
        <f t="shared" si="16"/>
        <v>0</v>
      </c>
      <c r="AK36" s="15" t="str">
        <f t="shared" si="17"/>
        <v>  @CONFIG[LR101-NA-3] {
   %cost = 38
   @cost -= #$../../cost$
  }</v>
      </c>
    </row>
    <row r="37" ht="15.75" customHeight="1">
      <c r="A37" s="7" t="s">
        <v>331</v>
      </c>
      <c r="B37" s="7" t="s">
        <v>330</v>
      </c>
      <c r="C37" s="8">
        <f t="shared" si="1"/>
        <v>121</v>
      </c>
      <c r="D37" s="7">
        <v>1956.0</v>
      </c>
      <c r="E37" s="7"/>
      <c r="F37" s="7" t="b">
        <v>1</v>
      </c>
      <c r="G37" s="7" t="b">
        <v>0</v>
      </c>
      <c r="H37" s="7" t="b">
        <v>0</v>
      </c>
      <c r="I37" s="7" t="b">
        <v>0</v>
      </c>
      <c r="J37" s="9" t="b">
        <v>0</v>
      </c>
      <c r="K37" s="7">
        <v>300.0</v>
      </c>
      <c r="L37" s="7">
        <v>0.0</v>
      </c>
      <c r="M37" s="35">
        <f>720+150</f>
        <v>870</v>
      </c>
      <c r="N37" s="7">
        <v>756.8</v>
      </c>
      <c r="O37" s="7">
        <v>278.0</v>
      </c>
      <c r="P37" s="7">
        <v>3.92</v>
      </c>
      <c r="Q37" s="7">
        <v>0.962766</v>
      </c>
      <c r="R37" s="7">
        <v>0.962766</v>
      </c>
      <c r="S37" s="10">
        <f t="shared" si="2"/>
        <v>300</v>
      </c>
      <c r="T37" s="10">
        <f t="shared" si="3"/>
        <v>88.70358939</v>
      </c>
      <c r="U37" s="11">
        <f t="shared" si="4"/>
        <v>0.5162336787</v>
      </c>
      <c r="V37" s="8">
        <f t="shared" si="24"/>
        <v>390.685648</v>
      </c>
      <c r="W37" s="12">
        <f t="shared" si="5"/>
        <v>4</v>
      </c>
      <c r="X37" s="12">
        <f t="shared" si="6"/>
        <v>1953.42824</v>
      </c>
      <c r="Y37" s="12">
        <f t="shared" si="7"/>
        <v>2.581168393</v>
      </c>
      <c r="Z37" s="8">
        <f t="shared" si="19"/>
        <v>369.9474173</v>
      </c>
      <c r="AA37" s="8">
        <f t="shared" si="25"/>
        <v>369</v>
      </c>
      <c r="AB37" s="13">
        <f t="shared" si="9"/>
        <v>1.23</v>
      </c>
      <c r="AC37" s="13">
        <f t="shared" si="10"/>
        <v>0.9974390488</v>
      </c>
      <c r="AD37" s="13">
        <f>AA37/vlookup(A37,Max!$A$2:$AP$700,column(Max!$AP$2),false)</f>
        <v>0.8581395349</v>
      </c>
      <c r="AE37" s="8">
        <f t="shared" si="11"/>
        <v>285.1097702</v>
      </c>
      <c r="AF37" s="14">
        <f t="shared" si="12"/>
        <v>0.9460824974</v>
      </c>
      <c r="AG37" s="14">
        <f t="shared" si="13"/>
        <v>1.325770931</v>
      </c>
      <c r="AH37" s="14">
        <f t="shared" si="14"/>
        <v>1</v>
      </c>
      <c r="AI37" s="14">
        <f t="shared" si="15"/>
        <v>1.031097197</v>
      </c>
      <c r="AJ37" s="27">
        <f t="shared" si="16"/>
        <v>121</v>
      </c>
      <c r="AK37" s="15" t="str">
        <f t="shared" si="17"/>
        <v>  @CONFIG[LR43-NA-3] {
   %cost = 369
   @cost -= #$../../cost$
  }</v>
      </c>
    </row>
    <row r="38" ht="15.75" customHeight="1">
      <c r="A38" s="16" t="s">
        <v>265</v>
      </c>
      <c r="B38" s="16" t="s">
        <v>266</v>
      </c>
      <c r="C38" s="8">
        <f t="shared" si="1"/>
        <v>276</v>
      </c>
      <c r="D38" s="16">
        <v>1956.0</v>
      </c>
      <c r="E38" s="16"/>
      <c r="F38" s="16" t="b">
        <v>1</v>
      </c>
      <c r="G38" s="16" t="b">
        <v>0</v>
      </c>
      <c r="H38" s="16" t="b">
        <v>0</v>
      </c>
      <c r="I38" s="16" t="b">
        <v>0</v>
      </c>
      <c r="J38" s="9" t="b">
        <v>0</v>
      </c>
      <c r="K38" s="16">
        <v>275.0</v>
      </c>
      <c r="L38" s="16">
        <v>0.0</v>
      </c>
      <c r="M38" s="16">
        <v>460.0</v>
      </c>
      <c r="N38" s="16">
        <v>240.2</v>
      </c>
      <c r="O38" s="16">
        <v>301.0</v>
      </c>
      <c r="P38" s="16">
        <v>4.52</v>
      </c>
      <c r="Q38" s="16">
        <v>0.962766</v>
      </c>
      <c r="R38" s="16">
        <v>0.962766</v>
      </c>
      <c r="S38" s="19">
        <f t="shared" si="2"/>
        <v>275</v>
      </c>
      <c r="T38" s="19">
        <f t="shared" si="3"/>
        <v>53.24692036</v>
      </c>
      <c r="U38" s="20">
        <f t="shared" si="4"/>
        <v>1.16645544</v>
      </c>
      <c r="V38" s="17">
        <f t="shared" si="24"/>
        <v>280.1825966</v>
      </c>
      <c r="W38" s="21">
        <f t="shared" si="5"/>
        <v>4</v>
      </c>
      <c r="X38" s="21">
        <f t="shared" si="6"/>
        <v>1400.912983</v>
      </c>
      <c r="Y38" s="21">
        <f t="shared" si="7"/>
        <v>5.832277199</v>
      </c>
      <c r="Z38" s="8">
        <f t="shared" si="19"/>
        <v>265.3100479</v>
      </c>
      <c r="AA38" s="8">
        <f t="shared" si="25"/>
        <v>276</v>
      </c>
      <c r="AB38" s="13">
        <f t="shared" si="9"/>
        <v>1.003636364</v>
      </c>
      <c r="AC38" s="13">
        <f t="shared" si="10"/>
        <v>1.0402923</v>
      </c>
      <c r="AD38" s="13">
        <f>AA38/vlookup(A38,Max!$A$2:$AP$700,column(Max!$AP$2),false)</f>
        <v>1.623529412</v>
      </c>
      <c r="AE38" s="8">
        <f t="shared" si="11"/>
        <v>192.781727</v>
      </c>
      <c r="AF38" s="14">
        <f t="shared" si="12"/>
        <v>1.003273336</v>
      </c>
      <c r="AG38" s="14">
        <f t="shared" si="13"/>
        <v>1.383643485</v>
      </c>
      <c r="AH38" s="14">
        <f t="shared" si="14"/>
        <v>1</v>
      </c>
      <c r="AI38" s="14">
        <f t="shared" si="15"/>
        <v>1.031097197</v>
      </c>
      <c r="AJ38" s="15">
        <f t="shared" si="16"/>
        <v>0</v>
      </c>
      <c r="AK38" s="15" t="str">
        <f t="shared" si="17"/>
        <v>  @CONFIG[LR43-NA-5] {
   %cost = 276
   @cost -= #$../../cost$
  }</v>
      </c>
    </row>
    <row r="39" ht="15.75" customHeight="1">
      <c r="A39" s="16" t="s">
        <v>524</v>
      </c>
      <c r="B39" s="16" t="s">
        <v>520</v>
      </c>
      <c r="C39" s="8">
        <f t="shared" si="1"/>
        <v>-48</v>
      </c>
      <c r="D39" s="16">
        <v>1956.0</v>
      </c>
      <c r="E39" s="16"/>
      <c r="F39" s="16" t="b">
        <v>1</v>
      </c>
      <c r="G39" s="16" t="b">
        <v>0</v>
      </c>
      <c r="H39" s="16" t="b">
        <v>0</v>
      </c>
      <c r="I39" s="16" t="b">
        <v>0</v>
      </c>
      <c r="J39" s="9" t="b">
        <v>0</v>
      </c>
      <c r="K39" s="16">
        <v>150.0</v>
      </c>
      <c r="L39" s="16">
        <v>350.0</v>
      </c>
      <c r="M39" s="16">
        <v>867.0</v>
      </c>
      <c r="N39" s="16">
        <v>500.14</v>
      </c>
      <c r="O39" s="16">
        <v>248.0</v>
      </c>
      <c r="P39" s="16">
        <v>2.44</v>
      </c>
      <c r="Q39" s="16">
        <v>0.94</v>
      </c>
      <c r="R39" s="16">
        <v>0.92</v>
      </c>
      <c r="S39" s="19">
        <f t="shared" si="2"/>
        <v>500</v>
      </c>
      <c r="T39" s="19">
        <f t="shared" si="3"/>
        <v>58.82362921</v>
      </c>
      <c r="U39" s="20">
        <f t="shared" si="4"/>
        <v>0.707384314</v>
      </c>
      <c r="V39" s="17">
        <f t="shared" si="24"/>
        <v>353.7911908</v>
      </c>
      <c r="W39" s="21">
        <f t="shared" si="5"/>
        <v>4</v>
      </c>
      <c r="X39" s="21">
        <f t="shared" si="6"/>
        <v>1768.955954</v>
      </c>
      <c r="Y39" s="21">
        <f t="shared" si="7"/>
        <v>3.53692157</v>
      </c>
      <c r="Z39" s="8">
        <f t="shared" si="19"/>
        <v>313.0344456</v>
      </c>
      <c r="AA39" s="8">
        <f t="shared" si="25"/>
        <v>272</v>
      </c>
      <c r="AB39" s="13">
        <f t="shared" si="9"/>
        <v>0.544</v>
      </c>
      <c r="AC39" s="13">
        <f t="shared" si="10"/>
        <v>0.8689139607</v>
      </c>
      <c r="AD39" s="13">
        <f>AA39/vlookup(A39,Max!$A$2:$AP$700,column(Max!$AP$2),false)</f>
        <v>1.511111111</v>
      </c>
      <c r="AE39" s="8">
        <f t="shared" si="11"/>
        <v>284.504014</v>
      </c>
      <c r="AF39" s="14">
        <f t="shared" si="12"/>
        <v>0.9019389987</v>
      </c>
      <c r="AG39" s="14">
        <f t="shared" si="13"/>
        <v>1.150004713</v>
      </c>
      <c r="AH39" s="14">
        <f t="shared" si="14"/>
        <v>1</v>
      </c>
      <c r="AI39" s="14">
        <f t="shared" si="15"/>
        <v>0.9203802964</v>
      </c>
      <c r="AJ39" s="27">
        <f t="shared" si="16"/>
        <v>-48</v>
      </c>
      <c r="AK39" s="15" t="str">
        <f t="shared" si="17"/>
        <v>  @CONFIG[RD-103M] {
   %cost = 272
   @cost -= #$../../cost$
  }</v>
      </c>
    </row>
    <row r="40" ht="15.75" customHeight="1">
      <c r="A40" s="7" t="s">
        <v>526</v>
      </c>
      <c r="B40" s="7" t="s">
        <v>1008</v>
      </c>
      <c r="C40" s="8">
        <f t="shared" si="1"/>
        <v>606</v>
      </c>
      <c r="D40" s="7">
        <v>1956.0</v>
      </c>
      <c r="E40" s="7"/>
      <c r="F40" s="7" t="b">
        <v>1</v>
      </c>
      <c r="G40" s="7" t="b">
        <v>0</v>
      </c>
      <c r="H40" s="7" t="b">
        <v>0</v>
      </c>
      <c r="I40" s="7" t="b">
        <v>0</v>
      </c>
      <c r="J40" s="9" t="b">
        <v>0</v>
      </c>
      <c r="K40" s="7">
        <v>470.0</v>
      </c>
      <c r="L40" s="7">
        <v>30.0</v>
      </c>
      <c r="M40" s="7">
        <v>1190.0</v>
      </c>
      <c r="N40" s="7">
        <v>1000.28</v>
      </c>
      <c r="O40" s="7">
        <v>312.64</v>
      </c>
      <c r="P40" s="7">
        <v>5.84</v>
      </c>
      <c r="Q40" s="7">
        <v>0.982061</v>
      </c>
      <c r="R40" s="7">
        <v>0.982061</v>
      </c>
      <c r="S40" s="10">
        <f t="shared" si="2"/>
        <v>500</v>
      </c>
      <c r="T40" s="10">
        <f t="shared" si="3"/>
        <v>85.71443114</v>
      </c>
      <c r="U40" s="11">
        <f t="shared" si="4"/>
        <v>0.5191682313</v>
      </c>
      <c r="V40" s="8">
        <f t="shared" si="24"/>
        <v>519.3135985</v>
      </c>
      <c r="W40" s="12">
        <f t="shared" si="5"/>
        <v>4</v>
      </c>
      <c r="X40" s="12">
        <f t="shared" si="6"/>
        <v>2596.567992</v>
      </c>
      <c r="Y40" s="12">
        <f t="shared" si="7"/>
        <v>2.595841157</v>
      </c>
      <c r="Z40" s="8">
        <f t="shared" si="19"/>
        <v>511.2350563</v>
      </c>
      <c r="AA40" s="8">
        <f t="shared" si="25"/>
        <v>606</v>
      </c>
      <c r="AB40" s="13">
        <f t="shared" si="9"/>
        <v>1.212</v>
      </c>
      <c r="AC40" s="13">
        <f t="shared" si="10"/>
        <v>1.185364721</v>
      </c>
      <c r="AD40" s="13">
        <f>AA40/vlookup(A40,Max!$A$2:$AP$700,column(Max!$AP$2),false)</f>
        <v>0.9044776119</v>
      </c>
      <c r="AE40" s="8">
        <f t="shared" si="11"/>
        <v>345.8435044</v>
      </c>
      <c r="AF40" s="14">
        <f t="shared" si="12"/>
        <v>1.082432988</v>
      </c>
      <c r="AG40" s="14">
        <f t="shared" si="13"/>
        <v>1.494192411</v>
      </c>
      <c r="AH40" s="14">
        <f t="shared" si="14"/>
        <v>1</v>
      </c>
      <c r="AI40" s="14">
        <f t="shared" si="15"/>
        <v>1.083537398</v>
      </c>
      <c r="AJ40" s="15">
        <f t="shared" si="16"/>
        <v>0</v>
      </c>
      <c r="AK40" s="15" t="str">
        <f t="shared" si="17"/>
        <v>  @CONFIG[RD-107-8D74] {
   %cost = 606
   @cost -= #$../../cost$
  }</v>
      </c>
    </row>
    <row r="41" ht="15.75" customHeight="1">
      <c r="A41" s="7" t="s">
        <v>537</v>
      </c>
      <c r="B41" s="7" t="s">
        <v>1009</v>
      </c>
      <c r="C41" s="8">
        <f t="shared" si="1"/>
        <v>620</v>
      </c>
      <c r="D41" s="7">
        <v>1956.0</v>
      </c>
      <c r="E41" s="7"/>
      <c r="F41" s="7" t="b">
        <v>1</v>
      </c>
      <c r="G41" s="7" t="b">
        <v>0</v>
      </c>
      <c r="H41" s="7" t="b">
        <v>0</v>
      </c>
      <c r="I41" s="7" t="b">
        <v>0</v>
      </c>
      <c r="J41" s="9" t="b">
        <v>0</v>
      </c>
      <c r="K41" s="7">
        <v>450.0</v>
      </c>
      <c r="L41" s="7">
        <v>30.0</v>
      </c>
      <c r="M41" s="7">
        <v>1278.0</v>
      </c>
      <c r="N41" s="7">
        <v>941.44</v>
      </c>
      <c r="O41" s="7">
        <v>314.68</v>
      </c>
      <c r="P41" s="7">
        <v>5.1</v>
      </c>
      <c r="Q41" s="7">
        <v>0.982061</v>
      </c>
      <c r="R41" s="7">
        <v>0.982061</v>
      </c>
      <c r="S41" s="10">
        <f t="shared" si="2"/>
        <v>480</v>
      </c>
      <c r="T41" s="10">
        <f t="shared" si="3"/>
        <v>75.11749834</v>
      </c>
      <c r="U41" s="11">
        <f t="shared" si="4"/>
        <v>0.571616369</v>
      </c>
      <c r="V41" s="8">
        <f t="shared" si="24"/>
        <v>538.1425145</v>
      </c>
      <c r="W41" s="12">
        <f t="shared" si="5"/>
        <v>4</v>
      </c>
      <c r="X41" s="12">
        <f t="shared" si="6"/>
        <v>2690.712572</v>
      </c>
      <c r="Y41" s="12">
        <f t="shared" si="7"/>
        <v>2.858081845</v>
      </c>
      <c r="Z41" s="8">
        <f t="shared" si="19"/>
        <v>529.771066</v>
      </c>
      <c r="AA41" s="8">
        <f t="shared" si="25"/>
        <v>620</v>
      </c>
      <c r="AB41" s="13">
        <f t="shared" si="9"/>
        <v>1.291666667</v>
      </c>
      <c r="AC41" s="13">
        <f t="shared" si="10"/>
        <v>1.17031684</v>
      </c>
      <c r="AD41" s="13">
        <f>AA41/vlookup(A41,Max!$A$2:$AP$700,column(Max!$AP$2),false)</f>
        <v>0.7654320988</v>
      </c>
      <c r="AE41" s="8">
        <f t="shared" si="11"/>
        <v>361.4203818</v>
      </c>
      <c r="AF41" s="14">
        <f t="shared" si="12"/>
        <v>1.104251548</v>
      </c>
      <c r="AG41" s="14">
        <f t="shared" si="13"/>
        <v>1.434675642</v>
      </c>
      <c r="AH41" s="14">
        <f t="shared" si="14"/>
        <v>1</v>
      </c>
      <c r="AI41" s="14">
        <f t="shared" si="15"/>
        <v>1.083537398</v>
      </c>
      <c r="AJ41" s="15">
        <f t="shared" si="16"/>
        <v>0</v>
      </c>
      <c r="AK41" s="15" t="str">
        <f t="shared" si="17"/>
        <v>  @CONFIG[RD-108-8D75] {
   %cost = 620
   @cost -= #$../../cost$
  }</v>
      </c>
    </row>
    <row r="42" ht="15.75" customHeight="1">
      <c r="A42" s="7" t="s">
        <v>572</v>
      </c>
      <c r="B42" s="7" t="s">
        <v>573</v>
      </c>
      <c r="C42" s="8">
        <f t="shared" si="1"/>
        <v>278</v>
      </c>
      <c r="D42" s="7">
        <v>1956.0</v>
      </c>
      <c r="E42" s="7"/>
      <c r="F42" s="7" t="b">
        <v>1</v>
      </c>
      <c r="G42" s="7" t="b">
        <v>0</v>
      </c>
      <c r="H42" s="7" t="b">
        <v>0</v>
      </c>
      <c r="I42" s="7" t="b">
        <v>0</v>
      </c>
      <c r="J42" s="9" t="b">
        <v>0</v>
      </c>
      <c r="K42" s="7">
        <v>200.0</v>
      </c>
      <c r="L42" s="7">
        <v>0.0</v>
      </c>
      <c r="M42" s="7">
        <v>635.0</v>
      </c>
      <c r="N42" s="7">
        <v>642.3</v>
      </c>
      <c r="O42" s="7">
        <v>261.8</v>
      </c>
      <c r="P42" s="7">
        <v>3.923</v>
      </c>
      <c r="Q42" s="7">
        <v>0.94</v>
      </c>
      <c r="R42" s="7">
        <v>0.94</v>
      </c>
      <c r="S42" s="10">
        <f t="shared" si="2"/>
        <v>200</v>
      </c>
      <c r="T42" s="10">
        <f t="shared" si="3"/>
        <v>103.1438932</v>
      </c>
      <c r="U42" s="11">
        <f t="shared" si="4"/>
        <v>0.4871048297</v>
      </c>
      <c r="V42" s="8">
        <f t="shared" si="24"/>
        <v>312.8674321</v>
      </c>
      <c r="W42" s="12">
        <f t="shared" si="5"/>
        <v>4</v>
      </c>
      <c r="X42" s="12">
        <f t="shared" si="6"/>
        <v>1564.337161</v>
      </c>
      <c r="Y42" s="12">
        <f t="shared" si="7"/>
        <v>2.435524148</v>
      </c>
      <c r="Z42" s="8">
        <f t="shared" si="19"/>
        <v>282.7070116</v>
      </c>
      <c r="AA42" s="8">
        <f t="shared" si="25"/>
        <v>278</v>
      </c>
      <c r="AB42" s="13">
        <f t="shared" si="9"/>
        <v>1.39</v>
      </c>
      <c r="AC42" s="13">
        <f t="shared" si="10"/>
        <v>0.9833502126</v>
      </c>
      <c r="AD42" s="13">
        <f>AA42/vlookup(A42,Max!$A$2:$AP$700,column(Max!$AP$2),false)</f>
        <v>1.02962963</v>
      </c>
      <c r="AE42" s="8">
        <f t="shared" si="11"/>
        <v>234.9224069</v>
      </c>
      <c r="AF42" s="14">
        <f t="shared" si="12"/>
        <v>0.9188450391</v>
      </c>
      <c r="AG42" s="14">
        <f t="shared" si="13"/>
        <v>1.326075235</v>
      </c>
      <c r="AH42" s="14">
        <f t="shared" si="14"/>
        <v>1</v>
      </c>
      <c r="AI42" s="14">
        <f t="shared" si="15"/>
        <v>0.971219466</v>
      </c>
      <c r="AJ42" s="15">
        <f t="shared" si="16"/>
        <v>0</v>
      </c>
      <c r="AK42" s="15" t="str">
        <f t="shared" si="17"/>
        <v>  @CONFIG[RD-211-8D57] {
   %cost = 278
   @cost -= #$../../cost$
  }</v>
      </c>
    </row>
    <row r="43" ht="15.75" customHeight="1">
      <c r="A43" s="16" t="s">
        <v>574</v>
      </c>
      <c r="B43" s="16" t="s">
        <v>573</v>
      </c>
      <c r="C43" s="8">
        <f t="shared" si="1"/>
        <v>-30</v>
      </c>
      <c r="D43" s="16">
        <v>1956.0</v>
      </c>
      <c r="E43" s="16"/>
      <c r="F43" s="16" t="b">
        <v>1</v>
      </c>
      <c r="G43" s="16" t="b">
        <v>0</v>
      </c>
      <c r="H43" s="16" t="b">
        <v>0</v>
      </c>
      <c r="I43" s="16" t="b">
        <v>0</v>
      </c>
      <c r="J43" s="9" t="b">
        <v>0</v>
      </c>
      <c r="K43" s="16">
        <v>200.0</v>
      </c>
      <c r="L43" s="16">
        <v>100.0</v>
      </c>
      <c r="M43" s="16">
        <v>642.0</v>
      </c>
      <c r="N43" s="16">
        <v>622.7</v>
      </c>
      <c r="O43" s="16">
        <v>253.0</v>
      </c>
      <c r="P43" s="16">
        <v>3.923</v>
      </c>
      <c r="Q43" s="16">
        <v>0.93</v>
      </c>
      <c r="R43" s="16">
        <v>0.9</v>
      </c>
      <c r="S43" s="19">
        <f t="shared" si="2"/>
        <v>300</v>
      </c>
      <c r="T43" s="19">
        <f t="shared" si="3"/>
        <v>98.906119</v>
      </c>
      <c r="U43" s="20">
        <f t="shared" si="4"/>
        <v>0.4969299537</v>
      </c>
      <c r="V43" s="17">
        <f t="shared" si="24"/>
        <v>309.4382821</v>
      </c>
      <c r="W43" s="21">
        <f t="shared" si="5"/>
        <v>4</v>
      </c>
      <c r="X43" s="21">
        <f t="shared" si="6"/>
        <v>1547.191411</v>
      </c>
      <c r="Y43" s="21">
        <f t="shared" si="7"/>
        <v>2.484649768</v>
      </c>
      <c r="Z43" s="8">
        <f t="shared" si="19"/>
        <v>265.1886078</v>
      </c>
      <c r="AA43" s="8">
        <f t="shared" si="25"/>
        <v>248</v>
      </c>
      <c r="AB43" s="13">
        <f t="shared" si="9"/>
        <v>0.8266666667</v>
      </c>
      <c r="AC43" s="13">
        <f t="shared" si="10"/>
        <v>0.9351834608</v>
      </c>
      <c r="AD43" s="13">
        <f>AA43/vlookup(A43,Max!$A$2:$AP$700,column(Max!$AP$2),false)</f>
        <v>1.24</v>
      </c>
      <c r="AE43" s="8">
        <f t="shared" si="11"/>
        <v>236.5094093</v>
      </c>
      <c r="AF43" s="14">
        <f t="shared" si="12"/>
        <v>0.9074748762</v>
      </c>
      <c r="AG43" s="14">
        <f t="shared" si="13"/>
        <v>1.326075235</v>
      </c>
      <c r="AH43" s="14">
        <f t="shared" si="14"/>
        <v>1</v>
      </c>
      <c r="AI43" s="14">
        <f t="shared" si="15"/>
        <v>0.8711722195</v>
      </c>
      <c r="AJ43" s="27">
        <f t="shared" si="16"/>
        <v>-30</v>
      </c>
      <c r="AK43" s="15" t="str">
        <f t="shared" si="17"/>
        <v>  @CONFIG[RD-212-8D41] {
   %cost = 248
   @cost -= #$../../cost$
  }</v>
      </c>
    </row>
    <row r="44" ht="15.75" customHeight="1">
      <c r="A44" s="16" t="s">
        <v>728</v>
      </c>
      <c r="B44" s="16" t="s">
        <v>729</v>
      </c>
      <c r="C44" s="8">
        <f t="shared" si="1"/>
        <v>138</v>
      </c>
      <c r="D44" s="16">
        <v>1956.0</v>
      </c>
      <c r="E44" s="16"/>
      <c r="F44" s="16" t="b">
        <v>1</v>
      </c>
      <c r="G44" s="16" t="b">
        <v>0</v>
      </c>
      <c r="H44" s="16" t="b">
        <v>1</v>
      </c>
      <c r="I44" s="16" t="b">
        <v>1</v>
      </c>
      <c r="J44" s="9" t="b">
        <v>0</v>
      </c>
      <c r="K44" s="16">
        <v>250.0</v>
      </c>
      <c r="L44" s="16">
        <v>0.0</v>
      </c>
      <c r="M44" s="16">
        <v>100.0</v>
      </c>
      <c r="N44" s="16">
        <v>39.0</v>
      </c>
      <c r="O44" s="16">
        <v>255.0</v>
      </c>
      <c r="P44" s="16">
        <v>6.5</v>
      </c>
      <c r="Q44" s="16">
        <v>0.95625</v>
      </c>
      <c r="R44" s="16">
        <v>0.978571</v>
      </c>
      <c r="S44" s="19">
        <f t="shared" si="2"/>
        <v>250</v>
      </c>
      <c r="T44" s="19">
        <f t="shared" si="3"/>
        <v>39.76893219</v>
      </c>
      <c r="U44" s="20">
        <f t="shared" si="4"/>
        <v>2.78393506</v>
      </c>
      <c r="V44" s="17">
        <f t="shared" si="24"/>
        <v>108.5734673</v>
      </c>
      <c r="W44" s="21">
        <f t="shared" si="5"/>
        <v>4</v>
      </c>
      <c r="X44" s="21">
        <f t="shared" si="6"/>
        <v>542.8673367</v>
      </c>
      <c r="Y44" s="21">
        <f t="shared" si="7"/>
        <v>13.9196753</v>
      </c>
      <c r="Z44" s="8">
        <f t="shared" si="19"/>
        <v>155.6550245</v>
      </c>
      <c r="AA44" s="8">
        <f t="shared" si="25"/>
        <v>138</v>
      </c>
      <c r="AB44" s="13">
        <f t="shared" si="9"/>
        <v>0.552</v>
      </c>
      <c r="AC44" s="13">
        <f t="shared" si="10"/>
        <v>0.8865759423</v>
      </c>
      <c r="AD44" s="13">
        <f>AA44/vlookup(A44,Max!$A$2:$AP$700,column(Max!$AP$2),false)</f>
        <v>0.9857142857</v>
      </c>
      <c r="AE44" s="8">
        <f t="shared" si="11"/>
        <v>76.2501611</v>
      </c>
      <c r="AF44" s="14">
        <f t="shared" si="12"/>
        <v>0.909870738</v>
      </c>
      <c r="AG44" s="14">
        <f t="shared" si="13"/>
        <v>1.384418867</v>
      </c>
      <c r="AH44" s="14">
        <f t="shared" si="14"/>
        <v>1.5</v>
      </c>
      <c r="AI44" s="14">
        <f t="shared" si="15"/>
        <v>0.9603006392</v>
      </c>
      <c r="AJ44" s="15">
        <f t="shared" si="16"/>
        <v>0</v>
      </c>
      <c r="AK44" s="15" t="str">
        <f t="shared" si="17"/>
        <v>  @CONFIG[S-155] {
   %cost = 138
   @cost -= #$../../cost$
  }</v>
      </c>
    </row>
    <row r="45" ht="15.75" customHeight="1">
      <c r="A45" s="7" t="s">
        <v>278</v>
      </c>
      <c r="B45" s="7" t="s">
        <v>279</v>
      </c>
      <c r="C45" s="8">
        <f t="shared" si="1"/>
        <v>387</v>
      </c>
      <c r="D45" s="7">
        <v>1956.0</v>
      </c>
      <c r="E45" s="7"/>
      <c r="F45" s="7" t="b">
        <v>1</v>
      </c>
      <c r="G45" s="7" t="b">
        <v>0</v>
      </c>
      <c r="H45" s="7" t="b">
        <v>0</v>
      </c>
      <c r="I45" s="7" t="b">
        <v>0</v>
      </c>
      <c r="J45" s="9" t="b">
        <v>0</v>
      </c>
      <c r="K45" s="7">
        <v>300.0</v>
      </c>
      <c r="L45" s="7">
        <v>0.0</v>
      </c>
      <c r="M45" s="7">
        <v>945.3</v>
      </c>
      <c r="N45" s="7">
        <v>696.6</v>
      </c>
      <c r="O45" s="7">
        <v>288.0</v>
      </c>
      <c r="P45" s="7">
        <v>3.61</v>
      </c>
      <c r="Q45" s="7">
        <v>0.962903</v>
      </c>
      <c r="R45" s="7">
        <v>0.962903</v>
      </c>
      <c r="S45" s="10">
        <f t="shared" si="2"/>
        <v>300</v>
      </c>
      <c r="T45" s="10">
        <f t="shared" si="3"/>
        <v>75.14379688</v>
      </c>
      <c r="U45" s="11">
        <f t="shared" si="4"/>
        <v>0.5971614658</v>
      </c>
      <c r="V45" s="8">
        <f t="shared" si="24"/>
        <v>415.9826771</v>
      </c>
      <c r="W45" s="12">
        <f t="shared" si="5"/>
        <v>4</v>
      </c>
      <c r="X45" s="12">
        <f t="shared" si="6"/>
        <v>2079.913385</v>
      </c>
      <c r="Y45" s="12">
        <f t="shared" si="7"/>
        <v>2.985807329</v>
      </c>
      <c r="Z45" s="8">
        <f t="shared" si="19"/>
        <v>394.011382</v>
      </c>
      <c r="AA45" s="8">
        <f t="shared" si="25"/>
        <v>387</v>
      </c>
      <c r="AB45" s="13">
        <f t="shared" si="9"/>
        <v>1.29</v>
      </c>
      <c r="AC45" s="13">
        <f t="shared" si="10"/>
        <v>0.9822051283</v>
      </c>
      <c r="AD45" s="13">
        <f>AA45/vlookup(A45,Max!$A$2:$AP$700,column(Max!$AP$2),false)</f>
        <v>0.9214285714</v>
      </c>
      <c r="AE45" s="8">
        <f t="shared" si="11"/>
        <v>300.0666555</v>
      </c>
      <c r="AF45" s="14">
        <f t="shared" si="12"/>
        <v>0.9678038641</v>
      </c>
      <c r="AG45" s="14">
        <f t="shared" si="13"/>
        <v>1.293405885</v>
      </c>
      <c r="AH45" s="14">
        <f t="shared" si="14"/>
        <v>1</v>
      </c>
      <c r="AI45" s="14">
        <f t="shared" si="15"/>
        <v>1.031464045</v>
      </c>
      <c r="AJ45" s="15">
        <f t="shared" si="16"/>
        <v>0</v>
      </c>
      <c r="AK45" s="15" t="str">
        <f t="shared" si="17"/>
        <v>  @CONFIG[S-3] {
   %cost = 387
   @cost -= #$../../cost$
  }</v>
      </c>
    </row>
    <row r="46" ht="15.75" customHeight="1">
      <c r="A46" s="7" t="s">
        <v>795</v>
      </c>
      <c r="B46" s="7" t="s">
        <v>793</v>
      </c>
      <c r="C46" s="8">
        <f t="shared" si="1"/>
        <v>12</v>
      </c>
      <c r="D46" s="7">
        <v>1956.0</v>
      </c>
      <c r="E46" s="7"/>
      <c r="F46" s="7" t="b">
        <v>0</v>
      </c>
      <c r="G46" s="7" t="b">
        <v>0</v>
      </c>
      <c r="H46" s="7" t="b">
        <v>0</v>
      </c>
      <c r="I46" s="7" t="b">
        <v>0</v>
      </c>
      <c r="J46" s="9" t="b">
        <v>0</v>
      </c>
      <c r="K46" s="7">
        <v>75.0</v>
      </c>
      <c r="L46" s="7">
        <v>25.0</v>
      </c>
      <c r="M46" s="7">
        <v>150.0</v>
      </c>
      <c r="N46" s="7">
        <v>73.8</v>
      </c>
      <c r="O46" s="7">
        <v>261.0</v>
      </c>
      <c r="P46" s="7">
        <v>1.76</v>
      </c>
      <c r="Q46" s="7">
        <v>0.984091</v>
      </c>
      <c r="R46" s="7">
        <v>0.984091</v>
      </c>
      <c r="S46" s="10">
        <f t="shared" si="2"/>
        <v>100</v>
      </c>
      <c r="T46" s="10">
        <f t="shared" si="3"/>
        <v>50.17003753</v>
      </c>
      <c r="U46" s="11">
        <f t="shared" si="4"/>
        <v>1.649718455</v>
      </c>
      <c r="V46" s="8">
        <f t="shared" si="24"/>
        <v>121.749222</v>
      </c>
      <c r="W46" s="12">
        <f t="shared" si="5"/>
        <v>1.75</v>
      </c>
      <c r="X46" s="12">
        <f t="shared" si="6"/>
        <v>334.8103605</v>
      </c>
      <c r="Y46" s="12">
        <f t="shared" si="7"/>
        <v>4.536725752</v>
      </c>
      <c r="Z46" s="8">
        <f t="shared" si="19"/>
        <v>120.341204</v>
      </c>
      <c r="AA46" s="45">
        <v>92.0</v>
      </c>
      <c r="AB46" s="13">
        <f t="shared" si="9"/>
        <v>0.92</v>
      </c>
      <c r="AC46" s="13">
        <f t="shared" si="10"/>
        <v>0.7644929331</v>
      </c>
      <c r="AD46" s="13">
        <f>AA46/vlookup(A46,Max!$A$2:$AP$700,column(Max!$AP$2),false)</f>
        <v>2.628571429</v>
      </c>
      <c r="AE46" s="8">
        <f t="shared" si="11"/>
        <v>97.42301249</v>
      </c>
      <c r="AF46" s="14">
        <f t="shared" si="12"/>
        <v>0.9177201729</v>
      </c>
      <c r="AG46" s="14">
        <f t="shared" si="13"/>
        <v>1.042645018</v>
      </c>
      <c r="AH46" s="14">
        <f t="shared" si="14"/>
        <v>1</v>
      </c>
      <c r="AI46" s="14">
        <f t="shared" si="15"/>
        <v>1.089145482</v>
      </c>
      <c r="AJ46" s="27">
        <f t="shared" si="16"/>
        <v>12</v>
      </c>
      <c r="AK46" s="15" t="str">
        <f t="shared" si="17"/>
        <v>  @CONFIG[Veronique61] {
   %cost = 92
   @cost -= #$../../cost$
  }</v>
      </c>
    </row>
    <row r="47" ht="15.75" customHeight="1">
      <c r="A47" s="7" t="s">
        <v>819</v>
      </c>
      <c r="B47" s="7" t="s">
        <v>820</v>
      </c>
      <c r="C47" s="8">
        <f t="shared" si="1"/>
        <v>152</v>
      </c>
      <c r="D47" s="7">
        <v>1956.0</v>
      </c>
      <c r="E47" s="7"/>
      <c r="F47" s="7" t="b">
        <v>1</v>
      </c>
      <c r="G47" s="7" t="b">
        <v>0</v>
      </c>
      <c r="H47" s="7" t="b">
        <v>0</v>
      </c>
      <c r="I47" s="7" t="b">
        <v>0</v>
      </c>
      <c r="J47" s="9" t="b">
        <v>0</v>
      </c>
      <c r="K47" s="7">
        <v>400.0</v>
      </c>
      <c r="L47" s="7">
        <v>0.0</v>
      </c>
      <c r="M47" s="7">
        <v>192.0</v>
      </c>
      <c r="N47" s="7">
        <v>135.28</v>
      </c>
      <c r="O47" s="7">
        <v>278.0</v>
      </c>
      <c r="P47" s="7">
        <v>4.2</v>
      </c>
      <c r="Q47" s="7">
        <v>0.968182</v>
      </c>
      <c r="R47" s="7">
        <v>0.968182</v>
      </c>
      <c r="S47" s="10">
        <f t="shared" si="2"/>
        <v>400</v>
      </c>
      <c r="T47" s="10">
        <f t="shared" si="3"/>
        <v>71.84750463</v>
      </c>
      <c r="U47" s="11">
        <f t="shared" si="4"/>
        <v>1.168138902</v>
      </c>
      <c r="V47" s="8">
        <f t="shared" si="24"/>
        <v>158.0258306</v>
      </c>
      <c r="W47" s="12">
        <f t="shared" si="5"/>
        <v>4</v>
      </c>
      <c r="X47" s="12">
        <f t="shared" si="6"/>
        <v>790.129153</v>
      </c>
      <c r="Y47" s="12">
        <f t="shared" si="7"/>
        <v>5.840694508</v>
      </c>
      <c r="Z47" s="8">
        <f t="shared" si="19"/>
        <v>151.2901985</v>
      </c>
      <c r="AA47" s="8">
        <f t="shared" ref="AA47:AA53" si="26">round(AE47*AF47*AG47*AH47*AI47,0)</f>
        <v>152</v>
      </c>
      <c r="AB47" s="13">
        <f t="shared" si="9"/>
        <v>0.38</v>
      </c>
      <c r="AC47" s="13">
        <f t="shared" si="10"/>
        <v>1.004691656</v>
      </c>
      <c r="AD47" s="13">
        <f>AA47/vlookup(A47,Max!$A$2:$AP$700,column(Max!$AP$2),false)</f>
        <v>1.381818182</v>
      </c>
      <c r="AE47" s="8">
        <f t="shared" si="11"/>
        <v>113.1555611</v>
      </c>
      <c r="AF47" s="14">
        <f t="shared" si="12"/>
        <v>0.9460824974</v>
      </c>
      <c r="AG47" s="14">
        <f t="shared" si="13"/>
        <v>1.353497504</v>
      </c>
      <c r="AH47" s="14">
        <f t="shared" si="14"/>
        <v>1</v>
      </c>
      <c r="AI47" s="14">
        <f t="shared" si="15"/>
        <v>1.045659421</v>
      </c>
      <c r="AJ47" s="15">
        <f t="shared" si="16"/>
        <v>0</v>
      </c>
      <c r="AK47" s="15" t="str">
        <f t="shared" si="17"/>
        <v>  @CONFIG[X-405] {
   %cost = 152
   @cost -= #$../../cost$
  }</v>
      </c>
    </row>
    <row r="48" ht="15.75" customHeight="1">
      <c r="A48" s="16" t="s">
        <v>1010</v>
      </c>
      <c r="B48" s="16" t="s">
        <v>828</v>
      </c>
      <c r="C48" s="8">
        <f t="shared" si="1"/>
        <v>13</v>
      </c>
      <c r="D48" s="16">
        <v>1956.0</v>
      </c>
      <c r="E48" s="16"/>
      <c r="F48" s="16" t="b">
        <v>0</v>
      </c>
      <c r="G48" s="16" t="b">
        <v>0</v>
      </c>
      <c r="H48" s="16" t="b">
        <v>1</v>
      </c>
      <c r="I48" s="16" t="b">
        <v>1</v>
      </c>
      <c r="J48" s="9" t="b">
        <v>0</v>
      </c>
      <c r="K48" s="16">
        <v>300.0</v>
      </c>
      <c r="L48" s="16">
        <v>150.0</v>
      </c>
      <c r="M48" s="16">
        <v>212.0</v>
      </c>
      <c r="N48" s="16">
        <v>38.45</v>
      </c>
      <c r="O48" s="16">
        <v>230.0</v>
      </c>
      <c r="P48" s="16">
        <v>1.52</v>
      </c>
      <c r="Q48" s="16">
        <v>0.99</v>
      </c>
      <c r="R48" s="16">
        <v>0.998</v>
      </c>
      <c r="S48" s="19">
        <f t="shared" si="2"/>
        <v>450</v>
      </c>
      <c r="T48" s="19">
        <f t="shared" si="3"/>
        <v>18.49438126</v>
      </c>
      <c r="U48" s="20">
        <f t="shared" si="4"/>
        <v>6.55396619</v>
      </c>
      <c r="V48" s="17">
        <v>252.0</v>
      </c>
      <c r="W48" s="21">
        <f t="shared" si="5"/>
        <v>1.75</v>
      </c>
      <c r="X48" s="21">
        <f t="shared" si="6"/>
        <v>693</v>
      </c>
      <c r="Y48" s="21">
        <f t="shared" si="7"/>
        <v>18.02340702</v>
      </c>
      <c r="Z48" s="8">
        <f t="shared" si="19"/>
        <v>381.03156</v>
      </c>
      <c r="AA48" s="8">
        <f t="shared" si="26"/>
        <v>176</v>
      </c>
      <c r="AB48" s="13">
        <f t="shared" si="9"/>
        <v>0.3911111111</v>
      </c>
      <c r="AC48" s="13">
        <f t="shared" si="10"/>
        <v>0.4619039956</v>
      </c>
      <c r="AD48" s="13">
        <f>AA48/vlookup(A48,Max!$A$2:$AP$700,column(Max!$AP$2),false)</f>
        <v>1.466666667</v>
      </c>
      <c r="AE48" s="8">
        <f t="shared" si="11"/>
        <v>120.17636</v>
      </c>
      <c r="AF48" s="14">
        <f t="shared" si="12"/>
        <v>0.8868200397</v>
      </c>
      <c r="AG48" s="14">
        <f t="shared" si="13"/>
        <v>0.9983361824</v>
      </c>
      <c r="AH48" s="14">
        <f t="shared" si="14"/>
        <v>1.5</v>
      </c>
      <c r="AI48" s="14">
        <f t="shared" si="15"/>
        <v>1.100049135</v>
      </c>
      <c r="AJ48" s="27">
        <f t="shared" si="16"/>
        <v>13</v>
      </c>
      <c r="AK48" s="15" t="str">
        <f t="shared" si="17"/>
        <v>  @CONFIG[XLR11-RM-13-8k] {
   %cost = 176
   @cost -= #$../../cost$
  }</v>
      </c>
    </row>
    <row r="49" ht="15.75" customHeight="1">
      <c r="A49" s="16" t="s">
        <v>528</v>
      </c>
      <c r="B49" s="16" t="s">
        <v>1008</v>
      </c>
      <c r="C49" s="8">
        <f t="shared" si="1"/>
        <v>-39</v>
      </c>
      <c r="D49" s="16">
        <v>1957.0</v>
      </c>
      <c r="E49" s="16"/>
      <c r="F49" s="16" t="b">
        <v>1</v>
      </c>
      <c r="G49" s="16" t="b">
        <v>0</v>
      </c>
      <c r="H49" s="16" t="b">
        <v>0</v>
      </c>
      <c r="I49" s="16" t="b">
        <v>0</v>
      </c>
      <c r="J49" s="9" t="b">
        <v>0</v>
      </c>
      <c r="K49" s="16">
        <v>470.0</v>
      </c>
      <c r="L49" s="16">
        <v>0.0</v>
      </c>
      <c r="M49" s="16">
        <v>1190.0</v>
      </c>
      <c r="N49" s="16">
        <v>972.3</v>
      </c>
      <c r="O49" s="16">
        <v>306.0</v>
      </c>
      <c r="P49" s="16">
        <v>5.69</v>
      </c>
      <c r="Q49" s="16">
        <v>0.986364</v>
      </c>
      <c r="R49" s="16">
        <v>0.986364</v>
      </c>
      <c r="S49" s="19">
        <f t="shared" si="2"/>
        <v>470</v>
      </c>
      <c r="T49" s="19">
        <f t="shared" si="3"/>
        <v>83.31681269</v>
      </c>
      <c r="U49" s="20">
        <f t="shared" si="4"/>
        <v>0.5270014741</v>
      </c>
      <c r="V49" s="17">
        <f t="shared" ref="V49:V51" si="27">0.2*(8.17*POWER(M49*P49,0.46))+0.8*(0.146*POWER(M49*O49,0.639))</f>
        <v>512.4035333</v>
      </c>
      <c r="W49" s="21">
        <f t="shared" si="5"/>
        <v>4</v>
      </c>
      <c r="X49" s="21">
        <f t="shared" si="6"/>
        <v>2562.017666</v>
      </c>
      <c r="Y49" s="21">
        <f t="shared" si="7"/>
        <v>2.635007371</v>
      </c>
      <c r="Z49" s="8">
        <f t="shared" si="19"/>
        <v>508.7726114</v>
      </c>
      <c r="AA49" s="8">
        <f t="shared" si="26"/>
        <v>567</v>
      </c>
      <c r="AB49" s="13">
        <f t="shared" si="9"/>
        <v>1.206382979</v>
      </c>
      <c r="AC49" s="13">
        <f t="shared" si="10"/>
        <v>1.114446783</v>
      </c>
      <c r="AD49" s="13">
        <f>AA49/vlookup(A49,Max!$A$2:$AP$700,column(Max!$AP$2),false)</f>
        <v>0.9610169492</v>
      </c>
      <c r="AE49" s="8">
        <f t="shared" si="11"/>
        <v>345.8435044</v>
      </c>
      <c r="AF49" s="14">
        <f t="shared" si="12"/>
        <v>1.02792664</v>
      </c>
      <c r="AG49" s="14">
        <f t="shared" si="13"/>
        <v>1.482573906</v>
      </c>
      <c r="AH49" s="14">
        <f t="shared" si="14"/>
        <v>1</v>
      </c>
      <c r="AI49" s="14">
        <f t="shared" si="15"/>
        <v>1.075165369</v>
      </c>
      <c r="AJ49" s="27">
        <f t="shared" si="16"/>
        <v>-39</v>
      </c>
      <c r="AK49" s="15" t="str">
        <f t="shared" si="17"/>
        <v>  @CONFIG[RD-107-8D74PS] {
   %cost = 567
   @cost -= #$../../cost$
  }</v>
      </c>
    </row>
    <row r="50" ht="15.75" customHeight="1">
      <c r="A50" s="16" t="s">
        <v>539</v>
      </c>
      <c r="B50" s="16" t="s">
        <v>1009</v>
      </c>
      <c r="C50" s="8">
        <f t="shared" si="1"/>
        <v>-54</v>
      </c>
      <c r="D50" s="16">
        <v>1957.0</v>
      </c>
      <c r="E50" s="16"/>
      <c r="F50" s="16" t="b">
        <v>1</v>
      </c>
      <c r="G50" s="16" t="b">
        <v>0</v>
      </c>
      <c r="H50" s="16" t="b">
        <v>0</v>
      </c>
      <c r="I50" s="16" t="b">
        <v>0</v>
      </c>
      <c r="J50" s="9" t="b">
        <v>0</v>
      </c>
      <c r="K50" s="16">
        <v>450.0</v>
      </c>
      <c r="L50" s="16">
        <v>0.0</v>
      </c>
      <c r="M50" s="16">
        <v>1250.0</v>
      </c>
      <c r="N50" s="16">
        <v>918.3</v>
      </c>
      <c r="O50" s="16">
        <v>308.0</v>
      </c>
      <c r="P50" s="16">
        <v>4.91</v>
      </c>
      <c r="Q50" s="16">
        <v>0.986364</v>
      </c>
      <c r="R50" s="16">
        <v>0.986364</v>
      </c>
      <c r="S50" s="19">
        <f t="shared" si="2"/>
        <v>450</v>
      </c>
      <c r="T50" s="19">
        <f t="shared" si="3"/>
        <v>74.91243165</v>
      </c>
      <c r="U50" s="20">
        <f t="shared" si="4"/>
        <v>0.5699363659</v>
      </c>
      <c r="V50" s="17">
        <f t="shared" si="27"/>
        <v>523.3725648</v>
      </c>
      <c r="W50" s="21">
        <f t="shared" si="5"/>
        <v>4</v>
      </c>
      <c r="X50" s="21">
        <f t="shared" si="6"/>
        <v>2616.862824</v>
      </c>
      <c r="Y50" s="21">
        <f t="shared" si="7"/>
        <v>2.84968183</v>
      </c>
      <c r="Z50" s="8">
        <f t="shared" si="19"/>
        <v>519.6639157</v>
      </c>
      <c r="AA50" s="8">
        <f t="shared" si="26"/>
        <v>566</v>
      </c>
      <c r="AB50" s="13">
        <f t="shared" si="9"/>
        <v>1.257777778</v>
      </c>
      <c r="AC50" s="13">
        <f t="shared" si="10"/>
        <v>1.089165484</v>
      </c>
      <c r="AD50" s="13">
        <f>AA50/vlookup(A50,Max!$A$2:$AP$700,column(Max!$AP$2),false)</f>
        <v>0.7971830986</v>
      </c>
      <c r="AE50" s="8">
        <f t="shared" si="11"/>
        <v>356.5089642</v>
      </c>
      <c r="AF50" s="14">
        <f t="shared" si="12"/>
        <v>1.041705347</v>
      </c>
      <c r="AG50" s="14">
        <f t="shared" si="13"/>
        <v>1.418427425</v>
      </c>
      <c r="AH50" s="14">
        <f t="shared" si="14"/>
        <v>1</v>
      </c>
      <c r="AI50" s="14">
        <f t="shared" si="15"/>
        <v>1.075165369</v>
      </c>
      <c r="AJ50" s="27">
        <f t="shared" si="16"/>
        <v>-54</v>
      </c>
      <c r="AK50" s="15" t="str">
        <f t="shared" si="17"/>
        <v>  @CONFIG[RD-108-8D75PS] {
   %cost = 566
   @cost -= #$../../cost$
  }</v>
      </c>
    </row>
    <row r="51" ht="15.75" customHeight="1">
      <c r="A51" s="16" t="s">
        <v>575</v>
      </c>
      <c r="B51" s="16" t="s">
        <v>573</v>
      </c>
      <c r="C51" s="8">
        <f t="shared" si="1"/>
        <v>-25</v>
      </c>
      <c r="D51" s="16">
        <v>1957.0</v>
      </c>
      <c r="E51" s="16"/>
      <c r="F51" s="16" t="b">
        <v>1</v>
      </c>
      <c r="G51" s="16" t="b">
        <v>0</v>
      </c>
      <c r="H51" s="16" t="b">
        <v>0</v>
      </c>
      <c r="I51" s="16" t="b">
        <v>0</v>
      </c>
      <c r="J51" s="9" t="b">
        <v>0</v>
      </c>
      <c r="K51" s="16">
        <v>200.0</v>
      </c>
      <c r="L51" s="16">
        <v>150.0</v>
      </c>
      <c r="M51" s="16">
        <v>625.0</v>
      </c>
      <c r="N51" s="16">
        <v>749.2</v>
      </c>
      <c r="O51" s="16">
        <v>255.0</v>
      </c>
      <c r="P51" s="16">
        <v>4.66</v>
      </c>
      <c r="Q51" s="16">
        <v>0.93</v>
      </c>
      <c r="R51" s="16">
        <v>0.9</v>
      </c>
      <c r="S51" s="19">
        <f t="shared" si="2"/>
        <v>350</v>
      </c>
      <c r="T51" s="19">
        <f t="shared" si="3"/>
        <v>122.2354215</v>
      </c>
      <c r="U51" s="20">
        <f t="shared" si="4"/>
        <v>0.4145460594</v>
      </c>
      <c r="V51" s="17">
        <f t="shared" si="27"/>
        <v>310.5779077</v>
      </c>
      <c r="W51" s="21">
        <f t="shared" si="5"/>
        <v>4</v>
      </c>
      <c r="X51" s="21">
        <f t="shared" si="6"/>
        <v>1552.889539</v>
      </c>
      <c r="Y51" s="21">
        <f t="shared" si="7"/>
        <v>2.072730297</v>
      </c>
      <c r="Z51" s="8">
        <f t="shared" si="19"/>
        <v>266.1652669</v>
      </c>
      <c r="AA51" s="8">
        <f t="shared" si="26"/>
        <v>253</v>
      </c>
      <c r="AB51" s="13">
        <f t="shared" si="9"/>
        <v>0.7228571429</v>
      </c>
      <c r="AC51" s="13">
        <f t="shared" si="10"/>
        <v>0.9505372468</v>
      </c>
      <c r="AD51" s="13">
        <f>AA51/vlookup(A51,Max!$A$2:$AP$700,column(Max!$AP$2),false)</f>
        <v>1.012</v>
      </c>
      <c r="AE51" s="8">
        <f t="shared" si="11"/>
        <v>232.6437655</v>
      </c>
      <c r="AF51" s="14">
        <f t="shared" si="12"/>
        <v>0.909870738</v>
      </c>
      <c r="AG51" s="14">
        <f t="shared" si="13"/>
        <v>1.396363368</v>
      </c>
      <c r="AH51" s="14">
        <f t="shared" si="14"/>
        <v>1</v>
      </c>
      <c r="AI51" s="14">
        <f t="shared" si="15"/>
        <v>0.8550440874</v>
      </c>
      <c r="AJ51" s="27">
        <f t="shared" si="16"/>
        <v>-25</v>
      </c>
      <c r="AK51" s="15" t="str">
        <f t="shared" si="17"/>
        <v>  @CONFIG[RD-213-8D13] {
   %cost = 253
   @cost -= #$../../cost$
  }</v>
      </c>
    </row>
    <row r="52" ht="15.75" customHeight="1">
      <c r="A52" s="16" t="s">
        <v>731</v>
      </c>
      <c r="B52" s="16" t="s">
        <v>730</v>
      </c>
      <c r="C52" s="8">
        <f t="shared" si="1"/>
        <v>-38</v>
      </c>
      <c r="D52" s="16">
        <v>1957.0</v>
      </c>
      <c r="E52" s="16"/>
      <c r="F52" s="16" t="b">
        <v>0</v>
      </c>
      <c r="G52" s="16" t="b">
        <v>0</v>
      </c>
      <c r="H52" s="16" t="b">
        <v>0</v>
      </c>
      <c r="I52" s="16" t="b">
        <v>0</v>
      </c>
      <c r="J52" s="9" t="b">
        <v>0</v>
      </c>
      <c r="K52" s="16">
        <v>150.0</v>
      </c>
      <c r="L52" s="16">
        <v>75.0</v>
      </c>
      <c r="M52" s="16">
        <v>160.0</v>
      </c>
      <c r="N52" s="16">
        <v>127.5</v>
      </c>
      <c r="O52" s="16">
        <v>258.0</v>
      </c>
      <c r="P52" s="16">
        <v>6.8</v>
      </c>
      <c r="Q52" s="16">
        <v>0.960345</v>
      </c>
      <c r="R52" s="16">
        <v>0.960345</v>
      </c>
      <c r="S52" s="19">
        <f t="shared" si="2"/>
        <v>225</v>
      </c>
      <c r="T52" s="19">
        <f t="shared" si="3"/>
        <v>81.25863548</v>
      </c>
      <c r="U52" s="20">
        <f t="shared" si="4"/>
        <v>2.062745098</v>
      </c>
      <c r="V52" s="17">
        <v>263.0</v>
      </c>
      <c r="W52" s="21">
        <f t="shared" si="5"/>
        <v>1.75</v>
      </c>
      <c r="X52" s="21">
        <f t="shared" si="6"/>
        <v>723.25</v>
      </c>
      <c r="Y52" s="21">
        <f t="shared" si="7"/>
        <v>5.67254902</v>
      </c>
      <c r="Z52" s="8">
        <f t="shared" si="19"/>
        <v>247.8150425</v>
      </c>
      <c r="AA52" s="8">
        <f t="shared" si="26"/>
        <v>146</v>
      </c>
      <c r="AB52" s="13">
        <f t="shared" si="9"/>
        <v>0.6488888889</v>
      </c>
      <c r="AC52" s="13">
        <f t="shared" si="10"/>
        <v>0.5891490626</v>
      </c>
      <c r="AD52" s="13">
        <f>AA52/vlookup(A52,Max!$A$2:$AP$700,column(Max!$AP$2),false)</f>
        <v>2.317460317</v>
      </c>
      <c r="AE52" s="8">
        <f t="shared" si="11"/>
        <v>101.3077784</v>
      </c>
      <c r="AF52" s="14">
        <f t="shared" si="12"/>
        <v>0.9136683524</v>
      </c>
      <c r="AG52" s="14">
        <f t="shared" si="13"/>
        <v>1.563994948</v>
      </c>
      <c r="AH52" s="14">
        <f t="shared" si="14"/>
        <v>1</v>
      </c>
      <c r="AI52" s="14">
        <f t="shared" si="15"/>
        <v>1.00565828</v>
      </c>
      <c r="AJ52" s="27">
        <f t="shared" si="16"/>
        <v>-38</v>
      </c>
      <c r="AK52" s="15" t="str">
        <f t="shared" si="17"/>
        <v>  @CONFIG[S3.42T] {
   %cost = 146
   @cost -= #$../../cost$
  }</v>
      </c>
    </row>
    <row r="53" ht="15.75" customHeight="1">
      <c r="A53" s="7" t="s">
        <v>84</v>
      </c>
      <c r="B53" s="7" t="s">
        <v>83</v>
      </c>
      <c r="C53" s="8">
        <f t="shared" si="1"/>
        <v>10</v>
      </c>
      <c r="D53" s="7">
        <v>1958.0</v>
      </c>
      <c r="E53" s="7"/>
      <c r="F53" s="7" t="b">
        <v>0</v>
      </c>
      <c r="G53" s="7" t="b">
        <v>0</v>
      </c>
      <c r="H53" s="7" t="b">
        <v>1</v>
      </c>
      <c r="I53" s="7" t="b">
        <v>0</v>
      </c>
      <c r="J53" s="9" t="b">
        <v>0</v>
      </c>
      <c r="K53" s="7">
        <v>100.0</v>
      </c>
      <c r="L53" s="7">
        <v>-15.0</v>
      </c>
      <c r="M53" s="7">
        <v>80.0</v>
      </c>
      <c r="N53" s="7">
        <v>33.0</v>
      </c>
      <c r="O53" s="7">
        <v>267.0</v>
      </c>
      <c r="P53" s="7">
        <v>1.4</v>
      </c>
      <c r="Q53" s="7">
        <v>0.9875</v>
      </c>
      <c r="R53" s="7">
        <v>0.9875</v>
      </c>
      <c r="S53" s="10">
        <f t="shared" si="2"/>
        <v>85</v>
      </c>
      <c r="T53" s="10">
        <f t="shared" si="3"/>
        <v>42.06329366</v>
      </c>
      <c r="U53" s="11">
        <f t="shared" si="4"/>
        <v>2.501858127</v>
      </c>
      <c r="V53" s="8">
        <f>0.2*(8.17*POWER(M53*P53,0.46))+0.8*(0.146*POWER(M53*O53,0.639))</f>
        <v>82.56131819</v>
      </c>
      <c r="W53" s="12">
        <f t="shared" si="5"/>
        <v>1.75</v>
      </c>
      <c r="X53" s="12">
        <f t="shared" si="6"/>
        <v>227.043625</v>
      </c>
      <c r="Y53" s="12">
        <f t="shared" si="7"/>
        <v>6.880109849</v>
      </c>
      <c r="Z53" s="8">
        <f t="shared" si="19"/>
        <v>82.16141181</v>
      </c>
      <c r="AA53" s="8">
        <f t="shared" si="26"/>
        <v>62</v>
      </c>
      <c r="AB53" s="13">
        <f t="shared" si="9"/>
        <v>0.7294117647</v>
      </c>
      <c r="AC53" s="13">
        <f t="shared" si="10"/>
        <v>0.7546121548</v>
      </c>
      <c r="AD53" s="13">
        <f>AA53/vlookup(A53,Max!$A$2:$AP$700,column(Max!$AP$2),false)</f>
        <v>2.48</v>
      </c>
      <c r="AE53" s="8">
        <f t="shared" si="11"/>
        <v>66.66106508</v>
      </c>
      <c r="AF53" s="14">
        <f t="shared" si="12"/>
        <v>0.9266331503</v>
      </c>
      <c r="AG53" s="14">
        <f t="shared" si="13"/>
        <v>0.9800332539</v>
      </c>
      <c r="AH53" s="14">
        <f t="shared" si="14"/>
        <v>1</v>
      </c>
      <c r="AI53" s="14">
        <f t="shared" si="15"/>
        <v>1.024797373</v>
      </c>
      <c r="AJ53" s="27">
        <f t="shared" si="16"/>
        <v>10</v>
      </c>
      <c r="AK53" s="15" t="str">
        <f t="shared" si="17"/>
        <v>  @CONFIG[AJ10-42] {
   %cost = 62
   @cost -= #$../../cost$
  }</v>
      </c>
    </row>
    <row r="54" ht="15.75" customHeight="1">
      <c r="A54" s="16" t="s">
        <v>147</v>
      </c>
      <c r="B54" s="16" t="s">
        <v>148</v>
      </c>
      <c r="C54" s="8">
        <f t="shared" si="1"/>
        <v>106</v>
      </c>
      <c r="D54" s="16">
        <v>1958.0</v>
      </c>
      <c r="E54" s="16"/>
      <c r="F54" s="16" t="b">
        <v>1</v>
      </c>
      <c r="G54" s="16" t="b">
        <v>0</v>
      </c>
      <c r="H54" s="16" t="b">
        <v>1</v>
      </c>
      <c r="I54" s="16" t="b">
        <v>0</v>
      </c>
      <c r="J54" s="9" t="b">
        <v>0</v>
      </c>
      <c r="K54" s="16">
        <v>100.0</v>
      </c>
      <c r="L54" s="16">
        <v>0.0</v>
      </c>
      <c r="M54" s="16">
        <v>173.0</v>
      </c>
      <c r="N54" s="16">
        <v>68.236</v>
      </c>
      <c r="O54" s="16">
        <v>267.0</v>
      </c>
      <c r="P54" s="16">
        <v>4.1</v>
      </c>
      <c r="Q54" s="16">
        <v>0.995</v>
      </c>
      <c r="R54" s="16">
        <v>0.981667</v>
      </c>
      <c r="S54" s="19">
        <f t="shared" si="2"/>
        <v>100</v>
      </c>
      <c r="T54" s="19">
        <f t="shared" si="3"/>
        <v>40.22043659</v>
      </c>
      <c r="U54" s="20">
        <f t="shared" si="4"/>
        <v>1.597397268</v>
      </c>
      <c r="V54" s="17">
        <v>109.0</v>
      </c>
      <c r="W54" s="21">
        <f t="shared" si="5"/>
        <v>4</v>
      </c>
      <c r="X54" s="21">
        <f t="shared" si="6"/>
        <v>545</v>
      </c>
      <c r="Y54" s="21">
        <f t="shared" si="7"/>
        <v>7.986986342</v>
      </c>
      <c r="Z54" s="8">
        <f t="shared" si="19"/>
        <v>108.6466945</v>
      </c>
      <c r="AA54" s="45">
        <v>106.0</v>
      </c>
      <c r="AB54" s="13">
        <f t="shared" si="9"/>
        <v>1.06</v>
      </c>
      <c r="AC54" s="13">
        <f t="shared" si="10"/>
        <v>0.9756394385</v>
      </c>
      <c r="AD54" s="13">
        <f>AA54/vlookup(A54,Max!$A$2:$AP$700,column(Max!$AP$2),false)</f>
        <v>2.465116279</v>
      </c>
      <c r="AE54" s="8">
        <f t="shared" si="11"/>
        <v>106.2214304</v>
      </c>
      <c r="AF54" s="14">
        <f t="shared" si="12"/>
        <v>0.9266331503</v>
      </c>
      <c r="AG54" s="14">
        <f t="shared" si="13"/>
        <v>1.248068355</v>
      </c>
      <c r="AH54" s="14">
        <f t="shared" si="14"/>
        <v>1</v>
      </c>
      <c r="AI54" s="14">
        <f t="shared" si="15"/>
        <v>1.029012531</v>
      </c>
      <c r="AJ54" s="15">
        <f t="shared" si="16"/>
        <v>0</v>
      </c>
      <c r="AK54" s="15" t="str">
        <f t="shared" si="17"/>
        <v>  @CONFIG[Gamma-2] {
   %cost = 106
   @cost -= #$../../cost$
  }</v>
      </c>
    </row>
    <row r="55" ht="15.75" customHeight="1">
      <c r="A55" s="7" t="s">
        <v>152</v>
      </c>
      <c r="B55" s="7" t="s">
        <v>151</v>
      </c>
      <c r="C55" s="8">
        <f t="shared" si="1"/>
        <v>10</v>
      </c>
      <c r="D55" s="7">
        <v>1958.0</v>
      </c>
      <c r="E55" s="7"/>
      <c r="F55" s="7" t="b">
        <v>1</v>
      </c>
      <c r="G55" s="7" t="b">
        <v>0</v>
      </c>
      <c r="H55" s="7" t="b">
        <v>0</v>
      </c>
      <c r="I55" s="7" t="b">
        <v>0</v>
      </c>
      <c r="J55" s="9" t="b">
        <v>0</v>
      </c>
      <c r="K55" s="7">
        <v>56.0</v>
      </c>
      <c r="L55" s="7">
        <v>10.0</v>
      </c>
      <c r="M55" s="7">
        <f>204*1.05</f>
        <v>214.2</v>
      </c>
      <c r="N55" s="7">
        <v>96.97</v>
      </c>
      <c r="O55" s="7">
        <v>251.0</v>
      </c>
      <c r="P55" s="7">
        <v>4.1</v>
      </c>
      <c r="Q55" s="7">
        <v>0.995</v>
      </c>
      <c r="R55" s="7">
        <v>0.981667</v>
      </c>
      <c r="S55" s="10">
        <f t="shared" si="2"/>
        <v>66</v>
      </c>
      <c r="T55" s="10">
        <f t="shared" si="3"/>
        <v>46.16334308</v>
      </c>
      <c r="U55" s="11">
        <f t="shared" si="4"/>
        <v>1.237496133</v>
      </c>
      <c r="V55" s="8">
        <v>120.0</v>
      </c>
      <c r="W55" s="12">
        <f t="shared" si="5"/>
        <v>4</v>
      </c>
      <c r="X55" s="12">
        <f t="shared" si="6"/>
        <v>600</v>
      </c>
      <c r="Y55" s="12">
        <f t="shared" si="7"/>
        <v>6.187480664</v>
      </c>
      <c r="Z55" s="8">
        <f t="shared" si="19"/>
        <v>119.6110398</v>
      </c>
      <c r="AA55" s="45">
        <v>118.0</v>
      </c>
      <c r="AB55" s="13">
        <f t="shared" si="9"/>
        <v>1.787878788</v>
      </c>
      <c r="AC55" s="13">
        <f t="shared" si="10"/>
        <v>0.9865310108</v>
      </c>
      <c r="AD55" s="13">
        <f>AA55/vlookup(A55,Max!$A$2:$AP$700,column(Max!$AP$2),false)</f>
        <v>1.903225806</v>
      </c>
      <c r="AE55" s="8">
        <f t="shared" si="11"/>
        <v>120.9328515</v>
      </c>
      <c r="AF55" s="14">
        <f t="shared" si="12"/>
        <v>0.9051841746</v>
      </c>
      <c r="AG55" s="14">
        <f t="shared" si="13"/>
        <v>1.343747995</v>
      </c>
      <c r="AH55" s="14">
        <f t="shared" si="14"/>
        <v>1</v>
      </c>
      <c r="AI55" s="14">
        <f t="shared" si="15"/>
        <v>1.041988586</v>
      </c>
      <c r="AJ55" s="27">
        <f t="shared" si="16"/>
        <v>10</v>
      </c>
      <c r="AK55" s="15" t="str">
        <f t="shared" si="17"/>
        <v>  @CONFIG[Gamma-301] {
   %cost = 118
   @cost -= #$../../cost$
  }</v>
      </c>
    </row>
    <row r="56" ht="15.75" customHeight="1">
      <c r="A56" s="7" t="s">
        <v>154</v>
      </c>
      <c r="B56" s="7" t="s">
        <v>155</v>
      </c>
      <c r="C56" s="8">
        <f t="shared" si="1"/>
        <v>174</v>
      </c>
      <c r="D56" s="7">
        <v>1958.0</v>
      </c>
      <c r="E56" s="7"/>
      <c r="F56" s="7" t="b">
        <v>1</v>
      </c>
      <c r="G56" s="7" t="b">
        <v>0</v>
      </c>
      <c r="H56" s="7" t="b">
        <v>0</v>
      </c>
      <c r="I56" s="7" t="b">
        <v>0</v>
      </c>
      <c r="J56" s="9" t="b">
        <v>0</v>
      </c>
      <c r="K56" s="7">
        <v>154.0</v>
      </c>
      <c r="L56" s="7">
        <v>0.0</v>
      </c>
      <c r="M56" s="7">
        <v>342.0</v>
      </c>
      <c r="N56" s="7">
        <v>256.395</v>
      </c>
      <c r="O56" s="7">
        <v>251.0</v>
      </c>
      <c r="P56" s="7">
        <v>4.1</v>
      </c>
      <c r="Q56" s="7">
        <v>0.995</v>
      </c>
      <c r="R56" s="7">
        <v>0.981667</v>
      </c>
      <c r="S56" s="10">
        <f t="shared" si="2"/>
        <v>154</v>
      </c>
      <c r="T56" s="10">
        <f t="shared" si="3"/>
        <v>76.44740867</v>
      </c>
      <c r="U56" s="11">
        <f t="shared" si="4"/>
        <v>0.6201368981</v>
      </c>
      <c r="V56" s="8">
        <v>159.0</v>
      </c>
      <c r="W56" s="12">
        <f t="shared" si="5"/>
        <v>4</v>
      </c>
      <c r="X56" s="12">
        <f t="shared" si="6"/>
        <v>795</v>
      </c>
      <c r="Y56" s="12">
        <f t="shared" si="7"/>
        <v>3.100684491</v>
      </c>
      <c r="Z56" s="8">
        <f t="shared" si="19"/>
        <v>158.4846277</v>
      </c>
      <c r="AA56" s="45">
        <v>174.0</v>
      </c>
      <c r="AB56" s="13">
        <f t="shared" si="9"/>
        <v>1.12987013</v>
      </c>
      <c r="AC56" s="13">
        <f t="shared" si="10"/>
        <v>1.097898279</v>
      </c>
      <c r="AD56" s="13">
        <f>AA56/vlookup(A56,Max!$A$2:$AP$700,column(Max!$AP$2),false)</f>
        <v>1.242857143</v>
      </c>
      <c r="AE56" s="8">
        <f t="shared" si="11"/>
        <v>160.8233648</v>
      </c>
      <c r="AF56" s="14">
        <f t="shared" si="12"/>
        <v>0.9051841746</v>
      </c>
      <c r="AG56" s="14">
        <f t="shared" si="13"/>
        <v>1.343747995</v>
      </c>
      <c r="AH56" s="14">
        <f t="shared" si="14"/>
        <v>1</v>
      </c>
      <c r="AI56" s="14">
        <f t="shared" si="15"/>
        <v>1.041988586</v>
      </c>
      <c r="AJ56" s="15">
        <f t="shared" si="16"/>
        <v>0</v>
      </c>
      <c r="AK56" s="15" t="str">
        <f t="shared" si="17"/>
        <v>  @CONFIG[Gamma-8] {
   %cost = 174
   @cost -= #$../../cost$
  }</v>
      </c>
    </row>
    <row r="57" ht="15.75" customHeight="1">
      <c r="A57" s="7" t="s">
        <v>267</v>
      </c>
      <c r="B57" s="7" t="s">
        <v>266</v>
      </c>
      <c r="C57" s="8">
        <f t="shared" si="1"/>
        <v>0</v>
      </c>
      <c r="D57" s="7">
        <v>1958.0</v>
      </c>
      <c r="E57" s="7"/>
      <c r="F57" s="7" t="b">
        <v>1</v>
      </c>
      <c r="G57" s="7" t="b">
        <v>0</v>
      </c>
      <c r="H57" s="7" t="b">
        <v>0</v>
      </c>
      <c r="I57" s="7" t="b">
        <v>0</v>
      </c>
      <c r="J57" s="9" t="b">
        <v>0</v>
      </c>
      <c r="K57" s="7">
        <v>275.0</v>
      </c>
      <c r="L57" s="7">
        <v>1.0</v>
      </c>
      <c r="M57" s="7">
        <v>460.0</v>
      </c>
      <c r="N57" s="7">
        <v>352.0</v>
      </c>
      <c r="O57" s="7">
        <v>309.0</v>
      </c>
      <c r="P57" s="7">
        <v>4.52</v>
      </c>
      <c r="Q57" s="7">
        <v>0.960526</v>
      </c>
      <c r="R57" s="7">
        <v>0.960526</v>
      </c>
      <c r="S57" s="10">
        <f t="shared" si="2"/>
        <v>276</v>
      </c>
      <c r="T57" s="10">
        <f t="shared" si="3"/>
        <v>78.03045781</v>
      </c>
      <c r="U57" s="11">
        <f t="shared" si="4"/>
        <v>0.8067917884</v>
      </c>
      <c r="V57" s="8">
        <f t="shared" ref="V57:V100" si="28">0.2*(8.17*POWER(M57*P57,0.46))+0.8*(0.146*POWER(M57*O57,0.639))</f>
        <v>283.9907095</v>
      </c>
      <c r="W57" s="12">
        <f t="shared" si="5"/>
        <v>4</v>
      </c>
      <c r="X57" s="12">
        <f t="shared" si="6"/>
        <v>1419.953548</v>
      </c>
      <c r="Y57" s="12">
        <f t="shared" si="7"/>
        <v>4.033958942</v>
      </c>
      <c r="Z57" s="8">
        <f t="shared" si="19"/>
        <v>267.6925386</v>
      </c>
      <c r="AA57" s="8">
        <f t="shared" ref="AA57:AA100" si="29">round(AE57*AF57*AG57*AH57*AI57,0)</f>
        <v>276</v>
      </c>
      <c r="AB57" s="13">
        <f t="shared" si="9"/>
        <v>1</v>
      </c>
      <c r="AC57" s="13">
        <f t="shared" si="10"/>
        <v>1.031033594</v>
      </c>
      <c r="AD57" s="13">
        <f>AA57/vlookup(A57,Max!$A$2:$AP$700,column(Max!$AP$2),false)</f>
        <v>1.15</v>
      </c>
      <c r="AE57" s="8">
        <f t="shared" si="11"/>
        <v>192.781727</v>
      </c>
      <c r="AF57" s="14">
        <f t="shared" si="12"/>
        <v>1.049443963</v>
      </c>
      <c r="AG57" s="14">
        <f t="shared" si="13"/>
        <v>1.383643485</v>
      </c>
      <c r="AH57" s="14">
        <f t="shared" si="14"/>
        <v>1</v>
      </c>
      <c r="AI57" s="14">
        <f t="shared" si="15"/>
        <v>0.9867912605</v>
      </c>
      <c r="AJ57" s="27">
        <f t="shared" si="16"/>
        <v>0</v>
      </c>
      <c r="AK57" s="15" t="str">
        <f t="shared" si="17"/>
        <v>  @CONFIG[LR105-NA-3] {
   %cost = 276
   @cost -= #$../../cost$
  }</v>
      </c>
    </row>
    <row r="58" ht="15.75" customHeight="1">
      <c r="A58" s="7" t="s">
        <v>285</v>
      </c>
      <c r="B58" s="7" t="s">
        <v>286</v>
      </c>
      <c r="C58" s="8">
        <f t="shared" si="1"/>
        <v>530</v>
      </c>
      <c r="D58" s="7">
        <v>1958.0</v>
      </c>
      <c r="E58" s="7"/>
      <c r="F58" s="7" t="b">
        <v>1</v>
      </c>
      <c r="G58" s="7" t="b">
        <v>0</v>
      </c>
      <c r="H58" s="7" t="b">
        <v>0</v>
      </c>
      <c r="I58" s="7" t="b">
        <v>0</v>
      </c>
      <c r="J58" s="9" t="b">
        <v>0</v>
      </c>
      <c r="K58" s="7"/>
      <c r="L58" s="7">
        <v>0.0</v>
      </c>
      <c r="M58" s="7">
        <v>1670.0</v>
      </c>
      <c r="N58" s="7">
        <v>1801.5</v>
      </c>
      <c r="O58" s="7">
        <v>282.0</v>
      </c>
      <c r="P58" s="7">
        <v>3.92</v>
      </c>
      <c r="Q58" s="7">
        <v>0.958696</v>
      </c>
      <c r="R58" s="7">
        <v>0.958696</v>
      </c>
      <c r="S58" s="10">
        <f t="shared" si="2"/>
        <v>0</v>
      </c>
      <c r="T58" s="10">
        <f t="shared" si="3"/>
        <v>110.0011229</v>
      </c>
      <c r="U58" s="11">
        <f t="shared" si="4"/>
        <v>0.3250612136</v>
      </c>
      <c r="V58" s="8">
        <f t="shared" si="28"/>
        <v>585.5977763</v>
      </c>
      <c r="W58" s="12">
        <f t="shared" si="5"/>
        <v>4</v>
      </c>
      <c r="X58" s="12">
        <f t="shared" si="6"/>
        <v>2927.988881</v>
      </c>
      <c r="Y58" s="12">
        <f t="shared" si="7"/>
        <v>1.625306068</v>
      </c>
      <c r="Z58" s="8">
        <f t="shared" si="19"/>
        <v>549.9337125</v>
      </c>
      <c r="AA58" s="8">
        <f t="shared" si="29"/>
        <v>530</v>
      </c>
      <c r="AB58" s="13" t="str">
        <f t="shared" si="9"/>
        <v>#N/A</v>
      </c>
      <c r="AC58" s="13">
        <f t="shared" si="10"/>
        <v>0.9637525178</v>
      </c>
      <c r="AD58" s="13">
        <f>AA58/vlookup(A58,Max!$A$2:$AP$700,column(Max!$AP$2),false)</f>
        <v>0.7794117647</v>
      </c>
      <c r="AE58" s="8">
        <f t="shared" si="11"/>
        <v>426.4374991</v>
      </c>
      <c r="AF58" s="14">
        <f t="shared" si="12"/>
        <v>0.9542702479</v>
      </c>
      <c r="AG58" s="14">
        <f t="shared" si="13"/>
        <v>1.325770931</v>
      </c>
      <c r="AH58" s="14">
        <f t="shared" si="14"/>
        <v>1</v>
      </c>
      <c r="AI58" s="14">
        <f t="shared" si="15"/>
        <v>0.9820978725</v>
      </c>
      <c r="AJ58" s="15">
        <f t="shared" si="16"/>
        <v>0</v>
      </c>
      <c r="AK58" s="15" t="str">
        <f t="shared" si="17"/>
        <v>  @CONFIG[LR83-NA-1] {
   %cost = 530
   @cost -= #$../../cost$
  }</v>
      </c>
    </row>
    <row r="59" ht="15.75" customHeight="1">
      <c r="A59" s="16" t="s">
        <v>332</v>
      </c>
      <c r="B59" s="16" t="s">
        <v>330</v>
      </c>
      <c r="C59" s="8">
        <f t="shared" si="1"/>
        <v>95</v>
      </c>
      <c r="D59" s="16">
        <v>1958.0</v>
      </c>
      <c r="E59" s="16"/>
      <c r="F59" s="16" t="b">
        <v>1</v>
      </c>
      <c r="G59" s="16" t="b">
        <v>0</v>
      </c>
      <c r="H59" s="16" t="b">
        <v>0</v>
      </c>
      <c r="I59" s="16" t="b">
        <v>0</v>
      </c>
      <c r="J59" s="9" t="b">
        <v>0</v>
      </c>
      <c r="K59" s="16">
        <v>300.0</v>
      </c>
      <c r="L59" s="16">
        <v>1.0</v>
      </c>
      <c r="M59" s="34">
        <f>820</f>
        <v>820</v>
      </c>
      <c r="N59" s="16">
        <v>758.7</v>
      </c>
      <c r="O59" s="16">
        <v>282.0</v>
      </c>
      <c r="P59" s="16">
        <v>3.92</v>
      </c>
      <c r="Q59" s="16">
        <v>0.960526</v>
      </c>
      <c r="R59" s="16">
        <v>0.960526</v>
      </c>
      <c r="S59" s="19">
        <f t="shared" si="2"/>
        <v>301</v>
      </c>
      <c r="T59" s="19">
        <f t="shared" si="3"/>
        <v>94.34862055</v>
      </c>
      <c r="U59" s="20">
        <f t="shared" si="4"/>
        <v>0.5005051681</v>
      </c>
      <c r="V59" s="17">
        <f t="shared" si="28"/>
        <v>379.733271</v>
      </c>
      <c r="W59" s="21">
        <f t="shared" si="5"/>
        <v>4</v>
      </c>
      <c r="X59" s="21">
        <f t="shared" si="6"/>
        <v>1898.666355</v>
      </c>
      <c r="Y59" s="21">
        <f t="shared" si="7"/>
        <v>2.502525841</v>
      </c>
      <c r="Z59" s="8">
        <f t="shared" si="19"/>
        <v>357.9404533</v>
      </c>
      <c r="AA59" s="8">
        <f t="shared" si="29"/>
        <v>343</v>
      </c>
      <c r="AB59" s="13">
        <f t="shared" si="9"/>
        <v>1.139534884</v>
      </c>
      <c r="AC59" s="13">
        <f t="shared" si="10"/>
        <v>0.9582599475</v>
      </c>
      <c r="AD59" s="13">
        <f>AA59/vlookup(A59,Max!$A$2:$AP$700,column(Max!$AP$2),false)</f>
        <v>0.8794871795</v>
      </c>
      <c r="AE59" s="8">
        <f t="shared" si="11"/>
        <v>274.9084168</v>
      </c>
      <c r="AF59" s="14">
        <f t="shared" si="12"/>
        <v>0.9542702479</v>
      </c>
      <c r="AG59" s="14">
        <f t="shared" si="13"/>
        <v>1.325770931</v>
      </c>
      <c r="AH59" s="14">
        <f t="shared" si="14"/>
        <v>1</v>
      </c>
      <c r="AI59" s="14">
        <f t="shared" si="15"/>
        <v>0.9867912605</v>
      </c>
      <c r="AJ59" s="27">
        <f t="shared" si="16"/>
        <v>95</v>
      </c>
      <c r="AK59" s="15" t="str">
        <f t="shared" si="17"/>
        <v>  @CONFIG[LR89-NA-3] {
   %cost = 343
   @cost -= #$../../cost$
  }</v>
      </c>
    </row>
    <row r="60" ht="15.75" customHeight="1">
      <c r="A60" s="7" t="s">
        <v>53</v>
      </c>
      <c r="B60" s="7" t="s">
        <v>54</v>
      </c>
      <c r="C60" s="8">
        <f t="shared" si="1"/>
        <v>51</v>
      </c>
      <c r="D60" s="7">
        <v>1958.0</v>
      </c>
      <c r="E60" s="7"/>
      <c r="F60" s="7" t="b">
        <v>1</v>
      </c>
      <c r="G60" s="7" t="b">
        <v>0</v>
      </c>
      <c r="H60" s="7" t="b">
        <v>1</v>
      </c>
      <c r="I60" s="7" t="b">
        <v>0</v>
      </c>
      <c r="J60" s="9" t="b">
        <v>0</v>
      </c>
      <c r="K60" s="7">
        <v>150.0</v>
      </c>
      <c r="L60" s="7">
        <v>-50.0</v>
      </c>
      <c r="M60" s="7">
        <v>114.3</v>
      </c>
      <c r="N60" s="7">
        <v>67.0</v>
      </c>
      <c r="O60" s="7">
        <v>265.5</v>
      </c>
      <c r="P60" s="7">
        <v>3.4</v>
      </c>
      <c r="Q60" s="7">
        <v>0.85</v>
      </c>
      <c r="R60" s="7">
        <v>0.9</v>
      </c>
      <c r="S60" s="10">
        <f t="shared" si="2"/>
        <v>100</v>
      </c>
      <c r="T60" s="10">
        <f t="shared" si="3"/>
        <v>59.77339114</v>
      </c>
      <c r="U60" s="11">
        <f t="shared" si="4"/>
        <v>1.65354</v>
      </c>
      <c r="V60" s="8">
        <f t="shared" si="28"/>
        <v>110.78718</v>
      </c>
      <c r="W60" s="12">
        <f t="shared" si="5"/>
        <v>4</v>
      </c>
      <c r="X60" s="12">
        <f t="shared" si="6"/>
        <v>553.9358999</v>
      </c>
      <c r="Y60" s="12">
        <f t="shared" si="7"/>
        <v>8.267699999</v>
      </c>
      <c r="Z60" s="8">
        <f t="shared" si="19"/>
        <v>86.96793629</v>
      </c>
      <c r="AA60" s="8">
        <f t="shared" si="29"/>
        <v>51</v>
      </c>
      <c r="AB60" s="13">
        <f t="shared" si="9"/>
        <v>0.51</v>
      </c>
      <c r="AC60" s="13">
        <f t="shared" si="10"/>
        <v>0.5864230218</v>
      </c>
      <c r="AD60" s="13">
        <f>AA60/vlookup(A60,Max!$A$2:$AP$700,column(Max!$AP$2),false)</f>
        <v>3.517241379</v>
      </c>
      <c r="AE60" s="8">
        <f t="shared" si="11"/>
        <v>82.65517691</v>
      </c>
      <c r="AF60" s="14">
        <f t="shared" si="12"/>
        <v>0.9242998764</v>
      </c>
      <c r="AG60" s="14">
        <f t="shared" si="13"/>
        <v>1.196588323</v>
      </c>
      <c r="AH60" s="14">
        <f t="shared" si="14"/>
        <v>1</v>
      </c>
      <c r="AI60" s="14">
        <f t="shared" si="15"/>
        <v>0.5586066092</v>
      </c>
      <c r="AJ60" s="15">
        <f t="shared" si="16"/>
        <v>0</v>
      </c>
      <c r="AK60" s="15" t="str">
        <f t="shared" si="17"/>
        <v>  @CONFIG[Model117] {
   %cost = 51
   @cost -= #$../../cost$
  }</v>
      </c>
    </row>
    <row r="61" ht="15.75" customHeight="1">
      <c r="A61" s="7" t="s">
        <v>442</v>
      </c>
      <c r="B61" s="7" t="s">
        <v>443</v>
      </c>
      <c r="C61" s="8">
        <f t="shared" si="1"/>
        <v>115</v>
      </c>
      <c r="D61" s="7">
        <v>1958.0</v>
      </c>
      <c r="E61" s="7"/>
      <c r="F61" s="7" t="b">
        <v>1</v>
      </c>
      <c r="G61" s="7" t="b">
        <v>0</v>
      </c>
      <c r="H61" s="7" t="b">
        <v>1</v>
      </c>
      <c r="I61" s="7" t="b">
        <v>0</v>
      </c>
      <c r="J61" s="9" t="b">
        <v>0</v>
      </c>
      <c r="K61" s="7">
        <v>250.0</v>
      </c>
      <c r="L61" s="7">
        <v>0.0</v>
      </c>
      <c r="M61" s="7">
        <v>125.0</v>
      </c>
      <c r="N61" s="7">
        <v>49.4</v>
      </c>
      <c r="O61" s="7">
        <v>316.0</v>
      </c>
      <c r="P61" s="7">
        <v>4.5</v>
      </c>
      <c r="Q61" s="7">
        <v>0.98125</v>
      </c>
      <c r="R61" s="7">
        <v>0.95625</v>
      </c>
      <c r="S61" s="10">
        <f t="shared" si="2"/>
        <v>250</v>
      </c>
      <c r="T61" s="10">
        <f t="shared" si="3"/>
        <v>40.29918462</v>
      </c>
      <c r="U61" s="11">
        <f t="shared" si="4"/>
        <v>2.655118467</v>
      </c>
      <c r="V61" s="8">
        <f t="shared" si="28"/>
        <v>131.1628523</v>
      </c>
      <c r="W61" s="12">
        <f t="shared" si="5"/>
        <v>4</v>
      </c>
      <c r="X61" s="12">
        <f t="shared" si="6"/>
        <v>655.8142614</v>
      </c>
      <c r="Y61" s="12">
        <f t="shared" si="7"/>
        <v>13.27559234</v>
      </c>
      <c r="Z61" s="8">
        <f t="shared" si="19"/>
        <v>125.6960256</v>
      </c>
      <c r="AA61" s="8">
        <f t="shared" si="29"/>
        <v>115</v>
      </c>
      <c r="AB61" s="13">
        <f t="shared" si="9"/>
        <v>0.46</v>
      </c>
      <c r="AC61" s="13">
        <f t="shared" si="10"/>
        <v>0.9149056183</v>
      </c>
      <c r="AD61" s="13">
        <f>AA61/vlookup(A61,Max!$A$2:$AP$700,column(Max!$AP$2),false)</f>
        <v>1.949152542</v>
      </c>
      <c r="AE61" s="8">
        <f t="shared" si="11"/>
        <v>87.24719147</v>
      </c>
      <c r="AF61" s="14">
        <f t="shared" si="12"/>
        <v>1.115677507</v>
      </c>
      <c r="AG61" s="14">
        <f t="shared" si="13"/>
        <v>1.274485268</v>
      </c>
      <c r="AH61" s="14">
        <f t="shared" si="14"/>
        <v>1</v>
      </c>
      <c r="AI61" s="14">
        <f t="shared" si="15"/>
        <v>0.9307440673</v>
      </c>
      <c r="AJ61" s="15">
        <f t="shared" si="16"/>
        <v>0</v>
      </c>
      <c r="AK61" s="15" t="str">
        <f t="shared" si="17"/>
        <v>  @CONFIG[RD-0105] {
   %cost = 115
   @cost -= #$../../cost$
  }</v>
      </c>
    </row>
    <row r="62" ht="15.75" customHeight="1">
      <c r="A62" s="16" t="s">
        <v>529</v>
      </c>
      <c r="B62" s="16" t="s">
        <v>1008</v>
      </c>
      <c r="C62" s="8">
        <f t="shared" si="1"/>
        <v>-25</v>
      </c>
      <c r="D62" s="16">
        <v>1958.0</v>
      </c>
      <c r="E62" s="16"/>
      <c r="F62" s="16" t="b">
        <v>1</v>
      </c>
      <c r="G62" s="16" t="b">
        <v>0</v>
      </c>
      <c r="H62" s="16" t="b">
        <v>0</v>
      </c>
      <c r="I62" s="16" t="b">
        <v>0</v>
      </c>
      <c r="J62" s="9" t="b">
        <v>0</v>
      </c>
      <c r="K62" s="16">
        <v>470.0</v>
      </c>
      <c r="L62" s="16">
        <v>20.0</v>
      </c>
      <c r="M62" s="16">
        <v>1190.0</v>
      </c>
      <c r="N62" s="16">
        <v>996.4</v>
      </c>
      <c r="O62" s="16">
        <v>312.0</v>
      </c>
      <c r="P62" s="16">
        <v>5.69</v>
      </c>
      <c r="Q62" s="16">
        <v>0.985606</v>
      </c>
      <c r="R62" s="16">
        <v>0.985606</v>
      </c>
      <c r="S62" s="19">
        <f t="shared" si="2"/>
        <v>490</v>
      </c>
      <c r="T62" s="19">
        <f t="shared" si="3"/>
        <v>85.38195224</v>
      </c>
      <c r="U62" s="20">
        <f t="shared" si="4"/>
        <v>0.5194916278</v>
      </c>
      <c r="V62" s="17">
        <f t="shared" si="28"/>
        <v>517.6214579</v>
      </c>
      <c r="W62" s="21">
        <f t="shared" si="5"/>
        <v>4</v>
      </c>
      <c r="X62" s="21">
        <f t="shared" si="6"/>
        <v>2588.10729</v>
      </c>
      <c r="Y62" s="21">
        <f t="shared" si="7"/>
        <v>2.597458139</v>
      </c>
      <c r="Z62" s="8">
        <f t="shared" si="19"/>
        <v>513.1798451</v>
      </c>
      <c r="AA62" s="8">
        <f t="shared" si="29"/>
        <v>581</v>
      </c>
      <c r="AB62" s="13">
        <f t="shared" si="9"/>
        <v>1.185714286</v>
      </c>
      <c r="AC62" s="13">
        <f t="shared" si="10"/>
        <v>1.1321567</v>
      </c>
      <c r="AD62" s="13">
        <f>AA62/vlookup(A62,Max!$A$2:$AP$700,column(Max!$AP$2),false)</f>
        <v>0.9847457627</v>
      </c>
      <c r="AE62" s="8">
        <f t="shared" si="11"/>
        <v>345.8435044</v>
      </c>
      <c r="AF62" s="14">
        <f t="shared" si="12"/>
        <v>1.076082311</v>
      </c>
      <c r="AG62" s="14">
        <f t="shared" si="13"/>
        <v>1.482573906</v>
      </c>
      <c r="AH62" s="14">
        <f t="shared" si="14"/>
        <v>1</v>
      </c>
      <c r="AI62" s="14">
        <f t="shared" si="15"/>
        <v>1.052472673</v>
      </c>
      <c r="AJ62" s="27">
        <f t="shared" si="16"/>
        <v>-25</v>
      </c>
      <c r="AK62" s="15" t="str">
        <f t="shared" si="17"/>
        <v>  @CONFIG[RD-107-8D74-1958] {
   %cost = 581
   @cost -= #$../../cost$
  }</v>
      </c>
    </row>
    <row r="63" ht="15.75" customHeight="1">
      <c r="A63" s="7" t="s">
        <v>530</v>
      </c>
      <c r="B63" s="7" t="s">
        <v>1008</v>
      </c>
      <c r="C63" s="8">
        <f t="shared" si="1"/>
        <v>-60</v>
      </c>
      <c r="D63" s="7">
        <v>1958.0</v>
      </c>
      <c r="E63" s="7"/>
      <c r="F63" s="7" t="b">
        <v>1</v>
      </c>
      <c r="G63" s="7" t="b">
        <v>0</v>
      </c>
      <c r="H63" s="7" t="b">
        <v>0</v>
      </c>
      <c r="I63" s="7" t="b">
        <v>0</v>
      </c>
      <c r="J63" s="9" t="b">
        <v>0</v>
      </c>
      <c r="K63" s="7">
        <v>470.0</v>
      </c>
      <c r="L63" s="7">
        <v>0.0</v>
      </c>
      <c r="M63" s="7">
        <v>1190.0</v>
      </c>
      <c r="N63" s="7">
        <v>972.8</v>
      </c>
      <c r="O63" s="7">
        <v>310.0</v>
      </c>
      <c r="P63" s="7">
        <v>5.69</v>
      </c>
      <c r="Q63" s="7">
        <v>0.968182</v>
      </c>
      <c r="R63" s="7">
        <v>0.968182</v>
      </c>
      <c r="S63" s="10">
        <f t="shared" si="2"/>
        <v>470</v>
      </c>
      <c r="T63" s="10">
        <f t="shared" si="3"/>
        <v>83.35965791</v>
      </c>
      <c r="U63" s="11">
        <f t="shared" si="4"/>
        <v>0.5303106577</v>
      </c>
      <c r="V63" s="8">
        <f t="shared" si="28"/>
        <v>515.8862078</v>
      </c>
      <c r="W63" s="12">
        <f t="shared" si="5"/>
        <v>4</v>
      </c>
      <c r="X63" s="12">
        <f t="shared" si="6"/>
        <v>2579.431039</v>
      </c>
      <c r="Y63" s="12">
        <f t="shared" si="7"/>
        <v>2.651553289</v>
      </c>
      <c r="Z63" s="8">
        <f t="shared" si="19"/>
        <v>493.8972728</v>
      </c>
      <c r="AA63" s="8">
        <f t="shared" si="29"/>
        <v>546</v>
      </c>
      <c r="AB63" s="13">
        <f t="shared" si="9"/>
        <v>1.161702128</v>
      </c>
      <c r="AC63" s="13">
        <f t="shared" si="10"/>
        <v>1.105493045</v>
      </c>
      <c r="AD63" s="13">
        <f>AA63/vlookup(A63,Max!$A$2:$AP$700,column(Max!$AP$2),false)</f>
        <v>1.092</v>
      </c>
      <c r="AE63" s="8">
        <f t="shared" si="11"/>
        <v>345.8435044</v>
      </c>
      <c r="AF63" s="14">
        <f t="shared" si="12"/>
        <v>1.057751671</v>
      </c>
      <c r="AG63" s="14">
        <f t="shared" si="13"/>
        <v>1.482573906</v>
      </c>
      <c r="AH63" s="14">
        <f t="shared" si="14"/>
        <v>1</v>
      </c>
      <c r="AI63" s="14">
        <f t="shared" si="15"/>
        <v>1.006572341</v>
      </c>
      <c r="AJ63" s="27">
        <f t="shared" si="16"/>
        <v>-60</v>
      </c>
      <c r="AK63" s="15" t="str">
        <f t="shared" si="17"/>
        <v>  @CONFIG[RD-107-8D76] {
   %cost = 546
   @cost -= #$../../cost$
  }</v>
      </c>
    </row>
    <row r="64" ht="15.75" customHeight="1">
      <c r="A64" s="16" t="s">
        <v>540</v>
      </c>
      <c r="B64" s="16" t="s">
        <v>1009</v>
      </c>
      <c r="C64" s="8">
        <f t="shared" si="1"/>
        <v>-24</v>
      </c>
      <c r="D64" s="16">
        <v>1958.0</v>
      </c>
      <c r="E64" s="16"/>
      <c r="F64" s="16" t="b">
        <v>1</v>
      </c>
      <c r="G64" s="16" t="b">
        <v>0</v>
      </c>
      <c r="H64" s="16" t="b">
        <v>0</v>
      </c>
      <c r="I64" s="16" t="b">
        <v>0</v>
      </c>
      <c r="J64" s="9" t="b">
        <v>0</v>
      </c>
      <c r="K64" s="16">
        <v>450.0</v>
      </c>
      <c r="L64" s="16">
        <v>20.0</v>
      </c>
      <c r="M64" s="16">
        <v>1250.0</v>
      </c>
      <c r="N64" s="16">
        <v>945.4</v>
      </c>
      <c r="O64" s="16">
        <v>315.0</v>
      </c>
      <c r="P64" s="16">
        <v>5.08</v>
      </c>
      <c r="Q64" s="16">
        <v>0.985606</v>
      </c>
      <c r="R64" s="16">
        <v>0.985606</v>
      </c>
      <c r="S64" s="19">
        <f t="shared" si="2"/>
        <v>470</v>
      </c>
      <c r="T64" s="19">
        <f t="shared" si="3"/>
        <v>77.12317639</v>
      </c>
      <c r="U64" s="20">
        <f t="shared" si="4"/>
        <v>0.5617319662</v>
      </c>
      <c r="V64" s="17">
        <f t="shared" si="28"/>
        <v>531.0614009</v>
      </c>
      <c r="W64" s="21">
        <f t="shared" si="5"/>
        <v>4</v>
      </c>
      <c r="X64" s="21">
        <f t="shared" si="6"/>
        <v>2655.307004</v>
      </c>
      <c r="Y64" s="21">
        <f t="shared" si="7"/>
        <v>2.808659831</v>
      </c>
      <c r="Z64" s="8">
        <f t="shared" si="19"/>
        <v>526.5044624</v>
      </c>
      <c r="AA64" s="8">
        <f t="shared" si="29"/>
        <v>596</v>
      </c>
      <c r="AB64" s="13">
        <f t="shared" si="9"/>
        <v>1.268085106</v>
      </c>
      <c r="AC64" s="13">
        <f t="shared" si="10"/>
        <v>1.131994204</v>
      </c>
      <c r="AD64" s="13">
        <f>AA64/vlookup(A64,Max!$A$2:$AP$700,column(Max!$AP$2),false)</f>
        <v>0.8164383562</v>
      </c>
      <c r="AE64" s="8">
        <f t="shared" si="11"/>
        <v>356.5089642</v>
      </c>
      <c r="AF64" s="14">
        <f t="shared" si="12"/>
        <v>1.107892259</v>
      </c>
      <c r="AG64" s="14">
        <f t="shared" si="13"/>
        <v>1.432985467</v>
      </c>
      <c r="AH64" s="14">
        <f t="shared" si="14"/>
        <v>1</v>
      </c>
      <c r="AI64" s="14">
        <f t="shared" si="15"/>
        <v>1.052472673</v>
      </c>
      <c r="AJ64" s="27">
        <f t="shared" si="16"/>
        <v>-24</v>
      </c>
      <c r="AK64" s="15" t="str">
        <f t="shared" si="17"/>
        <v>  @CONFIG[RD-108-8D75-1958] {
   %cost = 596
   @cost -= #$../../cost$
  }</v>
      </c>
    </row>
    <row r="65" ht="15.75" customHeight="1">
      <c r="A65" s="7" t="s">
        <v>541</v>
      </c>
      <c r="B65" s="7" t="s">
        <v>1009</v>
      </c>
      <c r="C65" s="8">
        <f t="shared" si="1"/>
        <v>-93</v>
      </c>
      <c r="D65" s="7">
        <v>1958.0</v>
      </c>
      <c r="E65" s="7"/>
      <c r="F65" s="7" t="b">
        <v>1</v>
      </c>
      <c r="G65" s="7" t="b">
        <v>0</v>
      </c>
      <c r="H65" s="7" t="b">
        <v>0</v>
      </c>
      <c r="I65" s="7" t="b">
        <v>0</v>
      </c>
      <c r="J65" s="9" t="b">
        <v>0</v>
      </c>
      <c r="K65" s="7">
        <v>450.0</v>
      </c>
      <c r="L65" s="7">
        <v>0.0</v>
      </c>
      <c r="M65" s="7">
        <v>1250.0</v>
      </c>
      <c r="N65" s="7">
        <v>803.2</v>
      </c>
      <c r="O65" s="7">
        <v>315.0</v>
      </c>
      <c r="P65" s="7">
        <v>3.92</v>
      </c>
      <c r="Q65" s="7">
        <v>0.968182</v>
      </c>
      <c r="R65" s="7">
        <v>0.968182</v>
      </c>
      <c r="S65" s="10">
        <f t="shared" si="2"/>
        <v>450</v>
      </c>
      <c r="T65" s="10">
        <f t="shared" si="3"/>
        <v>65.52288479</v>
      </c>
      <c r="U65" s="11">
        <f t="shared" si="4"/>
        <v>0.6483441124</v>
      </c>
      <c r="V65" s="8">
        <f t="shared" si="28"/>
        <v>520.749991</v>
      </c>
      <c r="W65" s="12">
        <f t="shared" si="5"/>
        <v>4</v>
      </c>
      <c r="X65" s="12">
        <f t="shared" si="6"/>
        <v>2603.749955</v>
      </c>
      <c r="Y65" s="12">
        <f t="shared" si="7"/>
        <v>3.241720562</v>
      </c>
      <c r="Z65" s="8">
        <f t="shared" si="19"/>
        <v>498.553744</v>
      </c>
      <c r="AA65" s="8">
        <f t="shared" si="29"/>
        <v>527</v>
      </c>
      <c r="AB65" s="13">
        <f t="shared" si="9"/>
        <v>1.171111111</v>
      </c>
      <c r="AC65" s="13">
        <f t="shared" si="10"/>
        <v>1.057057552</v>
      </c>
      <c r="AD65" s="13">
        <f>AA65/vlookup(A65,Max!$A$2:$AP$700,column(Max!$AP$2),false)</f>
        <v>0.9581818182</v>
      </c>
      <c r="AE65" s="8">
        <f t="shared" si="11"/>
        <v>356.5089642</v>
      </c>
      <c r="AF65" s="14">
        <f t="shared" si="12"/>
        <v>1.107892259</v>
      </c>
      <c r="AG65" s="14">
        <f t="shared" si="13"/>
        <v>1.325770931</v>
      </c>
      <c r="AH65" s="14">
        <f t="shared" si="14"/>
        <v>1</v>
      </c>
      <c r="AI65" s="14">
        <f t="shared" si="15"/>
        <v>1.006572341</v>
      </c>
      <c r="AJ65" s="27">
        <f t="shared" si="16"/>
        <v>-93</v>
      </c>
      <c r="AK65" s="15" t="str">
        <f t="shared" si="17"/>
        <v>  @CONFIG[RD-108-8D77] {
   %cost = 527
   @cost -= #$../../cost$
  }</v>
      </c>
    </row>
    <row r="66" ht="15.75" customHeight="1">
      <c r="A66" s="7" t="s">
        <v>721</v>
      </c>
      <c r="B66" s="7" t="s">
        <v>1011</v>
      </c>
      <c r="C66" s="8">
        <f t="shared" si="1"/>
        <v>373</v>
      </c>
      <c r="D66" s="7">
        <v>1958.0</v>
      </c>
      <c r="E66" s="7"/>
      <c r="F66" s="7" t="b">
        <v>1</v>
      </c>
      <c r="G66" s="7" t="b">
        <v>0</v>
      </c>
      <c r="H66" s="7" t="b">
        <v>0</v>
      </c>
      <c r="I66" s="7" t="b">
        <v>0</v>
      </c>
      <c r="J66" s="9" t="b">
        <v>0</v>
      </c>
      <c r="K66" s="7">
        <v>280.0</v>
      </c>
      <c r="L66" s="7">
        <v>0.0</v>
      </c>
      <c r="M66" s="7">
        <v>945.3</v>
      </c>
      <c r="N66" s="7">
        <v>696.6</v>
      </c>
      <c r="O66" s="7">
        <v>288.0</v>
      </c>
      <c r="P66" s="7">
        <v>3.61</v>
      </c>
      <c r="Q66" s="7">
        <v>0.962903</v>
      </c>
      <c r="R66" s="7">
        <v>0.962903</v>
      </c>
      <c r="S66" s="10">
        <f t="shared" si="2"/>
        <v>280</v>
      </c>
      <c r="T66" s="10">
        <f t="shared" si="3"/>
        <v>75.14379688</v>
      </c>
      <c r="U66" s="11">
        <f t="shared" si="4"/>
        <v>0.5971614658</v>
      </c>
      <c r="V66" s="8">
        <f t="shared" si="28"/>
        <v>415.9826771</v>
      </c>
      <c r="W66" s="12">
        <f t="shared" si="5"/>
        <v>4</v>
      </c>
      <c r="X66" s="12">
        <f t="shared" si="6"/>
        <v>2079.913385</v>
      </c>
      <c r="Y66" s="12">
        <f t="shared" si="7"/>
        <v>2.985807329</v>
      </c>
      <c r="Z66" s="8">
        <f t="shared" si="19"/>
        <v>394.011382</v>
      </c>
      <c r="AA66" s="8">
        <f t="shared" si="29"/>
        <v>373</v>
      </c>
      <c r="AB66" s="13">
        <f t="shared" si="9"/>
        <v>1.332142857</v>
      </c>
      <c r="AC66" s="13">
        <f t="shared" si="10"/>
        <v>0.9466731598</v>
      </c>
      <c r="AD66" s="13">
        <f>AA66/vlookup(A66,Max!$A$2:$AP$700,column(Max!$AP$2),false)</f>
        <v>1.036111111</v>
      </c>
      <c r="AE66" s="8">
        <f t="shared" si="11"/>
        <v>300.0666555</v>
      </c>
      <c r="AF66" s="14">
        <f t="shared" si="12"/>
        <v>0.9678038641</v>
      </c>
      <c r="AG66" s="14">
        <f t="shared" si="13"/>
        <v>1.293405885</v>
      </c>
      <c r="AH66" s="14">
        <f t="shared" si="14"/>
        <v>1</v>
      </c>
      <c r="AI66" s="14">
        <f t="shared" si="15"/>
        <v>0.9929075918</v>
      </c>
      <c r="AJ66" s="15">
        <f t="shared" si="16"/>
        <v>0</v>
      </c>
      <c r="AK66" s="15" t="str">
        <f t="shared" si="17"/>
        <v>  @CONFIG[RZ.1] {
   %cost = 373
   @cost -= #$../../cost$
  }</v>
      </c>
    </row>
    <row r="67" ht="15.75" customHeight="1">
      <c r="A67" s="16" t="s">
        <v>280</v>
      </c>
      <c r="B67" s="16" t="s">
        <v>279</v>
      </c>
      <c r="C67" s="8">
        <f t="shared" si="1"/>
        <v>-8</v>
      </c>
      <c r="D67" s="16">
        <v>1958.0</v>
      </c>
      <c r="E67" s="16"/>
      <c r="F67" s="16" t="b">
        <v>1</v>
      </c>
      <c r="G67" s="16" t="b">
        <v>0</v>
      </c>
      <c r="H67" s="16" t="b">
        <v>0</v>
      </c>
      <c r="I67" s="16" t="b">
        <v>0</v>
      </c>
      <c r="J67" s="9" t="b">
        <v>0</v>
      </c>
      <c r="K67" s="16">
        <v>300.0</v>
      </c>
      <c r="L67" s="16">
        <v>1.0</v>
      </c>
      <c r="M67" s="16">
        <v>945.3</v>
      </c>
      <c r="N67" s="16">
        <v>766.345</v>
      </c>
      <c r="O67" s="16">
        <v>288.0</v>
      </c>
      <c r="P67" s="16">
        <v>3.61</v>
      </c>
      <c r="Q67" s="16">
        <v>0.969444</v>
      </c>
      <c r="R67" s="16">
        <v>0.969444</v>
      </c>
      <c r="S67" s="19">
        <f t="shared" si="2"/>
        <v>301</v>
      </c>
      <c r="T67" s="19">
        <f t="shared" si="3"/>
        <v>82.66734571</v>
      </c>
      <c r="U67" s="20">
        <f t="shared" si="4"/>
        <v>0.5428138463</v>
      </c>
      <c r="V67" s="17">
        <f t="shared" si="28"/>
        <v>415.9826771</v>
      </c>
      <c r="W67" s="21">
        <f t="shared" si="5"/>
        <v>4</v>
      </c>
      <c r="X67" s="21">
        <f t="shared" si="6"/>
        <v>2079.913385</v>
      </c>
      <c r="Y67" s="21">
        <f t="shared" si="7"/>
        <v>2.714069232</v>
      </c>
      <c r="Z67" s="8">
        <f t="shared" si="19"/>
        <v>399.2691874</v>
      </c>
      <c r="AA67" s="8">
        <f t="shared" si="29"/>
        <v>379</v>
      </c>
      <c r="AB67" s="13">
        <f t="shared" si="9"/>
        <v>1.259136213</v>
      </c>
      <c r="AC67" s="13">
        <f t="shared" si="10"/>
        <v>0.9492342809</v>
      </c>
      <c r="AD67" s="13">
        <f>AA67/vlookup(A67,Max!$A$2:$AP$700,column(Max!$AP$2),false)</f>
        <v>0.9023809524</v>
      </c>
      <c r="AE67" s="8">
        <f t="shared" si="11"/>
        <v>300.0666555</v>
      </c>
      <c r="AF67" s="14">
        <f t="shared" si="12"/>
        <v>0.9678038641</v>
      </c>
      <c r="AG67" s="14">
        <f t="shared" si="13"/>
        <v>1.293405885</v>
      </c>
      <c r="AH67" s="14">
        <f t="shared" si="14"/>
        <v>1</v>
      </c>
      <c r="AI67" s="14">
        <f t="shared" si="15"/>
        <v>1.00985565</v>
      </c>
      <c r="AJ67" s="27">
        <f t="shared" si="16"/>
        <v>-8</v>
      </c>
      <c r="AK67" s="15" t="str">
        <f t="shared" si="17"/>
        <v>  @CONFIG[S-3D] {
   %cost = 379
   @cost -= #$../../cost$
  }</v>
      </c>
    </row>
    <row r="68" ht="15.75" customHeight="1">
      <c r="A68" s="16" t="s">
        <v>807</v>
      </c>
      <c r="B68" s="16" t="s">
        <v>808</v>
      </c>
      <c r="C68" s="8">
        <f t="shared" si="1"/>
        <v>373</v>
      </c>
      <c r="D68" s="16">
        <v>1958.0</v>
      </c>
      <c r="E68" s="16"/>
      <c r="F68" s="16" t="b">
        <v>1</v>
      </c>
      <c r="G68" s="16" t="b">
        <v>0</v>
      </c>
      <c r="H68" s="16" t="b">
        <v>0</v>
      </c>
      <c r="I68" s="16" t="b">
        <v>0</v>
      </c>
      <c r="J68" s="9" t="b">
        <v>0</v>
      </c>
      <c r="K68" s="16">
        <v>300.0</v>
      </c>
      <c r="L68" s="16">
        <v>-20.0</v>
      </c>
      <c r="M68" s="16">
        <v>776.0</v>
      </c>
      <c r="N68" s="16">
        <v>698.0</v>
      </c>
      <c r="O68" s="16">
        <v>282.4</v>
      </c>
      <c r="P68" s="16">
        <v>5.345</v>
      </c>
      <c r="Q68" s="16">
        <v>0.969444</v>
      </c>
      <c r="R68" s="16">
        <v>0.969444</v>
      </c>
      <c r="S68" s="19">
        <f t="shared" si="2"/>
        <v>280</v>
      </c>
      <c r="T68" s="19">
        <f t="shared" si="3"/>
        <v>91.72189621</v>
      </c>
      <c r="U68" s="20">
        <f t="shared" si="4"/>
        <v>0.5408653559</v>
      </c>
      <c r="V68" s="17">
        <f t="shared" si="28"/>
        <v>377.5240184</v>
      </c>
      <c r="W68" s="21">
        <f t="shared" si="5"/>
        <v>4</v>
      </c>
      <c r="X68" s="21">
        <f t="shared" si="6"/>
        <v>1887.620092</v>
      </c>
      <c r="Y68" s="21">
        <f t="shared" si="7"/>
        <v>2.70432678</v>
      </c>
      <c r="Z68" s="8">
        <f t="shared" si="19"/>
        <v>362.3557335</v>
      </c>
      <c r="AA68" s="8">
        <f t="shared" si="29"/>
        <v>373</v>
      </c>
      <c r="AB68" s="13">
        <f t="shared" si="9"/>
        <v>1.332142857</v>
      </c>
      <c r="AC68" s="13">
        <f t="shared" si="10"/>
        <v>1.029375184</v>
      </c>
      <c r="AD68" s="13">
        <f>AA68/vlookup(A68,Max!$A$2:$AP$700,column(Max!$AP$2),false)</f>
        <v>1.065714286</v>
      </c>
      <c r="AE68" s="8">
        <f t="shared" si="11"/>
        <v>265.7360137</v>
      </c>
      <c r="AF68" s="14">
        <f t="shared" si="12"/>
        <v>0.9551245847</v>
      </c>
      <c r="AG68" s="14">
        <f t="shared" si="13"/>
        <v>1.455013373</v>
      </c>
      <c r="AH68" s="14">
        <f t="shared" si="14"/>
        <v>1</v>
      </c>
      <c r="AI68" s="14">
        <f t="shared" si="15"/>
        <v>1.00985565</v>
      </c>
      <c r="AJ68" s="15">
        <f t="shared" si="16"/>
        <v>0</v>
      </c>
      <c r="AK68" s="15" t="str">
        <f t="shared" si="17"/>
        <v>  @CONFIG[Viking-2] {
   %cost = 373
   @cost -= #$../../cost$
  }</v>
      </c>
    </row>
    <row r="69" ht="15.75" customHeight="1">
      <c r="A69" s="16" t="s">
        <v>85</v>
      </c>
      <c r="B69" s="16" t="s">
        <v>83</v>
      </c>
      <c r="C69" s="8">
        <f t="shared" si="1"/>
        <v>8</v>
      </c>
      <c r="D69" s="16">
        <v>1959.0</v>
      </c>
      <c r="E69" s="16"/>
      <c r="F69" s="16" t="b">
        <v>0</v>
      </c>
      <c r="G69" s="16" t="b">
        <v>0</v>
      </c>
      <c r="H69" s="16" t="b">
        <v>1</v>
      </c>
      <c r="I69" s="16" t="b">
        <v>0</v>
      </c>
      <c r="J69" s="9" t="b">
        <v>0</v>
      </c>
      <c r="K69" s="16">
        <v>100.0</v>
      </c>
      <c r="L69" s="16">
        <v>1.0</v>
      </c>
      <c r="M69" s="16">
        <v>80.0</v>
      </c>
      <c r="N69" s="16">
        <v>33.4</v>
      </c>
      <c r="O69" s="16">
        <v>270.0</v>
      </c>
      <c r="P69" s="16">
        <v>1.4</v>
      </c>
      <c r="Q69" s="16">
        <v>0.978125</v>
      </c>
      <c r="R69" s="16">
        <v>0.99</v>
      </c>
      <c r="S69" s="19">
        <f t="shared" si="2"/>
        <v>101</v>
      </c>
      <c r="T69" s="19">
        <f t="shared" si="3"/>
        <v>42.57315177</v>
      </c>
      <c r="U69" s="20">
        <f t="shared" si="4"/>
        <v>2.486535894</v>
      </c>
      <c r="V69" s="17">
        <f t="shared" si="28"/>
        <v>83.05029885</v>
      </c>
      <c r="W69" s="21">
        <f t="shared" si="5"/>
        <v>1.75</v>
      </c>
      <c r="X69" s="21">
        <f t="shared" si="6"/>
        <v>228.3883218</v>
      </c>
      <c r="Y69" s="21">
        <f t="shared" si="7"/>
        <v>6.837973707</v>
      </c>
      <c r="Z69" s="8">
        <f t="shared" si="19"/>
        <v>82.0822438</v>
      </c>
      <c r="AA69" s="8">
        <f t="shared" si="29"/>
        <v>60</v>
      </c>
      <c r="AB69" s="13">
        <f t="shared" si="9"/>
        <v>0.5940594059</v>
      </c>
      <c r="AC69" s="13">
        <f t="shared" si="10"/>
        <v>0.7309741696</v>
      </c>
      <c r="AD69" s="13">
        <f>AA69/vlookup(A69,Max!$A$2:$AP$700,column(Max!$AP$2),false)</f>
        <v>2.5</v>
      </c>
      <c r="AE69" s="8">
        <f t="shared" si="11"/>
        <v>66.66106508</v>
      </c>
      <c r="AF69" s="14">
        <f t="shared" si="12"/>
        <v>0.9315196521</v>
      </c>
      <c r="AG69" s="14">
        <f t="shared" si="13"/>
        <v>0.9800332539</v>
      </c>
      <c r="AH69" s="14">
        <f t="shared" si="14"/>
        <v>1</v>
      </c>
      <c r="AI69" s="14">
        <f t="shared" si="15"/>
        <v>0.9869385358</v>
      </c>
      <c r="AJ69" s="27">
        <f t="shared" si="16"/>
        <v>8</v>
      </c>
      <c r="AK69" s="15" t="str">
        <f t="shared" si="17"/>
        <v>  @CONFIG[AJ10-101A] {
   %cost = 60
   @cost -= #$../../cost$
  }</v>
      </c>
    </row>
    <row r="70" ht="15.75" customHeight="1">
      <c r="A70" s="7" t="s">
        <v>281</v>
      </c>
      <c r="B70" s="7" t="s">
        <v>279</v>
      </c>
      <c r="C70" s="8">
        <f t="shared" si="1"/>
        <v>-15</v>
      </c>
      <c r="D70" s="7">
        <v>1959.0</v>
      </c>
      <c r="E70" s="7"/>
      <c r="F70" s="7" t="b">
        <v>1</v>
      </c>
      <c r="G70" s="7" t="b">
        <v>0</v>
      </c>
      <c r="H70" s="7" t="b">
        <v>0</v>
      </c>
      <c r="I70" s="7" t="b">
        <v>0</v>
      </c>
      <c r="J70" s="9" t="b">
        <v>0</v>
      </c>
      <c r="K70" s="7">
        <v>300.0</v>
      </c>
      <c r="L70" s="7">
        <v>30.0</v>
      </c>
      <c r="M70" s="7">
        <v>933.66</v>
      </c>
      <c r="N70" s="7">
        <v>782.886</v>
      </c>
      <c r="O70" s="7">
        <v>284.0</v>
      </c>
      <c r="P70" s="7">
        <v>3.65</v>
      </c>
      <c r="Q70" s="7">
        <v>0.975</v>
      </c>
      <c r="R70" s="7">
        <v>0.975</v>
      </c>
      <c r="S70" s="10">
        <f t="shared" si="2"/>
        <v>330</v>
      </c>
      <c r="T70" s="10">
        <f t="shared" si="3"/>
        <v>85.50452464</v>
      </c>
      <c r="U70" s="11">
        <f t="shared" si="4"/>
        <v>0.5238809125</v>
      </c>
      <c r="V70" s="8">
        <f t="shared" si="28"/>
        <v>410.139032</v>
      </c>
      <c r="W70" s="12">
        <f t="shared" si="5"/>
        <v>4</v>
      </c>
      <c r="X70" s="12">
        <f t="shared" si="6"/>
        <v>2050.69516</v>
      </c>
      <c r="Y70" s="12">
        <f t="shared" si="7"/>
        <v>2.619404562</v>
      </c>
      <c r="Z70" s="8">
        <f t="shared" si="19"/>
        <v>398.091198</v>
      </c>
      <c r="AA70" s="8">
        <f t="shared" si="29"/>
        <v>372</v>
      </c>
      <c r="AB70" s="13">
        <f t="shared" si="9"/>
        <v>1.127272727</v>
      </c>
      <c r="AC70" s="13">
        <f t="shared" si="10"/>
        <v>0.9344592442</v>
      </c>
      <c r="AD70" s="13">
        <f>AA70/vlookup(A70,Max!$A$2:$AP$700,column(Max!$AP$2),false)</f>
        <v>0.9538461538</v>
      </c>
      <c r="AE70" s="8">
        <f t="shared" si="11"/>
        <v>297.7846678</v>
      </c>
      <c r="AF70" s="14">
        <f t="shared" si="12"/>
        <v>0.9586088047</v>
      </c>
      <c r="AG70" s="14">
        <f t="shared" si="13"/>
        <v>1.297688726</v>
      </c>
      <c r="AH70" s="14">
        <f t="shared" si="14"/>
        <v>1</v>
      </c>
      <c r="AI70" s="14">
        <f t="shared" si="15"/>
        <v>1.003986242</v>
      </c>
      <c r="AJ70" s="27">
        <f t="shared" si="16"/>
        <v>-15</v>
      </c>
      <c r="AK70" s="15" t="str">
        <f t="shared" si="17"/>
        <v>  @CONFIG[LR79-NA-9] {
   %cost = 372
   @cost -= #$../../cost$
  }</v>
      </c>
    </row>
    <row r="71" ht="15.75" customHeight="1">
      <c r="A71" s="16" t="s">
        <v>290</v>
      </c>
      <c r="B71" s="16" t="s">
        <v>288</v>
      </c>
      <c r="C71" s="8">
        <f t="shared" si="1"/>
        <v>364</v>
      </c>
      <c r="D71" s="16">
        <v>1959.0</v>
      </c>
      <c r="E71" s="16"/>
      <c r="F71" s="16" t="b">
        <v>1</v>
      </c>
      <c r="G71" s="16" t="b">
        <v>0</v>
      </c>
      <c r="H71" s="16" t="b">
        <v>0</v>
      </c>
      <c r="I71" s="16" t="b">
        <v>0</v>
      </c>
      <c r="J71" s="9" t="b">
        <v>0</v>
      </c>
      <c r="K71" s="16">
        <v>250.0</v>
      </c>
      <c r="L71" s="16">
        <v>0.0</v>
      </c>
      <c r="M71" s="16">
        <v>839.0</v>
      </c>
      <c r="N71" s="16">
        <v>765.95</v>
      </c>
      <c r="O71" s="16">
        <v>286.0</v>
      </c>
      <c r="P71" s="16">
        <v>4.05</v>
      </c>
      <c r="Q71" s="16">
        <v>0.978571</v>
      </c>
      <c r="R71" s="16">
        <v>0.978571</v>
      </c>
      <c r="S71" s="19">
        <f t="shared" si="2"/>
        <v>250</v>
      </c>
      <c r="T71" s="19">
        <f t="shared" si="3"/>
        <v>93.09316222</v>
      </c>
      <c r="U71" s="20">
        <f t="shared" si="4"/>
        <v>0.5077970739</v>
      </c>
      <c r="V71" s="17">
        <f t="shared" si="28"/>
        <v>388.9471688</v>
      </c>
      <c r="W71" s="21">
        <f t="shared" si="5"/>
        <v>4</v>
      </c>
      <c r="X71" s="21">
        <f t="shared" si="6"/>
        <v>1944.735844</v>
      </c>
      <c r="Y71" s="21">
        <f t="shared" si="7"/>
        <v>2.53898537</v>
      </c>
      <c r="Z71" s="8">
        <f t="shared" si="19"/>
        <v>380.2352197</v>
      </c>
      <c r="AA71" s="8">
        <f t="shared" si="29"/>
        <v>364</v>
      </c>
      <c r="AB71" s="13">
        <f t="shared" si="9"/>
        <v>1.456</v>
      </c>
      <c r="AC71" s="13">
        <f t="shared" si="10"/>
        <v>0.9573021675</v>
      </c>
      <c r="AD71" s="13">
        <f>AA71/vlookup(A71,Max!$A$2:$AP$700,column(Max!$AP$2),false)</f>
        <v>0.9333333333</v>
      </c>
      <c r="AE71" s="8">
        <f t="shared" si="11"/>
        <v>278.8117574</v>
      </c>
      <c r="AF71" s="14">
        <f t="shared" si="12"/>
        <v>0.9631180172</v>
      </c>
      <c r="AG71" s="14">
        <f t="shared" si="13"/>
        <v>1.338810714</v>
      </c>
      <c r="AH71" s="14">
        <f t="shared" si="14"/>
        <v>1</v>
      </c>
      <c r="AI71" s="14">
        <f t="shared" si="15"/>
        <v>1.013204419</v>
      </c>
      <c r="AJ71" s="15">
        <f t="shared" si="16"/>
        <v>0</v>
      </c>
      <c r="AK71" s="15" t="str">
        <f t="shared" si="17"/>
        <v>  @CONFIG[LR87-AJ-3] {
   %cost = 364
   @cost -= #$../../cost$
  }</v>
      </c>
    </row>
    <row r="72" ht="15.75" customHeight="1">
      <c r="A72" s="16" t="s">
        <v>340</v>
      </c>
      <c r="B72" s="16" t="s">
        <v>339</v>
      </c>
      <c r="C72" s="8">
        <f t="shared" si="1"/>
        <v>325</v>
      </c>
      <c r="D72" s="16">
        <v>1959.0</v>
      </c>
      <c r="E72" s="16"/>
      <c r="F72" s="16" t="b">
        <v>1</v>
      </c>
      <c r="G72" s="16" t="b">
        <v>0</v>
      </c>
      <c r="H72" s="16" t="b">
        <v>1</v>
      </c>
      <c r="I72" s="16" t="b">
        <v>0</v>
      </c>
      <c r="J72" s="9" t="b">
        <v>0</v>
      </c>
      <c r="K72" s="16">
        <v>250.0</v>
      </c>
      <c r="L72" s="16">
        <v>0.0</v>
      </c>
      <c r="M72" s="16">
        <f>500*1.18</f>
        <v>590</v>
      </c>
      <c r="N72" s="16">
        <v>362.88</v>
      </c>
      <c r="O72" s="16">
        <v>310.0</v>
      </c>
      <c r="P72" s="16">
        <v>5.65</v>
      </c>
      <c r="Q72" s="16">
        <v>0.987705</v>
      </c>
      <c r="R72" s="16">
        <v>0.993966</v>
      </c>
      <c r="S72" s="19">
        <f t="shared" si="2"/>
        <v>250</v>
      </c>
      <c r="T72" s="19">
        <f t="shared" si="3"/>
        <v>62.71773191</v>
      </c>
      <c r="U72" s="20">
        <f t="shared" si="4"/>
        <v>0.929652133</v>
      </c>
      <c r="V72" s="17">
        <f t="shared" si="28"/>
        <v>337.352166</v>
      </c>
      <c r="W72" s="21">
        <f t="shared" si="5"/>
        <v>4</v>
      </c>
      <c r="X72" s="21">
        <f t="shared" si="6"/>
        <v>1686.76083</v>
      </c>
      <c r="Y72" s="21">
        <f t="shared" si="7"/>
        <v>4.648260665</v>
      </c>
      <c r="Z72" s="8">
        <f t="shared" si="19"/>
        <v>337.940909</v>
      </c>
      <c r="AA72" s="8">
        <f t="shared" si="29"/>
        <v>325</v>
      </c>
      <c r="AB72" s="13">
        <f t="shared" si="9"/>
        <v>1.3</v>
      </c>
      <c r="AC72" s="13">
        <f t="shared" si="10"/>
        <v>0.9617065923</v>
      </c>
      <c r="AD72" s="13">
        <f>AA72/vlookup(A72,Max!$A$2:$AP$700,column(Max!$AP$2),false)</f>
        <v>1.413043478</v>
      </c>
      <c r="AE72" s="8">
        <f t="shared" si="11"/>
        <v>224.557802</v>
      </c>
      <c r="AF72" s="14">
        <f t="shared" si="12"/>
        <v>1.057751671</v>
      </c>
      <c r="AG72" s="14">
        <f t="shared" si="13"/>
        <v>1.341445104</v>
      </c>
      <c r="AH72" s="14">
        <f t="shared" si="14"/>
        <v>1</v>
      </c>
      <c r="AI72" s="14">
        <f t="shared" si="15"/>
        <v>1.021440739</v>
      </c>
      <c r="AJ72" s="15">
        <f t="shared" si="16"/>
        <v>0</v>
      </c>
      <c r="AK72" s="15" t="str">
        <f t="shared" si="17"/>
        <v>  @CONFIG[LR91-AJ-3] {
   %cost = 325
   @cost -= #$../../cost$
  }</v>
      </c>
    </row>
    <row r="73" ht="15.75" customHeight="1">
      <c r="A73" s="7" t="s">
        <v>531</v>
      </c>
      <c r="B73" s="7" t="s">
        <v>1008</v>
      </c>
      <c r="C73" s="8">
        <f t="shared" si="1"/>
        <v>-14</v>
      </c>
      <c r="D73" s="7">
        <v>1959.0</v>
      </c>
      <c r="E73" s="7"/>
      <c r="F73" s="7" t="b">
        <v>1</v>
      </c>
      <c r="G73" s="7" t="b">
        <v>0</v>
      </c>
      <c r="H73" s="7" t="b">
        <v>0</v>
      </c>
      <c r="I73" s="7" t="b">
        <v>0</v>
      </c>
      <c r="J73" s="9" t="b">
        <v>0</v>
      </c>
      <c r="K73" s="7">
        <v>470.0</v>
      </c>
      <c r="L73" s="7">
        <v>40.0</v>
      </c>
      <c r="M73" s="7">
        <v>1190.0</v>
      </c>
      <c r="N73" s="7">
        <v>996.4</v>
      </c>
      <c r="O73" s="7">
        <v>313.0</v>
      </c>
      <c r="P73" s="7">
        <v>5.69</v>
      </c>
      <c r="Q73" s="7">
        <v>0.997727</v>
      </c>
      <c r="R73" s="7">
        <v>0.997727</v>
      </c>
      <c r="S73" s="10">
        <f t="shared" si="2"/>
        <v>510</v>
      </c>
      <c r="T73" s="10">
        <f t="shared" si="3"/>
        <v>85.38195224</v>
      </c>
      <c r="U73" s="11">
        <f t="shared" si="4"/>
        <v>0.5203608758</v>
      </c>
      <c r="V73" s="8">
        <f t="shared" si="28"/>
        <v>518.4875767</v>
      </c>
      <c r="W73" s="12">
        <f t="shared" si="5"/>
        <v>4</v>
      </c>
      <c r="X73" s="12">
        <f t="shared" si="6"/>
        <v>2592.437883</v>
      </c>
      <c r="Y73" s="12">
        <f t="shared" si="7"/>
        <v>2.601804379</v>
      </c>
      <c r="Z73" s="8">
        <f t="shared" si="19"/>
        <v>526.5029625</v>
      </c>
      <c r="AA73" s="8">
        <f t="shared" si="29"/>
        <v>592</v>
      </c>
      <c r="AB73" s="13">
        <f t="shared" si="9"/>
        <v>1.160784314</v>
      </c>
      <c r="AC73" s="13">
        <f t="shared" si="10"/>
        <v>1.124400131</v>
      </c>
      <c r="AD73" s="13">
        <f>AA73/vlookup(A73,Max!$A$2:$AP$700,column(Max!$AP$2),false)</f>
        <v>0.896969697</v>
      </c>
      <c r="AE73" s="8">
        <f t="shared" si="11"/>
        <v>345.8435044</v>
      </c>
      <c r="AF73" s="14">
        <f t="shared" si="12"/>
        <v>1.086108856</v>
      </c>
      <c r="AG73" s="14">
        <f t="shared" si="13"/>
        <v>1.482573906</v>
      </c>
      <c r="AH73" s="14">
        <f t="shared" si="14"/>
        <v>1</v>
      </c>
      <c r="AI73" s="14">
        <f t="shared" si="15"/>
        <v>1.06351969</v>
      </c>
      <c r="AJ73" s="27">
        <f t="shared" si="16"/>
        <v>-14</v>
      </c>
      <c r="AK73" s="15" t="str">
        <f t="shared" si="17"/>
        <v>  @CONFIG[RD-107-8D74-1959] {
   %cost = 592
   @cost -= #$../../cost$
  }</v>
      </c>
    </row>
    <row r="74" ht="15.75" customHeight="1">
      <c r="A74" s="7" t="s">
        <v>542</v>
      </c>
      <c r="B74" s="7" t="s">
        <v>1009</v>
      </c>
      <c r="C74" s="8">
        <f t="shared" si="1"/>
        <v>-18</v>
      </c>
      <c r="D74" s="7">
        <v>1959.0</v>
      </c>
      <c r="E74" s="7"/>
      <c r="F74" s="7" t="b">
        <v>1</v>
      </c>
      <c r="G74" s="7" t="b">
        <v>0</v>
      </c>
      <c r="H74" s="7" t="b">
        <v>0</v>
      </c>
      <c r="I74" s="7" t="b">
        <v>0</v>
      </c>
      <c r="J74" s="9" t="b">
        <v>0</v>
      </c>
      <c r="K74" s="7">
        <v>450.0</v>
      </c>
      <c r="L74" s="7">
        <v>40.0</v>
      </c>
      <c r="M74" s="7">
        <v>1250.0</v>
      </c>
      <c r="N74" s="7">
        <v>941.0</v>
      </c>
      <c r="O74" s="7">
        <v>315.0</v>
      </c>
      <c r="P74" s="7">
        <v>5.08</v>
      </c>
      <c r="Q74" s="7">
        <v>0.997727</v>
      </c>
      <c r="R74" s="7">
        <v>0.997727</v>
      </c>
      <c r="S74" s="10">
        <f t="shared" si="2"/>
        <v>490</v>
      </c>
      <c r="T74" s="10">
        <f t="shared" si="3"/>
        <v>76.76423629</v>
      </c>
      <c r="U74" s="11">
        <f t="shared" si="4"/>
        <v>0.5643585557</v>
      </c>
      <c r="V74" s="8">
        <f t="shared" si="28"/>
        <v>531.0614009</v>
      </c>
      <c r="W74" s="12">
        <f t="shared" si="5"/>
        <v>4</v>
      </c>
      <c r="X74" s="12">
        <f t="shared" si="6"/>
        <v>2655.307004</v>
      </c>
      <c r="Y74" s="12">
        <f t="shared" si="7"/>
        <v>2.821792778</v>
      </c>
      <c r="Z74" s="8">
        <f t="shared" si="19"/>
        <v>539.2711675</v>
      </c>
      <c r="AA74" s="8">
        <f t="shared" si="29"/>
        <v>602</v>
      </c>
      <c r="AB74" s="13">
        <f t="shared" si="9"/>
        <v>1.228571429</v>
      </c>
      <c r="AC74" s="13">
        <f t="shared" si="10"/>
        <v>1.116321503</v>
      </c>
      <c r="AD74" s="13">
        <f>AA74/vlookup(A74,Max!$A$2:$AP$700,column(Max!$AP$2),false)</f>
        <v>0.7341463415</v>
      </c>
      <c r="AE74" s="8">
        <f t="shared" si="11"/>
        <v>356.5089642</v>
      </c>
      <c r="AF74" s="14">
        <f t="shared" si="12"/>
        <v>1.107892259</v>
      </c>
      <c r="AG74" s="14">
        <f t="shared" si="13"/>
        <v>1.432985467</v>
      </c>
      <c r="AH74" s="14">
        <f t="shared" si="14"/>
        <v>1</v>
      </c>
      <c r="AI74" s="14">
        <f t="shared" si="15"/>
        <v>1.06351969</v>
      </c>
      <c r="AJ74" s="27">
        <f t="shared" si="16"/>
        <v>-18</v>
      </c>
      <c r="AK74" s="15" t="str">
        <f t="shared" si="17"/>
        <v>  @CONFIG[RD-108-8D75-1959] {
   %cost = 602
   @cost -= #$../../cost$
  }</v>
      </c>
    </row>
    <row r="75" ht="15.75" customHeight="1">
      <c r="A75" s="7" t="s">
        <v>576</v>
      </c>
      <c r="B75" s="7" t="s">
        <v>573</v>
      </c>
      <c r="C75" s="8">
        <f t="shared" si="1"/>
        <v>35</v>
      </c>
      <c r="D75" s="7">
        <v>1959.0</v>
      </c>
      <c r="E75" s="7"/>
      <c r="F75" s="7" t="b">
        <v>1</v>
      </c>
      <c r="G75" s="7" t="b">
        <v>0</v>
      </c>
      <c r="H75" s="7" t="b">
        <v>0</v>
      </c>
      <c r="I75" s="7" t="b">
        <v>0</v>
      </c>
      <c r="J75" s="9" t="b">
        <v>0</v>
      </c>
      <c r="K75" s="7">
        <v>200.0</v>
      </c>
      <c r="L75" s="7">
        <v>20.0</v>
      </c>
      <c r="M75" s="7">
        <v>655.0</v>
      </c>
      <c r="N75" s="7">
        <v>730.2</v>
      </c>
      <c r="O75" s="7">
        <v>264.0</v>
      </c>
      <c r="P75" s="7">
        <v>4.36</v>
      </c>
      <c r="Q75" s="7">
        <v>0.987383</v>
      </c>
      <c r="R75" s="7">
        <v>0.987383</v>
      </c>
      <c r="S75" s="10">
        <f t="shared" si="2"/>
        <v>220</v>
      </c>
      <c r="T75" s="10">
        <f t="shared" si="3"/>
        <v>113.6788972</v>
      </c>
      <c r="U75" s="11">
        <f t="shared" si="4"/>
        <v>0.4426034383</v>
      </c>
      <c r="V75" s="8">
        <f t="shared" si="28"/>
        <v>323.1890306</v>
      </c>
      <c r="W75" s="12">
        <f t="shared" si="5"/>
        <v>4</v>
      </c>
      <c r="X75" s="12">
        <f t="shared" si="6"/>
        <v>1615.945153</v>
      </c>
      <c r="Y75" s="12">
        <f t="shared" si="7"/>
        <v>2.213017191</v>
      </c>
      <c r="Z75" s="8">
        <f t="shared" si="19"/>
        <v>321.5489073</v>
      </c>
      <c r="AA75" s="8">
        <f t="shared" si="29"/>
        <v>313</v>
      </c>
      <c r="AB75" s="13">
        <f t="shared" si="9"/>
        <v>1.422727273</v>
      </c>
      <c r="AC75" s="13">
        <f t="shared" si="10"/>
        <v>0.973413353</v>
      </c>
      <c r="AD75" s="13">
        <f>AA75/vlookup(A75,Max!$A$2:$AP$700,column(Max!$AP$2),false)</f>
        <v>0.8459459459</v>
      </c>
      <c r="AE75" s="8">
        <f t="shared" si="11"/>
        <v>239.4394962</v>
      </c>
      <c r="AF75" s="14">
        <f t="shared" si="12"/>
        <v>0.922037686</v>
      </c>
      <c r="AG75" s="14">
        <f t="shared" si="13"/>
        <v>1.368764141</v>
      </c>
      <c r="AH75" s="14">
        <f t="shared" si="14"/>
        <v>1</v>
      </c>
      <c r="AI75" s="14">
        <f t="shared" si="15"/>
        <v>1.036168382</v>
      </c>
      <c r="AJ75" s="27">
        <f t="shared" si="16"/>
        <v>35</v>
      </c>
      <c r="AK75" s="15" t="str">
        <f t="shared" si="17"/>
        <v>  @CONFIG[RD-214-8D59] {
   %cost = 313
   @cost -= #$../../cost$
  }</v>
      </c>
    </row>
    <row r="76" ht="15.75" customHeight="1">
      <c r="A76" s="16" t="s">
        <v>723</v>
      </c>
      <c r="B76" s="16" t="s">
        <v>1011</v>
      </c>
      <c r="C76" s="8">
        <f t="shared" si="1"/>
        <v>-11</v>
      </c>
      <c r="D76" s="16">
        <v>1959.0</v>
      </c>
      <c r="E76" s="16"/>
      <c r="F76" s="16" t="b">
        <v>1</v>
      </c>
      <c r="G76" s="16" t="b">
        <v>0</v>
      </c>
      <c r="H76" s="16" t="b">
        <v>0</v>
      </c>
      <c r="I76" s="16" t="b">
        <v>0</v>
      </c>
      <c r="J76" s="9" t="b">
        <v>0</v>
      </c>
      <c r="K76" s="16">
        <v>280.0</v>
      </c>
      <c r="L76" s="16">
        <v>1.0</v>
      </c>
      <c r="M76" s="16">
        <v>945.3</v>
      </c>
      <c r="N76" s="16">
        <v>763.0</v>
      </c>
      <c r="O76" s="16">
        <v>282.0</v>
      </c>
      <c r="P76" s="16">
        <v>3.6</v>
      </c>
      <c r="Q76" s="16">
        <v>0.965</v>
      </c>
      <c r="R76" s="16">
        <v>0.965</v>
      </c>
      <c r="S76" s="19">
        <f t="shared" si="2"/>
        <v>281</v>
      </c>
      <c r="T76" s="19">
        <f t="shared" si="3"/>
        <v>82.30651309</v>
      </c>
      <c r="U76" s="20">
        <f t="shared" si="4"/>
        <v>0.5390002789</v>
      </c>
      <c r="V76" s="17">
        <f t="shared" si="28"/>
        <v>411.2572128</v>
      </c>
      <c r="W76" s="21">
        <f t="shared" si="5"/>
        <v>4</v>
      </c>
      <c r="X76" s="21">
        <f t="shared" si="6"/>
        <v>2056.286064</v>
      </c>
      <c r="Y76" s="21">
        <f t="shared" si="7"/>
        <v>2.695001395</v>
      </c>
      <c r="Z76" s="8">
        <f t="shared" si="19"/>
        <v>391.1981423</v>
      </c>
      <c r="AA76" s="8">
        <f t="shared" si="29"/>
        <v>362</v>
      </c>
      <c r="AB76" s="13">
        <f t="shared" si="9"/>
        <v>1.288256228</v>
      </c>
      <c r="AC76" s="13">
        <f t="shared" si="10"/>
        <v>0.9253622676</v>
      </c>
      <c r="AD76" s="13">
        <f>AA76/vlookup(A76,Max!$A$2:$AP$700,column(Max!$AP$2),false)</f>
        <v>1.034285714</v>
      </c>
      <c r="AE76" s="8">
        <f t="shared" si="11"/>
        <v>300.0666555</v>
      </c>
      <c r="AF76" s="14">
        <f t="shared" si="12"/>
        <v>0.9542702479</v>
      </c>
      <c r="AG76" s="14">
        <f t="shared" si="13"/>
        <v>1.292329989</v>
      </c>
      <c r="AH76" s="14">
        <f t="shared" si="14"/>
        <v>1</v>
      </c>
      <c r="AI76" s="14">
        <f t="shared" si="15"/>
        <v>0.9784406906</v>
      </c>
      <c r="AJ76" s="27">
        <f t="shared" si="16"/>
        <v>-11</v>
      </c>
      <c r="AK76" s="15" t="str">
        <f t="shared" si="17"/>
        <v>  @CONFIG[RZ.2-Mk3] {
   %cost = 362
   @cost -= #$../../cost$
  }</v>
      </c>
    </row>
    <row r="77" ht="15.75" customHeight="1">
      <c r="A77" s="7" t="s">
        <v>809</v>
      </c>
      <c r="B77" s="7" t="s">
        <v>810</v>
      </c>
      <c r="C77" s="8">
        <f t="shared" si="1"/>
        <v>1</v>
      </c>
      <c r="D77" s="7">
        <v>1959.0</v>
      </c>
      <c r="E77" s="7"/>
      <c r="F77" s="7" t="b">
        <v>1</v>
      </c>
      <c r="G77" s="7" t="b">
        <v>0</v>
      </c>
      <c r="H77" s="7" t="b">
        <v>1</v>
      </c>
      <c r="I77" s="7" t="b">
        <v>0</v>
      </c>
      <c r="J77" s="9" t="b">
        <v>0</v>
      </c>
      <c r="K77" s="7">
        <v>300.0</v>
      </c>
      <c r="L77" s="7">
        <v>20.0</v>
      </c>
      <c r="M77" s="7">
        <v>905.0</v>
      </c>
      <c r="N77" s="7">
        <v>721.4</v>
      </c>
      <c r="O77" s="7">
        <v>289.9</v>
      </c>
      <c r="P77" s="7">
        <v>5.236</v>
      </c>
      <c r="Q77" s="7">
        <v>0.986364</v>
      </c>
      <c r="R77" s="7">
        <v>0.986364</v>
      </c>
      <c r="S77" s="10">
        <f t="shared" si="2"/>
        <v>320</v>
      </c>
      <c r="T77" s="10">
        <f t="shared" si="3"/>
        <v>81.28433966</v>
      </c>
      <c r="U77" s="11">
        <f t="shared" si="4"/>
        <v>0.5809720423</v>
      </c>
      <c r="V77" s="8">
        <f t="shared" si="28"/>
        <v>419.1132313</v>
      </c>
      <c r="W77" s="12">
        <f t="shared" si="5"/>
        <v>4</v>
      </c>
      <c r="X77" s="12">
        <f t="shared" si="6"/>
        <v>2095.566157</v>
      </c>
      <c r="Y77" s="12">
        <f t="shared" si="7"/>
        <v>2.904860212</v>
      </c>
      <c r="Z77" s="8">
        <f t="shared" si="19"/>
        <v>416.1433701</v>
      </c>
      <c r="AA77" s="8">
        <f t="shared" si="29"/>
        <v>374</v>
      </c>
      <c r="AB77" s="13">
        <f t="shared" si="9"/>
        <v>1.16875</v>
      </c>
      <c r="AC77" s="13">
        <f t="shared" si="10"/>
        <v>0.8987287241</v>
      </c>
      <c r="AD77" s="13">
        <f>AA77/vlookup(A77,Max!$A$2:$AP$700,column(Max!$AP$2),false)</f>
        <v>1.206451613</v>
      </c>
      <c r="AE77" s="8">
        <f t="shared" si="11"/>
        <v>292.1199189</v>
      </c>
      <c r="AF77" s="14">
        <f t="shared" si="12"/>
        <v>0.9724247215</v>
      </c>
      <c r="AG77" s="14">
        <f t="shared" si="13"/>
        <v>1.318672419</v>
      </c>
      <c r="AH77" s="14">
        <f t="shared" si="14"/>
        <v>1</v>
      </c>
      <c r="AI77" s="14">
        <f t="shared" si="15"/>
        <v>0.9986246634</v>
      </c>
      <c r="AJ77" s="27">
        <f t="shared" si="16"/>
        <v>1</v>
      </c>
      <c r="AK77" s="15" t="str">
        <f t="shared" si="17"/>
        <v>  @CONFIG[Viking-4] {
   %cost = 374
   @cost -= #$../../cost$
  }</v>
      </c>
    </row>
    <row r="78" ht="15.75" customHeight="1">
      <c r="A78" s="16" t="s">
        <v>811</v>
      </c>
      <c r="B78" s="16" t="s">
        <v>810</v>
      </c>
      <c r="C78" s="8">
        <f t="shared" si="1"/>
        <v>45</v>
      </c>
      <c r="D78" s="16">
        <v>1959.0</v>
      </c>
      <c r="E78" s="16"/>
      <c r="F78" s="16" t="b">
        <v>1</v>
      </c>
      <c r="G78" s="16" t="b">
        <v>0</v>
      </c>
      <c r="H78" s="16" t="b">
        <v>0</v>
      </c>
      <c r="I78" s="16" t="b">
        <v>0</v>
      </c>
      <c r="J78" s="9" t="b">
        <v>0</v>
      </c>
      <c r="K78" s="16">
        <v>300.0</v>
      </c>
      <c r="L78" s="16">
        <v>0.0</v>
      </c>
      <c r="M78" s="16">
        <v>876.0</v>
      </c>
      <c r="N78" s="16">
        <v>695.8</v>
      </c>
      <c r="O78" s="16">
        <v>280.6</v>
      </c>
      <c r="P78" s="16">
        <v>5.44</v>
      </c>
      <c r="Q78" s="16">
        <v>0.992045</v>
      </c>
      <c r="R78" s="16">
        <v>0.992045</v>
      </c>
      <c r="S78" s="19">
        <f t="shared" si="2"/>
        <v>300</v>
      </c>
      <c r="T78" s="19">
        <f t="shared" si="3"/>
        <v>80.995267</v>
      </c>
      <c r="U78" s="20">
        <f t="shared" si="4"/>
        <v>0.5827771057</v>
      </c>
      <c r="V78" s="17">
        <f t="shared" si="28"/>
        <v>405.4963101</v>
      </c>
      <c r="W78" s="21">
        <f t="shared" si="5"/>
        <v>4</v>
      </c>
      <c r="X78" s="21">
        <f t="shared" si="6"/>
        <v>2027.481551</v>
      </c>
      <c r="Y78" s="21">
        <f t="shared" si="7"/>
        <v>2.913885528</v>
      </c>
      <c r="Z78" s="8">
        <f t="shared" si="19"/>
        <v>407.1804507</v>
      </c>
      <c r="AA78" s="8">
        <f t="shared" si="29"/>
        <v>418</v>
      </c>
      <c r="AB78" s="13">
        <f t="shared" si="9"/>
        <v>1.393333333</v>
      </c>
      <c r="AC78" s="13">
        <f t="shared" si="10"/>
        <v>1.026571878</v>
      </c>
      <c r="AD78" s="13">
        <f>AA78/vlookup(A78,Max!$A$2:$AP$700,column(Max!$AP$2),false)</f>
        <v>1.045</v>
      </c>
      <c r="AE78" s="8">
        <f t="shared" si="11"/>
        <v>286.3189328</v>
      </c>
      <c r="AF78" s="14">
        <f t="shared" si="12"/>
        <v>0.9513317283</v>
      </c>
      <c r="AG78" s="14">
        <f t="shared" si="13"/>
        <v>1.462723848</v>
      </c>
      <c r="AH78" s="14">
        <f t="shared" si="14"/>
        <v>1</v>
      </c>
      <c r="AI78" s="14">
        <f t="shared" si="15"/>
        <v>1.048442587</v>
      </c>
      <c r="AJ78" s="27">
        <f t="shared" si="16"/>
        <v>45</v>
      </c>
      <c r="AK78" s="15" t="str">
        <f t="shared" si="17"/>
        <v>  @CONFIG[Viking-5] {
   %cost = 418
   @cost -= #$../../cost$
  }</v>
      </c>
    </row>
    <row r="79" ht="15.75" customHeight="1">
      <c r="A79" s="16" t="s">
        <v>57</v>
      </c>
      <c r="B79" s="16" t="s">
        <v>54</v>
      </c>
      <c r="C79" s="8">
        <f t="shared" si="1"/>
        <v>44</v>
      </c>
      <c r="D79" s="16">
        <v>1959.0</v>
      </c>
      <c r="E79" s="16"/>
      <c r="F79" s="16" t="b">
        <v>1</v>
      </c>
      <c r="G79" s="16" t="b">
        <v>0</v>
      </c>
      <c r="H79" s="16" t="b">
        <v>1</v>
      </c>
      <c r="I79" s="16" t="b">
        <v>0</v>
      </c>
      <c r="J79" s="9" t="b">
        <v>0</v>
      </c>
      <c r="K79" s="16">
        <v>150.0</v>
      </c>
      <c r="L79" s="16">
        <v>0.0</v>
      </c>
      <c r="M79" s="16">
        <v>127.0</v>
      </c>
      <c r="N79" s="16">
        <v>67.0</v>
      </c>
      <c r="O79" s="16">
        <v>265.5</v>
      </c>
      <c r="P79" s="16">
        <v>3.4</v>
      </c>
      <c r="Q79" s="16">
        <v>0.9825</v>
      </c>
      <c r="R79" s="16">
        <v>0.981579</v>
      </c>
      <c r="S79" s="19">
        <f t="shared" si="2"/>
        <v>150</v>
      </c>
      <c r="T79" s="19">
        <f t="shared" si="3"/>
        <v>53.79605202</v>
      </c>
      <c r="U79" s="20">
        <f t="shared" si="4"/>
        <v>1.761129207</v>
      </c>
      <c r="V79" s="17">
        <f t="shared" si="28"/>
        <v>117.9956569</v>
      </c>
      <c r="W79" s="21">
        <f t="shared" si="5"/>
        <v>4</v>
      </c>
      <c r="X79" s="21">
        <f t="shared" si="6"/>
        <v>589.9782844</v>
      </c>
      <c r="Y79" s="21">
        <f t="shared" si="7"/>
        <v>8.805646035</v>
      </c>
      <c r="Z79" s="8">
        <f t="shared" si="19"/>
        <v>116.155086</v>
      </c>
      <c r="AA79" s="8">
        <f t="shared" si="29"/>
        <v>95</v>
      </c>
      <c r="AB79" s="13">
        <f t="shared" si="9"/>
        <v>0.6333333333</v>
      </c>
      <c r="AC79" s="13">
        <f t="shared" si="10"/>
        <v>0.8178720647</v>
      </c>
      <c r="AD79" s="13">
        <f>AA79/vlookup(A79,Max!$A$2:$AP$700,column(Max!$AP$2),false)</f>
        <v>2.638888889</v>
      </c>
      <c r="AE79" s="8">
        <f t="shared" si="11"/>
        <v>88.08844782</v>
      </c>
      <c r="AF79" s="14">
        <f t="shared" si="12"/>
        <v>0.9242998764</v>
      </c>
      <c r="AG79" s="14">
        <f t="shared" si="13"/>
        <v>1.196588323</v>
      </c>
      <c r="AH79" s="14">
        <f t="shared" si="14"/>
        <v>1</v>
      </c>
      <c r="AI79" s="14">
        <f t="shared" si="15"/>
        <v>0.9769239706</v>
      </c>
      <c r="AJ79" s="27">
        <f t="shared" si="16"/>
        <v>44</v>
      </c>
      <c r="AK79" s="15" t="str">
        <f t="shared" si="17"/>
        <v>  @CONFIG[XLR81-BA-3] {
   %cost = 95
   @cost -= #$../../cost$
  }</v>
      </c>
    </row>
    <row r="80" ht="15.75" customHeight="1">
      <c r="A80" s="7" t="s">
        <v>56</v>
      </c>
      <c r="B80" s="7" t="s">
        <v>54</v>
      </c>
      <c r="C80" s="8">
        <f t="shared" si="1"/>
        <v>46</v>
      </c>
      <c r="D80" s="7">
        <v>1959.0</v>
      </c>
      <c r="E80" s="7"/>
      <c r="F80" s="7" t="b">
        <v>1</v>
      </c>
      <c r="G80" s="7" t="b">
        <v>0</v>
      </c>
      <c r="H80" s="7" t="b">
        <v>1</v>
      </c>
      <c r="I80" s="7" t="b">
        <v>0</v>
      </c>
      <c r="J80" s="9" t="b">
        <v>0</v>
      </c>
      <c r="K80" s="7">
        <v>150.0</v>
      </c>
      <c r="L80" s="7">
        <v>0.0</v>
      </c>
      <c r="M80" s="7">
        <v>127.0</v>
      </c>
      <c r="N80" s="7">
        <v>68.9</v>
      </c>
      <c r="O80" s="7">
        <v>276.0</v>
      </c>
      <c r="P80" s="7">
        <v>3.4</v>
      </c>
      <c r="Q80" s="7">
        <v>0.9825</v>
      </c>
      <c r="R80" s="7">
        <v>0.981579</v>
      </c>
      <c r="S80" s="10">
        <f t="shared" si="2"/>
        <v>150</v>
      </c>
      <c r="T80" s="10">
        <f t="shared" si="3"/>
        <v>55.32161171</v>
      </c>
      <c r="U80" s="11">
        <f t="shared" si="4"/>
        <v>1.745837616</v>
      </c>
      <c r="V80" s="8">
        <f t="shared" si="28"/>
        <v>120.2882117</v>
      </c>
      <c r="W80" s="12">
        <f t="shared" si="5"/>
        <v>4</v>
      </c>
      <c r="X80" s="12">
        <f t="shared" si="6"/>
        <v>601.4410586</v>
      </c>
      <c r="Y80" s="12">
        <f t="shared" si="7"/>
        <v>8.729188078</v>
      </c>
      <c r="Z80" s="8">
        <f t="shared" si="19"/>
        <v>118.4118801</v>
      </c>
      <c r="AA80" s="8">
        <f t="shared" si="29"/>
        <v>97</v>
      </c>
      <c r="AB80" s="13">
        <f t="shared" si="9"/>
        <v>0.6466666667</v>
      </c>
      <c r="AC80" s="13">
        <f t="shared" si="10"/>
        <v>0.8191745618</v>
      </c>
      <c r="AD80" s="13">
        <f>AA80/vlookup(A80,Max!$A$2:$AP$700,column(Max!$AP$2),false)</f>
        <v>2.425</v>
      </c>
      <c r="AE80" s="8">
        <f t="shared" si="11"/>
        <v>88.08844782</v>
      </c>
      <c r="AF80" s="14">
        <f t="shared" si="12"/>
        <v>0.9422226187</v>
      </c>
      <c r="AG80" s="14">
        <f t="shared" si="13"/>
        <v>1.196588323</v>
      </c>
      <c r="AH80" s="14">
        <f t="shared" si="14"/>
        <v>1</v>
      </c>
      <c r="AI80" s="14">
        <f t="shared" si="15"/>
        <v>0.9769239706</v>
      </c>
      <c r="AJ80" s="27">
        <f t="shared" si="16"/>
        <v>46</v>
      </c>
      <c r="AK80" s="15" t="str">
        <f t="shared" si="17"/>
        <v>  @CONFIG[XLR81-BA-5] {
   %cost = 97
   @cost -= #$../../cost$
  }</v>
      </c>
    </row>
    <row r="81" ht="15.75" customHeight="1">
      <c r="A81" s="7" t="s">
        <v>838</v>
      </c>
      <c r="B81" s="7" t="s">
        <v>839</v>
      </c>
      <c r="C81" s="8">
        <f t="shared" si="1"/>
        <v>315</v>
      </c>
      <c r="D81" s="7">
        <v>1959.0</v>
      </c>
      <c r="E81" s="7"/>
      <c r="F81" s="7" t="b">
        <v>1</v>
      </c>
      <c r="G81" s="7" t="b">
        <v>0</v>
      </c>
      <c r="H81" s="7" t="b">
        <v>1</v>
      </c>
      <c r="I81" s="7" t="b">
        <v>1</v>
      </c>
      <c r="J81" s="9" t="b">
        <v>0</v>
      </c>
      <c r="K81" s="7">
        <v>1130.0</v>
      </c>
      <c r="L81" s="7">
        <v>0.0</v>
      </c>
      <c r="M81" s="7">
        <v>415.0</v>
      </c>
      <c r="N81" s="7">
        <v>224.0</v>
      </c>
      <c r="O81" s="7">
        <v>244.0</v>
      </c>
      <c r="P81" s="7">
        <v>4.13</v>
      </c>
      <c r="Q81" s="7">
        <v>0.996</v>
      </c>
      <c r="R81" s="7">
        <v>0.99</v>
      </c>
      <c r="S81" s="10">
        <f t="shared" si="2"/>
        <v>1130</v>
      </c>
      <c r="T81" s="10">
        <f t="shared" si="3"/>
        <v>55.04010387</v>
      </c>
      <c r="U81" s="11">
        <f t="shared" si="4"/>
        <v>1.047715389</v>
      </c>
      <c r="V81" s="8">
        <f t="shared" si="28"/>
        <v>234.6882471</v>
      </c>
      <c r="W81" s="12">
        <f t="shared" si="5"/>
        <v>4</v>
      </c>
      <c r="X81" s="12">
        <f t="shared" si="6"/>
        <v>1173.441236</v>
      </c>
      <c r="Y81" s="12">
        <f t="shared" si="7"/>
        <v>5.238576945</v>
      </c>
      <c r="Z81" s="8">
        <f t="shared" si="19"/>
        <v>354.1586462</v>
      </c>
      <c r="AA81" s="8">
        <f t="shared" si="29"/>
        <v>315</v>
      </c>
      <c r="AB81" s="13">
        <f t="shared" si="9"/>
        <v>0.2787610619</v>
      </c>
      <c r="AC81" s="13">
        <f t="shared" si="10"/>
        <v>0.8894319067</v>
      </c>
      <c r="AD81" s="13">
        <f>AA81/vlookup(A81,Max!$A$2:$AP$700,column(Max!$AP$2),false)</f>
        <v>0.875</v>
      </c>
      <c r="AE81" s="8">
        <f t="shared" si="11"/>
        <v>181.0098768</v>
      </c>
      <c r="AF81" s="14">
        <f t="shared" si="12"/>
        <v>0.8979541434</v>
      </c>
      <c r="AG81" s="14">
        <f t="shared" si="13"/>
        <v>1.250117301</v>
      </c>
      <c r="AH81" s="14">
        <f t="shared" si="14"/>
        <v>1.5</v>
      </c>
      <c r="AI81" s="14">
        <f t="shared" si="15"/>
        <v>1.032648586</v>
      </c>
      <c r="AJ81" s="15">
        <f t="shared" si="16"/>
        <v>0</v>
      </c>
      <c r="AK81" s="15" t="str">
        <f t="shared" si="17"/>
        <v>  @CONFIG[XLR99-RM-2] {
   %cost = 315
   @cost -= #$../../cost$
  }</v>
      </c>
    </row>
    <row r="82" ht="15.75" customHeight="1">
      <c r="A82" s="16" t="s">
        <v>89</v>
      </c>
      <c r="B82" s="16" t="s">
        <v>90</v>
      </c>
      <c r="C82" s="8">
        <f t="shared" si="1"/>
        <v>63</v>
      </c>
      <c r="D82" s="16">
        <v>1960.0</v>
      </c>
      <c r="E82" s="16"/>
      <c r="F82" s="16" t="b">
        <v>0</v>
      </c>
      <c r="G82" s="16" t="b">
        <v>0</v>
      </c>
      <c r="H82" s="16" t="b">
        <v>1</v>
      </c>
      <c r="I82" s="16" t="b">
        <v>0</v>
      </c>
      <c r="J82" s="9" t="b">
        <v>0</v>
      </c>
      <c r="K82" s="16">
        <v>150.0</v>
      </c>
      <c r="L82" s="16">
        <v>0.0</v>
      </c>
      <c r="M82" s="16">
        <v>90.0</v>
      </c>
      <c r="N82" s="16">
        <v>35.1</v>
      </c>
      <c r="O82" s="16">
        <v>278.0</v>
      </c>
      <c r="P82" s="16">
        <v>1.4</v>
      </c>
      <c r="Q82" s="16">
        <v>0.983333</v>
      </c>
      <c r="R82" s="16">
        <v>0.979412</v>
      </c>
      <c r="S82" s="19">
        <f t="shared" si="2"/>
        <v>150</v>
      </c>
      <c r="T82" s="19">
        <f t="shared" si="3"/>
        <v>39.76893219</v>
      </c>
      <c r="U82" s="20">
        <f t="shared" si="4"/>
        <v>2.581645489</v>
      </c>
      <c r="V82" s="17">
        <f t="shared" si="28"/>
        <v>90.61575665</v>
      </c>
      <c r="W82" s="21">
        <f t="shared" si="5"/>
        <v>1.75</v>
      </c>
      <c r="X82" s="21">
        <f t="shared" si="6"/>
        <v>249.1933308</v>
      </c>
      <c r="Y82" s="21">
        <f t="shared" si="7"/>
        <v>7.099525094</v>
      </c>
      <c r="Z82" s="8">
        <f t="shared" si="19"/>
        <v>89.08327568</v>
      </c>
      <c r="AA82" s="8">
        <f t="shared" si="29"/>
        <v>63</v>
      </c>
      <c r="AB82" s="13">
        <f t="shared" si="9"/>
        <v>0.42</v>
      </c>
      <c r="AC82" s="13">
        <f t="shared" si="10"/>
        <v>0.7072034511</v>
      </c>
      <c r="AD82" s="13">
        <f>AA82/vlookup(A82,Max!$A$2:$AP$700,column(Max!$AP$2),false)</f>
        <v>1.340425532</v>
      </c>
      <c r="AE82" s="8">
        <f t="shared" si="11"/>
        <v>71.55884225</v>
      </c>
      <c r="AF82" s="14">
        <f t="shared" si="12"/>
        <v>0.9460824974</v>
      </c>
      <c r="AG82" s="14">
        <f t="shared" si="13"/>
        <v>0.9800332539</v>
      </c>
      <c r="AH82" s="14">
        <f t="shared" si="14"/>
        <v>1</v>
      </c>
      <c r="AI82" s="14">
        <f t="shared" si="15"/>
        <v>0.9535564549</v>
      </c>
      <c r="AJ82" s="15">
        <f t="shared" si="16"/>
        <v>0</v>
      </c>
      <c r="AK82" s="15" t="str">
        <f t="shared" si="17"/>
        <v>  @CONFIG[AJ10-104] {
   %cost = 63
   @cost -= #$../../cost$
  }</v>
      </c>
    </row>
    <row r="83" ht="15.75" customHeight="1">
      <c r="A83" s="7" t="s">
        <v>86</v>
      </c>
      <c r="B83" s="7" t="s">
        <v>83</v>
      </c>
      <c r="C83" s="8">
        <f t="shared" si="1"/>
        <v>7</v>
      </c>
      <c r="D83" s="7">
        <v>1960.0</v>
      </c>
      <c r="E83" s="7"/>
      <c r="F83" s="7" t="b">
        <v>0</v>
      </c>
      <c r="G83" s="7" t="b">
        <v>0</v>
      </c>
      <c r="H83" s="7" t="b">
        <v>1</v>
      </c>
      <c r="I83" s="7" t="b">
        <v>0</v>
      </c>
      <c r="J83" s="9" t="b">
        <v>0</v>
      </c>
      <c r="K83" s="7">
        <v>100.0</v>
      </c>
      <c r="L83" s="7">
        <v>1.0</v>
      </c>
      <c r="M83" s="7">
        <v>80.0</v>
      </c>
      <c r="N83" s="7">
        <v>34.25</v>
      </c>
      <c r="O83" s="7">
        <v>270.0</v>
      </c>
      <c r="P83" s="7">
        <v>1.4</v>
      </c>
      <c r="Q83" s="7">
        <v>0.978125</v>
      </c>
      <c r="R83" s="7">
        <v>0.99</v>
      </c>
      <c r="S83" s="10">
        <f t="shared" si="2"/>
        <v>101</v>
      </c>
      <c r="T83" s="10">
        <f t="shared" si="3"/>
        <v>43.65660024</v>
      </c>
      <c r="U83" s="11">
        <f t="shared" si="4"/>
        <v>2.424826244</v>
      </c>
      <c r="V83" s="8">
        <f t="shared" si="28"/>
        <v>83.05029885</v>
      </c>
      <c r="W83" s="12">
        <f t="shared" si="5"/>
        <v>1.75</v>
      </c>
      <c r="X83" s="12">
        <f t="shared" si="6"/>
        <v>228.3883218</v>
      </c>
      <c r="Y83" s="12">
        <f t="shared" si="7"/>
        <v>6.66827217</v>
      </c>
      <c r="Z83" s="8">
        <f t="shared" si="19"/>
        <v>82.0822438</v>
      </c>
      <c r="AA83" s="8">
        <f t="shared" si="29"/>
        <v>59</v>
      </c>
      <c r="AB83" s="13">
        <f t="shared" si="9"/>
        <v>0.5841584158</v>
      </c>
      <c r="AC83" s="13">
        <f t="shared" si="10"/>
        <v>0.7187912668</v>
      </c>
      <c r="AD83" s="13">
        <f>AA83/vlookup(A83,Max!$A$2:$AP$700,column(Max!$AP$2),false)</f>
        <v>2.681818182</v>
      </c>
      <c r="AE83" s="8">
        <f t="shared" si="11"/>
        <v>66.66106508</v>
      </c>
      <c r="AF83" s="14">
        <f t="shared" si="12"/>
        <v>0.9315196521</v>
      </c>
      <c r="AG83" s="14">
        <f t="shared" si="13"/>
        <v>0.9800332539</v>
      </c>
      <c r="AH83" s="14">
        <f t="shared" si="14"/>
        <v>1</v>
      </c>
      <c r="AI83" s="14">
        <f t="shared" si="15"/>
        <v>0.9666187338</v>
      </c>
      <c r="AJ83" s="27">
        <f t="shared" si="16"/>
        <v>7</v>
      </c>
      <c r="AK83" s="15" t="str">
        <f t="shared" si="17"/>
        <v>  @CONFIG[AJ10-142] {
   %cost = 59
   @cost -= #$../../cost$
  }</v>
      </c>
    </row>
    <row r="84" ht="15.75" customHeight="1">
      <c r="A84" s="16" t="s">
        <v>197</v>
      </c>
      <c r="B84" s="16" t="s">
        <v>198</v>
      </c>
      <c r="C84" s="8">
        <f t="shared" si="1"/>
        <v>163</v>
      </c>
      <c r="D84" s="16">
        <v>1960.0</v>
      </c>
      <c r="E84" s="16"/>
      <c r="F84" s="16" t="b">
        <v>0</v>
      </c>
      <c r="G84" s="16" t="b">
        <v>0</v>
      </c>
      <c r="H84" s="16" t="b">
        <v>1</v>
      </c>
      <c r="I84" s="16" t="b">
        <v>0</v>
      </c>
      <c r="J84" s="9" t="b">
        <v>0</v>
      </c>
      <c r="K84" s="16">
        <v>200.0</v>
      </c>
      <c r="L84" s="16">
        <v>0.0</v>
      </c>
      <c r="M84" s="18">
        <v>380.0</v>
      </c>
      <c r="N84" s="16">
        <v>200.1699</v>
      </c>
      <c r="O84" s="16">
        <v>304.0</v>
      </c>
      <c r="P84" s="16">
        <v>1.38</v>
      </c>
      <c r="Q84" s="16">
        <v>0.98</v>
      </c>
      <c r="R84" s="16">
        <v>0.985</v>
      </c>
      <c r="S84" s="19">
        <f t="shared" si="2"/>
        <v>200</v>
      </c>
      <c r="T84" s="19">
        <f t="shared" si="3"/>
        <v>53.71486626</v>
      </c>
      <c r="U84" s="20">
        <f t="shared" si="4"/>
        <v>1.14800629</v>
      </c>
      <c r="V84" s="17">
        <f t="shared" si="28"/>
        <v>229.7963043</v>
      </c>
      <c r="W84" s="21">
        <f t="shared" si="5"/>
        <v>1.75</v>
      </c>
      <c r="X84" s="21">
        <f t="shared" si="6"/>
        <v>631.9398369</v>
      </c>
      <c r="Y84" s="21">
        <f t="shared" si="7"/>
        <v>3.157017298</v>
      </c>
      <c r="Z84" s="8">
        <f t="shared" si="19"/>
        <v>226.4182986</v>
      </c>
      <c r="AA84" s="8">
        <f t="shared" si="29"/>
        <v>163</v>
      </c>
      <c r="AB84" s="13">
        <f t="shared" si="9"/>
        <v>0.815</v>
      </c>
      <c r="AC84" s="13">
        <f t="shared" si="10"/>
        <v>0.7199064783</v>
      </c>
      <c r="AD84" s="13">
        <f>AA84/vlookup(A84,Max!$A$2:$AP$700,column(Max!$AP$2),false)</f>
        <v>0.815</v>
      </c>
      <c r="AE84" s="8">
        <f t="shared" si="11"/>
        <v>171.5157461</v>
      </c>
      <c r="AF84" s="14">
        <f t="shared" si="12"/>
        <v>1.016396816</v>
      </c>
      <c r="AG84" s="14">
        <f t="shared" si="13"/>
        <v>0.97686556</v>
      </c>
      <c r="AH84" s="14">
        <f t="shared" si="14"/>
        <v>1</v>
      </c>
      <c r="AI84" s="14">
        <f t="shared" si="15"/>
        <v>0.9590408115</v>
      </c>
      <c r="AJ84" s="15">
        <f t="shared" si="16"/>
        <v>0</v>
      </c>
      <c r="AK84" s="15" t="str">
        <f t="shared" si="17"/>
        <v>  @CONFIG[Juno45k-BI] {
   %cost = 163
   @cost -= #$../../cost$
  }</v>
      </c>
    </row>
    <row r="85" ht="15.75" customHeight="1">
      <c r="A85" s="16" t="s">
        <v>200</v>
      </c>
      <c r="B85" s="16" t="s">
        <v>201</v>
      </c>
      <c r="C85" s="8">
        <f t="shared" si="1"/>
        <v>59</v>
      </c>
      <c r="D85" s="16">
        <v>1960.0</v>
      </c>
      <c r="E85" s="16"/>
      <c r="F85" s="16" t="b">
        <v>0</v>
      </c>
      <c r="G85" s="16" t="b">
        <v>0</v>
      </c>
      <c r="H85" s="16" t="b">
        <v>1</v>
      </c>
      <c r="I85" s="16" t="b">
        <v>0</v>
      </c>
      <c r="J85" s="9" t="b">
        <v>0</v>
      </c>
      <c r="K85" s="16">
        <v>150.0</v>
      </c>
      <c r="L85" s="16">
        <v>0.0</v>
      </c>
      <c r="M85" s="16">
        <v>83.9</v>
      </c>
      <c r="N85" s="16">
        <v>26.68932</v>
      </c>
      <c r="O85" s="16">
        <v>300.0</v>
      </c>
      <c r="P85" s="16">
        <v>1.03</v>
      </c>
      <c r="Q85" s="16">
        <v>0.98</v>
      </c>
      <c r="R85" s="16">
        <v>0.98</v>
      </c>
      <c r="S85" s="19">
        <f t="shared" si="2"/>
        <v>150</v>
      </c>
      <c r="T85" s="19">
        <f t="shared" si="3"/>
        <v>32.43805988</v>
      </c>
      <c r="U85" s="20">
        <f t="shared" si="4"/>
        <v>3.315838996</v>
      </c>
      <c r="V85" s="17">
        <f t="shared" si="28"/>
        <v>88.49748803</v>
      </c>
      <c r="W85" s="21">
        <f t="shared" si="5"/>
        <v>1.75</v>
      </c>
      <c r="X85" s="21">
        <f t="shared" si="6"/>
        <v>243.3680921</v>
      </c>
      <c r="Y85" s="21">
        <f t="shared" si="7"/>
        <v>9.118557238</v>
      </c>
      <c r="Z85" s="8">
        <f t="shared" si="19"/>
        <v>86.76293726</v>
      </c>
      <c r="AA85" s="8">
        <f t="shared" si="29"/>
        <v>59</v>
      </c>
      <c r="AB85" s="13">
        <f t="shared" si="9"/>
        <v>0.3933333333</v>
      </c>
      <c r="AC85" s="13">
        <f t="shared" si="10"/>
        <v>0.6800138615</v>
      </c>
      <c r="AD85" s="13">
        <f>AA85/vlookup(A85,Max!$A$2:$AP$700,column(Max!$AP$2),false)</f>
        <v>2.565217391</v>
      </c>
      <c r="AE85" s="8">
        <f t="shared" si="11"/>
        <v>68.5978989</v>
      </c>
      <c r="AF85" s="14">
        <f t="shared" si="12"/>
        <v>1</v>
      </c>
      <c r="AG85" s="14">
        <f t="shared" si="13"/>
        <v>0.9146403984</v>
      </c>
      <c r="AH85" s="14">
        <f t="shared" si="14"/>
        <v>1</v>
      </c>
      <c r="AI85" s="14">
        <f t="shared" si="15"/>
        <v>0.9469165382</v>
      </c>
      <c r="AJ85" s="15">
        <f t="shared" si="16"/>
        <v>0</v>
      </c>
      <c r="AK85" s="15" t="str">
        <f t="shared" si="17"/>
        <v>  @CONFIG[Juno6k-BI] {
   %cost = 59
   @cost -= #$../../cost$
  }</v>
      </c>
    </row>
    <row r="86" ht="15.75" customHeight="1">
      <c r="A86" s="16" t="s">
        <v>268</v>
      </c>
      <c r="B86" s="16" t="s">
        <v>266</v>
      </c>
      <c r="C86" s="8">
        <f t="shared" si="1"/>
        <v>2</v>
      </c>
      <c r="D86" s="16">
        <v>1960.0</v>
      </c>
      <c r="E86" s="16"/>
      <c r="F86" s="16" t="b">
        <v>1</v>
      </c>
      <c r="G86" s="16" t="b">
        <v>0</v>
      </c>
      <c r="H86" s="16" t="b">
        <v>0</v>
      </c>
      <c r="I86" s="16" t="b">
        <v>0</v>
      </c>
      <c r="J86" s="9" t="b">
        <v>0</v>
      </c>
      <c r="K86" s="16">
        <v>275.0</v>
      </c>
      <c r="L86" s="16">
        <v>20.0</v>
      </c>
      <c r="M86" s="16">
        <v>413.0</v>
      </c>
      <c r="N86" s="16">
        <v>366.1</v>
      </c>
      <c r="O86" s="16">
        <v>313.0</v>
      </c>
      <c r="P86" s="16">
        <v>4.52</v>
      </c>
      <c r="Q86" s="16">
        <v>0.991189</v>
      </c>
      <c r="R86" s="16">
        <v>0.991189</v>
      </c>
      <c r="S86" s="19">
        <f t="shared" si="2"/>
        <v>295</v>
      </c>
      <c r="T86" s="19">
        <f t="shared" si="3"/>
        <v>90.39179285</v>
      </c>
      <c r="U86" s="20">
        <f t="shared" si="4"/>
        <v>0.7316397127</v>
      </c>
      <c r="V86" s="17">
        <f t="shared" si="28"/>
        <v>267.8532988</v>
      </c>
      <c r="W86" s="21">
        <f t="shared" si="5"/>
        <v>4</v>
      </c>
      <c r="X86" s="21">
        <f t="shared" si="6"/>
        <v>1339.266494</v>
      </c>
      <c r="Y86" s="21">
        <f t="shared" si="7"/>
        <v>3.658198563</v>
      </c>
      <c r="Z86" s="8">
        <f t="shared" si="19"/>
        <v>268.5110484</v>
      </c>
      <c r="AA86" s="8">
        <f t="shared" si="29"/>
        <v>278</v>
      </c>
      <c r="AB86" s="13">
        <f t="shared" si="9"/>
        <v>0.9423728814</v>
      </c>
      <c r="AC86" s="13">
        <f t="shared" si="10"/>
        <v>1.035339148</v>
      </c>
      <c r="AD86" s="13">
        <f>AA86/vlookup(A86,Max!$A$2:$AP$700,column(Max!$AP$2),false)</f>
        <v>0.9586206897</v>
      </c>
      <c r="AE86" s="8">
        <f t="shared" si="11"/>
        <v>180.475747</v>
      </c>
      <c r="AF86" s="14">
        <f t="shared" si="12"/>
        <v>1.086108856</v>
      </c>
      <c r="AG86" s="14">
        <f t="shared" si="13"/>
        <v>1.383643485</v>
      </c>
      <c r="AH86" s="14">
        <f t="shared" si="14"/>
        <v>1</v>
      </c>
      <c r="AI86" s="14">
        <f t="shared" si="15"/>
        <v>1.024642835</v>
      </c>
      <c r="AJ86" s="27">
        <f t="shared" si="16"/>
        <v>2</v>
      </c>
      <c r="AK86" s="15" t="str">
        <f t="shared" si="17"/>
        <v>  @CONFIG[LR105-NA-5] {
   %cost = 278
   @cost -= #$../../cost$
  }</v>
      </c>
    </row>
    <row r="87" ht="15.75" customHeight="1">
      <c r="A87" s="16" t="s">
        <v>282</v>
      </c>
      <c r="B87" s="16" t="s">
        <v>279</v>
      </c>
      <c r="C87" s="8">
        <f t="shared" si="1"/>
        <v>-12</v>
      </c>
      <c r="D87" s="16">
        <v>1960.0</v>
      </c>
      <c r="E87" s="16"/>
      <c r="F87" s="16" t="b">
        <v>1</v>
      </c>
      <c r="G87" s="16" t="b">
        <v>0</v>
      </c>
      <c r="H87" s="16" t="b">
        <v>0</v>
      </c>
      <c r="I87" s="16" t="b">
        <v>0</v>
      </c>
      <c r="J87" s="9" t="b">
        <v>0</v>
      </c>
      <c r="K87" s="16">
        <v>300.0</v>
      </c>
      <c r="L87" s="16">
        <v>40.0</v>
      </c>
      <c r="M87" s="16">
        <f>923.56</f>
        <v>923.56</v>
      </c>
      <c r="N87" s="16">
        <v>849.6</v>
      </c>
      <c r="O87" s="16">
        <v>286.2</v>
      </c>
      <c r="P87" s="16">
        <v>3.69</v>
      </c>
      <c r="Q87" s="16">
        <v>0.986036</v>
      </c>
      <c r="R87" s="16">
        <v>0.986036</v>
      </c>
      <c r="S87" s="19">
        <f t="shared" si="2"/>
        <v>340</v>
      </c>
      <c r="T87" s="19">
        <f t="shared" si="3"/>
        <v>93.80558838</v>
      </c>
      <c r="U87" s="20">
        <f t="shared" si="4"/>
        <v>0.4819343295</v>
      </c>
      <c r="V87" s="17">
        <f t="shared" si="28"/>
        <v>409.4514063</v>
      </c>
      <c r="W87" s="21">
        <f t="shared" si="5"/>
        <v>4</v>
      </c>
      <c r="X87" s="21">
        <f t="shared" si="6"/>
        <v>2047.257032</v>
      </c>
      <c r="Y87" s="21">
        <f t="shared" si="7"/>
        <v>2.409671647</v>
      </c>
      <c r="Z87" s="8">
        <f t="shared" si="19"/>
        <v>406.2851159</v>
      </c>
      <c r="AA87" s="8">
        <f t="shared" si="29"/>
        <v>375</v>
      </c>
      <c r="AB87" s="13">
        <f t="shared" si="9"/>
        <v>1.102941176</v>
      </c>
      <c r="AC87" s="13">
        <f t="shared" si="10"/>
        <v>0.9229971401</v>
      </c>
      <c r="AD87" s="13">
        <f>AA87/vlookup(A87,Max!$A$2:$AP$700,column(Max!$AP$2),false)</f>
        <v>0.8333333333</v>
      </c>
      <c r="AE87" s="8">
        <f t="shared" si="11"/>
        <v>295.7959211</v>
      </c>
      <c r="AF87" s="14">
        <f t="shared" si="12"/>
        <v>0.9635785524</v>
      </c>
      <c r="AG87" s="14">
        <f t="shared" si="13"/>
        <v>1.301938836</v>
      </c>
      <c r="AH87" s="14">
        <f t="shared" si="14"/>
        <v>1</v>
      </c>
      <c r="AI87" s="14">
        <f t="shared" si="15"/>
        <v>1.011377415</v>
      </c>
      <c r="AJ87" s="27">
        <f t="shared" si="16"/>
        <v>-12</v>
      </c>
      <c r="AK87" s="15" t="str">
        <f t="shared" si="17"/>
        <v>  @CONFIG[LR79-NA-11] {
   %cost = 375
   @cost -= #$../../cost$
  }</v>
      </c>
    </row>
    <row r="88" ht="15.75" customHeight="1">
      <c r="A88" s="7" t="s">
        <v>333</v>
      </c>
      <c r="B88" s="7" t="s">
        <v>330</v>
      </c>
      <c r="C88" s="8">
        <f t="shared" si="1"/>
        <v>129</v>
      </c>
      <c r="D88" s="7">
        <v>1960.0</v>
      </c>
      <c r="E88" s="7"/>
      <c r="F88" s="7" t="b">
        <v>1</v>
      </c>
      <c r="G88" s="7" t="b">
        <v>0</v>
      </c>
      <c r="H88" s="7" t="b">
        <v>0</v>
      </c>
      <c r="I88" s="7" t="b">
        <v>0</v>
      </c>
      <c r="J88" s="9" t="b">
        <v>0</v>
      </c>
      <c r="K88" s="7">
        <v>300.0</v>
      </c>
      <c r="L88" s="7">
        <v>15.0</v>
      </c>
      <c r="M88" s="35">
        <f>828+30</f>
        <v>858</v>
      </c>
      <c r="N88" s="7">
        <v>831.4</v>
      </c>
      <c r="O88" s="7">
        <v>290.0</v>
      </c>
      <c r="P88" s="7">
        <v>4.04</v>
      </c>
      <c r="Q88" s="7">
        <v>0.991189</v>
      </c>
      <c r="R88" s="7">
        <v>0.991189</v>
      </c>
      <c r="S88" s="10">
        <f t="shared" si="2"/>
        <v>315</v>
      </c>
      <c r="T88" s="10">
        <f t="shared" si="3"/>
        <v>98.81026305</v>
      </c>
      <c r="U88" s="11">
        <f t="shared" si="4"/>
        <v>0.4776156487</v>
      </c>
      <c r="V88" s="8">
        <f t="shared" si="28"/>
        <v>397.0896503</v>
      </c>
      <c r="W88" s="12">
        <f t="shared" si="5"/>
        <v>4</v>
      </c>
      <c r="X88" s="12">
        <f t="shared" si="6"/>
        <v>1985.448252</v>
      </c>
      <c r="Y88" s="12">
        <f t="shared" si="7"/>
        <v>2.388078243</v>
      </c>
      <c r="Z88" s="8">
        <f t="shared" si="19"/>
        <v>398.064757</v>
      </c>
      <c r="AA88" s="8">
        <f t="shared" si="29"/>
        <v>377</v>
      </c>
      <c r="AB88" s="13">
        <f t="shared" si="9"/>
        <v>1.196825397</v>
      </c>
      <c r="AC88" s="13">
        <f t="shared" si="10"/>
        <v>0.9470820848</v>
      </c>
      <c r="AD88" s="13">
        <f>AA88/vlookup(A88,Max!$A$2:$AP$700,column(Max!$AP$2),false)</f>
        <v>0.7854166667</v>
      </c>
      <c r="AE88" s="8">
        <f t="shared" si="11"/>
        <v>282.682</v>
      </c>
      <c r="AF88" s="14">
        <f t="shared" si="12"/>
        <v>0.9726726019</v>
      </c>
      <c r="AG88" s="14">
        <f t="shared" si="13"/>
        <v>1.337818144</v>
      </c>
      <c r="AH88" s="14">
        <f t="shared" si="14"/>
        <v>1</v>
      </c>
      <c r="AI88" s="14">
        <f t="shared" si="15"/>
        <v>1.024642835</v>
      </c>
      <c r="AJ88" s="27">
        <f t="shared" si="16"/>
        <v>129</v>
      </c>
      <c r="AK88" s="15" t="str">
        <f t="shared" si="17"/>
        <v>  @CONFIG[LR89-NA-5] {
   %cost = 377
   @cost -= #$../../cost$
  }</v>
      </c>
    </row>
    <row r="89" ht="15.75" customHeight="1">
      <c r="A89" s="7" t="s">
        <v>445</v>
      </c>
      <c r="B89" s="7" t="s">
        <v>446</v>
      </c>
      <c r="C89" s="8">
        <f t="shared" si="1"/>
        <v>304</v>
      </c>
      <c r="D89" s="7">
        <v>1960.0</v>
      </c>
      <c r="E89" s="7"/>
      <c r="F89" s="7" t="b">
        <v>1</v>
      </c>
      <c r="G89" s="7" t="b">
        <v>0</v>
      </c>
      <c r="H89" s="7" t="b">
        <v>1</v>
      </c>
      <c r="I89" s="7" t="b">
        <v>0</v>
      </c>
      <c r="J89" s="9" t="b">
        <v>0</v>
      </c>
      <c r="K89" s="7">
        <v>350.0</v>
      </c>
      <c r="L89" s="7">
        <v>0.0</v>
      </c>
      <c r="M89" s="7">
        <v>410.0</v>
      </c>
      <c r="N89" s="7">
        <v>297.9</v>
      </c>
      <c r="O89" s="7">
        <v>326.0</v>
      </c>
      <c r="P89" s="7">
        <v>6.82</v>
      </c>
      <c r="Q89" s="7">
        <v>0.996778</v>
      </c>
      <c r="R89" s="7">
        <v>0.988983</v>
      </c>
      <c r="S89" s="10">
        <f t="shared" si="2"/>
        <v>350</v>
      </c>
      <c r="T89" s="10">
        <f t="shared" si="3"/>
        <v>74.09108755</v>
      </c>
      <c r="U89" s="11">
        <f t="shared" si="4"/>
        <v>0.9505690824</v>
      </c>
      <c r="V89" s="8">
        <f t="shared" si="28"/>
        <v>283.1745296</v>
      </c>
      <c r="W89" s="12">
        <f t="shared" si="5"/>
        <v>4</v>
      </c>
      <c r="X89" s="12">
        <f t="shared" si="6"/>
        <v>1415.872648</v>
      </c>
      <c r="Y89" s="12">
        <f t="shared" si="7"/>
        <v>4.752845412</v>
      </c>
      <c r="Z89" s="8">
        <f t="shared" si="19"/>
        <v>284.8159499</v>
      </c>
      <c r="AA89" s="8">
        <f t="shared" si="29"/>
        <v>304</v>
      </c>
      <c r="AB89" s="13">
        <f t="shared" si="9"/>
        <v>0.8685714286</v>
      </c>
      <c r="AC89" s="13">
        <f t="shared" si="10"/>
        <v>1.067355954</v>
      </c>
      <c r="AD89" s="13">
        <f>AA89/vlookup(A89,Max!$A$2:$AP$700,column(Max!$AP$2),false)</f>
        <v>1.216</v>
      </c>
      <c r="AE89" s="8">
        <f t="shared" si="11"/>
        <v>179.6727103</v>
      </c>
      <c r="AF89" s="14">
        <f t="shared" si="12"/>
        <v>1.197979511</v>
      </c>
      <c r="AG89" s="14">
        <f t="shared" si="13"/>
        <v>1.399469663</v>
      </c>
      <c r="AH89" s="14">
        <f t="shared" si="14"/>
        <v>1</v>
      </c>
      <c r="AI89" s="14">
        <f t="shared" si="15"/>
        <v>1.010763381</v>
      </c>
      <c r="AJ89" s="15">
        <f t="shared" si="16"/>
        <v>0</v>
      </c>
      <c r="AK89" s="15" t="str">
        <f t="shared" si="17"/>
        <v>  @CONFIG[RD-0107] {
   %cost = 304
   @cost -= #$../../cost$
  }</v>
      </c>
    </row>
    <row r="90" ht="15.75" customHeight="1">
      <c r="A90" s="16" t="s">
        <v>444</v>
      </c>
      <c r="B90" s="16" t="s">
        <v>443</v>
      </c>
      <c r="C90" s="8">
        <f t="shared" si="1"/>
        <v>20</v>
      </c>
      <c r="D90" s="16">
        <v>1960.0</v>
      </c>
      <c r="E90" s="16"/>
      <c r="F90" s="16" t="b">
        <v>1</v>
      </c>
      <c r="G90" s="16" t="b">
        <v>0</v>
      </c>
      <c r="H90" s="16" t="b">
        <v>1</v>
      </c>
      <c r="I90" s="16" t="b">
        <v>0</v>
      </c>
      <c r="J90" s="9" t="b">
        <v>0</v>
      </c>
      <c r="K90" s="16">
        <v>250.0</v>
      </c>
      <c r="L90" s="16">
        <v>20.0</v>
      </c>
      <c r="M90" s="16">
        <v>121.0</v>
      </c>
      <c r="N90" s="16">
        <v>54.5</v>
      </c>
      <c r="O90" s="16">
        <v>323.5</v>
      </c>
      <c r="P90" s="16">
        <v>5.0</v>
      </c>
      <c r="Q90" s="16">
        <v>0.998993</v>
      </c>
      <c r="R90" s="16">
        <v>0.993624</v>
      </c>
      <c r="S90" s="19">
        <f t="shared" si="2"/>
        <v>270</v>
      </c>
      <c r="T90" s="19">
        <f t="shared" si="3"/>
        <v>45.92936648</v>
      </c>
      <c r="U90" s="20">
        <f t="shared" si="4"/>
        <v>2.414751007</v>
      </c>
      <c r="V90" s="17">
        <f t="shared" si="28"/>
        <v>131.6039299</v>
      </c>
      <c r="W90" s="21">
        <f t="shared" si="5"/>
        <v>4</v>
      </c>
      <c r="X90" s="21">
        <f t="shared" si="6"/>
        <v>658.0196493</v>
      </c>
      <c r="Y90" s="21">
        <f t="shared" si="7"/>
        <v>12.07375503</v>
      </c>
      <c r="Z90" s="8">
        <f t="shared" si="19"/>
        <v>133.2652216</v>
      </c>
      <c r="AA90" s="8">
        <f t="shared" si="29"/>
        <v>135</v>
      </c>
      <c r="AB90" s="13">
        <f t="shared" si="9"/>
        <v>0.5</v>
      </c>
      <c r="AC90" s="13">
        <f t="shared" si="10"/>
        <v>1.013017488</v>
      </c>
      <c r="AD90" s="13">
        <f>AA90/vlookup(A90,Max!$A$2:$AP$700,column(Max!$AP$2),false)</f>
        <v>1.708860759</v>
      </c>
      <c r="AE90" s="8">
        <f t="shared" si="11"/>
        <v>85.54897009</v>
      </c>
      <c r="AF90" s="14">
        <f t="shared" si="12"/>
        <v>1.176623095</v>
      </c>
      <c r="AG90" s="14">
        <f t="shared" si="13"/>
        <v>1.305059328</v>
      </c>
      <c r="AH90" s="14">
        <f t="shared" si="14"/>
        <v>1</v>
      </c>
      <c r="AI90" s="14">
        <f t="shared" si="15"/>
        <v>1.028353945</v>
      </c>
      <c r="AJ90" s="27">
        <f t="shared" si="16"/>
        <v>20</v>
      </c>
      <c r="AK90" s="15" t="str">
        <f t="shared" si="17"/>
        <v>  @CONFIG[RD-0109] {
   %cost = 135
   @cost -= #$../../cost$
  }</v>
      </c>
    </row>
    <row r="91" ht="15.75" customHeight="1">
      <c r="A91" s="16" t="s">
        <v>532</v>
      </c>
      <c r="B91" s="16" t="s">
        <v>1008</v>
      </c>
      <c r="C91" s="8">
        <f t="shared" si="1"/>
        <v>-21</v>
      </c>
      <c r="D91" s="16">
        <v>1960.0</v>
      </c>
      <c r="E91" s="16"/>
      <c r="F91" s="16" t="b">
        <v>1</v>
      </c>
      <c r="G91" s="16" t="b">
        <v>0</v>
      </c>
      <c r="H91" s="16" t="b">
        <v>0</v>
      </c>
      <c r="I91" s="16" t="b">
        <v>0</v>
      </c>
      <c r="J91" s="9" t="b">
        <v>0</v>
      </c>
      <c r="K91" s="16">
        <v>470.0</v>
      </c>
      <c r="L91" s="16">
        <v>50.0</v>
      </c>
      <c r="M91" s="16">
        <v>1180.0</v>
      </c>
      <c r="N91" s="16">
        <v>995.37</v>
      </c>
      <c r="O91" s="16">
        <v>313.15</v>
      </c>
      <c r="P91" s="16">
        <v>5.84</v>
      </c>
      <c r="Q91" s="16">
        <v>0.999794</v>
      </c>
      <c r="R91" s="16">
        <v>0.999794</v>
      </c>
      <c r="S91" s="19">
        <f t="shared" si="2"/>
        <v>520</v>
      </c>
      <c r="T91" s="19">
        <f t="shared" si="3"/>
        <v>86.01651898</v>
      </c>
      <c r="U91" s="20">
        <f t="shared" si="4"/>
        <v>0.5195090137</v>
      </c>
      <c r="V91" s="17">
        <f t="shared" si="28"/>
        <v>517.1036869</v>
      </c>
      <c r="W91" s="21">
        <f t="shared" si="5"/>
        <v>4</v>
      </c>
      <c r="X91" s="21">
        <f t="shared" si="6"/>
        <v>2585.518435</v>
      </c>
      <c r="Y91" s="21">
        <f t="shared" si="7"/>
        <v>2.597545068</v>
      </c>
      <c r="Z91" s="8">
        <f t="shared" si="19"/>
        <v>527.2327359</v>
      </c>
      <c r="AA91" s="8">
        <f t="shared" si="29"/>
        <v>585</v>
      </c>
      <c r="AB91" s="13">
        <f t="shared" si="9"/>
        <v>1.125</v>
      </c>
      <c r="AC91" s="13">
        <f t="shared" si="10"/>
        <v>1.109566915</v>
      </c>
      <c r="AD91" s="13">
        <f>AA91/vlookup(A91,Max!$A$2:$AP$700,column(Max!$AP$2),false)</f>
        <v>0.8602941176</v>
      </c>
      <c r="AE91" s="8">
        <f t="shared" si="11"/>
        <v>344.0465329</v>
      </c>
      <c r="AF91" s="14">
        <f t="shared" si="12"/>
        <v>1.087662507</v>
      </c>
      <c r="AG91" s="14">
        <f t="shared" si="13"/>
        <v>1.494192411</v>
      </c>
      <c r="AH91" s="14">
        <f t="shared" si="14"/>
        <v>1</v>
      </c>
      <c r="AI91" s="14">
        <f t="shared" si="15"/>
        <v>1.047026415</v>
      </c>
      <c r="AJ91" s="27">
        <f t="shared" si="16"/>
        <v>-21</v>
      </c>
      <c r="AK91" s="15" t="str">
        <f t="shared" si="17"/>
        <v>  @CONFIG[RD-107-8D74K] {
   %cost = 585
   @cost -= #$../../cost$
  }</v>
      </c>
    </row>
    <row r="92" ht="15.75" customHeight="1">
      <c r="A92" s="16" t="s">
        <v>543</v>
      </c>
      <c r="B92" s="16" t="s">
        <v>1009</v>
      </c>
      <c r="C92" s="8">
        <f t="shared" si="1"/>
        <v>-26</v>
      </c>
      <c r="D92" s="16">
        <v>1960.0</v>
      </c>
      <c r="E92" s="16"/>
      <c r="F92" s="16" t="b">
        <v>1</v>
      </c>
      <c r="G92" s="16" t="b">
        <v>0</v>
      </c>
      <c r="H92" s="16" t="b">
        <v>0</v>
      </c>
      <c r="I92" s="16" t="b">
        <v>0</v>
      </c>
      <c r="J92" s="9" t="b">
        <v>0</v>
      </c>
      <c r="K92" s="16">
        <v>450.0</v>
      </c>
      <c r="L92" s="16">
        <v>50.0</v>
      </c>
      <c r="M92" s="16">
        <v>1251.0</v>
      </c>
      <c r="N92" s="16">
        <v>941.47</v>
      </c>
      <c r="O92" s="16">
        <v>315.0</v>
      </c>
      <c r="P92" s="16">
        <v>5.1</v>
      </c>
      <c r="Q92" s="16">
        <v>0.999794</v>
      </c>
      <c r="R92" s="16">
        <v>0.999794</v>
      </c>
      <c r="S92" s="19">
        <f t="shared" si="2"/>
        <v>500</v>
      </c>
      <c r="T92" s="19">
        <f t="shared" si="3"/>
        <v>76.74118467</v>
      </c>
      <c r="U92" s="20">
        <f t="shared" si="4"/>
        <v>0.5645275154</v>
      </c>
      <c r="V92" s="17">
        <f t="shared" si="28"/>
        <v>531.4857199</v>
      </c>
      <c r="W92" s="21">
        <f t="shared" si="5"/>
        <v>4</v>
      </c>
      <c r="X92" s="21">
        <f t="shared" si="6"/>
        <v>2657.428599</v>
      </c>
      <c r="Y92" s="21">
        <f t="shared" si="7"/>
        <v>2.822637577</v>
      </c>
      <c r="Z92" s="8">
        <f t="shared" si="19"/>
        <v>541.8964847</v>
      </c>
      <c r="AA92" s="8">
        <f t="shared" si="29"/>
        <v>594</v>
      </c>
      <c r="AB92" s="13">
        <f t="shared" si="9"/>
        <v>1.188</v>
      </c>
      <c r="AC92" s="13">
        <f t="shared" si="10"/>
        <v>1.096150311</v>
      </c>
      <c r="AD92" s="13">
        <f>AA92/vlookup(A92,Max!$A$2:$AP$700,column(Max!$AP$2),false)</f>
        <v>0.7071428571</v>
      </c>
      <c r="AE92" s="8">
        <f t="shared" si="11"/>
        <v>356.6850766</v>
      </c>
      <c r="AF92" s="14">
        <f t="shared" si="12"/>
        <v>1.107892259</v>
      </c>
      <c r="AG92" s="14">
        <f t="shared" si="13"/>
        <v>1.434675642</v>
      </c>
      <c r="AH92" s="14">
        <f t="shared" si="14"/>
        <v>1</v>
      </c>
      <c r="AI92" s="14">
        <f t="shared" si="15"/>
        <v>1.047026415</v>
      </c>
      <c r="AJ92" s="27">
        <f t="shared" si="16"/>
        <v>-26</v>
      </c>
      <c r="AK92" s="15" t="str">
        <f t="shared" si="17"/>
        <v>  @CONFIG[RD-108-8D75K] {
   %cost = 594
   @cost -= #$../../cost$
  }</v>
      </c>
    </row>
    <row r="93" ht="15.75" customHeight="1">
      <c r="A93" s="7" t="s">
        <v>548</v>
      </c>
      <c r="B93" s="7" t="s">
        <v>549</v>
      </c>
      <c r="C93" s="8">
        <f t="shared" si="1"/>
        <v>196</v>
      </c>
      <c r="D93" s="7">
        <v>1960.0</v>
      </c>
      <c r="E93" s="7"/>
      <c r="F93" s="7" t="b">
        <v>1</v>
      </c>
      <c r="G93" s="7" t="b">
        <v>0</v>
      </c>
      <c r="H93" s="7" t="b">
        <v>1</v>
      </c>
      <c r="I93" s="7" t="b">
        <v>0</v>
      </c>
      <c r="J93" s="9" t="b">
        <v>0</v>
      </c>
      <c r="K93" s="7">
        <v>300.0</v>
      </c>
      <c r="L93" s="7">
        <v>0.0</v>
      </c>
      <c r="M93" s="7">
        <v>210.0</v>
      </c>
      <c r="N93" s="7">
        <v>101.6</v>
      </c>
      <c r="O93" s="7">
        <v>334.0</v>
      </c>
      <c r="P93" s="7">
        <v>7.75</v>
      </c>
      <c r="Q93" s="7">
        <v>0.99</v>
      </c>
      <c r="R93" s="7">
        <v>0.95</v>
      </c>
      <c r="S93" s="10">
        <f t="shared" si="2"/>
        <v>300</v>
      </c>
      <c r="T93" s="10">
        <f t="shared" si="3"/>
        <v>49.3348414</v>
      </c>
      <c r="U93" s="11">
        <f t="shared" si="4"/>
        <v>1.918568837</v>
      </c>
      <c r="V93" s="8">
        <f t="shared" si="28"/>
        <v>194.9265938</v>
      </c>
      <c r="W93" s="12">
        <f t="shared" si="5"/>
        <v>4</v>
      </c>
      <c r="X93" s="12">
        <f t="shared" si="6"/>
        <v>974.632969</v>
      </c>
      <c r="Y93" s="12">
        <f t="shared" si="7"/>
        <v>9.592844183</v>
      </c>
      <c r="Z93" s="8">
        <f t="shared" si="19"/>
        <v>187.2269934</v>
      </c>
      <c r="AA93" s="8">
        <f t="shared" si="29"/>
        <v>196</v>
      </c>
      <c r="AB93" s="13">
        <f t="shared" si="9"/>
        <v>0.6533333333</v>
      </c>
      <c r="AC93" s="13">
        <f t="shared" si="10"/>
        <v>1.046857595</v>
      </c>
      <c r="AD93" s="13">
        <f>AA93/vlookup(A93,Max!$A$2:$AP$700,column(Max!$AP$2),false)</f>
        <v>2</v>
      </c>
      <c r="AE93" s="8">
        <f t="shared" si="11"/>
        <v>119.4860328</v>
      </c>
      <c r="AF93" s="14">
        <f t="shared" si="12"/>
        <v>1.270044113</v>
      </c>
      <c r="AG93" s="14">
        <f t="shared" si="13"/>
        <v>1.440306389</v>
      </c>
      <c r="AH93" s="14">
        <f t="shared" si="14"/>
        <v>1</v>
      </c>
      <c r="AI93" s="14">
        <f t="shared" si="15"/>
        <v>0.8986246407</v>
      </c>
      <c r="AJ93" s="15">
        <f t="shared" si="16"/>
        <v>0</v>
      </c>
      <c r="AK93" s="15" t="str">
        <f t="shared" si="17"/>
        <v>  @CONFIG[RD-109-8D711] {
   %cost = 196
   @cost -= #$../../cost$
  }</v>
      </c>
    </row>
    <row r="94" ht="15.75" customHeight="1">
      <c r="A94" s="16" t="s">
        <v>577</v>
      </c>
      <c r="B94" s="16" t="s">
        <v>573</v>
      </c>
      <c r="C94" s="8">
        <f t="shared" si="1"/>
        <v>20</v>
      </c>
      <c r="D94" s="16">
        <v>1960.0</v>
      </c>
      <c r="E94" s="16"/>
      <c r="F94" s="16" t="b">
        <v>1</v>
      </c>
      <c r="G94" s="16" t="b">
        <v>0</v>
      </c>
      <c r="H94" s="16" t="b">
        <v>0</v>
      </c>
      <c r="I94" s="16" t="b">
        <v>0</v>
      </c>
      <c r="J94" s="9" t="b">
        <v>0</v>
      </c>
      <c r="K94" s="16">
        <v>200.0</v>
      </c>
      <c r="L94" s="16">
        <v>20.0</v>
      </c>
      <c r="M94" s="16">
        <v>622.0</v>
      </c>
      <c r="N94" s="16">
        <v>730.6</v>
      </c>
      <c r="O94" s="16">
        <v>264.0</v>
      </c>
      <c r="P94" s="16">
        <v>4.36</v>
      </c>
      <c r="Q94" s="16">
        <v>0.988253</v>
      </c>
      <c r="R94" s="16">
        <v>0.988253</v>
      </c>
      <c r="S94" s="19">
        <f t="shared" si="2"/>
        <v>220</v>
      </c>
      <c r="T94" s="19">
        <f t="shared" si="3"/>
        <v>119.7756693</v>
      </c>
      <c r="U94" s="20">
        <f t="shared" si="4"/>
        <v>0.4287691705</v>
      </c>
      <c r="V94" s="17">
        <f t="shared" si="28"/>
        <v>313.258756</v>
      </c>
      <c r="W94" s="21">
        <f t="shared" si="5"/>
        <v>4</v>
      </c>
      <c r="X94" s="21">
        <f t="shared" si="6"/>
        <v>1566.29378</v>
      </c>
      <c r="Y94" s="21">
        <f t="shared" si="7"/>
        <v>2.143845853</v>
      </c>
      <c r="Z94" s="8">
        <f t="shared" si="19"/>
        <v>312.2074571</v>
      </c>
      <c r="AA94" s="8">
        <f t="shared" si="29"/>
        <v>298</v>
      </c>
      <c r="AB94" s="13">
        <f t="shared" si="9"/>
        <v>1.354545455</v>
      </c>
      <c r="AC94" s="13">
        <f t="shared" si="10"/>
        <v>0.954493537</v>
      </c>
      <c r="AD94" s="13">
        <f>AA94/vlookup(A94,Max!$A$2:$AP$700,column(Max!$AP$2),false)</f>
        <v>0.8514285714</v>
      </c>
      <c r="AE94" s="8">
        <f t="shared" si="11"/>
        <v>231.957497</v>
      </c>
      <c r="AF94" s="14">
        <f t="shared" si="12"/>
        <v>0.922037686</v>
      </c>
      <c r="AG94" s="14">
        <f t="shared" si="13"/>
        <v>1.368764141</v>
      </c>
      <c r="AH94" s="14">
        <f t="shared" si="14"/>
        <v>1</v>
      </c>
      <c r="AI94" s="14">
        <f t="shared" si="15"/>
        <v>1.017071949</v>
      </c>
      <c r="AJ94" s="27">
        <f t="shared" si="16"/>
        <v>20</v>
      </c>
      <c r="AK94" s="15" t="str">
        <f t="shared" si="17"/>
        <v>  @CONFIG[RD-214U-8D59U] {
   %cost = 298
   @cost -= #$../../cost$
  }</v>
      </c>
    </row>
    <row r="95" ht="15.75" customHeight="1">
      <c r="A95" s="7" t="s">
        <v>578</v>
      </c>
      <c r="B95" s="7" t="s">
        <v>579</v>
      </c>
      <c r="C95" s="8">
        <f t="shared" si="1"/>
        <v>392</v>
      </c>
      <c r="D95" s="7">
        <v>1960.0</v>
      </c>
      <c r="E95" s="7"/>
      <c r="F95" s="7" t="b">
        <v>1</v>
      </c>
      <c r="G95" s="7" t="b">
        <v>0</v>
      </c>
      <c r="H95" s="7" t="b">
        <v>0</v>
      </c>
      <c r="I95" s="7" t="b">
        <v>0</v>
      </c>
      <c r="J95" s="9" t="b">
        <v>0</v>
      </c>
      <c r="K95" s="7">
        <v>330.0</v>
      </c>
      <c r="L95" s="7">
        <v>0.0</v>
      </c>
      <c r="M95" s="7">
        <v>675.0</v>
      </c>
      <c r="N95" s="7">
        <v>869.9</v>
      </c>
      <c r="O95" s="7">
        <v>289.0</v>
      </c>
      <c r="P95" s="7">
        <v>7.35</v>
      </c>
      <c r="Q95" s="7">
        <v>0.994828</v>
      </c>
      <c r="R95" s="7">
        <v>0.994828</v>
      </c>
      <c r="S95" s="10">
        <f t="shared" si="2"/>
        <v>330</v>
      </c>
      <c r="T95" s="10">
        <f t="shared" si="3"/>
        <v>131.4149824</v>
      </c>
      <c r="U95" s="11">
        <f t="shared" si="4"/>
        <v>0.4165486112</v>
      </c>
      <c r="V95" s="8">
        <f t="shared" si="28"/>
        <v>362.3556369</v>
      </c>
      <c r="W95" s="12">
        <f t="shared" si="5"/>
        <v>4</v>
      </c>
      <c r="X95" s="12">
        <f t="shared" si="6"/>
        <v>1811.778184</v>
      </c>
      <c r="Y95" s="12">
        <f t="shared" si="7"/>
        <v>2.082743056</v>
      </c>
      <c r="Z95" s="8">
        <f t="shared" si="19"/>
        <v>365.8642358</v>
      </c>
      <c r="AA95" s="8">
        <f t="shared" si="29"/>
        <v>392</v>
      </c>
      <c r="AB95" s="13">
        <f t="shared" si="9"/>
        <v>1.187878788</v>
      </c>
      <c r="AC95" s="13">
        <f t="shared" si="10"/>
        <v>1.07143569</v>
      </c>
      <c r="AD95" s="13">
        <f>AA95/vlookup(A95,Max!$A$2:$AP$700,column(Max!$AP$2),false)</f>
        <v>0.7259259259</v>
      </c>
      <c r="AE95" s="8">
        <f t="shared" si="11"/>
        <v>243.9048726</v>
      </c>
      <c r="AF95" s="14">
        <f t="shared" si="12"/>
        <v>0.9702149694</v>
      </c>
      <c r="AG95" s="14">
        <f t="shared" si="13"/>
        <v>1.600917212</v>
      </c>
      <c r="AH95" s="14">
        <f t="shared" si="14"/>
        <v>1</v>
      </c>
      <c r="AI95" s="14">
        <f t="shared" si="15"/>
        <v>1.034073298</v>
      </c>
      <c r="AJ95" s="15">
        <f t="shared" si="16"/>
        <v>0</v>
      </c>
      <c r="AK95" s="15" t="str">
        <f t="shared" si="17"/>
        <v>  @CONFIG[RD-215-8D513] {
   %cost = 392
   @cost -= #$../../cost$
  }</v>
      </c>
    </row>
    <row r="96" ht="15.75" customHeight="1">
      <c r="A96" s="7" t="s">
        <v>724</v>
      </c>
      <c r="B96" s="7" t="s">
        <v>1011</v>
      </c>
      <c r="C96" s="8">
        <f t="shared" si="1"/>
        <v>16</v>
      </c>
      <c r="D96" s="7">
        <v>1960.0</v>
      </c>
      <c r="E96" s="7"/>
      <c r="F96" s="7" t="b">
        <v>1</v>
      </c>
      <c r="G96" s="7" t="b">
        <v>0</v>
      </c>
      <c r="H96" s="7" t="b">
        <v>0</v>
      </c>
      <c r="I96" s="7" t="b">
        <v>0</v>
      </c>
      <c r="J96" s="9" t="b">
        <v>0</v>
      </c>
      <c r="K96" s="7">
        <v>280.0</v>
      </c>
      <c r="L96" s="7">
        <v>-15.0</v>
      </c>
      <c r="M96" s="7">
        <v>945.3</v>
      </c>
      <c r="N96" s="7">
        <v>791.2</v>
      </c>
      <c r="O96" s="7">
        <v>284.0</v>
      </c>
      <c r="P96" s="7">
        <v>3.96</v>
      </c>
      <c r="Q96" s="7">
        <v>0.988462</v>
      </c>
      <c r="R96" s="7">
        <v>0.988462</v>
      </c>
      <c r="S96" s="10">
        <f t="shared" si="2"/>
        <v>265</v>
      </c>
      <c r="T96" s="10">
        <f t="shared" si="3"/>
        <v>85.34851003</v>
      </c>
      <c r="U96" s="11">
        <f t="shared" si="4"/>
        <v>0.5256480915</v>
      </c>
      <c r="V96" s="8">
        <f t="shared" si="28"/>
        <v>415.89277</v>
      </c>
      <c r="W96" s="12">
        <f t="shared" si="5"/>
        <v>4</v>
      </c>
      <c r="X96" s="12">
        <f t="shared" si="6"/>
        <v>2079.46385</v>
      </c>
      <c r="Y96" s="12">
        <f t="shared" si="7"/>
        <v>2.628240457</v>
      </c>
      <c r="Z96" s="8">
        <f t="shared" si="19"/>
        <v>414.6688497</v>
      </c>
      <c r="AA96" s="8">
        <f t="shared" si="29"/>
        <v>389</v>
      </c>
      <c r="AB96" s="13">
        <f t="shared" si="9"/>
        <v>1.467924528</v>
      </c>
      <c r="AC96" s="13">
        <f t="shared" si="10"/>
        <v>0.9380979551</v>
      </c>
      <c r="AD96" s="13">
        <f>AA96/vlookup(A96,Max!$A$2:$AP$700,column(Max!$AP$2),false)</f>
        <v>0.9261904762</v>
      </c>
      <c r="AE96" s="8">
        <f t="shared" si="11"/>
        <v>300.0666555</v>
      </c>
      <c r="AF96" s="14">
        <f t="shared" si="12"/>
        <v>0.9586088047</v>
      </c>
      <c r="AG96" s="14">
        <f t="shared" si="13"/>
        <v>1.329815002</v>
      </c>
      <c r="AH96" s="14">
        <f t="shared" si="14"/>
        <v>1</v>
      </c>
      <c r="AI96" s="14">
        <f t="shared" si="15"/>
        <v>1.017609772</v>
      </c>
      <c r="AJ96" s="27">
        <f t="shared" si="16"/>
        <v>16</v>
      </c>
      <c r="AK96" s="15" t="str">
        <f t="shared" si="17"/>
        <v>  @CONFIG[RZ.2-Mk4] {
   %cost = 389
   @cost -= #$../../cost$
  }</v>
      </c>
    </row>
    <row r="97" ht="15.75" customHeight="1">
      <c r="A97" s="16" t="s">
        <v>821</v>
      </c>
      <c r="B97" s="16" t="s">
        <v>820</v>
      </c>
      <c r="C97" s="8">
        <f t="shared" si="1"/>
        <v>-4</v>
      </c>
      <c r="D97" s="16">
        <v>1960.0</v>
      </c>
      <c r="E97" s="16"/>
      <c r="F97" s="16" t="b">
        <v>1</v>
      </c>
      <c r="G97" s="16" t="b">
        <v>0</v>
      </c>
      <c r="H97" s="16" t="b">
        <v>1</v>
      </c>
      <c r="I97" s="16" t="b">
        <v>0</v>
      </c>
      <c r="J97" s="9" t="b">
        <v>0</v>
      </c>
      <c r="K97" s="16">
        <v>400.0</v>
      </c>
      <c r="L97" s="16">
        <v>100.0</v>
      </c>
      <c r="M97" s="16">
        <v>217.0</v>
      </c>
      <c r="N97" s="16">
        <v>156.3</v>
      </c>
      <c r="O97" s="16">
        <v>311.9</v>
      </c>
      <c r="P97" s="16">
        <v>4.2</v>
      </c>
      <c r="Q97" s="18">
        <v>0.965</v>
      </c>
      <c r="R97" s="18">
        <v>0.975</v>
      </c>
      <c r="S97" s="19">
        <f t="shared" si="2"/>
        <v>500</v>
      </c>
      <c r="T97" s="19">
        <f t="shared" si="3"/>
        <v>73.44776204</v>
      </c>
      <c r="U97" s="20">
        <f t="shared" si="4"/>
        <v>1.152644579</v>
      </c>
      <c r="V97" s="17">
        <f t="shared" si="28"/>
        <v>180.1583477</v>
      </c>
      <c r="W97" s="21">
        <f t="shared" si="5"/>
        <v>4</v>
      </c>
      <c r="X97" s="21">
        <f t="shared" si="6"/>
        <v>900.7917384</v>
      </c>
      <c r="Y97" s="21">
        <f t="shared" si="7"/>
        <v>5.763222894</v>
      </c>
      <c r="Z97" s="8">
        <f t="shared" si="19"/>
        <v>173.1096523</v>
      </c>
      <c r="AA97" s="8">
        <f t="shared" si="29"/>
        <v>148</v>
      </c>
      <c r="AB97" s="13">
        <f t="shared" si="9"/>
        <v>0.296</v>
      </c>
      <c r="AC97" s="13">
        <f t="shared" si="10"/>
        <v>0.8549494382</v>
      </c>
      <c r="AD97" s="13">
        <f>AA97/vlookup(A97,Max!$A$2:$AP$700,column(Max!$AP$2),false)</f>
        <v>1.40952381</v>
      </c>
      <c r="AE97" s="8">
        <f t="shared" si="11"/>
        <v>121.8913786</v>
      </c>
      <c r="AF97" s="14">
        <f t="shared" si="12"/>
        <v>1.075111294</v>
      </c>
      <c r="AG97" s="14">
        <f t="shared" si="13"/>
        <v>1.254853697</v>
      </c>
      <c r="AH97" s="14">
        <f t="shared" si="14"/>
        <v>1</v>
      </c>
      <c r="AI97" s="14">
        <f t="shared" si="15"/>
        <v>0.8995206668</v>
      </c>
      <c r="AJ97" s="27">
        <f t="shared" si="16"/>
        <v>-4</v>
      </c>
      <c r="AK97" s="15" t="str">
        <f t="shared" si="17"/>
        <v>  @CONFIG[X-405H] {
   %cost = 148
   @cost -= #$../../cost$
  }</v>
      </c>
    </row>
    <row r="98" ht="15.75" customHeight="1">
      <c r="A98" s="16" t="s">
        <v>144</v>
      </c>
      <c r="B98" s="16" t="s">
        <v>145</v>
      </c>
      <c r="C98" s="8">
        <f t="shared" si="1"/>
        <v>136</v>
      </c>
      <c r="D98" s="16">
        <v>1961.0</v>
      </c>
      <c r="E98" s="16"/>
      <c r="F98" s="16" t="b">
        <v>0</v>
      </c>
      <c r="G98" s="16" t="b">
        <v>0</v>
      </c>
      <c r="H98" s="16" t="b">
        <v>1</v>
      </c>
      <c r="I98" s="16" t="b">
        <v>0</v>
      </c>
      <c r="J98" s="9" t="b">
        <v>0</v>
      </c>
      <c r="K98" s="16">
        <v>300.0</v>
      </c>
      <c r="L98" s="16">
        <v>0.0</v>
      </c>
      <c r="M98" s="16">
        <v>172.0</v>
      </c>
      <c r="N98" s="16">
        <v>53.38</v>
      </c>
      <c r="O98" s="16">
        <v>357.0</v>
      </c>
      <c r="P98" s="16">
        <v>1.03</v>
      </c>
      <c r="Q98" s="16">
        <v>0.98</v>
      </c>
      <c r="R98" s="16">
        <v>0.98</v>
      </c>
      <c r="S98" s="19">
        <f t="shared" si="2"/>
        <v>300</v>
      </c>
      <c r="T98" s="19">
        <f t="shared" si="3"/>
        <v>31.64677401</v>
      </c>
      <c r="U98" s="20">
        <f t="shared" si="4"/>
        <v>2.841502619</v>
      </c>
      <c r="V98" s="17">
        <f t="shared" si="28"/>
        <v>151.6794098</v>
      </c>
      <c r="W98" s="21">
        <f t="shared" si="5"/>
        <v>1.75</v>
      </c>
      <c r="X98" s="21">
        <f t="shared" si="6"/>
        <v>417.1183769</v>
      </c>
      <c r="Y98" s="21">
        <f t="shared" si="7"/>
        <v>7.814132202</v>
      </c>
      <c r="Z98" s="8">
        <f t="shared" si="19"/>
        <v>148.7064934</v>
      </c>
      <c r="AA98" s="8">
        <f t="shared" si="29"/>
        <v>136</v>
      </c>
      <c r="AB98" s="13">
        <f t="shared" si="9"/>
        <v>0.4533333333</v>
      </c>
      <c r="AC98" s="13">
        <f t="shared" si="10"/>
        <v>0.9145532043</v>
      </c>
      <c r="AD98" s="13">
        <f>AA98/vlookup(A98,Max!$A$2:$AP$700,column(Max!$AP$2),false)</f>
        <v>0.9714285714</v>
      </c>
      <c r="AE98" s="8">
        <f t="shared" si="11"/>
        <v>105.848602</v>
      </c>
      <c r="AF98" s="14">
        <f t="shared" si="12"/>
        <v>1.512870547</v>
      </c>
      <c r="AG98" s="14">
        <f t="shared" si="13"/>
        <v>0.9146403984</v>
      </c>
      <c r="AH98" s="14">
        <f t="shared" si="14"/>
        <v>1</v>
      </c>
      <c r="AI98" s="14">
        <f t="shared" si="15"/>
        <v>0.9269202967</v>
      </c>
      <c r="AJ98" s="15">
        <f t="shared" si="16"/>
        <v>0</v>
      </c>
      <c r="AK98" s="15" t="str">
        <f t="shared" si="17"/>
        <v>  @CONFIG[G-1] {
   %cost = 136
   @cost -= #$../../cost$
  }</v>
      </c>
    </row>
    <row r="99" ht="15.75" customHeight="1">
      <c r="A99" s="7" t="s">
        <v>1012</v>
      </c>
      <c r="B99" s="7" t="s">
        <v>158</v>
      </c>
      <c r="C99" s="8">
        <f t="shared" si="1"/>
        <v>392</v>
      </c>
      <c r="D99" s="7">
        <v>1961.0</v>
      </c>
      <c r="E99" s="7"/>
      <c r="F99" s="7" t="b">
        <v>1</v>
      </c>
      <c r="G99" s="7" t="b">
        <v>0</v>
      </c>
      <c r="H99" s="7" t="b">
        <v>0</v>
      </c>
      <c r="I99" s="7" t="b">
        <v>0</v>
      </c>
      <c r="J99" s="9" t="b">
        <v>0</v>
      </c>
      <c r="K99" s="7">
        <v>250.0</v>
      </c>
      <c r="L99" s="7">
        <v>0.0</v>
      </c>
      <c r="M99" s="7">
        <v>911.0</v>
      </c>
      <c r="N99" s="7">
        <v>846.76</v>
      </c>
      <c r="O99" s="7">
        <v>295.0</v>
      </c>
      <c r="P99" s="7">
        <v>4.05</v>
      </c>
      <c r="Q99" s="7">
        <v>0.995455</v>
      </c>
      <c r="R99" s="7">
        <v>0.995455</v>
      </c>
      <c r="S99" s="10">
        <f t="shared" si="2"/>
        <v>250</v>
      </c>
      <c r="T99" s="10">
        <f t="shared" si="3"/>
        <v>94.78099868</v>
      </c>
      <c r="U99" s="11">
        <f t="shared" si="4"/>
        <v>0.4908640113</v>
      </c>
      <c r="V99" s="8">
        <f t="shared" si="28"/>
        <v>415.6440102</v>
      </c>
      <c r="W99" s="12">
        <f t="shared" si="5"/>
        <v>4</v>
      </c>
      <c r="X99" s="12">
        <f t="shared" si="6"/>
        <v>2078.220051</v>
      </c>
      <c r="Y99" s="12">
        <f t="shared" si="7"/>
        <v>2.454320057</v>
      </c>
      <c r="Z99" s="8">
        <f t="shared" si="19"/>
        <v>420.1872723</v>
      </c>
      <c r="AA99" s="8">
        <f t="shared" si="29"/>
        <v>392</v>
      </c>
      <c r="AB99" s="13">
        <f t="shared" si="9"/>
        <v>1.568</v>
      </c>
      <c r="AC99" s="13">
        <f t="shared" si="10"/>
        <v>0.9329173581</v>
      </c>
      <c r="AD99" s="13">
        <f>AA99/vlookup(A99,Max!$A$2:$AP$700,column(Max!$AP$2),false)</f>
        <v>0.768627451</v>
      </c>
      <c r="AE99" s="8">
        <f t="shared" si="11"/>
        <v>293.3113531</v>
      </c>
      <c r="AF99" s="14">
        <f t="shared" si="12"/>
        <v>0.985688335</v>
      </c>
      <c r="AG99" s="14">
        <f t="shared" si="13"/>
        <v>1.338810714</v>
      </c>
      <c r="AH99" s="14">
        <f t="shared" si="14"/>
        <v>1</v>
      </c>
      <c r="AI99" s="14">
        <f t="shared" si="15"/>
        <v>1.013832232</v>
      </c>
      <c r="AJ99" s="15">
        <f t="shared" si="16"/>
        <v>0</v>
      </c>
      <c r="AK99" s="15" t="str">
        <f t="shared" si="17"/>
        <v>  @CONFIG[H-1-165k] {
   %cost = 392
   @cost -= #$../../cost$
  }</v>
      </c>
    </row>
    <row r="100" ht="15.75" customHeight="1">
      <c r="A100" s="16" t="s">
        <v>1013</v>
      </c>
      <c r="B100" s="16" t="s">
        <v>1014</v>
      </c>
      <c r="C100" s="8">
        <f t="shared" si="1"/>
        <v>22</v>
      </c>
      <c r="D100" s="16">
        <v>1961.0</v>
      </c>
      <c r="E100" s="16"/>
      <c r="F100" s="16" t="b">
        <v>0</v>
      </c>
      <c r="G100" s="16" t="b">
        <v>0</v>
      </c>
      <c r="H100" s="16" t="b">
        <v>1</v>
      </c>
      <c r="I100" s="16" t="b">
        <v>0</v>
      </c>
      <c r="J100" s="9" t="b">
        <v>0</v>
      </c>
      <c r="K100" s="16">
        <v>60.0</v>
      </c>
      <c r="L100" s="16">
        <v>0.0</v>
      </c>
      <c r="M100" s="16">
        <v>15.7</v>
      </c>
      <c r="N100" s="16">
        <v>1.96</v>
      </c>
      <c r="O100" s="16">
        <v>272.0</v>
      </c>
      <c r="P100" s="16">
        <v>1.18</v>
      </c>
      <c r="Q100" s="16">
        <v>0.996875</v>
      </c>
      <c r="R100" s="16">
        <v>0.996341</v>
      </c>
      <c r="S100" s="19">
        <f t="shared" si="2"/>
        <v>60</v>
      </c>
      <c r="T100" s="19">
        <f t="shared" si="3"/>
        <v>12.73021511</v>
      </c>
      <c r="U100" s="20">
        <f t="shared" si="4"/>
        <v>15.63958424</v>
      </c>
      <c r="V100" s="17">
        <f t="shared" si="28"/>
        <v>30.65358511</v>
      </c>
      <c r="W100" s="21">
        <f t="shared" si="5"/>
        <v>1.75</v>
      </c>
      <c r="X100" s="21">
        <f t="shared" si="6"/>
        <v>84.29735906</v>
      </c>
      <c r="Y100" s="21">
        <f t="shared" si="7"/>
        <v>43.00885666</v>
      </c>
      <c r="Z100" s="8">
        <f t="shared" si="19"/>
        <v>31.0590534</v>
      </c>
      <c r="AA100" s="8">
        <f t="shared" si="29"/>
        <v>22</v>
      </c>
      <c r="AB100" s="13">
        <f t="shared" si="9"/>
        <v>0.3666666667</v>
      </c>
      <c r="AC100" s="13">
        <f t="shared" si="10"/>
        <v>0.7083280909</v>
      </c>
      <c r="AD100" s="13">
        <f>AA100/vlookup(A100,Max!$A$2:$AP$700,column(Max!$AP$2),false)</f>
        <v>3.928571429</v>
      </c>
      <c r="AE100" s="8">
        <f t="shared" si="11"/>
        <v>25.2650465</v>
      </c>
      <c r="AF100" s="14">
        <f t="shared" si="12"/>
        <v>0.9349458699</v>
      </c>
      <c r="AG100" s="14">
        <f t="shared" si="13"/>
        <v>0.943051599</v>
      </c>
      <c r="AH100" s="14">
        <f t="shared" si="14"/>
        <v>1</v>
      </c>
      <c r="AI100" s="14">
        <f t="shared" si="15"/>
        <v>1.008170025</v>
      </c>
      <c r="AJ100" s="15">
        <f t="shared" si="16"/>
        <v>0</v>
      </c>
      <c r="AK100" s="15" t="str">
        <f t="shared" si="17"/>
        <v>  @CONFIG[KDU-414] {
   %cost = 22
   @cost -= #$../../cost$
  }</v>
      </c>
    </row>
    <row r="101" ht="15.75" customHeight="1">
      <c r="A101" s="7" t="s">
        <v>149</v>
      </c>
      <c r="B101" s="7" t="s">
        <v>148</v>
      </c>
      <c r="C101" s="8">
        <f t="shared" si="1"/>
        <v>3</v>
      </c>
      <c r="D101" s="7">
        <v>1961.0</v>
      </c>
      <c r="E101" s="7"/>
      <c r="F101" s="7" t="b">
        <v>1</v>
      </c>
      <c r="G101" s="7" t="b">
        <v>0</v>
      </c>
      <c r="H101" s="7" t="b">
        <v>1</v>
      </c>
      <c r="I101" s="7" t="b">
        <v>0</v>
      </c>
      <c r="J101" s="9" t="b">
        <v>0</v>
      </c>
      <c r="K101" s="7">
        <v>100.0</v>
      </c>
      <c r="L101" s="7">
        <v>20.0</v>
      </c>
      <c r="M101" s="7">
        <f>173*0.95</f>
        <v>164.35</v>
      </c>
      <c r="N101" s="7">
        <v>75.1</v>
      </c>
      <c r="O101" s="7">
        <v>279.4</v>
      </c>
      <c r="P101" s="7">
        <v>6.9</v>
      </c>
      <c r="Q101" s="7">
        <v>0.995</v>
      </c>
      <c r="R101" s="7">
        <v>0.981667</v>
      </c>
      <c r="S101" s="10">
        <f t="shared" si="2"/>
        <v>120</v>
      </c>
      <c r="T101" s="10">
        <f t="shared" si="3"/>
        <v>46.59609819</v>
      </c>
      <c r="U101" s="11">
        <f t="shared" si="4"/>
        <v>1.531291611</v>
      </c>
      <c r="V101" s="8">
        <v>115.0</v>
      </c>
      <c r="W101" s="12">
        <f t="shared" si="5"/>
        <v>4</v>
      </c>
      <c r="X101" s="12">
        <f t="shared" si="6"/>
        <v>575</v>
      </c>
      <c r="Y101" s="12">
        <f t="shared" si="7"/>
        <v>7.656458056</v>
      </c>
      <c r="Z101" s="8">
        <f t="shared" si="19"/>
        <v>114.6272465</v>
      </c>
      <c r="AA101" s="45">
        <v>109.0</v>
      </c>
      <c r="AB101" s="13">
        <f t="shared" si="9"/>
        <v>0.9083333333</v>
      </c>
      <c r="AC101" s="13">
        <f t="shared" si="10"/>
        <v>0.9509082993</v>
      </c>
      <c r="AD101" s="13">
        <f>AA101/vlookup(A101,Max!$A$2:$AP$700,column(Max!$AP$2),false)</f>
        <v>2.534883721</v>
      </c>
      <c r="AE101" s="8">
        <f t="shared" si="11"/>
        <v>102.9684404</v>
      </c>
      <c r="AF101" s="14">
        <f t="shared" si="12"/>
        <v>0.9488758891</v>
      </c>
      <c r="AG101" s="14">
        <f t="shared" si="13"/>
        <v>1.403146604</v>
      </c>
      <c r="AH101" s="14">
        <f t="shared" si="14"/>
        <v>1</v>
      </c>
      <c r="AI101" s="14">
        <f t="shared" si="15"/>
        <v>0.9668969606</v>
      </c>
      <c r="AJ101" s="27">
        <f t="shared" si="16"/>
        <v>3</v>
      </c>
      <c r="AK101" s="15" t="str">
        <f t="shared" si="17"/>
        <v>  @CONFIG[Larch-2] {
   %cost = 109
   @cost -= #$../../cost$
  }</v>
      </c>
    </row>
    <row r="102" ht="15.75" customHeight="1">
      <c r="A102" s="16" t="s">
        <v>153</v>
      </c>
      <c r="B102" s="16" t="s">
        <v>151</v>
      </c>
      <c r="C102" s="8">
        <f t="shared" si="1"/>
        <v>13</v>
      </c>
      <c r="D102" s="16">
        <v>1961.0</v>
      </c>
      <c r="E102" s="16"/>
      <c r="F102" s="16" t="b">
        <v>1</v>
      </c>
      <c r="G102" s="16" t="b">
        <v>0</v>
      </c>
      <c r="H102" s="16" t="b">
        <v>0</v>
      </c>
      <c r="I102" s="16" t="b">
        <v>0</v>
      </c>
      <c r="J102" s="9" t="b">
        <v>0</v>
      </c>
      <c r="K102" s="16">
        <v>56.0</v>
      </c>
      <c r="L102" s="16">
        <v>20.0</v>
      </c>
      <c r="M102" s="16">
        <v>204.0</v>
      </c>
      <c r="N102" s="16">
        <v>133.447</v>
      </c>
      <c r="O102" s="16">
        <v>269.0</v>
      </c>
      <c r="P102" s="16">
        <v>6.9</v>
      </c>
      <c r="Q102" s="16">
        <v>0.995</v>
      </c>
      <c r="R102" s="16">
        <v>0.981667</v>
      </c>
      <c r="S102" s="19">
        <f t="shared" si="2"/>
        <v>76</v>
      </c>
      <c r="T102" s="19">
        <f t="shared" si="3"/>
        <v>66.70493582</v>
      </c>
      <c r="U102" s="20">
        <f t="shared" si="4"/>
        <v>0.9591822971</v>
      </c>
      <c r="V102" s="17">
        <v>128.0</v>
      </c>
      <c r="W102" s="21">
        <f t="shared" si="5"/>
        <v>4</v>
      </c>
      <c r="X102" s="21">
        <f t="shared" si="6"/>
        <v>640</v>
      </c>
      <c r="Y102" s="21">
        <f t="shared" si="7"/>
        <v>4.795911485</v>
      </c>
      <c r="Z102" s="8">
        <f t="shared" si="19"/>
        <v>127.5851091</v>
      </c>
      <c r="AA102" s="45">
        <v>121.0</v>
      </c>
      <c r="AB102" s="13">
        <f t="shared" si="9"/>
        <v>1.592105263</v>
      </c>
      <c r="AC102" s="13">
        <f t="shared" si="10"/>
        <v>0.9483865385</v>
      </c>
      <c r="AD102" s="13">
        <f>AA102/vlookup(A102,Max!$A$2:$AP$700,column(Max!$AP$2),false)</f>
        <v>1.592105263</v>
      </c>
      <c r="AE102" s="8">
        <f t="shared" si="11"/>
        <v>117.3998093</v>
      </c>
      <c r="AF102" s="14">
        <f t="shared" si="12"/>
        <v>0.929857637</v>
      </c>
      <c r="AG102" s="14">
        <f t="shared" si="13"/>
        <v>1.570859704</v>
      </c>
      <c r="AH102" s="14">
        <f t="shared" si="14"/>
        <v>1</v>
      </c>
      <c r="AI102" s="14">
        <f t="shared" si="15"/>
        <v>0.9790897256</v>
      </c>
      <c r="AJ102" s="27">
        <f t="shared" si="16"/>
        <v>13</v>
      </c>
      <c r="AK102" s="15" t="str">
        <f t="shared" si="17"/>
        <v>  @CONFIG[Larch-4] {
   %cost = 121
   @cost -= #$../../cost$
  }</v>
      </c>
    </row>
    <row r="103" ht="15.75" customHeight="1">
      <c r="A103" s="16" t="s">
        <v>156</v>
      </c>
      <c r="B103" s="16" t="s">
        <v>155</v>
      </c>
      <c r="C103" s="8">
        <f t="shared" si="1"/>
        <v>6</v>
      </c>
      <c r="D103" s="16">
        <v>1961.0</v>
      </c>
      <c r="E103" s="16"/>
      <c r="F103" s="16" t="b">
        <v>1</v>
      </c>
      <c r="G103" s="16" t="b">
        <v>0</v>
      </c>
      <c r="H103" s="16" t="b">
        <v>0</v>
      </c>
      <c r="I103" s="16" t="b">
        <v>0</v>
      </c>
      <c r="J103" s="9" t="b">
        <v>0</v>
      </c>
      <c r="K103" s="16">
        <v>154.0</v>
      </c>
      <c r="L103" s="16">
        <v>20.0</v>
      </c>
      <c r="M103" s="16">
        <f>342*0.95</f>
        <v>324.9</v>
      </c>
      <c r="N103" s="16">
        <v>266.893</v>
      </c>
      <c r="O103" s="16">
        <v>269.0</v>
      </c>
      <c r="P103" s="16">
        <v>6.9</v>
      </c>
      <c r="Q103" s="16">
        <v>0.995</v>
      </c>
      <c r="R103" s="16">
        <v>0.981667</v>
      </c>
      <c r="S103" s="19">
        <f t="shared" si="2"/>
        <v>174</v>
      </c>
      <c r="T103" s="19">
        <f t="shared" si="3"/>
        <v>83.76581054</v>
      </c>
      <c r="U103" s="20">
        <f t="shared" si="4"/>
        <v>0.6332125608</v>
      </c>
      <c r="V103" s="17">
        <v>169.0</v>
      </c>
      <c r="W103" s="21">
        <f t="shared" si="5"/>
        <v>4</v>
      </c>
      <c r="X103" s="21">
        <f t="shared" si="6"/>
        <v>845</v>
      </c>
      <c r="Y103" s="21">
        <f t="shared" si="7"/>
        <v>3.166062804</v>
      </c>
      <c r="Z103" s="8">
        <f t="shared" si="19"/>
        <v>168.4522144</v>
      </c>
      <c r="AA103" s="45">
        <v>180.0</v>
      </c>
      <c r="AB103" s="13">
        <f t="shared" si="9"/>
        <v>1.034482759</v>
      </c>
      <c r="AC103" s="13">
        <f t="shared" si="10"/>
        <v>1.068552293</v>
      </c>
      <c r="AD103" s="13">
        <f>AA103/vlookup(A103,Max!$A$2:$AP$700,column(Max!$AP$2),false)</f>
        <v>1.333333333</v>
      </c>
      <c r="AE103" s="8">
        <f t="shared" si="11"/>
        <v>155.8654218</v>
      </c>
      <c r="AF103" s="14">
        <f t="shared" si="12"/>
        <v>0.929857637</v>
      </c>
      <c r="AG103" s="14">
        <f t="shared" si="13"/>
        <v>1.570859704</v>
      </c>
      <c r="AH103" s="14">
        <f t="shared" si="14"/>
        <v>1</v>
      </c>
      <c r="AI103" s="14">
        <f t="shared" si="15"/>
        <v>0.9790897256</v>
      </c>
      <c r="AJ103" s="27">
        <f t="shared" si="16"/>
        <v>6</v>
      </c>
      <c r="AK103" s="15" t="str">
        <f t="shared" si="17"/>
        <v>  @CONFIG[Larch-8] {
   %cost = 180
   @cost -= #$../../cost$
  }</v>
      </c>
    </row>
    <row r="104" ht="15.75" customHeight="1">
      <c r="A104" s="7" t="s">
        <v>437</v>
      </c>
      <c r="B104" s="7" t="s">
        <v>438</v>
      </c>
      <c r="C104" s="8">
        <f t="shared" si="1"/>
        <v>17</v>
      </c>
      <c r="D104" s="7">
        <v>1961.0</v>
      </c>
      <c r="E104" s="7"/>
      <c r="F104" s="7" t="b">
        <v>0</v>
      </c>
      <c r="G104" s="7" t="b">
        <v>0</v>
      </c>
      <c r="H104" s="7" t="b">
        <v>1</v>
      </c>
      <c r="I104" s="7" t="b">
        <v>0</v>
      </c>
      <c r="J104" s="9" t="b">
        <v>0</v>
      </c>
      <c r="K104" s="7">
        <v>30.0</v>
      </c>
      <c r="L104" s="7">
        <v>0.0</v>
      </c>
      <c r="M104" s="7">
        <v>9.8</v>
      </c>
      <c r="N104" s="7">
        <v>0.225</v>
      </c>
      <c r="O104" s="7">
        <v>234.97</v>
      </c>
      <c r="P104" s="7">
        <v>1.31</v>
      </c>
      <c r="Q104" s="7">
        <v>0.999048</v>
      </c>
      <c r="R104" s="7">
        <v>0.999048</v>
      </c>
      <c r="S104" s="10">
        <f t="shared" si="2"/>
        <v>30</v>
      </c>
      <c r="T104" s="10">
        <f t="shared" si="3"/>
        <v>2.341185176</v>
      </c>
      <c r="U104" s="11">
        <f t="shared" si="4"/>
        <v>96.56374465</v>
      </c>
      <c r="V104" s="8">
        <f t="shared" ref="V104:V112" si="30">0.2*(8.17*POWER(M104*P104,0.46))+0.8*(0.146*POWER(M104*O104,0.639))</f>
        <v>21.72684255</v>
      </c>
      <c r="W104" s="12">
        <f t="shared" si="5"/>
        <v>1.75</v>
      </c>
      <c r="X104" s="12">
        <f t="shared" si="6"/>
        <v>59.748817</v>
      </c>
      <c r="Y104" s="12">
        <f t="shared" si="7"/>
        <v>265.5502978</v>
      </c>
      <c r="Z104" s="8">
        <f t="shared" si="19"/>
        <v>22.12003118</v>
      </c>
      <c r="AA104" s="8">
        <f t="shared" ref="AA104:AA224" si="31">round(AE104*AF104*AG104*AH104*AI104,0)</f>
        <v>17</v>
      </c>
      <c r="AB104" s="13">
        <f t="shared" si="9"/>
        <v>0.5666666667</v>
      </c>
      <c r="AC104" s="13">
        <f t="shared" si="10"/>
        <v>0.7685341789</v>
      </c>
      <c r="AD104" s="13">
        <f>AA104/vlookup(A104,Max!$A$2:$AP$700,column(Max!$AP$2),false)</f>
        <v>9.444444444</v>
      </c>
      <c r="AE104" s="8">
        <f t="shared" si="11"/>
        <v>19.15034486</v>
      </c>
      <c r="AF104" s="14">
        <f t="shared" si="12"/>
        <v>0.8902986291</v>
      </c>
      <c r="AG104" s="14">
        <f t="shared" si="13"/>
        <v>0.9654905906</v>
      </c>
      <c r="AH104" s="14">
        <f t="shared" si="14"/>
        <v>1</v>
      </c>
      <c r="AI104" s="14">
        <f t="shared" si="15"/>
        <v>1.020572325</v>
      </c>
      <c r="AJ104" s="15">
        <f t="shared" si="16"/>
        <v>0</v>
      </c>
      <c r="AK104" s="15" t="str">
        <f t="shared" si="17"/>
        <v>  @CONFIG[MC-4-610] {
   %cost = 17
   @cost -= #$../../cost$
  }</v>
      </c>
    </row>
    <row r="105" ht="15.75" customHeight="1">
      <c r="A105" s="16" t="s">
        <v>447</v>
      </c>
      <c r="B105" s="16" t="s">
        <v>446</v>
      </c>
      <c r="C105" s="8">
        <f t="shared" si="1"/>
        <v>-6</v>
      </c>
      <c r="D105" s="16">
        <v>1961.0</v>
      </c>
      <c r="E105" s="16"/>
      <c r="F105" s="16" t="b">
        <v>1</v>
      </c>
      <c r="G105" s="16" t="b">
        <v>0</v>
      </c>
      <c r="H105" s="16" t="b">
        <v>1</v>
      </c>
      <c r="I105" s="16" t="b">
        <v>0</v>
      </c>
      <c r="J105" s="9" t="b">
        <v>0</v>
      </c>
      <c r="K105" s="16">
        <v>350.0</v>
      </c>
      <c r="L105" s="16">
        <v>-25.0</v>
      </c>
      <c r="M105" s="16">
        <v>410.0</v>
      </c>
      <c r="N105" s="16">
        <v>297.9</v>
      </c>
      <c r="O105" s="16">
        <v>326.0</v>
      </c>
      <c r="P105" s="16">
        <v>6.82</v>
      </c>
      <c r="Q105" s="16">
        <v>0.996778</v>
      </c>
      <c r="R105" s="16">
        <v>0.988983</v>
      </c>
      <c r="S105" s="19">
        <f t="shared" si="2"/>
        <v>325</v>
      </c>
      <c r="T105" s="19">
        <f t="shared" si="3"/>
        <v>74.09108755</v>
      </c>
      <c r="U105" s="20">
        <f t="shared" si="4"/>
        <v>0.9505690824</v>
      </c>
      <c r="V105" s="17">
        <f t="shared" si="30"/>
        <v>283.1745296</v>
      </c>
      <c r="W105" s="21">
        <f t="shared" si="5"/>
        <v>4</v>
      </c>
      <c r="X105" s="21">
        <f t="shared" si="6"/>
        <v>1415.872648</v>
      </c>
      <c r="Y105" s="21">
        <f t="shared" si="7"/>
        <v>4.752845412</v>
      </c>
      <c r="Z105" s="8">
        <f t="shared" si="19"/>
        <v>284.8159499</v>
      </c>
      <c r="AA105" s="8">
        <f t="shared" si="31"/>
        <v>298</v>
      </c>
      <c r="AB105" s="13">
        <f t="shared" si="9"/>
        <v>0.9169230769</v>
      </c>
      <c r="AC105" s="13">
        <f t="shared" si="10"/>
        <v>1.046289718</v>
      </c>
      <c r="AD105" s="13">
        <f>AA105/vlookup(A105,Max!$A$2:$AP$700,column(Max!$AP$2),false)</f>
        <v>1.419047619</v>
      </c>
      <c r="AE105" s="8">
        <f t="shared" si="11"/>
        <v>179.6727103</v>
      </c>
      <c r="AF105" s="14">
        <f t="shared" si="12"/>
        <v>1.197979511</v>
      </c>
      <c r="AG105" s="14">
        <f t="shared" si="13"/>
        <v>1.399469663</v>
      </c>
      <c r="AH105" s="14">
        <f t="shared" si="14"/>
        <v>1</v>
      </c>
      <c r="AI105" s="14">
        <f t="shared" si="15"/>
        <v>0.9894188718</v>
      </c>
      <c r="AJ105" s="27">
        <f t="shared" si="16"/>
        <v>-6</v>
      </c>
      <c r="AK105" s="15" t="str">
        <f t="shared" si="17"/>
        <v>  @CONFIG[RD-0106] {
   %cost = 298
   @cost -= #$../../cost$
  }</v>
      </c>
    </row>
    <row r="106" ht="15.75" customHeight="1">
      <c r="A106" s="7" t="s">
        <v>551</v>
      </c>
      <c r="B106" s="7" t="s">
        <v>552</v>
      </c>
      <c r="C106" s="8">
        <f t="shared" si="1"/>
        <v>576</v>
      </c>
      <c r="D106" s="7">
        <v>1961.0</v>
      </c>
      <c r="E106" s="7"/>
      <c r="F106" s="7" t="b">
        <v>1</v>
      </c>
      <c r="G106" s="7" t="b">
        <v>0</v>
      </c>
      <c r="H106" s="7" t="b">
        <v>0</v>
      </c>
      <c r="I106" s="7" t="b">
        <v>0</v>
      </c>
      <c r="J106" s="9" t="b">
        <v>0</v>
      </c>
      <c r="K106" s="7">
        <v>590.0</v>
      </c>
      <c r="L106" s="7">
        <v>0.0</v>
      </c>
      <c r="M106" s="7">
        <v>1492.0</v>
      </c>
      <c r="N106" s="7">
        <v>1628.0</v>
      </c>
      <c r="O106" s="7">
        <v>309.5</v>
      </c>
      <c r="P106" s="7">
        <v>7.85</v>
      </c>
      <c r="Q106" s="7">
        <v>0.923913</v>
      </c>
      <c r="R106" s="7">
        <v>0.923913</v>
      </c>
      <c r="S106" s="10">
        <f t="shared" si="2"/>
        <v>590</v>
      </c>
      <c r="T106" s="10">
        <f t="shared" si="3"/>
        <v>111.2666213</v>
      </c>
      <c r="U106" s="11">
        <f t="shared" si="4"/>
        <v>0.3734593929</v>
      </c>
      <c r="V106" s="8">
        <f t="shared" si="30"/>
        <v>607.9918917</v>
      </c>
      <c r="W106" s="12">
        <f t="shared" si="5"/>
        <v>4</v>
      </c>
      <c r="X106" s="12">
        <f t="shared" si="6"/>
        <v>3039.959458</v>
      </c>
      <c r="Y106" s="12">
        <f t="shared" si="7"/>
        <v>1.867296965</v>
      </c>
      <c r="Z106" s="8">
        <f t="shared" si="19"/>
        <v>531.1509772</v>
      </c>
      <c r="AA106" s="8">
        <f t="shared" si="31"/>
        <v>576</v>
      </c>
      <c r="AB106" s="13">
        <f t="shared" si="9"/>
        <v>0.9762711864</v>
      </c>
      <c r="AC106" s="13">
        <f t="shared" si="10"/>
        <v>1.084437429</v>
      </c>
      <c r="AD106" s="13">
        <f>AA106/vlookup(A106,Max!$A$2:$AP$700,column(Max!$AP$2),false)</f>
        <v>1.129411765</v>
      </c>
      <c r="AE106" s="8">
        <f t="shared" si="11"/>
        <v>397.7136522</v>
      </c>
      <c r="AF106" s="14">
        <f t="shared" si="12"/>
        <v>1.053526551</v>
      </c>
      <c r="AG106" s="14">
        <f t="shared" si="13"/>
        <v>1.632839768</v>
      </c>
      <c r="AH106" s="14">
        <f t="shared" si="14"/>
        <v>1</v>
      </c>
      <c r="AI106" s="14">
        <f t="shared" si="15"/>
        <v>0.841375203</v>
      </c>
      <c r="AJ106" s="15">
        <f t="shared" si="16"/>
        <v>0</v>
      </c>
      <c r="AK106" s="15" t="str">
        <f t="shared" si="17"/>
        <v>  @CONFIG[RD-111-8D716] {
   %cost = 576
   @cost -= #$../../cost$
  }</v>
      </c>
    </row>
    <row r="107" ht="15.75" customHeight="1">
      <c r="A107" s="16" t="s">
        <v>550</v>
      </c>
      <c r="B107" s="16" t="s">
        <v>549</v>
      </c>
      <c r="C107" s="8">
        <f t="shared" si="1"/>
        <v>42</v>
      </c>
      <c r="D107" s="16">
        <v>1961.0</v>
      </c>
      <c r="E107" s="16"/>
      <c r="F107" s="16" t="b">
        <v>1</v>
      </c>
      <c r="G107" s="16" t="b">
        <v>0</v>
      </c>
      <c r="H107" s="16" t="b">
        <v>1</v>
      </c>
      <c r="I107" s="16" t="b">
        <v>0</v>
      </c>
      <c r="J107" s="9" t="b">
        <v>0</v>
      </c>
      <c r="K107" s="16">
        <v>300.0</v>
      </c>
      <c r="L107" s="16">
        <v>50.0</v>
      </c>
      <c r="M107" s="16">
        <v>168.0</v>
      </c>
      <c r="N107" s="16">
        <v>105.5</v>
      </c>
      <c r="O107" s="16">
        <v>362.0</v>
      </c>
      <c r="P107" s="16">
        <v>7.9</v>
      </c>
      <c r="Q107" s="16">
        <v>0.999085</v>
      </c>
      <c r="R107" s="16">
        <v>0.991768</v>
      </c>
      <c r="S107" s="19">
        <f t="shared" si="2"/>
        <v>350</v>
      </c>
      <c r="T107" s="19">
        <f t="shared" si="3"/>
        <v>64.03575009</v>
      </c>
      <c r="U107" s="20">
        <f t="shared" si="4"/>
        <v>1.685548751</v>
      </c>
      <c r="V107" s="17">
        <f t="shared" si="30"/>
        <v>177.8253932</v>
      </c>
      <c r="W107" s="21">
        <f t="shared" si="5"/>
        <v>4</v>
      </c>
      <c r="X107" s="21">
        <f t="shared" si="6"/>
        <v>889.1269662</v>
      </c>
      <c r="Y107" s="21">
        <f t="shared" si="7"/>
        <v>8.427743756</v>
      </c>
      <c r="Z107" s="8">
        <f t="shared" si="19"/>
        <v>179.7566717</v>
      </c>
      <c r="AA107" s="8">
        <f t="shared" si="31"/>
        <v>238</v>
      </c>
      <c r="AB107" s="13">
        <f t="shared" si="9"/>
        <v>0.68</v>
      </c>
      <c r="AC107" s="13">
        <f t="shared" si="10"/>
        <v>1.324012054</v>
      </c>
      <c r="AD107" s="13">
        <f>AA107/vlookup(A107,Max!$A$2:$AP$700,column(Max!$AP$2),false)</f>
        <v>1.322222222</v>
      </c>
      <c r="AE107" s="8">
        <f t="shared" si="11"/>
        <v>104.3489036</v>
      </c>
      <c r="AF107" s="14">
        <f t="shared" si="12"/>
        <v>1.573611022</v>
      </c>
      <c r="AG107" s="14">
        <f t="shared" si="13"/>
        <v>1.44653218</v>
      </c>
      <c r="AH107" s="14">
        <f t="shared" si="14"/>
        <v>1</v>
      </c>
      <c r="AI107" s="14">
        <f t="shared" si="15"/>
        <v>1.002174478</v>
      </c>
      <c r="AJ107" s="27">
        <f t="shared" si="16"/>
        <v>42</v>
      </c>
      <c r="AK107" s="15" t="str">
        <f t="shared" si="17"/>
        <v>  @CONFIG[RD-119-8D710] {
   %cost = 238
   @cost -= #$../../cost$
  }</v>
      </c>
    </row>
    <row r="108" ht="15.75" customHeight="1">
      <c r="A108" s="16" t="s">
        <v>580</v>
      </c>
      <c r="B108" s="16" t="s">
        <v>579</v>
      </c>
      <c r="C108" s="8">
        <f t="shared" si="1"/>
        <v>-26</v>
      </c>
      <c r="D108" s="16">
        <v>1961.0</v>
      </c>
      <c r="E108" s="16"/>
      <c r="F108" s="16" t="b">
        <v>1</v>
      </c>
      <c r="G108" s="16" t="b">
        <v>0</v>
      </c>
      <c r="H108" s="16" t="b">
        <v>0</v>
      </c>
      <c r="I108" s="16" t="b">
        <v>0</v>
      </c>
      <c r="J108" s="9" t="b">
        <v>0</v>
      </c>
      <c r="K108" s="16">
        <v>330.0</v>
      </c>
      <c r="L108" s="16">
        <v>10.0</v>
      </c>
      <c r="M108" s="16">
        <v>653.0</v>
      </c>
      <c r="N108" s="16">
        <v>869.9</v>
      </c>
      <c r="O108" s="16">
        <v>289.0</v>
      </c>
      <c r="P108" s="16">
        <v>7.35</v>
      </c>
      <c r="Q108" s="16">
        <v>0.984807</v>
      </c>
      <c r="R108" s="16">
        <v>0.984807</v>
      </c>
      <c r="S108" s="19">
        <f t="shared" si="2"/>
        <v>340</v>
      </c>
      <c r="T108" s="19">
        <f t="shared" si="3"/>
        <v>135.8424397</v>
      </c>
      <c r="U108" s="20">
        <f t="shared" si="4"/>
        <v>0.4083697567</v>
      </c>
      <c r="V108" s="17">
        <f t="shared" si="30"/>
        <v>355.2408514</v>
      </c>
      <c r="W108" s="21">
        <f t="shared" si="5"/>
        <v>4</v>
      </c>
      <c r="X108" s="21">
        <f t="shared" si="6"/>
        <v>1776.204257</v>
      </c>
      <c r="Y108" s="21">
        <f t="shared" si="7"/>
        <v>2.041848783</v>
      </c>
      <c r="Z108" s="8">
        <f t="shared" si="19"/>
        <v>351.6333191</v>
      </c>
      <c r="AA108" s="8">
        <f t="shared" si="31"/>
        <v>366</v>
      </c>
      <c r="AB108" s="13">
        <f t="shared" si="9"/>
        <v>1.076470588</v>
      </c>
      <c r="AC108" s="13">
        <f t="shared" si="10"/>
        <v>1.040856995</v>
      </c>
      <c r="AD108" s="13">
        <f>AA108/vlookup(A108,Max!$A$2:$AP$700,column(Max!$AP$2),false)</f>
        <v>0.9891891892</v>
      </c>
      <c r="AE108" s="8">
        <f t="shared" si="11"/>
        <v>238.9901506</v>
      </c>
      <c r="AF108" s="14">
        <f t="shared" si="12"/>
        <v>0.9702149694</v>
      </c>
      <c r="AG108" s="14">
        <f t="shared" si="13"/>
        <v>1.600917212</v>
      </c>
      <c r="AH108" s="14">
        <f t="shared" si="14"/>
        <v>1</v>
      </c>
      <c r="AI108" s="14">
        <f t="shared" si="15"/>
        <v>0.9869379087</v>
      </c>
      <c r="AJ108" s="27">
        <f t="shared" si="16"/>
        <v>-26</v>
      </c>
      <c r="AK108" s="15" t="str">
        <f t="shared" si="17"/>
        <v>  @CONFIG[RD-217-8D515] {
   %cost = 366
   @cost -= #$../../cost$
  }</v>
      </c>
    </row>
    <row r="109" ht="15.75" customHeight="1">
      <c r="A109" s="7" t="s">
        <v>585</v>
      </c>
      <c r="B109" s="7" t="s">
        <v>586</v>
      </c>
      <c r="C109" s="8">
        <f t="shared" si="1"/>
        <v>367</v>
      </c>
      <c r="D109" s="7">
        <v>1961.0</v>
      </c>
      <c r="E109" s="7"/>
      <c r="F109" s="7" t="b">
        <v>1</v>
      </c>
      <c r="G109" s="7" t="b">
        <v>0</v>
      </c>
      <c r="H109" s="7" t="b">
        <v>1</v>
      </c>
      <c r="I109" s="7" t="b">
        <v>0</v>
      </c>
      <c r="J109" s="9" t="b">
        <v>0</v>
      </c>
      <c r="K109" s="7">
        <v>350.0</v>
      </c>
      <c r="L109" s="7">
        <v>0.0</v>
      </c>
      <c r="M109" s="7">
        <v>760.0</v>
      </c>
      <c r="N109" s="7">
        <v>882.6</v>
      </c>
      <c r="O109" s="7">
        <v>293.0</v>
      </c>
      <c r="P109" s="7">
        <v>7.35</v>
      </c>
      <c r="Q109" s="7">
        <v>0.99717</v>
      </c>
      <c r="R109" s="7">
        <v>0.993396</v>
      </c>
      <c r="S109" s="10">
        <f t="shared" si="2"/>
        <v>350</v>
      </c>
      <c r="T109" s="10">
        <f t="shared" si="3"/>
        <v>118.4212535</v>
      </c>
      <c r="U109" s="11">
        <f t="shared" si="4"/>
        <v>0.4438015602</v>
      </c>
      <c r="V109" s="8">
        <f t="shared" si="30"/>
        <v>391.6992571</v>
      </c>
      <c r="W109" s="12">
        <f t="shared" si="5"/>
        <v>4</v>
      </c>
      <c r="X109" s="12">
        <f t="shared" si="6"/>
        <v>1958.496285</v>
      </c>
      <c r="Y109" s="12">
        <f t="shared" si="7"/>
        <v>2.219007801</v>
      </c>
      <c r="Z109" s="8">
        <f t="shared" si="19"/>
        <v>395.845272</v>
      </c>
      <c r="AA109" s="8">
        <f t="shared" si="31"/>
        <v>367</v>
      </c>
      <c r="AB109" s="13">
        <f t="shared" si="9"/>
        <v>1.048571429</v>
      </c>
      <c r="AC109" s="13">
        <f t="shared" si="10"/>
        <v>0.9271299317</v>
      </c>
      <c r="AD109" s="13">
        <f>AA109/vlookup(A109,Max!$A$2:$AP$700,column(Max!$AP$2),false)</f>
        <v>0.8155555556</v>
      </c>
      <c r="AE109" s="8">
        <f t="shared" si="11"/>
        <v>262.3523461</v>
      </c>
      <c r="AF109" s="14">
        <f t="shared" si="12"/>
        <v>0.9803330393</v>
      </c>
      <c r="AG109" s="14">
        <f t="shared" si="13"/>
        <v>1.423235131</v>
      </c>
      <c r="AH109" s="14">
        <f t="shared" si="14"/>
        <v>1</v>
      </c>
      <c r="AI109" s="14">
        <f t="shared" si="15"/>
        <v>1.001477142</v>
      </c>
      <c r="AJ109" s="15">
        <f t="shared" si="16"/>
        <v>0</v>
      </c>
      <c r="AK109" s="15" t="str">
        <f t="shared" si="17"/>
        <v>  @CONFIG[RD-219-8D713] {
   %cost = 367
   @cost -= #$../../cost$
  }</v>
      </c>
    </row>
    <row r="110" ht="15.75" customHeight="1">
      <c r="A110" s="7" t="s">
        <v>646</v>
      </c>
      <c r="B110" s="7" t="s">
        <v>647</v>
      </c>
      <c r="C110" s="8">
        <f t="shared" si="1"/>
        <v>96</v>
      </c>
      <c r="D110" s="7">
        <v>1961.0</v>
      </c>
      <c r="E110" s="7"/>
      <c r="F110" s="7" t="b">
        <v>1</v>
      </c>
      <c r="G110" s="7" t="b">
        <v>0</v>
      </c>
      <c r="H110" s="7" t="b">
        <v>1</v>
      </c>
      <c r="I110" s="7" t="b">
        <v>0</v>
      </c>
      <c r="J110" s="9" t="b">
        <v>0</v>
      </c>
      <c r="K110" s="7">
        <v>90.0</v>
      </c>
      <c r="L110" s="7">
        <v>-5.0</v>
      </c>
      <c r="M110" s="7">
        <v>101.0</v>
      </c>
      <c r="N110" s="7">
        <v>81.2</v>
      </c>
      <c r="O110" s="7">
        <v>279.0</v>
      </c>
      <c r="P110" s="7">
        <v>6.62</v>
      </c>
      <c r="Q110" s="7">
        <v>0.984807</v>
      </c>
      <c r="R110" s="7">
        <v>0.984807</v>
      </c>
      <c r="S110" s="10">
        <f t="shared" si="2"/>
        <v>85</v>
      </c>
      <c r="T110" s="10">
        <f t="shared" si="3"/>
        <v>81.9811448</v>
      </c>
      <c r="U110" s="11">
        <f t="shared" si="4"/>
        <v>1.404327897</v>
      </c>
      <c r="V110" s="8">
        <f t="shared" si="30"/>
        <v>114.0314252</v>
      </c>
      <c r="W110" s="12">
        <f t="shared" si="5"/>
        <v>4</v>
      </c>
      <c r="X110" s="12">
        <f t="shared" si="6"/>
        <v>570.157126</v>
      </c>
      <c r="Y110" s="12">
        <f t="shared" si="7"/>
        <v>7.021639483</v>
      </c>
      <c r="Z110" s="8">
        <f t="shared" si="19"/>
        <v>112.8734164</v>
      </c>
      <c r="AA110" s="8">
        <f t="shared" si="31"/>
        <v>96</v>
      </c>
      <c r="AB110" s="13">
        <f t="shared" si="9"/>
        <v>1.129411765</v>
      </c>
      <c r="AC110" s="13">
        <f t="shared" si="10"/>
        <v>0.8505102714</v>
      </c>
      <c r="AD110" s="13">
        <f>AA110/vlookup(A110,Max!$A$2:$AP$700,column(Max!$AP$2),false)</f>
        <v>1.959183673</v>
      </c>
      <c r="AE110" s="8">
        <f t="shared" si="11"/>
        <v>76.70909269</v>
      </c>
      <c r="AF110" s="14">
        <f t="shared" si="12"/>
        <v>0.9480699621</v>
      </c>
      <c r="AG110" s="14">
        <f t="shared" si="13"/>
        <v>1.390128835</v>
      </c>
      <c r="AH110" s="14">
        <f t="shared" si="14"/>
        <v>1</v>
      </c>
      <c r="AI110" s="14">
        <f t="shared" si="15"/>
        <v>0.9498776038</v>
      </c>
      <c r="AJ110" s="15">
        <f t="shared" si="16"/>
        <v>0</v>
      </c>
      <c r="AK110" s="15" t="str">
        <f t="shared" si="17"/>
        <v>  @CONFIG[RD-851] {
   %cost = 96
   @cost -= #$../../cost$
  }</v>
      </c>
    </row>
    <row r="111" ht="15.75" customHeight="1">
      <c r="A111" s="7" t="s">
        <v>649</v>
      </c>
      <c r="B111" s="7" t="s">
        <v>650</v>
      </c>
      <c r="C111" s="8">
        <f t="shared" si="1"/>
        <v>50</v>
      </c>
      <c r="D111" s="7">
        <v>1961.0</v>
      </c>
      <c r="E111" s="7"/>
      <c r="F111" s="7" t="b">
        <v>1</v>
      </c>
      <c r="G111" s="7" t="b">
        <v>0</v>
      </c>
      <c r="H111" s="7" t="b">
        <v>1</v>
      </c>
      <c r="I111" s="7" t="b">
        <v>0</v>
      </c>
      <c r="J111" s="9" t="b">
        <v>0</v>
      </c>
      <c r="K111" s="7">
        <v>60.0</v>
      </c>
      <c r="L111" s="7">
        <v>-3.0</v>
      </c>
      <c r="M111" s="7">
        <v>33.0</v>
      </c>
      <c r="N111" s="7">
        <v>12.06</v>
      </c>
      <c r="O111" s="7">
        <v>255.0</v>
      </c>
      <c r="P111" s="7">
        <v>6.62</v>
      </c>
      <c r="Q111" s="7">
        <v>0.99717</v>
      </c>
      <c r="R111" s="7">
        <v>0.993396</v>
      </c>
      <c r="S111" s="10">
        <f t="shared" si="2"/>
        <v>57</v>
      </c>
      <c r="T111" s="10">
        <f t="shared" si="3"/>
        <v>37.2659924</v>
      </c>
      <c r="U111" s="11">
        <f t="shared" si="4"/>
        <v>4.734780396</v>
      </c>
      <c r="V111" s="8">
        <f t="shared" si="30"/>
        <v>57.10145157</v>
      </c>
      <c r="W111" s="12">
        <f t="shared" si="5"/>
        <v>4</v>
      </c>
      <c r="X111" s="12">
        <f t="shared" si="6"/>
        <v>285.5072579</v>
      </c>
      <c r="Y111" s="12">
        <f t="shared" si="7"/>
        <v>23.67390198</v>
      </c>
      <c r="Z111" s="8">
        <f t="shared" si="19"/>
        <v>57.7058527</v>
      </c>
      <c r="AA111" s="8">
        <f t="shared" si="31"/>
        <v>50</v>
      </c>
      <c r="AB111" s="13">
        <f t="shared" si="9"/>
        <v>0.8771929825</v>
      </c>
      <c r="AC111" s="13">
        <f t="shared" si="10"/>
        <v>0.8664632383</v>
      </c>
      <c r="AD111" s="13">
        <f>AA111/vlookup(A111,Max!$A$2:$AP$700,column(Max!$AP$2),false)</f>
        <v>2.777777778</v>
      </c>
      <c r="AE111" s="8">
        <f t="shared" si="11"/>
        <v>39.23781131</v>
      </c>
      <c r="AF111" s="14">
        <f t="shared" si="12"/>
        <v>0.909870738</v>
      </c>
      <c r="AG111" s="14">
        <f t="shared" si="13"/>
        <v>1.390128835</v>
      </c>
      <c r="AH111" s="14">
        <f t="shared" si="14"/>
        <v>1</v>
      </c>
      <c r="AI111" s="14">
        <f t="shared" si="15"/>
        <v>1.001477142</v>
      </c>
      <c r="AJ111" s="15">
        <f t="shared" si="16"/>
        <v>0</v>
      </c>
      <c r="AK111" s="15" t="str">
        <f t="shared" si="17"/>
        <v>  @CONFIG[RD-852] {
   %cost = 50
   @cost -= #$../../cost$
  }</v>
      </c>
    </row>
    <row r="112" ht="15.75" customHeight="1">
      <c r="A112" s="7" t="s">
        <v>629</v>
      </c>
      <c r="B112" s="7" t="s">
        <v>630</v>
      </c>
      <c r="C112" s="8">
        <f t="shared" si="1"/>
        <v>165</v>
      </c>
      <c r="D112" s="7">
        <v>1961.0</v>
      </c>
      <c r="E112" s="7"/>
      <c r="F112" s="7" t="b">
        <v>1</v>
      </c>
      <c r="G112" s="7" t="b">
        <v>0</v>
      </c>
      <c r="H112" s="7" t="b">
        <v>1</v>
      </c>
      <c r="I112" s="7" t="b">
        <v>0</v>
      </c>
      <c r="J112" s="9" t="b">
        <v>0</v>
      </c>
      <c r="K112" s="7">
        <v>400.0</v>
      </c>
      <c r="L112" s="7">
        <v>0.0</v>
      </c>
      <c r="M112" s="7">
        <v>153.0</v>
      </c>
      <c r="N112" s="7">
        <v>63.7</v>
      </c>
      <c r="O112" s="7">
        <v>338.6</v>
      </c>
      <c r="P112" s="7">
        <v>5.3</v>
      </c>
      <c r="Q112" s="7">
        <v>0.98908</v>
      </c>
      <c r="R112" s="7">
        <v>0.986905</v>
      </c>
      <c r="S112" s="10">
        <f t="shared" si="2"/>
        <v>400</v>
      </c>
      <c r="T112" s="10">
        <f t="shared" si="3"/>
        <v>42.45485136</v>
      </c>
      <c r="U112" s="11">
        <f t="shared" si="4"/>
        <v>2.445859637</v>
      </c>
      <c r="V112" s="8">
        <f t="shared" si="30"/>
        <v>155.8012589</v>
      </c>
      <c r="W112" s="12">
        <f t="shared" si="5"/>
        <v>4</v>
      </c>
      <c r="X112" s="12">
        <f t="shared" si="6"/>
        <v>779.0062945</v>
      </c>
      <c r="Y112" s="12">
        <f t="shared" si="7"/>
        <v>12.22929819</v>
      </c>
      <c r="Z112" s="8">
        <f t="shared" si="19"/>
        <v>155.197996</v>
      </c>
      <c r="AA112" s="8">
        <f t="shared" si="31"/>
        <v>165</v>
      </c>
      <c r="AB112" s="13">
        <f t="shared" si="9"/>
        <v>0.4125</v>
      </c>
      <c r="AC112" s="13">
        <f t="shared" si="10"/>
        <v>1.063158058</v>
      </c>
      <c r="AD112" s="13">
        <f>AA112/vlookup(A112,Max!$A$2:$AP$700,column(Max!$AP$2),false)</f>
        <v>1.755319149</v>
      </c>
      <c r="AE112" s="8">
        <f t="shared" si="11"/>
        <v>98.59860449</v>
      </c>
      <c r="AF112" s="14">
        <f t="shared" si="12"/>
        <v>1.314190443</v>
      </c>
      <c r="AG112" s="14">
        <f t="shared" si="13"/>
        <v>1.322281966</v>
      </c>
      <c r="AH112" s="14">
        <f t="shared" si="14"/>
        <v>1</v>
      </c>
      <c r="AI112" s="14">
        <f t="shared" si="15"/>
        <v>0.9653369659</v>
      </c>
      <c r="AJ112" s="15">
        <f t="shared" si="16"/>
        <v>0</v>
      </c>
      <c r="AK112" s="15" t="str">
        <f t="shared" si="17"/>
        <v>  @CONFIG[S1.5400] {
   %cost = 165
   @cost -= #$../../cost$
  }</v>
      </c>
    </row>
    <row r="113" ht="15.75" customHeight="1">
      <c r="A113" s="7" t="s">
        <v>732</v>
      </c>
      <c r="B113" s="7" t="s">
        <v>730</v>
      </c>
      <c r="C113" s="8">
        <f t="shared" si="1"/>
        <v>-50</v>
      </c>
      <c r="D113" s="7">
        <v>1961.0</v>
      </c>
      <c r="E113" s="7"/>
      <c r="F113" s="7" t="b">
        <v>0</v>
      </c>
      <c r="G113" s="7" t="b">
        <v>0</v>
      </c>
      <c r="H113" s="7" t="b">
        <v>0</v>
      </c>
      <c r="I113" s="7" t="b">
        <v>0</v>
      </c>
      <c r="J113" s="9" t="b">
        <v>0</v>
      </c>
      <c r="K113" s="7">
        <v>150.0</v>
      </c>
      <c r="L113" s="7">
        <v>50.0</v>
      </c>
      <c r="M113" s="7">
        <v>160.0</v>
      </c>
      <c r="N113" s="7">
        <v>146.3</v>
      </c>
      <c r="O113" s="7">
        <v>258.0</v>
      </c>
      <c r="P113" s="7">
        <v>6.8</v>
      </c>
      <c r="Q113" s="7">
        <v>0.960345</v>
      </c>
      <c r="R113" s="7">
        <v>0.960345</v>
      </c>
      <c r="S113" s="10">
        <f t="shared" si="2"/>
        <v>200</v>
      </c>
      <c r="T113" s="10">
        <f t="shared" si="3"/>
        <v>93.24030095</v>
      </c>
      <c r="U113" s="11">
        <f t="shared" si="4"/>
        <v>1.797676008</v>
      </c>
      <c r="V113" s="8">
        <v>263.0</v>
      </c>
      <c r="W113" s="12">
        <f t="shared" si="5"/>
        <v>1.75</v>
      </c>
      <c r="X113" s="12">
        <f t="shared" si="6"/>
        <v>723.25</v>
      </c>
      <c r="Y113" s="12">
        <f t="shared" si="7"/>
        <v>4.943609023</v>
      </c>
      <c r="Z113" s="8">
        <f t="shared" si="19"/>
        <v>247.8150425</v>
      </c>
      <c r="AA113" s="8">
        <f t="shared" si="31"/>
        <v>134</v>
      </c>
      <c r="AB113" s="13">
        <f t="shared" si="9"/>
        <v>0.67</v>
      </c>
      <c r="AC113" s="13">
        <f t="shared" si="10"/>
        <v>0.540725852</v>
      </c>
      <c r="AD113" s="13">
        <f>AA113/vlookup(A113,Max!$A$2:$AP$700,column(Max!$AP$2),false)</f>
        <v>2.233333333</v>
      </c>
      <c r="AE113" s="8">
        <f t="shared" si="11"/>
        <v>101.3077784</v>
      </c>
      <c r="AF113" s="14">
        <f t="shared" si="12"/>
        <v>0.9136683524</v>
      </c>
      <c r="AG113" s="14">
        <f t="shared" si="13"/>
        <v>1.563994948</v>
      </c>
      <c r="AH113" s="14">
        <f t="shared" si="14"/>
        <v>1</v>
      </c>
      <c r="AI113" s="14">
        <f t="shared" si="15"/>
        <v>0.9267875957</v>
      </c>
      <c r="AJ113" s="27">
        <f t="shared" si="16"/>
        <v>-50</v>
      </c>
      <c r="AK113" s="15" t="str">
        <f t="shared" si="17"/>
        <v>  @CONFIG[S5.2] {
   %cost = 134
   @cost -= #$../../cost$
  }</v>
      </c>
    </row>
    <row r="114" ht="15.75" customHeight="1">
      <c r="A114" s="7" t="s">
        <v>822</v>
      </c>
      <c r="B114" s="7" t="s">
        <v>820</v>
      </c>
      <c r="C114" s="8">
        <f t="shared" si="1"/>
        <v>10</v>
      </c>
      <c r="D114" s="7">
        <v>1961.0</v>
      </c>
      <c r="E114" s="7"/>
      <c r="F114" s="7" t="b">
        <v>1</v>
      </c>
      <c r="G114" s="7" t="b">
        <v>0</v>
      </c>
      <c r="H114" s="7" t="b">
        <v>1</v>
      </c>
      <c r="I114" s="7" t="b">
        <v>0</v>
      </c>
      <c r="J114" s="9" t="b">
        <v>0</v>
      </c>
      <c r="K114" s="7">
        <v>400.0</v>
      </c>
      <c r="L114" s="7">
        <v>115.0</v>
      </c>
      <c r="M114" s="7">
        <v>235.0</v>
      </c>
      <c r="N114" s="7">
        <v>156.3</v>
      </c>
      <c r="O114" s="7">
        <v>311.9</v>
      </c>
      <c r="P114" s="7">
        <v>4.2</v>
      </c>
      <c r="Q114" s="9">
        <v>0.98</v>
      </c>
      <c r="R114" s="9">
        <v>0.985</v>
      </c>
      <c r="S114" s="10">
        <f t="shared" si="2"/>
        <v>515</v>
      </c>
      <c r="T114" s="10">
        <f t="shared" si="3"/>
        <v>67.82197601</v>
      </c>
      <c r="U114" s="11">
        <f t="shared" si="4"/>
        <v>1.20927695</v>
      </c>
      <c r="V114" s="8">
        <f t="shared" ref="V114:V126" si="32">0.2*(8.17*POWER(M114*P114,0.46))+0.8*(0.146*POWER(M114*O114,0.639))</f>
        <v>189.0099874</v>
      </c>
      <c r="W114" s="12">
        <f t="shared" si="5"/>
        <v>4</v>
      </c>
      <c r="X114" s="12">
        <f t="shared" si="6"/>
        <v>945.0499368</v>
      </c>
      <c r="Y114" s="12">
        <f t="shared" si="7"/>
        <v>6.046384752</v>
      </c>
      <c r="Z114" s="8">
        <f t="shared" si="19"/>
        <v>186.2315405</v>
      </c>
      <c r="AA114" s="8">
        <f t="shared" si="31"/>
        <v>162</v>
      </c>
      <c r="AB114" s="13">
        <f t="shared" si="9"/>
        <v>0.3145631068</v>
      </c>
      <c r="AC114" s="13">
        <f t="shared" si="10"/>
        <v>0.869884873</v>
      </c>
      <c r="AD114" s="13">
        <f>AA114/vlookup(A114,Max!$A$2:$AP$700,column(Max!$AP$2),false)</f>
        <v>1.472727273</v>
      </c>
      <c r="AE114" s="8">
        <f t="shared" si="11"/>
        <v>127.9442721</v>
      </c>
      <c r="AF114" s="14">
        <f t="shared" si="12"/>
        <v>1.075111294</v>
      </c>
      <c r="AG114" s="14">
        <f t="shared" si="13"/>
        <v>1.254853697</v>
      </c>
      <c r="AH114" s="14">
        <f t="shared" si="14"/>
        <v>1</v>
      </c>
      <c r="AI114" s="14">
        <f t="shared" si="15"/>
        <v>0.938788539</v>
      </c>
      <c r="AJ114" s="27">
        <f t="shared" si="16"/>
        <v>10</v>
      </c>
      <c r="AK114" s="15" t="str">
        <f t="shared" si="17"/>
        <v>  @CONFIG[X-405H-2] {
   %cost = 162
   @cost -= #$../../cost$
  }</v>
      </c>
    </row>
    <row r="115" ht="15.75" customHeight="1">
      <c r="A115" s="16" t="s">
        <v>58</v>
      </c>
      <c r="B115" s="16" t="s">
        <v>54</v>
      </c>
      <c r="C115" s="8">
        <f t="shared" si="1"/>
        <v>50</v>
      </c>
      <c r="D115" s="16">
        <v>1961.0</v>
      </c>
      <c r="E115" s="16"/>
      <c r="F115" s="16" t="b">
        <v>1</v>
      </c>
      <c r="G115" s="16" t="b">
        <v>0</v>
      </c>
      <c r="H115" s="16" t="b">
        <v>1</v>
      </c>
      <c r="I115" s="16" t="b">
        <v>0</v>
      </c>
      <c r="J115" s="9" t="b">
        <v>0</v>
      </c>
      <c r="K115" s="16">
        <v>150.0</v>
      </c>
      <c r="L115" s="16">
        <v>50.0</v>
      </c>
      <c r="M115" s="16">
        <v>130.0</v>
      </c>
      <c r="N115" s="16">
        <v>70.7</v>
      </c>
      <c r="O115" s="16">
        <v>285.0</v>
      </c>
      <c r="P115" s="16">
        <v>3.4</v>
      </c>
      <c r="Q115" s="16">
        <v>0.991288</v>
      </c>
      <c r="R115" s="16">
        <v>0.991791</v>
      </c>
      <c r="S115" s="19">
        <f t="shared" si="2"/>
        <v>200</v>
      </c>
      <c r="T115" s="19">
        <f t="shared" si="3"/>
        <v>55.45687388</v>
      </c>
      <c r="U115" s="20">
        <f t="shared" si="4"/>
        <v>1.753221159</v>
      </c>
      <c r="V115" s="17">
        <f t="shared" si="32"/>
        <v>123.9527359</v>
      </c>
      <c r="W115" s="21">
        <f t="shared" si="5"/>
        <v>4</v>
      </c>
      <c r="X115" s="21">
        <f t="shared" si="6"/>
        <v>619.7636797</v>
      </c>
      <c r="Y115" s="21">
        <f t="shared" si="7"/>
        <v>8.766105795</v>
      </c>
      <c r="Z115" s="8">
        <f t="shared" si="19"/>
        <v>124.3432511</v>
      </c>
      <c r="AA115" s="8">
        <f t="shared" si="31"/>
        <v>101</v>
      </c>
      <c r="AB115" s="13">
        <f t="shared" si="9"/>
        <v>0.505</v>
      </c>
      <c r="AC115" s="13">
        <f t="shared" si="10"/>
        <v>0.812267647</v>
      </c>
      <c r="AD115" s="13">
        <f>AA115/vlookup(A115,Max!$A$2:$AP$700,column(Max!$AP$2),false)</f>
        <v>1.74137931</v>
      </c>
      <c r="AE115" s="8">
        <f t="shared" si="11"/>
        <v>89.34083696</v>
      </c>
      <c r="AF115" s="14">
        <f t="shared" si="12"/>
        <v>0.9608417117</v>
      </c>
      <c r="AG115" s="14">
        <f t="shared" si="13"/>
        <v>1.196588323</v>
      </c>
      <c r="AH115" s="14">
        <f t="shared" si="14"/>
        <v>1</v>
      </c>
      <c r="AI115" s="14">
        <f t="shared" si="15"/>
        <v>0.9827929742</v>
      </c>
      <c r="AJ115" s="27">
        <f t="shared" si="16"/>
        <v>50</v>
      </c>
      <c r="AK115" s="15" t="str">
        <f t="shared" si="17"/>
        <v>  @CONFIG[XLR81-BA-7] {
   %cost = 101
   @cost -= #$../../cost$
  }</v>
      </c>
    </row>
    <row r="116" ht="15.75" customHeight="1">
      <c r="A116" s="16" t="s">
        <v>88</v>
      </c>
      <c r="B116" s="16" t="s">
        <v>83</v>
      </c>
      <c r="C116" s="8">
        <f t="shared" si="1"/>
        <v>6</v>
      </c>
      <c r="D116" s="16">
        <v>1962.0</v>
      </c>
      <c r="E116" s="16"/>
      <c r="F116" s="16" t="b">
        <v>0</v>
      </c>
      <c r="G116" s="16" t="b">
        <v>0</v>
      </c>
      <c r="H116" s="16" t="b">
        <v>1</v>
      </c>
      <c r="I116" s="16" t="b">
        <v>0</v>
      </c>
      <c r="J116" s="9" t="b">
        <v>0</v>
      </c>
      <c r="K116" s="16">
        <v>100.0</v>
      </c>
      <c r="L116" s="16">
        <v>-30.0</v>
      </c>
      <c r="M116" s="16">
        <v>80.0</v>
      </c>
      <c r="N116" s="16">
        <v>33.1</v>
      </c>
      <c r="O116" s="16">
        <v>265.0</v>
      </c>
      <c r="P116" s="16">
        <v>1.4</v>
      </c>
      <c r="Q116" s="16">
        <v>0.982812</v>
      </c>
      <c r="R116" s="16">
        <v>0.992222</v>
      </c>
      <c r="S116" s="19">
        <f t="shared" si="2"/>
        <v>70</v>
      </c>
      <c r="T116" s="19">
        <f t="shared" si="3"/>
        <v>42.19075819</v>
      </c>
      <c r="U116" s="20">
        <f t="shared" si="4"/>
        <v>2.484417789</v>
      </c>
      <c r="V116" s="17">
        <f t="shared" si="32"/>
        <v>82.23422882</v>
      </c>
      <c r="W116" s="21">
        <f t="shared" si="5"/>
        <v>1.75</v>
      </c>
      <c r="X116" s="21">
        <f t="shared" si="6"/>
        <v>226.1441293</v>
      </c>
      <c r="Y116" s="21">
        <f t="shared" si="7"/>
        <v>6.83214892</v>
      </c>
      <c r="Z116" s="8">
        <f t="shared" si="19"/>
        <v>81.83684739</v>
      </c>
      <c r="AA116" s="8">
        <f t="shared" si="31"/>
        <v>58</v>
      </c>
      <c r="AB116" s="13">
        <f t="shared" si="9"/>
        <v>0.8285714286</v>
      </c>
      <c r="AC116" s="13">
        <f t="shared" si="10"/>
        <v>0.7087272036</v>
      </c>
      <c r="AD116" s="13">
        <f>AA116/vlookup(A116,Max!$A$2:$AP$700,column(Max!$AP$2),false)</f>
        <v>2.9</v>
      </c>
      <c r="AE116" s="8">
        <f t="shared" si="11"/>
        <v>66.66106508</v>
      </c>
      <c r="AF116" s="14">
        <f t="shared" si="12"/>
        <v>0.9235379953</v>
      </c>
      <c r="AG116" s="14">
        <f t="shared" si="13"/>
        <v>0.9800332539</v>
      </c>
      <c r="AH116" s="14">
        <f t="shared" si="14"/>
        <v>1</v>
      </c>
      <c r="AI116" s="14">
        <f t="shared" si="15"/>
        <v>0.962964485</v>
      </c>
      <c r="AJ116" s="27">
        <f t="shared" si="16"/>
        <v>6</v>
      </c>
      <c r="AK116" s="15" t="str">
        <f t="shared" si="17"/>
        <v>  @CONFIG[AJ10-118] {
   %cost = 58
   @cost -= #$../../cost$
  }</v>
      </c>
    </row>
    <row r="117" ht="15.75" customHeight="1">
      <c r="A117" s="7" t="s">
        <v>87</v>
      </c>
      <c r="B117" s="7" t="s">
        <v>83</v>
      </c>
      <c r="C117" s="8">
        <f t="shared" si="1"/>
        <v>8</v>
      </c>
      <c r="D117" s="7">
        <v>1962.0</v>
      </c>
      <c r="E117" s="7"/>
      <c r="F117" s="7" t="b">
        <v>0</v>
      </c>
      <c r="G117" s="7" t="b">
        <v>0</v>
      </c>
      <c r="H117" s="7" t="b">
        <v>1</v>
      </c>
      <c r="I117" s="7" t="b">
        <v>0</v>
      </c>
      <c r="J117" s="9" t="b">
        <v>0</v>
      </c>
      <c r="K117" s="7">
        <v>100.0</v>
      </c>
      <c r="L117" s="7">
        <v>10.0</v>
      </c>
      <c r="M117" s="7">
        <v>80.0</v>
      </c>
      <c r="N117" s="7">
        <v>33.7</v>
      </c>
      <c r="O117" s="7">
        <v>272.5</v>
      </c>
      <c r="P117" s="7">
        <v>1.4</v>
      </c>
      <c r="Q117" s="7">
        <v>0.9875</v>
      </c>
      <c r="R117" s="7">
        <v>0.994444</v>
      </c>
      <c r="S117" s="10">
        <f t="shared" si="2"/>
        <v>110</v>
      </c>
      <c r="T117" s="10">
        <f t="shared" si="3"/>
        <v>42.95554535</v>
      </c>
      <c r="U117" s="11">
        <f t="shared" si="4"/>
        <v>2.476447661</v>
      </c>
      <c r="V117" s="8">
        <f t="shared" si="32"/>
        <v>83.45628618</v>
      </c>
      <c r="W117" s="12">
        <f t="shared" si="5"/>
        <v>1.75</v>
      </c>
      <c r="X117" s="12">
        <f t="shared" si="6"/>
        <v>229.504787</v>
      </c>
      <c r="Y117" s="12">
        <f t="shared" si="7"/>
        <v>6.810231068</v>
      </c>
      <c r="Z117" s="8">
        <f t="shared" si="19"/>
        <v>83.62432124</v>
      </c>
      <c r="AA117" s="8">
        <f t="shared" si="31"/>
        <v>60</v>
      </c>
      <c r="AB117" s="13">
        <f t="shared" si="9"/>
        <v>0.5454545455</v>
      </c>
      <c r="AC117" s="13">
        <f t="shared" si="10"/>
        <v>0.7174946129</v>
      </c>
      <c r="AD117" s="13">
        <f>AA117/vlookup(A117,Max!$A$2:$AP$700,column(Max!$AP$2),false)</f>
        <v>2.608695652</v>
      </c>
      <c r="AE117" s="8">
        <f t="shared" si="11"/>
        <v>66.66106508</v>
      </c>
      <c r="AF117" s="14">
        <f t="shared" si="12"/>
        <v>0.9358241108</v>
      </c>
      <c r="AG117" s="14">
        <f t="shared" si="13"/>
        <v>0.9800332539</v>
      </c>
      <c r="AH117" s="14">
        <f t="shared" si="14"/>
        <v>1</v>
      </c>
      <c r="AI117" s="14">
        <f t="shared" si="15"/>
        <v>0.9799538054</v>
      </c>
      <c r="AJ117" s="27">
        <f t="shared" si="16"/>
        <v>8</v>
      </c>
      <c r="AK117" s="15" t="str">
        <f t="shared" si="17"/>
        <v>  @CONFIG[AJ10-118D] {
   %cost = 60
   @cost -= #$../../cost$
  }</v>
      </c>
    </row>
    <row r="118" ht="15.75" customHeight="1">
      <c r="A118" s="7" t="s">
        <v>199</v>
      </c>
      <c r="B118" s="7" t="s">
        <v>198</v>
      </c>
      <c r="C118" s="8">
        <f t="shared" si="1"/>
        <v>5</v>
      </c>
      <c r="D118" s="7">
        <v>1962.0</v>
      </c>
      <c r="E118" s="7"/>
      <c r="F118" s="7" t="b">
        <v>0</v>
      </c>
      <c r="G118" s="7" t="b">
        <v>0</v>
      </c>
      <c r="H118" s="7" t="b">
        <v>1</v>
      </c>
      <c r="I118" s="7" t="b">
        <v>0</v>
      </c>
      <c r="J118" s="9" t="b">
        <v>0</v>
      </c>
      <c r="K118" s="7">
        <v>200.0</v>
      </c>
      <c r="L118" s="7">
        <v>20.0</v>
      </c>
      <c r="M118" s="9">
        <v>380.0</v>
      </c>
      <c r="N118" s="7">
        <v>253.3688</v>
      </c>
      <c r="O118" s="7">
        <v>305.0</v>
      </c>
      <c r="P118" s="7">
        <v>1.38</v>
      </c>
      <c r="Q118" s="7">
        <v>0.988</v>
      </c>
      <c r="R118" s="7">
        <v>0.994</v>
      </c>
      <c r="S118" s="10">
        <f t="shared" si="2"/>
        <v>220</v>
      </c>
      <c r="T118" s="10">
        <f t="shared" si="3"/>
        <v>67.99059802</v>
      </c>
      <c r="U118" s="11">
        <f t="shared" si="4"/>
        <v>0.9086274856</v>
      </c>
      <c r="V118" s="8">
        <f t="shared" si="32"/>
        <v>230.2178557</v>
      </c>
      <c r="W118" s="12">
        <f t="shared" si="5"/>
        <v>1.75</v>
      </c>
      <c r="X118" s="12">
        <f t="shared" si="6"/>
        <v>633.0991031</v>
      </c>
      <c r="Y118" s="12">
        <f t="shared" si="7"/>
        <v>2.498725585</v>
      </c>
      <c r="Z118" s="8">
        <f t="shared" si="19"/>
        <v>230.6948671</v>
      </c>
      <c r="AA118" s="8">
        <f t="shared" si="31"/>
        <v>168</v>
      </c>
      <c r="AB118" s="13">
        <f t="shared" si="9"/>
        <v>0.7636363636</v>
      </c>
      <c r="AC118" s="13">
        <f t="shared" si="10"/>
        <v>0.7282346683</v>
      </c>
      <c r="AD118" s="13">
        <f>AA118/vlookup(A118,Max!$A$2:$AP$700,column(Max!$AP$2),false)</f>
        <v>0.6222222222</v>
      </c>
      <c r="AE118" s="8">
        <f t="shared" si="11"/>
        <v>171.5157461</v>
      </c>
      <c r="AF118" s="14">
        <f t="shared" si="12"/>
        <v>1.021881862</v>
      </c>
      <c r="AG118" s="14">
        <f t="shared" si="13"/>
        <v>0.97686556</v>
      </c>
      <c r="AH118" s="14">
        <f t="shared" si="14"/>
        <v>1</v>
      </c>
      <c r="AI118" s="14">
        <f t="shared" si="15"/>
        <v>0.9800998799</v>
      </c>
      <c r="AJ118" s="27">
        <f t="shared" si="16"/>
        <v>5</v>
      </c>
      <c r="AK118" s="15" t="str">
        <f t="shared" si="17"/>
        <v>  @CONFIG[Juno45k-BII] {
   %cost = 168
   @cost -= #$../../cost$
  }</v>
      </c>
    </row>
    <row r="119" ht="15.75" customHeight="1">
      <c r="A119" s="7" t="s">
        <v>202</v>
      </c>
      <c r="B119" s="7" t="s">
        <v>201</v>
      </c>
      <c r="C119" s="8">
        <f t="shared" si="1"/>
        <v>3</v>
      </c>
      <c r="D119" s="7">
        <v>1962.0</v>
      </c>
      <c r="E119" s="7"/>
      <c r="F119" s="7" t="b">
        <v>0</v>
      </c>
      <c r="G119" s="7" t="b">
        <v>0</v>
      </c>
      <c r="H119" s="7" t="b">
        <v>1</v>
      </c>
      <c r="I119" s="7" t="b">
        <v>0</v>
      </c>
      <c r="J119" s="9" t="b">
        <v>0</v>
      </c>
      <c r="K119" s="7">
        <v>150.0</v>
      </c>
      <c r="L119" s="7">
        <v>15.0</v>
      </c>
      <c r="M119" s="7">
        <v>83.9</v>
      </c>
      <c r="N119" s="7">
        <v>34.176</v>
      </c>
      <c r="O119" s="7">
        <v>302.0</v>
      </c>
      <c r="P119" s="7">
        <v>1.03</v>
      </c>
      <c r="Q119" s="7">
        <v>0.9875</v>
      </c>
      <c r="R119" s="7">
        <v>0.994444</v>
      </c>
      <c r="S119" s="10">
        <f t="shared" si="2"/>
        <v>165</v>
      </c>
      <c r="T119" s="10">
        <f t="shared" si="3"/>
        <v>41.53733158</v>
      </c>
      <c r="U119" s="11">
        <f t="shared" si="4"/>
        <v>2.598898718</v>
      </c>
      <c r="V119" s="8">
        <f t="shared" si="32"/>
        <v>88.8199626</v>
      </c>
      <c r="W119" s="12">
        <f t="shared" si="5"/>
        <v>1.75</v>
      </c>
      <c r="X119" s="12">
        <f t="shared" si="6"/>
        <v>244.2548971</v>
      </c>
      <c r="Y119" s="12">
        <f t="shared" si="7"/>
        <v>7.146971476</v>
      </c>
      <c r="Z119" s="8">
        <f t="shared" si="19"/>
        <v>88.99879715</v>
      </c>
      <c r="AA119" s="8">
        <f t="shared" si="31"/>
        <v>62</v>
      </c>
      <c r="AB119" s="13">
        <f t="shared" si="9"/>
        <v>0.3757575758</v>
      </c>
      <c r="AC119" s="13">
        <f t="shared" si="10"/>
        <v>0.6966386286</v>
      </c>
      <c r="AD119" s="13">
        <f>AA119/vlookup(A119,Max!$A$2:$AP$700,column(Max!$AP$2),false)</f>
        <v>2.066666667</v>
      </c>
      <c r="AE119" s="8">
        <f t="shared" si="11"/>
        <v>68.5978989</v>
      </c>
      <c r="AF119" s="14">
        <f t="shared" si="12"/>
        <v>1.007095326</v>
      </c>
      <c r="AG119" s="14">
        <f t="shared" si="13"/>
        <v>0.9146403984</v>
      </c>
      <c r="AH119" s="14">
        <f t="shared" si="14"/>
        <v>1</v>
      </c>
      <c r="AI119" s="14">
        <f t="shared" si="15"/>
        <v>0.9799538054</v>
      </c>
      <c r="AJ119" s="27">
        <f t="shared" si="16"/>
        <v>3</v>
      </c>
      <c r="AK119" s="15" t="str">
        <f t="shared" si="17"/>
        <v>  @CONFIG[Juno6k-BII] {
   %cost = 62
   @cost -= #$../../cost$
  }</v>
      </c>
    </row>
    <row r="120" ht="15.75" customHeight="1">
      <c r="A120" s="16" t="s">
        <v>263</v>
      </c>
      <c r="B120" s="16" t="s">
        <v>262</v>
      </c>
      <c r="C120" s="8">
        <f t="shared" si="1"/>
        <v>-5</v>
      </c>
      <c r="D120" s="16">
        <v>1962.0</v>
      </c>
      <c r="E120" s="16"/>
      <c r="F120" s="16" t="b">
        <v>1</v>
      </c>
      <c r="G120" s="16" t="b">
        <v>0</v>
      </c>
      <c r="H120" s="16" t="b">
        <v>0</v>
      </c>
      <c r="I120" s="16" t="b">
        <v>0</v>
      </c>
      <c r="J120" s="9" t="b">
        <v>0</v>
      </c>
      <c r="K120" s="16">
        <v>15.0</v>
      </c>
      <c r="L120" s="16">
        <v>1.0</v>
      </c>
      <c r="M120" s="16">
        <v>21.8</v>
      </c>
      <c r="N120" s="16">
        <v>4.524</v>
      </c>
      <c r="O120" s="16">
        <v>246.0</v>
      </c>
      <c r="P120" s="16">
        <v>2.5</v>
      </c>
      <c r="Q120" s="16">
        <v>0.995</v>
      </c>
      <c r="R120" s="16">
        <v>0.998</v>
      </c>
      <c r="S120" s="19">
        <f t="shared" si="2"/>
        <v>16</v>
      </c>
      <c r="T120" s="19">
        <f t="shared" si="3"/>
        <v>21.16145016</v>
      </c>
      <c r="U120" s="20">
        <f t="shared" si="4"/>
        <v>8.509701929</v>
      </c>
      <c r="V120" s="17">
        <f t="shared" si="32"/>
        <v>38.49789153</v>
      </c>
      <c r="W120" s="21">
        <f t="shared" si="5"/>
        <v>4</v>
      </c>
      <c r="X120" s="21">
        <f t="shared" si="6"/>
        <v>192.4894576</v>
      </c>
      <c r="Y120" s="21">
        <f t="shared" si="7"/>
        <v>42.54850964</v>
      </c>
      <c r="Z120" s="8">
        <f t="shared" si="19"/>
        <v>38.9987491</v>
      </c>
      <c r="AA120" s="8">
        <f t="shared" si="31"/>
        <v>33</v>
      </c>
      <c r="AB120" s="13">
        <f t="shared" si="9"/>
        <v>2.0625</v>
      </c>
      <c r="AC120" s="13">
        <f t="shared" si="10"/>
        <v>0.846180987</v>
      </c>
      <c r="AD120" s="13">
        <f>AA120/vlookup(A120,Max!$A$2:$AP$700,column(Max!$AP$2),false)</f>
        <v>3.142857143</v>
      </c>
      <c r="AE120" s="8">
        <f t="shared" si="11"/>
        <v>30.67465138</v>
      </c>
      <c r="AF120" s="14">
        <f t="shared" si="12"/>
        <v>0.899898797</v>
      </c>
      <c r="AG120" s="14">
        <f t="shared" si="13"/>
        <v>1.15841634</v>
      </c>
      <c r="AH120" s="14">
        <f t="shared" si="14"/>
        <v>1</v>
      </c>
      <c r="AI120" s="14">
        <f t="shared" si="15"/>
        <v>1.020324621</v>
      </c>
      <c r="AJ120" s="27">
        <f t="shared" si="16"/>
        <v>-5</v>
      </c>
      <c r="AK120" s="15" t="str">
        <f t="shared" si="17"/>
        <v>  @CONFIG[LR101-NA-11] {
   %cost = 33
   @cost -= #$../../cost$
  }</v>
      </c>
    </row>
    <row r="121" ht="15.75" customHeight="1">
      <c r="A121" s="7" t="s">
        <v>269</v>
      </c>
      <c r="B121" s="7" t="s">
        <v>266</v>
      </c>
      <c r="C121" s="8">
        <f t="shared" si="1"/>
        <v>-3</v>
      </c>
      <c r="D121" s="7">
        <v>1962.0</v>
      </c>
      <c r="E121" s="7"/>
      <c r="F121" s="7" t="b">
        <v>1</v>
      </c>
      <c r="G121" s="7" t="b">
        <v>0</v>
      </c>
      <c r="H121" s="7" t="b">
        <v>0</v>
      </c>
      <c r="I121" s="7" t="b">
        <v>0</v>
      </c>
      <c r="J121" s="9" t="b">
        <v>0</v>
      </c>
      <c r="K121" s="7">
        <v>275.0</v>
      </c>
      <c r="L121" s="7">
        <v>35.0</v>
      </c>
      <c r="M121" s="7">
        <v>413.0</v>
      </c>
      <c r="N121" s="7">
        <v>373.2</v>
      </c>
      <c r="O121" s="7">
        <v>313.0</v>
      </c>
      <c r="P121" s="7">
        <v>4.71</v>
      </c>
      <c r="Q121" s="7">
        <v>0.987581</v>
      </c>
      <c r="R121" s="7">
        <v>0.987581</v>
      </c>
      <c r="S121" s="10">
        <f t="shared" si="2"/>
        <v>310</v>
      </c>
      <c r="T121" s="10">
        <f t="shared" si="3"/>
        <v>92.14481588</v>
      </c>
      <c r="U121" s="11">
        <f t="shared" si="4"/>
        <v>0.7203968027</v>
      </c>
      <c r="V121" s="8">
        <f t="shared" si="32"/>
        <v>268.8520868</v>
      </c>
      <c r="W121" s="12">
        <f t="shared" si="5"/>
        <v>4</v>
      </c>
      <c r="X121" s="12">
        <f t="shared" si="6"/>
        <v>1344.260434</v>
      </c>
      <c r="Y121" s="12">
        <f t="shared" si="7"/>
        <v>3.601984014</v>
      </c>
      <c r="Z121" s="8">
        <f t="shared" si="19"/>
        <v>267.5928459</v>
      </c>
      <c r="AA121" s="8">
        <f t="shared" si="31"/>
        <v>273</v>
      </c>
      <c r="AB121" s="13">
        <f t="shared" si="9"/>
        <v>0.8806451613</v>
      </c>
      <c r="AC121" s="13">
        <f t="shared" si="10"/>
        <v>1.020206647</v>
      </c>
      <c r="AD121" s="13">
        <f>AA121/vlookup(A121,Max!$A$2:$AP$700,column(Max!$AP$2),false)</f>
        <v>1.05</v>
      </c>
      <c r="AE121" s="8">
        <f t="shared" si="11"/>
        <v>180.475747</v>
      </c>
      <c r="AF121" s="14">
        <f t="shared" si="12"/>
        <v>1.086108856</v>
      </c>
      <c r="AG121" s="14">
        <f t="shared" si="13"/>
        <v>1.400841323</v>
      </c>
      <c r="AH121" s="14">
        <f t="shared" si="14"/>
        <v>1</v>
      </c>
      <c r="AI121" s="14">
        <f t="shared" si="15"/>
        <v>0.993902604</v>
      </c>
      <c r="AJ121" s="27">
        <f t="shared" si="16"/>
        <v>-3</v>
      </c>
      <c r="AK121" s="15" t="str">
        <f t="shared" si="17"/>
        <v>  @CONFIG[LR105-NA-6] {
   %cost = 273
   @cost -= #$../../cost$
  }</v>
      </c>
    </row>
    <row r="122" ht="15.75" customHeight="1">
      <c r="A122" s="7" t="s">
        <v>292</v>
      </c>
      <c r="B122" s="7" t="s">
        <v>288</v>
      </c>
      <c r="C122" s="8">
        <f t="shared" si="1"/>
        <v>1</v>
      </c>
      <c r="D122" s="7">
        <v>1962.0</v>
      </c>
      <c r="E122" s="7"/>
      <c r="F122" s="7" t="b">
        <v>1</v>
      </c>
      <c r="G122" s="7" t="b">
        <v>0</v>
      </c>
      <c r="H122" s="7" t="b">
        <v>0</v>
      </c>
      <c r="I122" s="7" t="b">
        <v>0</v>
      </c>
      <c r="J122" s="9" t="b">
        <v>0</v>
      </c>
      <c r="K122" s="7">
        <v>250.0</v>
      </c>
      <c r="L122" s="7">
        <v>130.0</v>
      </c>
      <c r="M122" s="7">
        <v>739.0</v>
      </c>
      <c r="N122" s="7">
        <v>1053.8</v>
      </c>
      <c r="O122" s="7">
        <v>285.2</v>
      </c>
      <c r="P122" s="7">
        <v>5.48</v>
      </c>
      <c r="Q122" s="7">
        <v>0.991799</v>
      </c>
      <c r="R122" s="7">
        <v>0.991799</v>
      </c>
      <c r="S122" s="10">
        <f t="shared" si="2"/>
        <v>380</v>
      </c>
      <c r="T122" s="10">
        <f t="shared" si="3"/>
        <v>145.4095997</v>
      </c>
      <c r="U122" s="11">
        <f t="shared" si="4"/>
        <v>0.350413169</v>
      </c>
      <c r="V122" s="8">
        <f t="shared" si="32"/>
        <v>369.2653975</v>
      </c>
      <c r="W122" s="12">
        <f t="shared" si="5"/>
        <v>4</v>
      </c>
      <c r="X122" s="12">
        <f t="shared" si="6"/>
        <v>1846.326988</v>
      </c>
      <c r="Y122" s="12">
        <f t="shared" si="7"/>
        <v>1.752065845</v>
      </c>
      <c r="Z122" s="8">
        <f t="shared" si="19"/>
        <v>370.6188499</v>
      </c>
      <c r="AA122" s="8">
        <f t="shared" si="31"/>
        <v>365</v>
      </c>
      <c r="AB122" s="13">
        <f t="shared" si="9"/>
        <v>0.9605263158</v>
      </c>
      <c r="AC122" s="13">
        <f t="shared" si="10"/>
        <v>0.9848392765</v>
      </c>
      <c r="AD122" s="13">
        <f>AA122/vlookup(A122,Max!$A$2:$AP$700,column(Max!$AP$2),false)</f>
        <v>0.5983606557</v>
      </c>
      <c r="AE122" s="8">
        <f t="shared" si="11"/>
        <v>257.8703002</v>
      </c>
      <c r="AF122" s="14">
        <f t="shared" si="12"/>
        <v>0.961293477</v>
      </c>
      <c r="AG122" s="14">
        <f t="shared" si="13"/>
        <v>1.465942175</v>
      </c>
      <c r="AH122" s="14">
        <f t="shared" si="14"/>
        <v>1</v>
      </c>
      <c r="AI122" s="14">
        <f t="shared" si="15"/>
        <v>1.004549123</v>
      </c>
      <c r="AJ122" s="27">
        <f t="shared" si="16"/>
        <v>1</v>
      </c>
      <c r="AK122" s="15" t="str">
        <f t="shared" si="17"/>
        <v>  @CONFIG[LR87-AJ-5] {
   %cost = 365
   @cost -= #$../../cost$
  }</v>
      </c>
    </row>
    <row r="123" ht="15.75" customHeight="1">
      <c r="A123" s="16" t="s">
        <v>334</v>
      </c>
      <c r="B123" s="16" t="s">
        <v>330</v>
      </c>
      <c r="C123" s="8">
        <f t="shared" si="1"/>
        <v>124</v>
      </c>
      <c r="D123" s="16">
        <v>1962.0</v>
      </c>
      <c r="E123" s="16"/>
      <c r="F123" s="16" t="b">
        <v>1</v>
      </c>
      <c r="G123" s="16" t="b">
        <v>0</v>
      </c>
      <c r="H123" s="16" t="b">
        <v>0</v>
      </c>
      <c r="I123" s="16" t="b">
        <v>0</v>
      </c>
      <c r="J123" s="9" t="b">
        <v>0</v>
      </c>
      <c r="K123" s="16">
        <v>300.0</v>
      </c>
      <c r="L123" s="16">
        <v>25.0</v>
      </c>
      <c r="M123" s="16">
        <v>883.0</v>
      </c>
      <c r="N123" s="16">
        <v>846.6</v>
      </c>
      <c r="O123" s="16">
        <v>290.0</v>
      </c>
      <c r="P123" s="16">
        <v>4.04</v>
      </c>
      <c r="Q123" s="16">
        <v>0.987581</v>
      </c>
      <c r="R123" s="16">
        <v>0.987581</v>
      </c>
      <c r="S123" s="19">
        <f t="shared" si="2"/>
        <v>325</v>
      </c>
      <c r="T123" s="19">
        <f t="shared" si="3"/>
        <v>97.76803436</v>
      </c>
      <c r="U123" s="20">
        <f t="shared" si="4"/>
        <v>0.477299759</v>
      </c>
      <c r="V123" s="17">
        <f t="shared" si="32"/>
        <v>404.0819759</v>
      </c>
      <c r="W123" s="21">
        <f t="shared" si="5"/>
        <v>4</v>
      </c>
      <c r="X123" s="21">
        <f t="shared" si="6"/>
        <v>2020.40988</v>
      </c>
      <c r="Y123" s="21">
        <f t="shared" si="7"/>
        <v>2.386498795</v>
      </c>
      <c r="Z123" s="8">
        <f t="shared" si="19"/>
        <v>402.1893495</v>
      </c>
      <c r="AA123" s="8">
        <f t="shared" si="31"/>
        <v>372</v>
      </c>
      <c r="AB123" s="13">
        <f t="shared" si="9"/>
        <v>1.144615385</v>
      </c>
      <c r="AC123" s="13">
        <f t="shared" si="10"/>
        <v>0.9249374715</v>
      </c>
      <c r="AD123" s="13">
        <f>AA123/vlookup(A123,Max!$A$2:$AP$700,column(Max!$AP$2),false)</f>
        <v>0.8454545455</v>
      </c>
      <c r="AE123" s="8">
        <f t="shared" si="11"/>
        <v>287.7256957</v>
      </c>
      <c r="AF123" s="14">
        <f t="shared" si="12"/>
        <v>0.9726726019</v>
      </c>
      <c r="AG123" s="14">
        <f t="shared" si="13"/>
        <v>1.337818144</v>
      </c>
      <c r="AH123" s="14">
        <f t="shared" si="14"/>
        <v>1</v>
      </c>
      <c r="AI123" s="14">
        <f t="shared" si="15"/>
        <v>0.993902604</v>
      </c>
      <c r="AJ123" s="27">
        <f t="shared" si="16"/>
        <v>124</v>
      </c>
      <c r="AK123" s="15" t="str">
        <f t="shared" si="17"/>
        <v>  @CONFIG[LR89-NA-6] {
   %cost = 372
   @cost -= #$../../cost$
  }</v>
      </c>
    </row>
    <row r="124" ht="15.75" customHeight="1">
      <c r="A124" s="7" t="s">
        <v>341</v>
      </c>
      <c r="B124" s="7" t="s">
        <v>339</v>
      </c>
      <c r="C124" s="8">
        <f t="shared" si="1"/>
        <v>-23</v>
      </c>
      <c r="D124" s="7">
        <v>1962.0</v>
      </c>
      <c r="E124" s="7"/>
      <c r="F124" s="7" t="b">
        <v>1</v>
      </c>
      <c r="G124" s="7" t="b">
        <v>0</v>
      </c>
      <c r="H124" s="7" t="b">
        <v>1</v>
      </c>
      <c r="I124" s="7" t="b">
        <v>0</v>
      </c>
      <c r="J124" s="9" t="b">
        <v>0</v>
      </c>
      <c r="K124" s="7">
        <v>250.0</v>
      </c>
      <c r="L124" s="7">
        <v>100.0</v>
      </c>
      <c r="M124" s="7">
        <f>500*1</f>
        <v>500</v>
      </c>
      <c r="N124" s="7">
        <v>448.67</v>
      </c>
      <c r="O124" s="7">
        <v>315.0</v>
      </c>
      <c r="P124" s="7">
        <v>5.7</v>
      </c>
      <c r="Q124" s="7">
        <v>0.99837</v>
      </c>
      <c r="R124" s="7">
        <v>0.991848</v>
      </c>
      <c r="S124" s="10">
        <f t="shared" si="2"/>
        <v>350</v>
      </c>
      <c r="T124" s="10">
        <f t="shared" si="3"/>
        <v>91.50321439</v>
      </c>
      <c r="U124" s="11">
        <f t="shared" si="4"/>
        <v>0.6866618661</v>
      </c>
      <c r="V124" s="8">
        <f t="shared" si="32"/>
        <v>308.0845795</v>
      </c>
      <c r="W124" s="12">
        <f t="shared" si="5"/>
        <v>4</v>
      </c>
      <c r="X124" s="12">
        <f t="shared" si="6"/>
        <v>1540.422897</v>
      </c>
      <c r="Y124" s="12">
        <f t="shared" si="7"/>
        <v>3.43330933</v>
      </c>
      <c r="Z124" s="8">
        <f t="shared" si="19"/>
        <v>311.2366814</v>
      </c>
      <c r="AA124" s="8">
        <f t="shared" si="31"/>
        <v>302</v>
      </c>
      <c r="AB124" s="13">
        <f t="shared" si="9"/>
        <v>0.8628571429</v>
      </c>
      <c r="AC124" s="13">
        <f t="shared" si="10"/>
        <v>0.9703226451</v>
      </c>
      <c r="AD124" s="13">
        <f>AA124/vlookup(A124,Max!$A$2:$AP$700,column(Max!$AP$2),false)</f>
        <v>1.078571429</v>
      </c>
      <c r="AE124" s="8">
        <f t="shared" si="11"/>
        <v>202.8838987</v>
      </c>
      <c r="AF124" s="14">
        <f t="shared" si="12"/>
        <v>1.107892259</v>
      </c>
      <c r="AG124" s="14">
        <f t="shared" si="13"/>
        <v>1.344107012</v>
      </c>
      <c r="AH124" s="14">
        <f t="shared" si="14"/>
        <v>1</v>
      </c>
      <c r="AI124" s="14">
        <f t="shared" si="15"/>
        <v>1.000584162</v>
      </c>
      <c r="AJ124" s="27">
        <f t="shared" si="16"/>
        <v>-23</v>
      </c>
      <c r="AK124" s="15" t="str">
        <f t="shared" si="17"/>
        <v>  @CONFIG[LR91-AJ-5] {
   %cost = 302
   @cost -= #$../../cost$
  }</v>
      </c>
    </row>
    <row r="125" ht="15.75" customHeight="1">
      <c r="A125" s="7" t="s">
        <v>67</v>
      </c>
      <c r="B125" s="7" t="s">
        <v>68</v>
      </c>
      <c r="C125" s="8">
        <f t="shared" si="1"/>
        <v>41</v>
      </c>
      <c r="D125" s="7">
        <v>1962.0</v>
      </c>
      <c r="E125" s="7"/>
      <c r="F125" s="7" t="b">
        <v>0</v>
      </c>
      <c r="G125" s="7" t="b">
        <v>0</v>
      </c>
      <c r="H125" s="7" t="b">
        <v>1</v>
      </c>
      <c r="I125" s="7" t="b">
        <v>0</v>
      </c>
      <c r="J125" s="9" t="b">
        <v>0</v>
      </c>
      <c r="K125" s="7">
        <v>50.0</v>
      </c>
      <c r="L125" s="7">
        <v>0.0</v>
      </c>
      <c r="M125" s="7">
        <v>57.5</v>
      </c>
      <c r="N125" s="7">
        <v>0.9608</v>
      </c>
      <c r="O125" s="7">
        <v>255.8</v>
      </c>
      <c r="P125" s="7">
        <v>0.65</v>
      </c>
      <c r="Q125" s="7">
        <v>0.997718</v>
      </c>
      <c r="R125" s="7">
        <v>0.995679</v>
      </c>
      <c r="S125" s="10">
        <f t="shared" si="2"/>
        <v>50</v>
      </c>
      <c r="T125" s="10">
        <f t="shared" si="3"/>
        <v>1.703901451</v>
      </c>
      <c r="U125" s="11">
        <f t="shared" si="4"/>
        <v>64.95618329</v>
      </c>
      <c r="V125" s="8">
        <f t="shared" si="32"/>
        <v>62.4099009</v>
      </c>
      <c r="W125" s="12">
        <f t="shared" si="5"/>
        <v>1.75</v>
      </c>
      <c r="X125" s="12">
        <f t="shared" si="6"/>
        <v>171.6272275</v>
      </c>
      <c r="Y125" s="12">
        <f t="shared" si="7"/>
        <v>178.629504</v>
      </c>
      <c r="Z125" s="8">
        <f t="shared" si="19"/>
        <v>63.24662174</v>
      </c>
      <c r="AA125" s="8">
        <f t="shared" si="31"/>
        <v>41</v>
      </c>
      <c r="AB125" s="13">
        <f t="shared" si="9"/>
        <v>0.82</v>
      </c>
      <c r="AC125" s="13">
        <f t="shared" si="10"/>
        <v>0.648255968</v>
      </c>
      <c r="AD125" s="13">
        <f>AA125/vlookup(A125,Max!$A$2:$AP$700,column(Max!$AP$2),false)</f>
        <v>15.18518519</v>
      </c>
      <c r="AE125" s="8">
        <f t="shared" si="11"/>
        <v>54.67100751</v>
      </c>
      <c r="AF125" s="14">
        <f t="shared" si="12"/>
        <v>0.9108592001</v>
      </c>
      <c r="AG125" s="14">
        <f t="shared" si="13"/>
        <v>0.82464591</v>
      </c>
      <c r="AH125" s="14">
        <f t="shared" si="14"/>
        <v>1</v>
      </c>
      <c r="AI125" s="14">
        <f t="shared" si="15"/>
        <v>1.0086254</v>
      </c>
      <c r="AJ125" s="15">
        <f t="shared" si="16"/>
        <v>0</v>
      </c>
      <c r="AK125" s="15" t="str">
        <f t="shared" si="17"/>
        <v>  @CONFIG[Model8250] {
   %cost = 41
   @cost -= #$../../cost$
  }</v>
      </c>
    </row>
    <row r="126" ht="15.75" customHeight="1">
      <c r="A126" s="7" t="s">
        <v>581</v>
      </c>
      <c r="B126" s="7" t="s">
        <v>579</v>
      </c>
      <c r="C126" s="8">
        <f t="shared" si="1"/>
        <v>-6</v>
      </c>
      <c r="D126" s="7">
        <v>1962.0</v>
      </c>
      <c r="E126" s="7"/>
      <c r="F126" s="7" t="b">
        <v>1</v>
      </c>
      <c r="G126" s="7" t="b">
        <v>0</v>
      </c>
      <c r="H126" s="7" t="b">
        <v>0</v>
      </c>
      <c r="I126" s="7" t="b">
        <v>0</v>
      </c>
      <c r="J126" s="9" t="b">
        <v>0</v>
      </c>
      <c r="K126" s="7">
        <v>330.0</v>
      </c>
      <c r="L126" s="7">
        <v>20.0</v>
      </c>
      <c r="M126" s="7">
        <v>653.0</v>
      </c>
      <c r="N126" s="7">
        <v>887.5</v>
      </c>
      <c r="O126" s="7">
        <v>294.0</v>
      </c>
      <c r="P126" s="7">
        <v>8.34</v>
      </c>
      <c r="Q126" s="7">
        <v>0.985</v>
      </c>
      <c r="R126" s="7">
        <v>0.985</v>
      </c>
      <c r="S126" s="10">
        <f t="shared" si="2"/>
        <v>350</v>
      </c>
      <c r="T126" s="10">
        <f t="shared" si="3"/>
        <v>138.5908325</v>
      </c>
      <c r="U126" s="11">
        <f t="shared" si="4"/>
        <v>0.4091200109</v>
      </c>
      <c r="V126" s="8">
        <f t="shared" si="32"/>
        <v>363.0940097</v>
      </c>
      <c r="W126" s="12">
        <f t="shared" si="5"/>
        <v>4</v>
      </c>
      <c r="X126" s="12">
        <f t="shared" si="6"/>
        <v>1815.470048</v>
      </c>
      <c r="Y126" s="12">
        <f t="shared" si="7"/>
        <v>2.045600054</v>
      </c>
      <c r="Z126" s="8">
        <f t="shared" si="19"/>
        <v>359.5447657</v>
      </c>
      <c r="AA126" s="8">
        <f t="shared" si="31"/>
        <v>386</v>
      </c>
      <c r="AB126" s="13">
        <f t="shared" si="9"/>
        <v>1.102857143</v>
      </c>
      <c r="AC126" s="13">
        <f t="shared" si="10"/>
        <v>1.073579806</v>
      </c>
      <c r="AD126" s="13">
        <f>AA126/vlookup(A126,Max!$A$2:$AP$700,column(Max!$AP$2),false)</f>
        <v>0.8976744186</v>
      </c>
      <c r="AE126" s="8">
        <f t="shared" si="11"/>
        <v>238.9901506</v>
      </c>
      <c r="AF126" s="14">
        <f t="shared" si="12"/>
        <v>0.982985255</v>
      </c>
      <c r="AG126" s="14">
        <f t="shared" si="13"/>
        <v>1.662771176</v>
      </c>
      <c r="AH126" s="14">
        <f t="shared" si="14"/>
        <v>1</v>
      </c>
      <c r="AI126" s="14">
        <f t="shared" si="15"/>
        <v>0.9874215238</v>
      </c>
      <c r="AJ126" s="27">
        <f t="shared" si="16"/>
        <v>-6</v>
      </c>
      <c r="AK126" s="15" t="str">
        <f t="shared" si="17"/>
        <v>  @CONFIG[RD-225-8D721] {
   %cost = 386
   @cost -= #$../../cost$
  }</v>
      </c>
    </row>
    <row r="127" ht="15.75" customHeight="1">
      <c r="A127" s="16" t="s">
        <v>659</v>
      </c>
      <c r="B127" s="16" t="s">
        <v>660</v>
      </c>
      <c r="C127" s="8">
        <f t="shared" si="1"/>
        <v>294</v>
      </c>
      <c r="D127" s="16">
        <v>1962.0</v>
      </c>
      <c r="E127" s="16" t="b">
        <v>1</v>
      </c>
      <c r="F127" s="16" t="b">
        <v>1</v>
      </c>
      <c r="G127" s="16" t="b">
        <v>0</v>
      </c>
      <c r="H127" s="16" t="b">
        <v>1</v>
      </c>
      <c r="I127" s="16" t="b">
        <v>0</v>
      </c>
      <c r="J127" s="9" t="b">
        <v>0</v>
      </c>
      <c r="K127" s="16">
        <v>500.0</v>
      </c>
      <c r="L127" s="16">
        <v>0.0</v>
      </c>
      <c r="M127" s="16">
        <v>131.0</v>
      </c>
      <c r="N127" s="16">
        <v>65.6</v>
      </c>
      <c r="O127" s="16">
        <v>422.0</v>
      </c>
      <c r="P127" s="16">
        <v>2.07</v>
      </c>
      <c r="Q127" s="16">
        <v>0.983333</v>
      </c>
      <c r="R127" s="16">
        <v>0.95</v>
      </c>
      <c r="S127" s="19">
        <f t="shared" si="2"/>
        <v>500</v>
      </c>
      <c r="T127" s="19">
        <f t="shared" si="3"/>
        <v>51.06365143</v>
      </c>
      <c r="U127" s="20">
        <f t="shared" si="4"/>
        <v>12.12484194</v>
      </c>
      <c r="V127" s="17">
        <f>0.9*(0.00015*M127*O127*P127+797)+0.1*(43.1*POWER(M127,0.549))</f>
        <v>795.3896312</v>
      </c>
      <c r="W127" s="21">
        <f t="shared" si="5"/>
        <v>4</v>
      </c>
      <c r="X127" s="21">
        <f t="shared" si="6"/>
        <v>3976.948156</v>
      </c>
      <c r="Y127" s="21">
        <f t="shared" si="7"/>
        <v>60.6242097</v>
      </c>
      <c r="Z127" s="8">
        <f t="shared" si="19"/>
        <v>758.9340213</v>
      </c>
      <c r="AA127" s="8">
        <f t="shared" si="31"/>
        <v>294</v>
      </c>
      <c r="AB127" s="13">
        <f t="shared" si="9"/>
        <v>0.588</v>
      </c>
      <c r="AC127" s="13">
        <f t="shared" si="10"/>
        <v>0.3873854535</v>
      </c>
      <c r="AD127" s="13">
        <f>AA127/vlookup(A127,Max!$A$2:$AP$700,column(Max!$AP$2),false)</f>
        <v>1.013793103</v>
      </c>
      <c r="AE127" s="8">
        <f t="shared" si="11"/>
        <v>121.4446052</v>
      </c>
      <c r="AF127" s="14">
        <f t="shared" si="12"/>
        <v>2.611627495</v>
      </c>
      <c r="AG127" s="14">
        <f t="shared" si="13"/>
        <v>1.070176307</v>
      </c>
      <c r="AH127" s="14">
        <f t="shared" si="14"/>
        <v>1</v>
      </c>
      <c r="AI127" s="14">
        <f t="shared" si="15"/>
        <v>0.8649132729</v>
      </c>
      <c r="AJ127" s="15">
        <f t="shared" si="16"/>
        <v>0</v>
      </c>
      <c r="AK127" s="15" t="str">
        <f t="shared" si="17"/>
        <v>  @CONFIG[RL10A-1] {
   %cost = 294
   @cost -= #$../../cost$
  }</v>
      </c>
    </row>
    <row r="128" ht="15.75" customHeight="1">
      <c r="A128" s="7" t="s">
        <v>283</v>
      </c>
      <c r="B128" s="7" t="s">
        <v>279</v>
      </c>
      <c r="C128" s="8">
        <f t="shared" si="1"/>
        <v>4</v>
      </c>
      <c r="D128" s="7">
        <v>1962.0</v>
      </c>
      <c r="E128" s="7"/>
      <c r="F128" s="7" t="b">
        <v>1</v>
      </c>
      <c r="G128" s="7" t="b">
        <v>0</v>
      </c>
      <c r="H128" s="7" t="b">
        <v>0</v>
      </c>
      <c r="I128" s="7" t="b">
        <v>0</v>
      </c>
      <c r="J128" s="9" t="b">
        <v>0</v>
      </c>
      <c r="K128" s="7">
        <v>300.0</v>
      </c>
      <c r="L128" s="7">
        <v>45.0</v>
      </c>
      <c r="M128" s="7">
        <v>923.56</v>
      </c>
      <c r="N128" s="7">
        <v>849.6</v>
      </c>
      <c r="O128" s="7">
        <v>305.5</v>
      </c>
      <c r="P128" s="7">
        <v>3.69</v>
      </c>
      <c r="Q128" s="7">
        <v>0.986036</v>
      </c>
      <c r="R128" s="7">
        <v>0.986036</v>
      </c>
      <c r="S128" s="10">
        <f t="shared" si="2"/>
        <v>345</v>
      </c>
      <c r="T128" s="10">
        <f t="shared" si="3"/>
        <v>93.80558838</v>
      </c>
      <c r="U128" s="11">
        <f t="shared" si="4"/>
        <v>0.4990030013</v>
      </c>
      <c r="V128" s="8">
        <f t="shared" ref="V128:V132" si="33">0.2*(8.17*POWER(M128*P128,0.46))+0.8*(0.146*POWER(M128*O128,0.639))</f>
        <v>423.9529499</v>
      </c>
      <c r="W128" s="12">
        <f t="shared" si="5"/>
        <v>4</v>
      </c>
      <c r="X128" s="12">
        <f t="shared" si="6"/>
        <v>2119.764749</v>
      </c>
      <c r="Y128" s="12">
        <f t="shared" si="7"/>
        <v>2.495015006</v>
      </c>
      <c r="Z128" s="8">
        <f t="shared" si="19"/>
        <v>420.6745189</v>
      </c>
      <c r="AA128" s="8">
        <f t="shared" si="31"/>
        <v>391</v>
      </c>
      <c r="AB128" s="13">
        <f t="shared" si="9"/>
        <v>1.133333333</v>
      </c>
      <c r="AC128" s="13">
        <f t="shared" si="10"/>
        <v>0.9294596712</v>
      </c>
      <c r="AD128" s="13">
        <f>AA128/vlookup(A128,Max!$A$2:$AP$700,column(Max!$AP$2),false)</f>
        <v>0.7979591837</v>
      </c>
      <c r="AE128" s="8">
        <f t="shared" si="11"/>
        <v>295.7959211</v>
      </c>
      <c r="AF128" s="14">
        <f t="shared" si="12"/>
        <v>1.024834125</v>
      </c>
      <c r="AG128" s="14">
        <f t="shared" si="13"/>
        <v>1.301938836</v>
      </c>
      <c r="AH128" s="14">
        <f t="shared" si="14"/>
        <v>1</v>
      </c>
      <c r="AI128" s="14">
        <f t="shared" si="15"/>
        <v>0.9900199396</v>
      </c>
      <c r="AJ128" s="27">
        <f t="shared" si="16"/>
        <v>4</v>
      </c>
      <c r="AK128" s="15" t="str">
        <f t="shared" si="17"/>
        <v>  @CONFIG[S-3FH] {
   %cost = 391
   @cost -= #$../../cost$
  }</v>
      </c>
    </row>
    <row r="129" ht="15.75" customHeight="1">
      <c r="A129" s="16" t="s">
        <v>823</v>
      </c>
      <c r="B129" s="16" t="s">
        <v>820</v>
      </c>
      <c r="C129" s="8">
        <f t="shared" si="1"/>
        <v>39</v>
      </c>
      <c r="D129" s="16">
        <v>1962.0</v>
      </c>
      <c r="E129" s="16"/>
      <c r="F129" s="16" t="b">
        <v>1</v>
      </c>
      <c r="G129" s="16" t="b">
        <v>0</v>
      </c>
      <c r="H129" s="16" t="b">
        <v>1</v>
      </c>
      <c r="I129" s="16" t="b">
        <v>0</v>
      </c>
      <c r="J129" s="9" t="b">
        <v>0</v>
      </c>
      <c r="K129" s="16">
        <v>400.0</v>
      </c>
      <c r="L129" s="16">
        <v>200.0</v>
      </c>
      <c r="M129" s="16">
        <v>240.0</v>
      </c>
      <c r="N129" s="16">
        <v>161.86</v>
      </c>
      <c r="O129" s="16">
        <v>323.0</v>
      </c>
      <c r="P129" s="16">
        <v>4.2</v>
      </c>
      <c r="Q129" s="16">
        <v>0.99837</v>
      </c>
      <c r="R129" s="16">
        <v>0.991848</v>
      </c>
      <c r="S129" s="19">
        <f t="shared" si="2"/>
        <v>600</v>
      </c>
      <c r="T129" s="19">
        <f t="shared" si="3"/>
        <v>68.77136073</v>
      </c>
      <c r="U129" s="20">
        <f t="shared" si="4"/>
        <v>1.203867516</v>
      </c>
      <c r="V129" s="17">
        <f t="shared" si="33"/>
        <v>194.8579961</v>
      </c>
      <c r="W129" s="21">
        <f t="shared" si="5"/>
        <v>4</v>
      </c>
      <c r="X129" s="21">
        <f t="shared" si="6"/>
        <v>974.2899806</v>
      </c>
      <c r="Y129" s="21">
        <f t="shared" si="7"/>
        <v>6.019337579</v>
      </c>
      <c r="Z129" s="8">
        <f t="shared" si="19"/>
        <v>196.8516443</v>
      </c>
      <c r="AA129" s="8">
        <f t="shared" si="31"/>
        <v>191</v>
      </c>
      <c r="AB129" s="13">
        <f t="shared" si="9"/>
        <v>0.3183333333</v>
      </c>
      <c r="AC129" s="13">
        <f t="shared" si="10"/>
        <v>0.9702738356</v>
      </c>
      <c r="AD129" s="13">
        <f>AA129/vlookup(A129,Max!$A$2:$AP$700,column(Max!$AP$2),false)</f>
        <v>1.061111111</v>
      </c>
      <c r="AE129" s="8">
        <f t="shared" si="11"/>
        <v>129.5938578</v>
      </c>
      <c r="AF129" s="14">
        <f t="shared" si="12"/>
        <v>1.172415801</v>
      </c>
      <c r="AG129" s="14">
        <f t="shared" si="13"/>
        <v>1.254853697</v>
      </c>
      <c r="AH129" s="14">
        <f t="shared" si="14"/>
        <v>1</v>
      </c>
      <c r="AI129" s="14">
        <f t="shared" si="15"/>
        <v>1.000584162</v>
      </c>
      <c r="AJ129" s="27">
        <f t="shared" si="16"/>
        <v>39</v>
      </c>
      <c r="AK129" s="15" t="str">
        <f t="shared" si="17"/>
        <v>  @CONFIG[X-405H-3] {
   %cost = 191
   @cost -= #$../../cost$
  }</v>
      </c>
    </row>
    <row r="130" ht="15.75" customHeight="1">
      <c r="A130" s="7" t="s">
        <v>59</v>
      </c>
      <c r="B130" s="7" t="s">
        <v>54</v>
      </c>
      <c r="C130" s="8">
        <f t="shared" si="1"/>
        <v>57</v>
      </c>
      <c r="D130" s="7">
        <v>1962.0</v>
      </c>
      <c r="E130" s="7"/>
      <c r="F130" s="7" t="b">
        <v>1</v>
      </c>
      <c r="G130" s="7" t="b">
        <v>0</v>
      </c>
      <c r="H130" s="7" t="b">
        <v>1</v>
      </c>
      <c r="I130" s="7" t="b">
        <v>0</v>
      </c>
      <c r="J130" s="9" t="b">
        <v>0</v>
      </c>
      <c r="K130" s="7">
        <v>150.0</v>
      </c>
      <c r="L130" s="7">
        <v>-23.0</v>
      </c>
      <c r="M130" s="7">
        <v>134.26</v>
      </c>
      <c r="N130" s="7">
        <v>71.17</v>
      </c>
      <c r="O130" s="7">
        <v>290.5</v>
      </c>
      <c r="P130" s="7">
        <v>3.48</v>
      </c>
      <c r="Q130" s="7">
        <v>0.9977</v>
      </c>
      <c r="R130" s="7">
        <v>0.9978</v>
      </c>
      <c r="S130" s="10">
        <f t="shared" si="2"/>
        <v>127</v>
      </c>
      <c r="T130" s="10">
        <f t="shared" si="3"/>
        <v>54.05422513</v>
      </c>
      <c r="U130" s="11">
        <f t="shared" si="4"/>
        <v>1.796909695</v>
      </c>
      <c r="V130" s="8">
        <f t="shared" si="33"/>
        <v>127.886063</v>
      </c>
      <c r="W130" s="12">
        <f t="shared" si="5"/>
        <v>4</v>
      </c>
      <c r="X130" s="12">
        <f t="shared" si="6"/>
        <v>639.4303149</v>
      </c>
      <c r="Y130" s="12">
        <f t="shared" si="7"/>
        <v>8.984548474</v>
      </c>
      <c r="Z130" s="8">
        <f t="shared" si="19"/>
        <v>129.8689441</v>
      </c>
      <c r="AA130" s="8">
        <f t="shared" si="31"/>
        <v>108</v>
      </c>
      <c r="AB130" s="13">
        <f t="shared" si="9"/>
        <v>0.8503937008</v>
      </c>
      <c r="AC130" s="13">
        <f t="shared" si="10"/>
        <v>0.8316075932</v>
      </c>
      <c r="AD130" s="13">
        <f>AA130/vlookup(A130,Max!$A$2:$AP$700,column(Max!$AP$2),false)</f>
        <v>1.367088608</v>
      </c>
      <c r="AE130" s="8">
        <f t="shared" si="11"/>
        <v>91.10029436</v>
      </c>
      <c r="AF130" s="14">
        <f t="shared" si="12"/>
        <v>0.9739191239</v>
      </c>
      <c r="AG130" s="14">
        <f t="shared" si="13"/>
        <v>1.202866234</v>
      </c>
      <c r="AH130" s="14">
        <f t="shared" si="14"/>
        <v>1</v>
      </c>
      <c r="AI130" s="14">
        <f t="shared" si="15"/>
        <v>1.013959697</v>
      </c>
      <c r="AJ130" s="27">
        <f t="shared" si="16"/>
        <v>57</v>
      </c>
      <c r="AK130" s="15" t="str">
        <f t="shared" si="17"/>
        <v>  @CONFIG[XLR81-BA-11] {
   %cost = 108
   @cost -= #$../../cost$
  }</v>
      </c>
    </row>
    <row r="131" ht="15.75" customHeight="1">
      <c r="A131" s="16" t="s">
        <v>129</v>
      </c>
      <c r="B131" s="16" t="s">
        <v>130</v>
      </c>
      <c r="C131" s="8">
        <f t="shared" si="1"/>
        <v>624</v>
      </c>
      <c r="D131" s="16">
        <v>1963.0</v>
      </c>
      <c r="E131" s="16"/>
      <c r="F131" s="16" t="b">
        <v>1</v>
      </c>
      <c r="G131" s="16" t="b">
        <v>0</v>
      </c>
      <c r="H131" s="16" t="b">
        <v>0</v>
      </c>
      <c r="I131" s="16" t="b">
        <v>0</v>
      </c>
      <c r="J131" s="9" t="b">
        <v>0</v>
      </c>
      <c r="K131" s="16">
        <v>600.0</v>
      </c>
      <c r="L131" s="16">
        <v>0.0</v>
      </c>
      <c r="M131" s="16">
        <v>1800.0</v>
      </c>
      <c r="N131" s="16">
        <v>1947.53</v>
      </c>
      <c r="O131" s="16">
        <v>290.0</v>
      </c>
      <c r="P131" s="16">
        <v>5.0</v>
      </c>
      <c r="Q131" s="16">
        <v>0.995</v>
      </c>
      <c r="R131" s="16">
        <v>0.993</v>
      </c>
      <c r="S131" s="19">
        <f t="shared" si="2"/>
        <v>600</v>
      </c>
      <c r="T131" s="19">
        <f t="shared" si="3"/>
        <v>110.3293284</v>
      </c>
      <c r="U131" s="20">
        <f t="shared" si="4"/>
        <v>0.3254151696</v>
      </c>
      <c r="V131" s="17">
        <f t="shared" si="33"/>
        <v>633.7558053</v>
      </c>
      <c r="W131" s="21">
        <f t="shared" si="5"/>
        <v>4</v>
      </c>
      <c r="X131" s="21">
        <f t="shared" si="6"/>
        <v>3168.779027</v>
      </c>
      <c r="Y131" s="21">
        <f t="shared" si="7"/>
        <v>1.627075848</v>
      </c>
      <c r="Z131" s="8">
        <f t="shared" si="19"/>
        <v>638.8480332</v>
      </c>
      <c r="AA131" s="8">
        <f t="shared" si="31"/>
        <v>624</v>
      </c>
      <c r="AB131" s="13">
        <f t="shared" si="9"/>
        <v>1.04</v>
      </c>
      <c r="AC131" s="13">
        <f t="shared" si="10"/>
        <v>0.9767581139</v>
      </c>
      <c r="AD131" s="13">
        <f>AA131/vlookup(A131,Max!$A$2:$AP$700,column(Max!$AP$2),false)</f>
        <v>0.65</v>
      </c>
      <c r="AE131" s="8">
        <f t="shared" si="11"/>
        <v>446.697021</v>
      </c>
      <c r="AF131" s="14">
        <f t="shared" si="12"/>
        <v>0.9726726019</v>
      </c>
      <c r="AG131" s="14">
        <f t="shared" si="13"/>
        <v>1.426177805</v>
      </c>
      <c r="AH131" s="14">
        <f t="shared" si="14"/>
        <v>1</v>
      </c>
      <c r="AI131" s="14">
        <f t="shared" si="15"/>
        <v>1.007592984</v>
      </c>
      <c r="AJ131" s="15">
        <f t="shared" si="16"/>
        <v>0</v>
      </c>
      <c r="AK131" s="15" t="str">
        <f t="shared" si="17"/>
        <v>  @CONFIG[E-1] {
   %cost = 624
   @cost -= #$../../cost$
  }</v>
      </c>
    </row>
    <row r="132" ht="15.75" customHeight="1">
      <c r="A132" s="16" t="s">
        <v>284</v>
      </c>
      <c r="B132" s="16" t="s">
        <v>279</v>
      </c>
      <c r="C132" s="8">
        <f t="shared" si="1"/>
        <v>-9</v>
      </c>
      <c r="D132" s="16">
        <v>1963.0</v>
      </c>
      <c r="E132" s="16"/>
      <c r="F132" s="16" t="b">
        <v>1</v>
      </c>
      <c r="G132" s="16" t="b">
        <v>0</v>
      </c>
      <c r="H132" s="16" t="b">
        <v>0</v>
      </c>
      <c r="I132" s="16" t="b">
        <v>0</v>
      </c>
      <c r="J132" s="9" t="b">
        <v>0</v>
      </c>
      <c r="K132" s="16">
        <v>300.0</v>
      </c>
      <c r="L132" s="16">
        <v>50.0</v>
      </c>
      <c r="M132" s="16">
        <v>912.17</v>
      </c>
      <c r="N132" s="16">
        <v>872.95983</v>
      </c>
      <c r="O132" s="16">
        <v>290.93</v>
      </c>
      <c r="P132" s="16">
        <v>3.79</v>
      </c>
      <c r="Q132" s="16">
        <v>0.992211</v>
      </c>
      <c r="R132" s="16">
        <v>0.992211</v>
      </c>
      <c r="S132" s="19">
        <f t="shared" si="2"/>
        <v>350</v>
      </c>
      <c r="T132" s="19">
        <f t="shared" si="3"/>
        <v>97.58831022</v>
      </c>
      <c r="U132" s="20">
        <f t="shared" si="4"/>
        <v>0.4705540722</v>
      </c>
      <c r="V132" s="17">
        <f t="shared" si="33"/>
        <v>410.7748029</v>
      </c>
      <c r="W132" s="21">
        <f t="shared" si="5"/>
        <v>4</v>
      </c>
      <c r="X132" s="21">
        <f t="shared" si="6"/>
        <v>2053.874014</v>
      </c>
      <c r="Y132" s="21">
        <f t="shared" si="7"/>
        <v>2.352770361</v>
      </c>
      <c r="Z132" s="8">
        <f t="shared" si="19"/>
        <v>412.6161701</v>
      </c>
      <c r="AA132" s="8">
        <f t="shared" si="31"/>
        <v>378</v>
      </c>
      <c r="AB132" s="13">
        <f t="shared" si="9"/>
        <v>1.08</v>
      </c>
      <c r="AC132" s="13">
        <f t="shared" si="10"/>
        <v>0.9161056385</v>
      </c>
      <c r="AD132" s="13">
        <f>AA132/vlookup(A132,Max!$A$2:$AP$700,column(Max!$AP$2),false)</f>
        <v>0.7269230769</v>
      </c>
      <c r="AE132" s="8">
        <f t="shared" si="11"/>
        <v>293.5433388</v>
      </c>
      <c r="AF132" s="14">
        <f t="shared" si="12"/>
        <v>0.9750006815</v>
      </c>
      <c r="AG132" s="14">
        <f t="shared" si="13"/>
        <v>1.31242482</v>
      </c>
      <c r="AH132" s="14">
        <f t="shared" si="14"/>
        <v>1</v>
      </c>
      <c r="AI132" s="14">
        <f t="shared" si="15"/>
        <v>1.005592689</v>
      </c>
      <c r="AJ132" s="27">
        <f t="shared" si="16"/>
        <v>-9</v>
      </c>
      <c r="AK132" s="15" t="str">
        <f t="shared" si="17"/>
        <v>  @CONFIG[LR79-NA-13] {
   %cost = 378
   @cost -= #$../../cost$
  }</v>
      </c>
    </row>
    <row r="133" ht="15.75" customHeight="1">
      <c r="A133" s="16" t="s">
        <v>324</v>
      </c>
      <c r="B133" s="16" t="s">
        <v>325</v>
      </c>
      <c r="C133" s="8">
        <f t="shared" si="1"/>
        <v>974</v>
      </c>
      <c r="D133" s="16">
        <v>1963.0</v>
      </c>
      <c r="E133" s="16" t="b">
        <v>1</v>
      </c>
      <c r="F133" s="16" t="b">
        <v>1</v>
      </c>
      <c r="G133" s="16" t="b">
        <v>0</v>
      </c>
      <c r="H133" s="16" t="b">
        <v>0</v>
      </c>
      <c r="I133" s="16" t="b">
        <v>0</v>
      </c>
      <c r="J133" s="9" t="b">
        <v>0</v>
      </c>
      <c r="K133" s="16">
        <v>700.0</v>
      </c>
      <c r="L133" s="16">
        <v>0.0</v>
      </c>
      <c r="M133" s="16">
        <v>839.0</v>
      </c>
      <c r="N133" s="16">
        <v>667.0</v>
      </c>
      <c r="O133" s="16">
        <v>403.0</v>
      </c>
      <c r="P133" s="16">
        <v>5.0</v>
      </c>
      <c r="Q133" s="16">
        <v>0.95</v>
      </c>
      <c r="R133" s="16">
        <v>0.973</v>
      </c>
      <c r="S133" s="19">
        <f t="shared" si="2"/>
        <v>700</v>
      </c>
      <c r="T133" s="19">
        <f t="shared" si="3"/>
        <v>81.066831</v>
      </c>
      <c r="U133" s="20">
        <f t="shared" si="4"/>
        <v>1.677898207</v>
      </c>
      <c r="V133" s="17">
        <f>0.9*(0.00015*M133*O133*P133+797)+0.1*(43.1*POWER(M133,0.549))</f>
        <v>1119.158104</v>
      </c>
      <c r="W133" s="21">
        <f t="shared" si="5"/>
        <v>4</v>
      </c>
      <c r="X133" s="21">
        <f t="shared" si="6"/>
        <v>5595.79052</v>
      </c>
      <c r="Y133" s="21">
        <f t="shared" si="7"/>
        <v>8.389491035</v>
      </c>
      <c r="Z133" s="8">
        <f t="shared" si="19"/>
        <v>1056.876956</v>
      </c>
      <c r="AA133" s="8">
        <f t="shared" si="31"/>
        <v>974</v>
      </c>
      <c r="AB133" s="13">
        <f t="shared" si="9"/>
        <v>1.391428571</v>
      </c>
      <c r="AC133" s="13">
        <f t="shared" si="10"/>
        <v>0.9215831558</v>
      </c>
      <c r="AD133" s="13">
        <f>AA133/vlookup(A133,Max!$A$2:$AP$700,column(Max!$AP$2),false)</f>
        <v>0.8854545455</v>
      </c>
      <c r="AE133" s="8">
        <f t="shared" si="11"/>
        <v>322.571127</v>
      </c>
      <c r="AF133" s="14">
        <f t="shared" si="12"/>
        <v>2.209973773</v>
      </c>
      <c r="AG133" s="14">
        <f t="shared" si="13"/>
        <v>1.426177805</v>
      </c>
      <c r="AH133" s="14">
        <f t="shared" si="14"/>
        <v>1</v>
      </c>
      <c r="AI133" s="14">
        <f t="shared" si="15"/>
        <v>0.9576219986</v>
      </c>
      <c r="AJ133" s="15">
        <f t="shared" si="16"/>
        <v>0</v>
      </c>
      <c r="AK133" s="15" t="str">
        <f t="shared" si="17"/>
        <v>  @CONFIG[LR87-LH2-TitanC] {
   %cost = 974
   @cost -= #$../../cost$
  }</v>
      </c>
    </row>
    <row r="134" ht="15.75" customHeight="1">
      <c r="A134" s="7" t="s">
        <v>448</v>
      </c>
      <c r="B134" s="7" t="s">
        <v>446</v>
      </c>
      <c r="C134" s="8">
        <f t="shared" si="1"/>
        <v>2</v>
      </c>
      <c r="D134" s="7">
        <v>1963.0</v>
      </c>
      <c r="E134" s="7"/>
      <c r="F134" s="7" t="b">
        <v>1</v>
      </c>
      <c r="G134" s="7" t="b">
        <v>0</v>
      </c>
      <c r="H134" s="7" t="b">
        <v>1</v>
      </c>
      <c r="I134" s="7" t="b">
        <v>0</v>
      </c>
      <c r="J134" s="9" t="b">
        <v>0</v>
      </c>
      <c r="K134" s="7">
        <v>350.0</v>
      </c>
      <c r="L134" s="7">
        <v>0.0</v>
      </c>
      <c r="M134" s="7">
        <v>410.0</v>
      </c>
      <c r="N134" s="7">
        <v>297.9</v>
      </c>
      <c r="O134" s="7">
        <v>326.0</v>
      </c>
      <c r="P134" s="7">
        <v>6.82</v>
      </c>
      <c r="Q134" s="7">
        <v>0.999219</v>
      </c>
      <c r="R134" s="7">
        <v>0.997401</v>
      </c>
      <c r="S134" s="10">
        <f t="shared" si="2"/>
        <v>350</v>
      </c>
      <c r="T134" s="10">
        <f t="shared" si="3"/>
        <v>74.09108755</v>
      </c>
      <c r="U134" s="11">
        <f t="shared" si="4"/>
        <v>0.9505690824</v>
      </c>
      <c r="V134" s="8">
        <f t="shared" ref="V134:V137" si="34">0.2*(8.17*POWER(M134*P134,0.46))+0.8*(0.146*POWER(M134*O134,0.639))</f>
        <v>283.1745296</v>
      </c>
      <c r="W134" s="12">
        <f t="shared" si="5"/>
        <v>4</v>
      </c>
      <c r="X134" s="12">
        <f t="shared" si="6"/>
        <v>1415.872648</v>
      </c>
      <c r="Y134" s="12">
        <f t="shared" si="7"/>
        <v>4.752845412</v>
      </c>
      <c r="Z134" s="8">
        <f t="shared" si="19"/>
        <v>287.8814651</v>
      </c>
      <c r="AA134" s="8">
        <f t="shared" si="31"/>
        <v>306</v>
      </c>
      <c r="AB134" s="13">
        <f t="shared" si="9"/>
        <v>0.8742857143</v>
      </c>
      <c r="AC134" s="13">
        <f t="shared" si="10"/>
        <v>1.062937483</v>
      </c>
      <c r="AD134" s="13">
        <f>AA134/vlookup(A134,Max!$A$2:$AP$700,column(Max!$AP$2),false)</f>
        <v>1.224</v>
      </c>
      <c r="AE134" s="8">
        <f t="shared" si="11"/>
        <v>179.6727103</v>
      </c>
      <c r="AF134" s="14">
        <f t="shared" si="12"/>
        <v>1.197979511</v>
      </c>
      <c r="AG134" s="14">
        <f t="shared" si="13"/>
        <v>1.399469663</v>
      </c>
      <c r="AH134" s="14">
        <f t="shared" si="14"/>
        <v>1</v>
      </c>
      <c r="AI134" s="14">
        <f t="shared" si="15"/>
        <v>1.016806282</v>
      </c>
      <c r="AJ134" s="27">
        <f t="shared" si="16"/>
        <v>2</v>
      </c>
      <c r="AK134" s="15" t="str">
        <f t="shared" si="17"/>
        <v>  @CONFIG[RD-0108] {
   %cost = 306
   @cost -= #$../../cost$
  }</v>
      </c>
    </row>
    <row r="135" ht="15.75" customHeight="1">
      <c r="A135" s="16" t="s">
        <v>553</v>
      </c>
      <c r="B135" s="16" t="s">
        <v>552</v>
      </c>
      <c r="C135" s="8">
        <f t="shared" si="1"/>
        <v>129</v>
      </c>
      <c r="D135" s="16">
        <v>1963.0</v>
      </c>
      <c r="E135" s="16"/>
      <c r="F135" s="16" t="b">
        <v>1</v>
      </c>
      <c r="G135" s="16" t="b">
        <v>0</v>
      </c>
      <c r="H135" s="16" t="b">
        <v>0</v>
      </c>
      <c r="I135" s="16" t="b">
        <v>0</v>
      </c>
      <c r="J135" s="9" t="b">
        <v>0</v>
      </c>
      <c r="K135" s="16">
        <v>590.0</v>
      </c>
      <c r="L135" s="16">
        <v>10.0</v>
      </c>
      <c r="M135" s="16">
        <v>1492.0</v>
      </c>
      <c r="N135" s="16">
        <v>1628.0</v>
      </c>
      <c r="O135" s="16">
        <v>318.0</v>
      </c>
      <c r="P135" s="16">
        <v>7.85</v>
      </c>
      <c r="Q135" s="16">
        <v>0.973729</v>
      </c>
      <c r="R135" s="16">
        <v>0.973729</v>
      </c>
      <c r="S135" s="19">
        <f t="shared" si="2"/>
        <v>600</v>
      </c>
      <c r="T135" s="19">
        <f t="shared" si="3"/>
        <v>111.2666213</v>
      </c>
      <c r="U135" s="20">
        <f t="shared" si="4"/>
        <v>0.3786771794</v>
      </c>
      <c r="V135" s="17">
        <f t="shared" si="34"/>
        <v>616.486448</v>
      </c>
      <c r="W135" s="21">
        <f t="shared" si="5"/>
        <v>4</v>
      </c>
      <c r="X135" s="21">
        <f t="shared" si="6"/>
        <v>3082.43224</v>
      </c>
      <c r="Y135" s="21">
        <f t="shared" si="7"/>
        <v>1.893385897</v>
      </c>
      <c r="Z135" s="8">
        <f t="shared" si="19"/>
        <v>596.8502237</v>
      </c>
      <c r="AA135" s="8">
        <f t="shared" si="31"/>
        <v>705</v>
      </c>
      <c r="AB135" s="13">
        <f t="shared" si="9"/>
        <v>1.175</v>
      </c>
      <c r="AC135" s="13">
        <f t="shared" si="10"/>
        <v>1.181200864</v>
      </c>
      <c r="AD135" s="13">
        <f>AA135/vlookup(A135,Max!$A$2:$AP$700,column(Max!$AP$2),false)</f>
        <v>0.9929577465</v>
      </c>
      <c r="AE135" s="8">
        <f t="shared" si="11"/>
        <v>397.7136522</v>
      </c>
      <c r="AF135" s="14">
        <f t="shared" si="12"/>
        <v>1.131484045</v>
      </c>
      <c r="AG135" s="14">
        <f t="shared" si="13"/>
        <v>1.632839768</v>
      </c>
      <c r="AH135" s="14">
        <f t="shared" si="14"/>
        <v>1</v>
      </c>
      <c r="AI135" s="14">
        <f t="shared" si="15"/>
        <v>0.9594167025</v>
      </c>
      <c r="AJ135" s="27">
        <f t="shared" si="16"/>
        <v>129</v>
      </c>
      <c r="AK135" s="15" t="str">
        <f t="shared" si="17"/>
        <v>  @CONFIG[RD-111-8D716A] {
   %cost = 705
   @cost -= #$../../cost$
  }</v>
      </c>
    </row>
    <row r="136" ht="15.75" customHeight="1">
      <c r="A136" s="16" t="s">
        <v>582</v>
      </c>
      <c r="B136" s="16" t="s">
        <v>579</v>
      </c>
      <c r="C136" s="8">
        <f t="shared" si="1"/>
        <v>-16</v>
      </c>
      <c r="D136" s="16">
        <v>1963.0</v>
      </c>
      <c r="E136" s="16"/>
      <c r="F136" s="16" t="b">
        <v>1</v>
      </c>
      <c r="G136" s="16" t="b">
        <v>0</v>
      </c>
      <c r="H136" s="16" t="b">
        <v>0</v>
      </c>
      <c r="I136" s="16" t="b">
        <v>0</v>
      </c>
      <c r="J136" s="9" t="b">
        <v>0</v>
      </c>
      <c r="K136" s="16">
        <v>330.0</v>
      </c>
      <c r="L136" s="16">
        <v>30.0</v>
      </c>
      <c r="M136" s="16">
        <v>576.0</v>
      </c>
      <c r="N136" s="16">
        <v>881.3</v>
      </c>
      <c r="O136" s="16">
        <v>301.4</v>
      </c>
      <c r="P136" s="16">
        <v>8.34</v>
      </c>
      <c r="Q136" s="16">
        <v>0.996266</v>
      </c>
      <c r="R136" s="16">
        <v>0.996266</v>
      </c>
      <c r="S136" s="19">
        <f t="shared" si="2"/>
        <v>360</v>
      </c>
      <c r="T136" s="19">
        <f t="shared" si="3"/>
        <v>156.0201208</v>
      </c>
      <c r="U136" s="20">
        <f t="shared" si="4"/>
        <v>0.3869440745</v>
      </c>
      <c r="V136" s="17">
        <f t="shared" si="34"/>
        <v>341.0138129</v>
      </c>
      <c r="W136" s="21">
        <f t="shared" si="5"/>
        <v>4</v>
      </c>
      <c r="X136" s="21">
        <f t="shared" si="6"/>
        <v>1705.069064</v>
      </c>
      <c r="Y136" s="21">
        <f t="shared" si="7"/>
        <v>1.934720373</v>
      </c>
      <c r="Z136" s="8">
        <f t="shared" si="19"/>
        <v>345.2921526</v>
      </c>
      <c r="AA136" s="8">
        <f t="shared" si="31"/>
        <v>376</v>
      </c>
      <c r="AB136" s="13">
        <f t="shared" si="9"/>
        <v>1.044444444</v>
      </c>
      <c r="AC136" s="13">
        <f t="shared" si="10"/>
        <v>1.088932943</v>
      </c>
      <c r="AD136" s="13">
        <f>AA136/vlookup(A136,Max!$A$2:$AP$700,column(Max!$AP$2),false)</f>
        <v>0.6836363636</v>
      </c>
      <c r="AE136" s="8">
        <f t="shared" si="11"/>
        <v>221.2729683</v>
      </c>
      <c r="AF136" s="14">
        <f t="shared" si="12"/>
        <v>1.004736128</v>
      </c>
      <c r="AG136" s="14">
        <f t="shared" si="13"/>
        <v>1.662771176</v>
      </c>
      <c r="AH136" s="14">
        <f t="shared" si="14"/>
        <v>1</v>
      </c>
      <c r="AI136" s="14">
        <f t="shared" si="15"/>
        <v>1.015898424</v>
      </c>
      <c r="AJ136" s="27">
        <f t="shared" si="16"/>
        <v>-16</v>
      </c>
      <c r="AK136" s="15" t="str">
        <f t="shared" si="17"/>
        <v>  @CONFIG[RD-250-8D518] {
   %cost = 376
   @cost -= #$../../cost$
  }</v>
      </c>
    </row>
    <row r="137" ht="15.75" customHeight="1">
      <c r="A137" s="16" t="s">
        <v>587</v>
      </c>
      <c r="B137" s="16" t="s">
        <v>586</v>
      </c>
      <c r="C137" s="8">
        <f t="shared" si="1"/>
        <v>59</v>
      </c>
      <c r="D137" s="16">
        <v>1963.0</v>
      </c>
      <c r="E137" s="16"/>
      <c r="F137" s="16" t="b">
        <v>1</v>
      </c>
      <c r="G137" s="16" t="b">
        <v>0</v>
      </c>
      <c r="H137" s="16" t="b">
        <v>1</v>
      </c>
      <c r="I137" s="16" t="b">
        <v>0</v>
      </c>
      <c r="J137" s="9" t="b">
        <v>0</v>
      </c>
      <c r="K137" s="16">
        <v>350.0</v>
      </c>
      <c r="L137" s="16">
        <v>30.0</v>
      </c>
      <c r="M137" s="16">
        <v>715.0</v>
      </c>
      <c r="N137" s="16">
        <v>940.8</v>
      </c>
      <c r="O137" s="16">
        <v>317.6</v>
      </c>
      <c r="P137" s="16">
        <v>8.92</v>
      </c>
      <c r="Q137" s="16">
        <v>0.998617</v>
      </c>
      <c r="R137" s="16">
        <v>0.993849</v>
      </c>
      <c r="S137" s="19">
        <f t="shared" si="2"/>
        <v>380</v>
      </c>
      <c r="T137" s="19">
        <f t="shared" si="3"/>
        <v>134.1746868</v>
      </c>
      <c r="U137" s="20">
        <f t="shared" si="4"/>
        <v>0.4262120808</v>
      </c>
      <c r="V137" s="17">
        <f t="shared" si="34"/>
        <v>400.9803256</v>
      </c>
      <c r="W137" s="21">
        <f t="shared" si="5"/>
        <v>4</v>
      </c>
      <c r="X137" s="21">
        <f t="shared" si="6"/>
        <v>2004.901628</v>
      </c>
      <c r="Y137" s="21">
        <f t="shared" si="7"/>
        <v>2.131060404</v>
      </c>
      <c r="Z137" s="8">
        <f t="shared" si="19"/>
        <v>405.9823574</v>
      </c>
      <c r="AA137" s="8">
        <f t="shared" si="31"/>
        <v>426</v>
      </c>
      <c r="AB137" s="13">
        <f t="shared" si="9"/>
        <v>1.121052632</v>
      </c>
      <c r="AC137" s="13">
        <f t="shared" si="10"/>
        <v>1.049306681</v>
      </c>
      <c r="AD137" s="13">
        <f>AA137/vlookup(A137,Max!$A$2:$AP$700,column(Max!$AP$2),false)</f>
        <v>0.7220338983</v>
      </c>
      <c r="AE137" s="8">
        <f t="shared" si="11"/>
        <v>252.6888037</v>
      </c>
      <c r="AF137" s="14">
        <f t="shared" si="12"/>
        <v>1.128297334</v>
      </c>
      <c r="AG137" s="14">
        <f t="shared" si="13"/>
        <v>1.48659989</v>
      </c>
      <c r="AH137" s="14">
        <f t="shared" si="14"/>
        <v>1</v>
      </c>
      <c r="AI137" s="14">
        <f t="shared" si="15"/>
        <v>1.006260474</v>
      </c>
      <c r="AJ137" s="27">
        <f t="shared" si="16"/>
        <v>59</v>
      </c>
      <c r="AK137" s="15" t="str">
        <f t="shared" si="17"/>
        <v>  @CONFIG[RD-252-8D724] {
   %cost = 426
   @cost -= #$../../cost$
  }</v>
      </c>
    </row>
    <row r="138" ht="15.75" customHeight="1">
      <c r="A138" s="7" t="s">
        <v>661</v>
      </c>
      <c r="B138" s="7" t="s">
        <v>660</v>
      </c>
      <c r="C138" s="8">
        <f t="shared" si="1"/>
        <v>56</v>
      </c>
      <c r="D138" s="7">
        <v>1963.0</v>
      </c>
      <c r="E138" s="7" t="b">
        <v>1</v>
      </c>
      <c r="F138" s="7" t="b">
        <v>1</v>
      </c>
      <c r="G138" s="7" t="b">
        <v>0</v>
      </c>
      <c r="H138" s="7" t="b">
        <v>1</v>
      </c>
      <c r="I138" s="7" t="b">
        <v>0</v>
      </c>
      <c r="J138" s="9" t="b">
        <v>0</v>
      </c>
      <c r="K138" s="7">
        <v>500.0</v>
      </c>
      <c r="L138" s="7">
        <v>50.0</v>
      </c>
      <c r="M138" s="7">
        <v>131.0</v>
      </c>
      <c r="N138" s="7">
        <v>66.7</v>
      </c>
      <c r="O138" s="7">
        <v>427.0</v>
      </c>
      <c r="P138" s="7">
        <v>2.07</v>
      </c>
      <c r="Q138" s="7">
        <v>0.994828</v>
      </c>
      <c r="R138" s="7">
        <v>0.99</v>
      </c>
      <c r="S138" s="10">
        <f t="shared" si="2"/>
        <v>550</v>
      </c>
      <c r="T138" s="10">
        <f t="shared" si="3"/>
        <v>51.91990168</v>
      </c>
      <c r="U138" s="11">
        <f t="shared" si="4"/>
        <v>11.92762625</v>
      </c>
      <c r="V138" s="8">
        <f t="shared" ref="V138:V139" si="35">0.9*(0.00015*M138*O138*P138+797)+0.1*(43.1*POWER(M138,0.549))</f>
        <v>795.572671</v>
      </c>
      <c r="W138" s="12">
        <f t="shared" si="5"/>
        <v>4</v>
      </c>
      <c r="X138" s="12">
        <f t="shared" si="6"/>
        <v>3977.863355</v>
      </c>
      <c r="Y138" s="12">
        <f t="shared" si="7"/>
        <v>59.63813126</v>
      </c>
      <c r="Z138" s="8">
        <f t="shared" si="19"/>
        <v>799.4548429</v>
      </c>
      <c r="AA138" s="8">
        <f t="shared" si="31"/>
        <v>350</v>
      </c>
      <c r="AB138" s="13">
        <f t="shared" si="9"/>
        <v>0.6363636364</v>
      </c>
      <c r="AC138" s="13">
        <f t="shared" si="10"/>
        <v>0.4377983361</v>
      </c>
      <c r="AD138" s="13">
        <f>AA138/vlookup(A138,Max!$A$2:$AP$700,column(Max!$AP$2),false)</f>
        <v>0.8974358974</v>
      </c>
      <c r="AE138" s="8">
        <f t="shared" si="11"/>
        <v>121.4446052</v>
      </c>
      <c r="AF138" s="14">
        <f t="shared" si="12"/>
        <v>2.731573217</v>
      </c>
      <c r="AG138" s="14">
        <f t="shared" si="13"/>
        <v>1.070176307</v>
      </c>
      <c r="AH138" s="14">
        <f t="shared" si="14"/>
        <v>1</v>
      </c>
      <c r="AI138" s="14">
        <f t="shared" si="15"/>
        <v>0.9871201122</v>
      </c>
      <c r="AJ138" s="27">
        <f t="shared" si="16"/>
        <v>56</v>
      </c>
      <c r="AK138" s="15" t="str">
        <f t="shared" si="17"/>
        <v>  @CONFIG[RL10A-3-1] {
   %cost = 350
   @cost -= #$../../cost$
  }</v>
      </c>
    </row>
    <row r="139" ht="15.75" customHeight="1">
      <c r="A139" s="16" t="s">
        <v>1015</v>
      </c>
      <c r="B139" s="16" t="s">
        <v>726</v>
      </c>
      <c r="C139" s="8">
        <f t="shared" si="1"/>
        <v>301</v>
      </c>
      <c r="D139" s="16">
        <v>1963.0</v>
      </c>
      <c r="E139" s="16" t="b">
        <v>1</v>
      </c>
      <c r="F139" s="16" t="b">
        <v>1</v>
      </c>
      <c r="G139" s="16" t="b">
        <v>0</v>
      </c>
      <c r="H139" s="16" t="b">
        <v>1</v>
      </c>
      <c r="I139" s="16" t="b">
        <v>0</v>
      </c>
      <c r="J139" s="9" t="b">
        <v>0</v>
      </c>
      <c r="K139" s="16">
        <v>350.0</v>
      </c>
      <c r="L139" s="16">
        <v>0.0</v>
      </c>
      <c r="M139" s="16">
        <v>131.0</v>
      </c>
      <c r="N139" s="16">
        <v>70.0</v>
      </c>
      <c r="O139" s="16">
        <v>410.0</v>
      </c>
      <c r="P139" s="16">
        <v>2.07</v>
      </c>
      <c r="Q139" s="16">
        <v>0.994828</v>
      </c>
      <c r="R139" s="16">
        <v>0.99</v>
      </c>
      <c r="S139" s="19">
        <f t="shared" si="2"/>
        <v>350</v>
      </c>
      <c r="T139" s="19">
        <f t="shared" si="3"/>
        <v>54.48865244</v>
      </c>
      <c r="U139" s="20">
        <f t="shared" si="4"/>
        <v>11.35643337</v>
      </c>
      <c r="V139" s="17">
        <f t="shared" si="35"/>
        <v>794.9503358</v>
      </c>
      <c r="W139" s="21">
        <f t="shared" si="5"/>
        <v>4</v>
      </c>
      <c r="X139" s="21">
        <f t="shared" si="6"/>
        <v>3974.751679</v>
      </c>
      <c r="Y139" s="21">
        <f t="shared" si="7"/>
        <v>56.78216685</v>
      </c>
      <c r="Z139" s="8">
        <f t="shared" si="19"/>
        <v>798.8294709</v>
      </c>
      <c r="AA139" s="8">
        <f t="shared" si="31"/>
        <v>301</v>
      </c>
      <c r="AB139" s="13">
        <f t="shared" si="9"/>
        <v>0.86</v>
      </c>
      <c r="AC139" s="13">
        <f t="shared" si="10"/>
        <v>0.3768013211</v>
      </c>
      <c r="AD139" s="13">
        <f>AA139/vlookup(A139,Max!$A$2:$AP$700,column(Max!$AP$2),false)</f>
        <v>0.9709677419</v>
      </c>
      <c r="AE139" s="8">
        <f t="shared" si="11"/>
        <v>121.4446052</v>
      </c>
      <c r="AF139" s="14">
        <f t="shared" si="12"/>
        <v>2.348611116</v>
      </c>
      <c r="AG139" s="14">
        <f t="shared" si="13"/>
        <v>1.070176307</v>
      </c>
      <c r="AH139" s="14">
        <f t="shared" si="14"/>
        <v>1</v>
      </c>
      <c r="AI139" s="14">
        <f t="shared" si="15"/>
        <v>0.9871201122</v>
      </c>
      <c r="AJ139" s="15">
        <f t="shared" si="16"/>
        <v>0</v>
      </c>
      <c r="AK139" s="15" t="str">
        <f t="shared" si="17"/>
        <v>  @CONFIG[RZ.20-Mk1] {
   %cost = 301
   @cost -= #$../../cost$
  }</v>
      </c>
    </row>
    <row r="140" ht="15.75" customHeight="1">
      <c r="A140" s="16" t="s">
        <v>813</v>
      </c>
      <c r="B140" s="16" t="s">
        <v>810</v>
      </c>
      <c r="C140" s="8">
        <f t="shared" si="1"/>
        <v>14</v>
      </c>
      <c r="D140" s="16">
        <v>1963.0</v>
      </c>
      <c r="E140" s="16"/>
      <c r="F140" s="16" t="b">
        <v>1</v>
      </c>
      <c r="G140" s="16" t="b">
        <v>0</v>
      </c>
      <c r="H140" s="16" t="b">
        <v>1</v>
      </c>
      <c r="I140" s="16" t="b">
        <v>0</v>
      </c>
      <c r="J140" s="9" t="b">
        <v>0</v>
      </c>
      <c r="K140" s="16">
        <v>300.0</v>
      </c>
      <c r="L140" s="16">
        <v>40.0</v>
      </c>
      <c r="M140" s="16">
        <v>886.0</v>
      </c>
      <c r="N140" s="16">
        <v>784.8</v>
      </c>
      <c r="O140" s="16">
        <v>290.7</v>
      </c>
      <c r="P140" s="16">
        <v>5.85</v>
      </c>
      <c r="Q140" s="16">
        <v>0.998872</v>
      </c>
      <c r="R140" s="16">
        <v>0.998872</v>
      </c>
      <c r="S140" s="19">
        <f t="shared" si="2"/>
        <v>340</v>
      </c>
      <c r="T140" s="19">
        <f t="shared" si="3"/>
        <v>90.32429815</v>
      </c>
      <c r="U140" s="20">
        <f t="shared" si="4"/>
        <v>0.5332751373</v>
      </c>
      <c r="V140" s="17">
        <f t="shared" ref="V140:V158" si="36">0.2*(8.17*POWER(M140*P140,0.46))+0.8*(0.146*POWER(M140*O140,0.639))</f>
        <v>418.5143277</v>
      </c>
      <c r="W140" s="21">
        <f t="shared" si="5"/>
        <v>4</v>
      </c>
      <c r="X140" s="21">
        <f t="shared" si="6"/>
        <v>2092.571639</v>
      </c>
      <c r="Y140" s="21">
        <f t="shared" si="7"/>
        <v>2.666375686</v>
      </c>
      <c r="Z140" s="8">
        <f t="shared" si="19"/>
        <v>425.9409785</v>
      </c>
      <c r="AA140" s="8">
        <f t="shared" si="31"/>
        <v>387</v>
      </c>
      <c r="AB140" s="13">
        <f t="shared" si="9"/>
        <v>1.138235294</v>
      </c>
      <c r="AC140" s="13">
        <f t="shared" si="10"/>
        <v>0.9085765859</v>
      </c>
      <c r="AD140" s="13">
        <f>AA140/vlookup(A140,Max!$A$2:$AP$700,column(Max!$AP$2),false)</f>
        <v>1.138235294</v>
      </c>
      <c r="AE140" s="8">
        <f t="shared" si="11"/>
        <v>288.3273105</v>
      </c>
      <c r="AF140" s="14">
        <f t="shared" si="12"/>
        <v>0.9744210711</v>
      </c>
      <c r="AG140" s="14">
        <f t="shared" si="13"/>
        <v>1.351985625</v>
      </c>
      <c r="AH140" s="14">
        <f t="shared" si="14"/>
        <v>1</v>
      </c>
      <c r="AI140" s="14">
        <f t="shared" si="15"/>
        <v>1.019673682</v>
      </c>
      <c r="AJ140" s="27">
        <f t="shared" si="16"/>
        <v>14</v>
      </c>
      <c r="AK140" s="15" t="str">
        <f t="shared" si="17"/>
        <v>  @CONFIG[Viking-4B] {
   %cost = 387
   @cost -= #$../../cost$
  }</v>
      </c>
    </row>
    <row r="141" ht="15.75" customHeight="1">
      <c r="A141" s="7" t="s">
        <v>812</v>
      </c>
      <c r="B141" s="7" t="s">
        <v>810</v>
      </c>
      <c r="C141" s="8">
        <f t="shared" si="1"/>
        <v>26</v>
      </c>
      <c r="D141" s="7">
        <v>1963.0</v>
      </c>
      <c r="E141" s="7"/>
      <c r="F141" s="7" t="b">
        <v>1</v>
      </c>
      <c r="G141" s="7" t="b">
        <v>0</v>
      </c>
      <c r="H141" s="7" t="b">
        <v>0</v>
      </c>
      <c r="I141" s="7" t="b">
        <v>0</v>
      </c>
      <c r="J141" s="9" t="b">
        <v>0</v>
      </c>
      <c r="K141" s="7">
        <v>300.0</v>
      </c>
      <c r="L141" s="7">
        <v>20.0</v>
      </c>
      <c r="M141" s="7">
        <v>826.0</v>
      </c>
      <c r="N141" s="7">
        <v>748.2</v>
      </c>
      <c r="O141" s="7">
        <v>278.5</v>
      </c>
      <c r="P141" s="7">
        <v>5.85</v>
      </c>
      <c r="Q141" s="7">
        <v>0.997826</v>
      </c>
      <c r="R141" s="7">
        <v>0.997826</v>
      </c>
      <c r="S141" s="10">
        <f t="shared" si="2"/>
        <v>320</v>
      </c>
      <c r="T141" s="10">
        <f t="shared" si="3"/>
        <v>92.36703006</v>
      </c>
      <c r="U141" s="11">
        <f t="shared" si="4"/>
        <v>0.5246312108</v>
      </c>
      <c r="V141" s="8">
        <f t="shared" si="36"/>
        <v>392.5290719</v>
      </c>
      <c r="W141" s="12">
        <f t="shared" si="5"/>
        <v>4</v>
      </c>
      <c r="X141" s="12">
        <f t="shared" si="6"/>
        <v>1962.64536</v>
      </c>
      <c r="Y141" s="12">
        <f t="shared" si="7"/>
        <v>2.623156054</v>
      </c>
      <c r="Z141" s="8">
        <f t="shared" si="19"/>
        <v>398.6747922</v>
      </c>
      <c r="AA141" s="8">
        <f t="shared" si="31"/>
        <v>399</v>
      </c>
      <c r="AB141" s="13">
        <f t="shared" si="9"/>
        <v>1.246875</v>
      </c>
      <c r="AC141" s="13">
        <f t="shared" si="10"/>
        <v>1.000815722</v>
      </c>
      <c r="AD141" s="13">
        <f>AA141/vlookup(A141,Max!$A$2:$AP$700,column(Max!$AP$2),false)</f>
        <v>0.9279069767</v>
      </c>
      <c r="AE141" s="8">
        <f t="shared" si="11"/>
        <v>276.14469</v>
      </c>
      <c r="AF141" s="14">
        <f t="shared" si="12"/>
        <v>0.9470713697</v>
      </c>
      <c r="AG141" s="14">
        <f t="shared" si="13"/>
        <v>1.494959516</v>
      </c>
      <c r="AH141" s="14">
        <f t="shared" si="14"/>
        <v>1</v>
      </c>
      <c r="AI141" s="14">
        <f t="shared" si="15"/>
        <v>1.019879949</v>
      </c>
      <c r="AJ141" s="27">
        <f t="shared" si="16"/>
        <v>26</v>
      </c>
      <c r="AK141" s="15" t="str">
        <f t="shared" si="17"/>
        <v>  @CONFIG[Viking-5B] {
   %cost = 399
   @cost -= #$../../cost$
  }</v>
      </c>
    </row>
    <row r="142" ht="15.75" customHeight="1">
      <c r="A142" s="16" t="s">
        <v>631</v>
      </c>
      <c r="B142" s="16" t="s">
        <v>630</v>
      </c>
      <c r="C142" s="8">
        <f t="shared" si="1"/>
        <v>10</v>
      </c>
      <c r="D142" s="16">
        <v>1964.0</v>
      </c>
      <c r="E142" s="16"/>
      <c r="F142" s="16" t="b">
        <v>1</v>
      </c>
      <c r="G142" s="16" t="b">
        <v>0</v>
      </c>
      <c r="H142" s="16" t="b">
        <v>1</v>
      </c>
      <c r="I142" s="16" t="b">
        <v>0</v>
      </c>
      <c r="J142" s="9" t="b">
        <v>0</v>
      </c>
      <c r="K142" s="16">
        <v>400.0</v>
      </c>
      <c r="L142" s="16">
        <v>5.0</v>
      </c>
      <c r="M142" s="16">
        <v>153.0</v>
      </c>
      <c r="N142" s="16">
        <v>66.7</v>
      </c>
      <c r="O142" s="16">
        <v>340.0</v>
      </c>
      <c r="P142" s="16">
        <v>5.35</v>
      </c>
      <c r="Q142" s="16">
        <v>0.995982</v>
      </c>
      <c r="R142" s="16">
        <v>0.997892</v>
      </c>
      <c r="S142" s="19">
        <f t="shared" si="2"/>
        <v>405</v>
      </c>
      <c r="T142" s="19">
        <f t="shared" si="3"/>
        <v>44.45429491</v>
      </c>
      <c r="U142" s="20">
        <f t="shared" si="4"/>
        <v>2.342918884</v>
      </c>
      <c r="V142" s="17">
        <f t="shared" si="36"/>
        <v>156.2726896</v>
      </c>
      <c r="W142" s="21">
        <f t="shared" si="5"/>
        <v>4</v>
      </c>
      <c r="X142" s="21">
        <f t="shared" si="6"/>
        <v>781.3634479</v>
      </c>
      <c r="Y142" s="21">
        <f t="shared" si="7"/>
        <v>11.71459442</v>
      </c>
      <c r="Z142" s="8">
        <f t="shared" si="19"/>
        <v>158.4421405</v>
      </c>
      <c r="AA142" s="8">
        <f t="shared" si="31"/>
        <v>175</v>
      </c>
      <c r="AB142" s="13">
        <f t="shared" si="9"/>
        <v>0.4320987654</v>
      </c>
      <c r="AC142" s="13">
        <f t="shared" si="10"/>
        <v>1.104504139</v>
      </c>
      <c r="AD142" s="13">
        <f>AA142/vlookup(A142,Max!$A$2:$AP$700,column(Max!$AP$2),false)</f>
        <v>1.75</v>
      </c>
      <c r="AE142" s="8">
        <f t="shared" si="11"/>
        <v>98.59860449</v>
      </c>
      <c r="AF142" s="14">
        <f t="shared" si="12"/>
        <v>1.328038609</v>
      </c>
      <c r="AG142" s="14">
        <f t="shared" si="13"/>
        <v>1.325078493</v>
      </c>
      <c r="AH142" s="14">
        <f t="shared" si="14"/>
        <v>1</v>
      </c>
      <c r="AI142" s="14">
        <f t="shared" si="15"/>
        <v>1.009833073</v>
      </c>
      <c r="AJ142" s="27">
        <f t="shared" si="16"/>
        <v>10</v>
      </c>
      <c r="AK142" s="15" t="str">
        <f t="shared" si="17"/>
        <v>  @CONFIG[11D33] {
   %cost = 175
   @cost -= #$../../cost$
  }</v>
      </c>
    </row>
    <row r="143" ht="15.75" customHeight="1">
      <c r="A143" s="16" t="s">
        <v>75</v>
      </c>
      <c r="B143" s="16" t="s">
        <v>76</v>
      </c>
      <c r="C143" s="8">
        <f t="shared" si="1"/>
        <v>73</v>
      </c>
      <c r="D143" s="16">
        <v>1964.0</v>
      </c>
      <c r="E143" s="16"/>
      <c r="F143" s="16" t="b">
        <v>0</v>
      </c>
      <c r="G143" s="16" t="b">
        <v>0</v>
      </c>
      <c r="H143" s="16" t="b">
        <v>1</v>
      </c>
      <c r="I143" s="16" t="b">
        <v>0</v>
      </c>
      <c r="J143" s="9" t="b">
        <v>0</v>
      </c>
      <c r="K143" s="16">
        <v>200.0</v>
      </c>
      <c r="L143" s="16">
        <v>0.0</v>
      </c>
      <c r="M143" s="16">
        <v>110.0</v>
      </c>
      <c r="N143" s="16">
        <v>35.585</v>
      </c>
      <c r="O143" s="16">
        <v>311.0</v>
      </c>
      <c r="P143" s="16">
        <v>0.72</v>
      </c>
      <c r="Q143" s="16">
        <v>0.997718</v>
      </c>
      <c r="R143" s="16">
        <v>0.995679</v>
      </c>
      <c r="S143" s="19">
        <f t="shared" si="2"/>
        <v>200</v>
      </c>
      <c r="T143" s="19">
        <f t="shared" si="3"/>
        <v>32.98781939</v>
      </c>
      <c r="U143" s="20">
        <f t="shared" si="4"/>
        <v>2.934275133</v>
      </c>
      <c r="V143" s="17">
        <f t="shared" si="36"/>
        <v>104.4161806</v>
      </c>
      <c r="W143" s="21">
        <f t="shared" si="5"/>
        <v>1.75</v>
      </c>
      <c r="X143" s="21">
        <f t="shared" si="6"/>
        <v>287.1444966</v>
      </c>
      <c r="Y143" s="21">
        <f t="shared" si="7"/>
        <v>8.069256615</v>
      </c>
      <c r="Z143" s="8">
        <f t="shared" si="19"/>
        <v>105.8160738</v>
      </c>
      <c r="AA143" s="8">
        <f t="shared" si="31"/>
        <v>73</v>
      </c>
      <c r="AB143" s="13">
        <f t="shared" si="9"/>
        <v>0.365</v>
      </c>
      <c r="AC143" s="13">
        <f t="shared" si="10"/>
        <v>0.6898762863</v>
      </c>
      <c r="AD143" s="13">
        <f>AA143/vlookup(A143,Max!$A$2:$AP$700,column(Max!$AP$2),false)</f>
        <v>1.089552239</v>
      </c>
      <c r="AE143" s="8">
        <f t="shared" si="11"/>
        <v>80.76346196</v>
      </c>
      <c r="AF143" s="14">
        <f t="shared" si="12"/>
        <v>1.066630493</v>
      </c>
      <c r="AG143" s="14">
        <f t="shared" si="13"/>
        <v>0.8438433181</v>
      </c>
      <c r="AH143" s="14">
        <f t="shared" si="14"/>
        <v>1</v>
      </c>
      <c r="AI143" s="14">
        <f t="shared" si="15"/>
        <v>1.0086254</v>
      </c>
      <c r="AJ143" s="15">
        <f t="shared" si="16"/>
        <v>0</v>
      </c>
      <c r="AK143" s="15" t="str">
        <f t="shared" si="17"/>
        <v>  @CONFIG[AJ10-138] {
   %cost = 73
   @cost -= #$../../cost$
  }</v>
      </c>
    </row>
    <row r="144" ht="15.75" customHeight="1">
      <c r="A144" s="16" t="s">
        <v>1016</v>
      </c>
      <c r="B144" s="16" t="s">
        <v>158</v>
      </c>
      <c r="C144" s="8">
        <f t="shared" si="1"/>
        <v>15</v>
      </c>
      <c r="D144" s="16">
        <v>1964.0</v>
      </c>
      <c r="E144" s="16"/>
      <c r="F144" s="16" t="b">
        <v>1</v>
      </c>
      <c r="G144" s="16" t="b">
        <v>0</v>
      </c>
      <c r="H144" s="16" t="b">
        <v>0</v>
      </c>
      <c r="I144" s="16" t="b">
        <v>0</v>
      </c>
      <c r="J144" s="9" t="b">
        <v>0</v>
      </c>
      <c r="K144" s="16">
        <v>250.0</v>
      </c>
      <c r="L144" s="16">
        <v>5.0</v>
      </c>
      <c r="M144" s="16">
        <v>911.0</v>
      </c>
      <c r="N144" s="16">
        <v>950.19</v>
      </c>
      <c r="O144" s="16">
        <v>295.0</v>
      </c>
      <c r="P144" s="16">
        <v>4.52</v>
      </c>
      <c r="Q144" s="16">
        <v>0.996939</v>
      </c>
      <c r="R144" s="16">
        <v>0.996939</v>
      </c>
      <c r="S144" s="19">
        <f t="shared" si="2"/>
        <v>255</v>
      </c>
      <c r="T144" s="19">
        <f t="shared" si="3"/>
        <v>106.3583036</v>
      </c>
      <c r="U144" s="20">
        <f t="shared" si="4"/>
        <v>0.4413283861</v>
      </c>
      <c r="V144" s="17">
        <f t="shared" si="36"/>
        <v>419.3458191</v>
      </c>
      <c r="W144" s="21">
        <f t="shared" si="5"/>
        <v>4</v>
      </c>
      <c r="X144" s="21">
        <f t="shared" si="6"/>
        <v>2096.729096</v>
      </c>
      <c r="Y144" s="21">
        <f t="shared" si="7"/>
        <v>2.20664193</v>
      </c>
      <c r="Z144" s="8">
        <f t="shared" si="19"/>
        <v>425.1694296</v>
      </c>
      <c r="AA144" s="8">
        <f t="shared" si="31"/>
        <v>407</v>
      </c>
      <c r="AB144" s="13">
        <f t="shared" si="9"/>
        <v>1.596078431</v>
      </c>
      <c r="AC144" s="13">
        <f t="shared" si="10"/>
        <v>0.9572654375</v>
      </c>
      <c r="AD144" s="13">
        <f>AA144/vlookup(A144,Max!$A$2:$AP$700,column(Max!$AP$2),false)</f>
        <v>0.7679245283</v>
      </c>
      <c r="AE144" s="8">
        <f t="shared" si="11"/>
        <v>293.3113531</v>
      </c>
      <c r="AF144" s="14">
        <f t="shared" si="12"/>
        <v>0.985688335</v>
      </c>
      <c r="AG144" s="14">
        <f t="shared" si="13"/>
        <v>1.383643485</v>
      </c>
      <c r="AH144" s="14">
        <f t="shared" si="14"/>
        <v>1</v>
      </c>
      <c r="AI144" s="14">
        <f t="shared" si="15"/>
        <v>1.017614949</v>
      </c>
      <c r="AJ144" s="27">
        <f t="shared" si="16"/>
        <v>15</v>
      </c>
      <c r="AK144" s="15" t="str">
        <f t="shared" si="17"/>
        <v>  @CONFIG[H-1-188k] {
   %cost = 407
   @cost -= #$../../cost$
  }</v>
      </c>
    </row>
    <row r="145" ht="15.75" customHeight="1">
      <c r="A145" s="16" t="s">
        <v>298</v>
      </c>
      <c r="B145" s="16" t="s">
        <v>288</v>
      </c>
      <c r="C145" s="8">
        <f t="shared" si="1"/>
        <v>7</v>
      </c>
      <c r="D145" s="16">
        <v>1964.0</v>
      </c>
      <c r="E145" s="16"/>
      <c r="F145" s="16" t="b">
        <v>1</v>
      </c>
      <c r="G145" s="16" t="b">
        <v>0</v>
      </c>
      <c r="H145" s="16" t="b">
        <v>0</v>
      </c>
      <c r="I145" s="16" t="b">
        <v>0</v>
      </c>
      <c r="J145" s="9" t="b">
        <v>0</v>
      </c>
      <c r="K145" s="16">
        <v>250.0</v>
      </c>
      <c r="L145" s="16">
        <v>250.0</v>
      </c>
      <c r="M145" s="16">
        <v>713.0</v>
      </c>
      <c r="N145" s="16">
        <v>1097.2</v>
      </c>
      <c r="O145" s="16">
        <v>296.0</v>
      </c>
      <c r="P145" s="16">
        <v>5.56</v>
      </c>
      <c r="Q145" s="16">
        <v>0.994</v>
      </c>
      <c r="R145" s="16">
        <v>0.994</v>
      </c>
      <c r="S145" s="19">
        <f t="shared" si="2"/>
        <v>500</v>
      </c>
      <c r="T145" s="19">
        <f t="shared" si="3"/>
        <v>156.9190218</v>
      </c>
      <c r="U145" s="20">
        <f t="shared" si="4"/>
        <v>0.3361211241</v>
      </c>
      <c r="V145" s="17">
        <f t="shared" si="36"/>
        <v>368.7920973</v>
      </c>
      <c r="W145" s="21">
        <f t="shared" si="5"/>
        <v>4</v>
      </c>
      <c r="X145" s="21">
        <f t="shared" si="6"/>
        <v>1843.960487</v>
      </c>
      <c r="Y145" s="21">
        <f t="shared" si="7"/>
        <v>1.68060562</v>
      </c>
      <c r="Z145" s="8">
        <f t="shared" si="19"/>
        <v>371.7557106</v>
      </c>
      <c r="AA145" s="8">
        <f t="shared" si="31"/>
        <v>371</v>
      </c>
      <c r="AB145" s="13">
        <f t="shared" si="9"/>
        <v>0.742</v>
      </c>
      <c r="AC145" s="13">
        <f t="shared" si="10"/>
        <v>0.9979671849</v>
      </c>
      <c r="AD145" s="13">
        <f>AA145/vlookup(A145,Max!$A$2:$AP$700,column(Max!$AP$2),false)</f>
        <v>0.5888888889</v>
      </c>
      <c r="AE145" s="8">
        <f t="shared" si="11"/>
        <v>252.2540783</v>
      </c>
      <c r="AF145" s="14">
        <f t="shared" si="12"/>
        <v>0.9884432084</v>
      </c>
      <c r="AG145" s="14">
        <f t="shared" si="13"/>
        <v>1.472329825</v>
      </c>
      <c r="AH145" s="14">
        <f t="shared" si="14"/>
        <v>1</v>
      </c>
      <c r="AI145" s="14">
        <f t="shared" si="15"/>
        <v>1.01013164</v>
      </c>
      <c r="AJ145" s="27">
        <f t="shared" si="16"/>
        <v>7</v>
      </c>
      <c r="AK145" s="15" t="str">
        <f t="shared" si="17"/>
        <v>  @CONFIG[LR87-AJ-7] {
   %cost = 371
   @cost -= #$../../cost$
  }</v>
      </c>
    </row>
    <row r="146" ht="15.75" customHeight="1">
      <c r="A146" s="16" t="s">
        <v>343</v>
      </c>
      <c r="B146" s="16" t="s">
        <v>339</v>
      </c>
      <c r="C146" s="8">
        <f t="shared" si="1"/>
        <v>1</v>
      </c>
      <c r="D146" s="16">
        <v>1964.0</v>
      </c>
      <c r="E146" s="16"/>
      <c r="F146" s="16" t="b">
        <v>1</v>
      </c>
      <c r="G146" s="16" t="b">
        <v>0</v>
      </c>
      <c r="H146" s="16" t="b">
        <v>1</v>
      </c>
      <c r="I146" s="16" t="b">
        <v>0</v>
      </c>
      <c r="J146" s="9" t="b">
        <v>0</v>
      </c>
      <c r="K146" s="16">
        <v>250.0</v>
      </c>
      <c r="L146" s="16">
        <v>200.0</v>
      </c>
      <c r="M146" s="16">
        <f>500*1.13</f>
        <v>565</v>
      </c>
      <c r="N146" s="16">
        <v>448.67</v>
      </c>
      <c r="O146" s="16">
        <v>315.0</v>
      </c>
      <c r="P146" s="16">
        <v>5.7</v>
      </c>
      <c r="Q146" s="16">
        <v>0.99837</v>
      </c>
      <c r="R146" s="16">
        <v>0.991848</v>
      </c>
      <c r="S146" s="19">
        <f t="shared" si="2"/>
        <v>450</v>
      </c>
      <c r="T146" s="19">
        <f t="shared" si="3"/>
        <v>80.97629592</v>
      </c>
      <c r="U146" s="20">
        <f t="shared" si="4"/>
        <v>0.73912862</v>
      </c>
      <c r="V146" s="17">
        <f t="shared" si="36"/>
        <v>331.624838</v>
      </c>
      <c r="W146" s="21">
        <f t="shared" si="5"/>
        <v>4</v>
      </c>
      <c r="X146" s="21">
        <f t="shared" si="6"/>
        <v>1658.12419</v>
      </c>
      <c r="Y146" s="21">
        <f t="shared" si="7"/>
        <v>3.6956431</v>
      </c>
      <c r="Z146" s="8">
        <f t="shared" si="19"/>
        <v>335.0177871</v>
      </c>
      <c r="AA146" s="8">
        <f t="shared" si="31"/>
        <v>326</v>
      </c>
      <c r="AB146" s="13">
        <f t="shared" si="9"/>
        <v>0.7244444444</v>
      </c>
      <c r="AC146" s="13">
        <f t="shared" si="10"/>
        <v>0.9730826617</v>
      </c>
      <c r="AD146" s="13">
        <f>AA146/vlookup(A146,Max!$A$2:$AP$700,column(Max!$AP$2),false)</f>
        <v>1.304</v>
      </c>
      <c r="AE146" s="8">
        <f t="shared" si="11"/>
        <v>218.6708316</v>
      </c>
      <c r="AF146" s="14">
        <f t="shared" si="12"/>
        <v>1.107892259</v>
      </c>
      <c r="AG146" s="14">
        <f t="shared" si="13"/>
        <v>1.344107012</v>
      </c>
      <c r="AH146" s="14">
        <f t="shared" si="14"/>
        <v>1</v>
      </c>
      <c r="AI146" s="14">
        <f t="shared" si="15"/>
        <v>1.000584162</v>
      </c>
      <c r="AJ146" s="27">
        <f t="shared" si="16"/>
        <v>1</v>
      </c>
      <c r="AK146" s="15" t="str">
        <f t="shared" si="17"/>
        <v>  @CONFIG[LR91-AJ-7] {
   %cost = 326
   @cost -= #$../../cost$
  }</v>
      </c>
    </row>
    <row r="147" ht="15.75" customHeight="1">
      <c r="A147" s="16" t="s">
        <v>402</v>
      </c>
      <c r="B147" s="16" t="s">
        <v>403</v>
      </c>
      <c r="C147" s="8">
        <f t="shared" si="1"/>
        <v>401</v>
      </c>
      <c r="D147" s="16">
        <v>1964.0</v>
      </c>
      <c r="E147" s="16"/>
      <c r="F147" s="16" t="b">
        <v>1</v>
      </c>
      <c r="G147" s="16" t="b">
        <v>0</v>
      </c>
      <c r="H147" s="16" t="b">
        <v>0</v>
      </c>
      <c r="I147" s="16" t="b">
        <v>0</v>
      </c>
      <c r="J147" s="9" t="b">
        <v>0</v>
      </c>
      <c r="K147" s="16">
        <v>350.0</v>
      </c>
      <c r="L147" s="16">
        <v>0.0</v>
      </c>
      <c r="M147" s="16">
        <v>491.55</v>
      </c>
      <c r="N147" s="16">
        <v>426.6</v>
      </c>
      <c r="O147" s="16">
        <v>328.0</v>
      </c>
      <c r="P147" s="16">
        <v>10.34</v>
      </c>
      <c r="Q147" s="16">
        <v>0.97</v>
      </c>
      <c r="R147" s="16">
        <v>0.96</v>
      </c>
      <c r="S147" s="19">
        <f t="shared" si="2"/>
        <v>350</v>
      </c>
      <c r="T147" s="19">
        <f t="shared" si="3"/>
        <v>88.49779985</v>
      </c>
      <c r="U147" s="20">
        <f t="shared" si="4"/>
        <v>0.7761753721</v>
      </c>
      <c r="V147" s="17">
        <f t="shared" si="36"/>
        <v>331.1164137</v>
      </c>
      <c r="W147" s="21">
        <f t="shared" si="5"/>
        <v>4</v>
      </c>
      <c r="X147" s="21">
        <f t="shared" si="6"/>
        <v>1655.582069</v>
      </c>
      <c r="Y147" s="21">
        <f t="shared" si="7"/>
        <v>3.88087686</v>
      </c>
      <c r="Z147" s="8">
        <f t="shared" si="19"/>
        <v>314.9579327</v>
      </c>
      <c r="AA147" s="8">
        <f t="shared" si="31"/>
        <v>401</v>
      </c>
      <c r="AB147" s="13">
        <f t="shared" si="9"/>
        <v>1.145714286</v>
      </c>
      <c r="AC147" s="13">
        <f t="shared" si="10"/>
        <v>1.273185903</v>
      </c>
      <c r="AD147" s="13">
        <f>AA147/vlookup(A147,Max!$A$2:$AP$700,column(Max!$AP$2),false)</f>
        <v>1.670833333</v>
      </c>
      <c r="AE147" s="8">
        <f t="shared" si="11"/>
        <v>200.7760691</v>
      </c>
      <c r="AF147" s="14">
        <f t="shared" si="12"/>
        <v>1.215455308</v>
      </c>
      <c r="AG147" s="14">
        <f t="shared" si="13"/>
        <v>1.773531203</v>
      </c>
      <c r="AH147" s="14">
        <f t="shared" si="14"/>
        <v>1</v>
      </c>
      <c r="AI147" s="14">
        <f t="shared" si="15"/>
        <v>0.9259554583</v>
      </c>
      <c r="AJ147" s="15">
        <f t="shared" si="16"/>
        <v>0</v>
      </c>
      <c r="AK147" s="15" t="str">
        <f t="shared" si="17"/>
        <v>  @CONFIG[NK-9] {
   %cost = 401
   @cost -= #$../../cost$
  }</v>
      </c>
    </row>
    <row r="148" ht="15.75" customHeight="1">
      <c r="A148" s="16" t="s">
        <v>407</v>
      </c>
      <c r="B148" s="16" t="s">
        <v>408</v>
      </c>
      <c r="C148" s="8">
        <f t="shared" si="1"/>
        <v>429</v>
      </c>
      <c r="D148" s="16">
        <v>1964.0</v>
      </c>
      <c r="E148" s="16"/>
      <c r="F148" s="16" t="b">
        <v>1</v>
      </c>
      <c r="G148" s="16" t="b">
        <v>0</v>
      </c>
      <c r="H148" s="16" t="b">
        <v>1</v>
      </c>
      <c r="I148" s="16" t="b">
        <v>0</v>
      </c>
      <c r="J148" s="9" t="b">
        <v>0</v>
      </c>
      <c r="K148" s="16">
        <v>500.0</v>
      </c>
      <c r="L148" s="16">
        <v>0.0</v>
      </c>
      <c r="M148" s="16">
        <v>640.0</v>
      </c>
      <c r="N148" s="16">
        <v>451.1</v>
      </c>
      <c r="O148" s="16">
        <v>345.0</v>
      </c>
      <c r="P148" s="16">
        <v>10.34</v>
      </c>
      <c r="Q148" s="16">
        <v>0.97</v>
      </c>
      <c r="R148" s="16">
        <v>0.96</v>
      </c>
      <c r="S148" s="19">
        <f t="shared" si="2"/>
        <v>500</v>
      </c>
      <c r="T148" s="19">
        <f t="shared" si="3"/>
        <v>71.87405974</v>
      </c>
      <c r="U148" s="20">
        <f t="shared" si="4"/>
        <v>0.8802073681</v>
      </c>
      <c r="V148" s="17">
        <f t="shared" si="36"/>
        <v>397.0615438</v>
      </c>
      <c r="W148" s="21">
        <f t="shared" si="5"/>
        <v>4</v>
      </c>
      <c r="X148" s="21">
        <f t="shared" si="6"/>
        <v>1985.307719</v>
      </c>
      <c r="Y148" s="21">
        <f t="shared" si="7"/>
        <v>4.401036841</v>
      </c>
      <c r="Z148" s="8">
        <f t="shared" si="19"/>
        <v>377.6849404</v>
      </c>
      <c r="AA148" s="8">
        <f t="shared" si="31"/>
        <v>429</v>
      </c>
      <c r="AB148" s="13">
        <f t="shared" si="9"/>
        <v>0.858</v>
      </c>
      <c r="AC148" s="13">
        <f t="shared" si="10"/>
        <v>1.13586737</v>
      </c>
      <c r="AD148" s="13">
        <f>AA148/vlookup(A148,Max!$A$2:$AP$700,column(Max!$AP$2),false)</f>
        <v>1.588888889</v>
      </c>
      <c r="AE148" s="8">
        <f t="shared" si="11"/>
        <v>236.0566489</v>
      </c>
      <c r="AF148" s="14">
        <f t="shared" si="12"/>
        <v>1.379129451</v>
      </c>
      <c r="AG148" s="14">
        <f t="shared" si="13"/>
        <v>1.536841662</v>
      </c>
      <c r="AH148" s="14">
        <f t="shared" si="14"/>
        <v>1</v>
      </c>
      <c r="AI148" s="14">
        <f t="shared" si="15"/>
        <v>0.8580635065</v>
      </c>
      <c r="AJ148" s="15">
        <f t="shared" si="16"/>
        <v>0</v>
      </c>
      <c r="AK148" s="15" t="str">
        <f t="shared" si="17"/>
        <v>  @CONFIG[NK-9V] {
   %cost = 429
   @cost -= #$../../cost$
  }</v>
      </c>
    </row>
    <row r="149" ht="15.75" customHeight="1">
      <c r="A149" s="7" t="s">
        <v>470</v>
      </c>
      <c r="B149" s="7" t="s">
        <v>471</v>
      </c>
      <c r="C149" s="8">
        <f t="shared" si="1"/>
        <v>362</v>
      </c>
      <c r="D149" s="7">
        <v>1964.0</v>
      </c>
      <c r="E149" s="7"/>
      <c r="F149" s="7" t="b">
        <v>1</v>
      </c>
      <c r="G149" s="7" t="b">
        <v>0</v>
      </c>
      <c r="H149" s="7" t="b">
        <v>0</v>
      </c>
      <c r="I149" s="7" t="b">
        <v>0</v>
      </c>
      <c r="J149" s="9" t="b">
        <v>0</v>
      </c>
      <c r="K149" s="7">
        <v>295.0</v>
      </c>
      <c r="L149" s="7">
        <v>0.0</v>
      </c>
      <c r="M149" s="7">
        <v>389.5</v>
      </c>
      <c r="N149" s="7">
        <v>558.9</v>
      </c>
      <c r="O149" s="7">
        <v>311.0</v>
      </c>
      <c r="P149" s="7">
        <v>14.7</v>
      </c>
      <c r="Q149" s="7">
        <v>0.985135</v>
      </c>
      <c r="R149" s="7">
        <v>0.985135</v>
      </c>
      <c r="S149" s="10">
        <f t="shared" si="2"/>
        <v>295</v>
      </c>
      <c r="T149" s="10">
        <f t="shared" si="3"/>
        <v>146.3207676</v>
      </c>
      <c r="U149" s="11">
        <f t="shared" si="4"/>
        <v>0.526599213</v>
      </c>
      <c r="V149" s="8">
        <f t="shared" si="36"/>
        <v>294.3163002</v>
      </c>
      <c r="W149" s="12">
        <f t="shared" si="5"/>
        <v>4</v>
      </c>
      <c r="X149" s="12">
        <f t="shared" si="6"/>
        <v>1471.581501</v>
      </c>
      <c r="Y149" s="12">
        <f t="shared" si="7"/>
        <v>2.632996065</v>
      </c>
      <c r="Z149" s="8">
        <f t="shared" si="19"/>
        <v>291.5176371</v>
      </c>
      <c r="AA149" s="8">
        <f t="shared" si="31"/>
        <v>362</v>
      </c>
      <c r="AB149" s="13">
        <f t="shared" si="9"/>
        <v>1.227118644</v>
      </c>
      <c r="AC149" s="13">
        <f t="shared" si="10"/>
        <v>1.241777354</v>
      </c>
      <c r="AD149" s="13">
        <f>AA149/vlookup(A149,Max!$A$2:$AP$700,column(Max!$AP$2),false)</f>
        <v>1.034285714</v>
      </c>
      <c r="AE149" s="8">
        <f t="shared" si="11"/>
        <v>174.1243773</v>
      </c>
      <c r="AF149" s="14">
        <f t="shared" si="12"/>
        <v>1.066630493</v>
      </c>
      <c r="AG149" s="14">
        <f t="shared" si="13"/>
        <v>1.970960282</v>
      </c>
      <c r="AH149" s="14">
        <f t="shared" si="14"/>
        <v>1</v>
      </c>
      <c r="AI149" s="14">
        <f t="shared" si="15"/>
        <v>0.9877598883</v>
      </c>
      <c r="AJ149" s="15">
        <f t="shared" si="16"/>
        <v>0</v>
      </c>
      <c r="AK149" s="15" t="str">
        <f t="shared" si="17"/>
        <v>  @CONFIG[RD-0203] {
   %cost = 362
   @cost -= #$../../cost$
  }</v>
      </c>
    </row>
    <row r="150" ht="15.75" customHeight="1">
      <c r="A150" s="7" t="s">
        <v>478</v>
      </c>
      <c r="B150" s="7" t="s">
        <v>479</v>
      </c>
      <c r="C150" s="8">
        <f t="shared" si="1"/>
        <v>435</v>
      </c>
      <c r="D150" s="7">
        <v>1964.0</v>
      </c>
      <c r="E150" s="7"/>
      <c r="F150" s="7" t="b">
        <v>1</v>
      </c>
      <c r="G150" s="7" t="b">
        <v>0</v>
      </c>
      <c r="H150" s="7" t="b">
        <v>1</v>
      </c>
      <c r="I150" s="7" t="b">
        <v>0</v>
      </c>
      <c r="J150" s="9" t="b">
        <v>0</v>
      </c>
      <c r="K150" s="7">
        <v>300.0</v>
      </c>
      <c r="L150" s="7">
        <v>0.0</v>
      </c>
      <c r="M150" s="7">
        <f>552+90</f>
        <v>642</v>
      </c>
      <c r="N150" s="7">
        <f>575.5+30.98</f>
        <v>606.48</v>
      </c>
      <c r="O150" s="7">
        <v>324.6</v>
      </c>
      <c r="P150" s="7">
        <v>14.71</v>
      </c>
      <c r="Q150" s="7">
        <v>0.98125</v>
      </c>
      <c r="R150" s="7">
        <v>0.98125</v>
      </c>
      <c r="S150" s="10">
        <f t="shared" si="2"/>
        <v>300</v>
      </c>
      <c r="T150" s="10">
        <f t="shared" si="3"/>
        <v>96.32982664</v>
      </c>
      <c r="U150" s="11">
        <f t="shared" si="4"/>
        <v>0.6639370885</v>
      </c>
      <c r="V150" s="8">
        <f t="shared" si="36"/>
        <v>402.6645654</v>
      </c>
      <c r="W150" s="12">
        <f t="shared" si="5"/>
        <v>4</v>
      </c>
      <c r="X150" s="12">
        <f t="shared" si="6"/>
        <v>2013.322827</v>
      </c>
      <c r="Y150" s="12">
        <f t="shared" si="7"/>
        <v>3.319685442</v>
      </c>
      <c r="Z150" s="8">
        <f t="shared" si="19"/>
        <v>395.7594973</v>
      </c>
      <c r="AA150" s="8">
        <f t="shared" si="31"/>
        <v>435</v>
      </c>
      <c r="AB150" s="13">
        <f t="shared" si="9"/>
        <v>1.45</v>
      </c>
      <c r="AC150" s="13">
        <f t="shared" si="10"/>
        <v>1.099152397</v>
      </c>
      <c r="AD150" s="13">
        <f>AA150/vlookup(A150,Max!$A$2:$AP$700,column(Max!$AP$2),false)</f>
        <v>1.45</v>
      </c>
      <c r="AE150" s="8">
        <f t="shared" si="11"/>
        <v>236.5094093</v>
      </c>
      <c r="AF150" s="14">
        <f t="shared" si="12"/>
        <v>1.185953858</v>
      </c>
      <c r="AG150" s="14">
        <f t="shared" si="13"/>
        <v>1.663699383</v>
      </c>
      <c r="AH150" s="14">
        <f t="shared" si="14"/>
        <v>1</v>
      </c>
      <c r="AI150" s="14">
        <f t="shared" si="15"/>
        <v>0.9328468777</v>
      </c>
      <c r="AJ150" s="15">
        <f t="shared" si="16"/>
        <v>0</v>
      </c>
      <c r="AK150" s="15" t="str">
        <f t="shared" si="17"/>
        <v>  @CONFIG[RD-0205] {
   %cost = 435
   @cost -= #$../../cost$
  }</v>
      </c>
    </row>
    <row r="151" ht="15.75" customHeight="1">
      <c r="A151" s="7" t="s">
        <v>483</v>
      </c>
      <c r="B151" s="7" t="s">
        <v>484</v>
      </c>
      <c r="C151" s="8">
        <f t="shared" si="1"/>
        <v>419</v>
      </c>
      <c r="D151" s="7">
        <v>1964.0</v>
      </c>
      <c r="E151" s="7"/>
      <c r="F151" s="7" t="b">
        <v>1</v>
      </c>
      <c r="G151" s="7" t="b">
        <v>0</v>
      </c>
      <c r="H151" s="7" t="b">
        <v>1</v>
      </c>
      <c r="I151" s="7" t="b">
        <v>0</v>
      </c>
      <c r="J151" s="9" t="b">
        <v>0</v>
      </c>
      <c r="K151" s="7">
        <v>260.0</v>
      </c>
      <c r="L151" s="7">
        <v>0.0</v>
      </c>
      <c r="M151" s="7">
        <v>552.0</v>
      </c>
      <c r="N151" s="7">
        <v>575.5</v>
      </c>
      <c r="O151" s="7">
        <v>326.0</v>
      </c>
      <c r="P151" s="7">
        <v>14.71</v>
      </c>
      <c r="Q151" s="7">
        <v>0.99</v>
      </c>
      <c r="R151" s="7">
        <v>0.99</v>
      </c>
      <c r="S151" s="10">
        <f t="shared" si="2"/>
        <v>260</v>
      </c>
      <c r="T151" s="10">
        <f t="shared" si="3"/>
        <v>106.3128041</v>
      </c>
      <c r="U151" s="11">
        <f t="shared" si="4"/>
        <v>0.6413370285</v>
      </c>
      <c r="V151" s="8">
        <f t="shared" si="36"/>
        <v>369.0894599</v>
      </c>
      <c r="W151" s="12">
        <f t="shared" si="5"/>
        <v>4</v>
      </c>
      <c r="X151" s="12">
        <f t="shared" si="6"/>
        <v>1845.4473</v>
      </c>
      <c r="Y151" s="12">
        <f t="shared" si="7"/>
        <v>3.206685143</v>
      </c>
      <c r="Z151" s="8">
        <f t="shared" si="19"/>
        <v>369.1263689</v>
      </c>
      <c r="AA151" s="8">
        <f t="shared" si="31"/>
        <v>419</v>
      </c>
      <c r="AB151" s="13">
        <f t="shared" si="9"/>
        <v>1.611538462</v>
      </c>
      <c r="AC151" s="13">
        <f t="shared" si="10"/>
        <v>1.135112621</v>
      </c>
      <c r="AD151" s="13">
        <f>AA151/vlookup(A151,Max!$A$2:$AP$700,column(Max!$AP$2),false)</f>
        <v>1.232352941</v>
      </c>
      <c r="AE151" s="8">
        <f t="shared" si="11"/>
        <v>215.5707786</v>
      </c>
      <c r="AF151" s="14">
        <f t="shared" si="12"/>
        <v>1.197979511</v>
      </c>
      <c r="AG151" s="14">
        <f t="shared" si="13"/>
        <v>1.663699383</v>
      </c>
      <c r="AH151" s="14">
        <f t="shared" si="14"/>
        <v>1</v>
      </c>
      <c r="AI151" s="14">
        <f t="shared" si="15"/>
        <v>0.9751871871</v>
      </c>
      <c r="AJ151" s="15">
        <f t="shared" si="16"/>
        <v>0</v>
      </c>
      <c r="AK151" s="15" t="str">
        <f t="shared" si="17"/>
        <v>  @CONFIG[RD-0206] {
   %cost = 419
   @cost -= #$../../cost$
  }</v>
      </c>
    </row>
    <row r="152" ht="15.75" customHeight="1">
      <c r="A152" s="7" t="s">
        <v>488</v>
      </c>
      <c r="B152" s="7" t="s">
        <v>489</v>
      </c>
      <c r="C152" s="8">
        <f t="shared" si="1"/>
        <v>91</v>
      </c>
      <c r="D152" s="7">
        <v>1964.0</v>
      </c>
      <c r="E152" s="7"/>
      <c r="F152" s="7" t="b">
        <v>1</v>
      </c>
      <c r="G152" s="7" t="b">
        <v>0</v>
      </c>
      <c r="H152" s="7" t="b">
        <v>1</v>
      </c>
      <c r="I152" s="7" t="b">
        <v>0</v>
      </c>
      <c r="J152" s="9" t="b">
        <v>0</v>
      </c>
      <c r="K152" s="7">
        <v>10.0</v>
      </c>
      <c r="L152" s="7">
        <v>0.0</v>
      </c>
      <c r="M152" s="7">
        <v>90.0</v>
      </c>
      <c r="N152" s="7">
        <v>30.98</v>
      </c>
      <c r="O152" s="7">
        <v>297.0</v>
      </c>
      <c r="P152" s="7">
        <v>5.3</v>
      </c>
      <c r="Q152" s="7">
        <v>0.99</v>
      </c>
      <c r="R152" s="7">
        <v>0.99</v>
      </c>
      <c r="S152" s="10">
        <f t="shared" si="2"/>
        <v>10</v>
      </c>
      <c r="T152" s="10">
        <f t="shared" si="3"/>
        <v>35.10089798</v>
      </c>
      <c r="U152" s="11">
        <f t="shared" si="4"/>
        <v>3.442320247</v>
      </c>
      <c r="V152" s="8">
        <f t="shared" si="36"/>
        <v>106.6430812</v>
      </c>
      <c r="W152" s="12">
        <f t="shared" si="5"/>
        <v>4</v>
      </c>
      <c r="X152" s="12">
        <f t="shared" si="6"/>
        <v>533.2154062</v>
      </c>
      <c r="Y152" s="12">
        <f t="shared" si="7"/>
        <v>17.21160123</v>
      </c>
      <c r="Z152" s="8">
        <f t="shared" si="19"/>
        <v>106.6537456</v>
      </c>
      <c r="AA152" s="8">
        <f t="shared" si="31"/>
        <v>91</v>
      </c>
      <c r="AB152" s="13">
        <f t="shared" si="9"/>
        <v>9.1</v>
      </c>
      <c r="AC152" s="13">
        <f t="shared" si="10"/>
        <v>0.8532283562</v>
      </c>
      <c r="AD152" s="13">
        <f>AA152/vlookup(A152,Max!$A$2:$AP$700,column(Max!$AP$2),false)</f>
        <v>3.956521739</v>
      </c>
      <c r="AE152" s="8">
        <f t="shared" si="11"/>
        <v>71.55884225</v>
      </c>
      <c r="AF152" s="14">
        <f t="shared" si="12"/>
        <v>0.9912508265</v>
      </c>
      <c r="AG152" s="14">
        <f t="shared" si="13"/>
        <v>1.322281966</v>
      </c>
      <c r="AH152" s="14">
        <f t="shared" si="14"/>
        <v>1</v>
      </c>
      <c r="AI152" s="14">
        <f t="shared" si="15"/>
        <v>0.9751871871</v>
      </c>
      <c r="AJ152" s="15">
        <f t="shared" si="16"/>
        <v>0</v>
      </c>
      <c r="AK152" s="15" t="str">
        <f t="shared" si="17"/>
        <v>  @CONFIG[RD-0207] {
   %cost = 91
   @cost -= #$../../cost$
  }</v>
      </c>
    </row>
    <row r="153" ht="15.75" customHeight="1">
      <c r="A153" s="16" t="s">
        <v>589</v>
      </c>
      <c r="B153" s="16" t="s">
        <v>590</v>
      </c>
      <c r="C153" s="8">
        <f t="shared" si="1"/>
        <v>542</v>
      </c>
      <c r="D153" s="16">
        <v>1964.0</v>
      </c>
      <c r="E153" s="16"/>
      <c r="F153" s="16" t="b">
        <v>1</v>
      </c>
      <c r="G153" s="16" t="b">
        <v>0</v>
      </c>
      <c r="H153" s="16" t="b">
        <v>0</v>
      </c>
      <c r="I153" s="16" t="b">
        <v>0</v>
      </c>
      <c r="J153" s="9" t="b">
        <v>0</v>
      </c>
      <c r="K153" s="16"/>
      <c r="L153" s="16">
        <v>0.0</v>
      </c>
      <c r="M153" s="16">
        <v>760.0</v>
      </c>
      <c r="N153" s="16">
        <v>1074.0</v>
      </c>
      <c r="O153" s="16">
        <v>306.0</v>
      </c>
      <c r="P153" s="16">
        <v>14.7</v>
      </c>
      <c r="Q153" s="16">
        <v>0.997966</v>
      </c>
      <c r="R153" s="16">
        <v>0.997966</v>
      </c>
      <c r="S153" s="19">
        <f t="shared" si="2"/>
        <v>0</v>
      </c>
      <c r="T153" s="19">
        <f t="shared" si="3"/>
        <v>144.1020013</v>
      </c>
      <c r="U153" s="20">
        <f t="shared" si="4"/>
        <v>0.4029439479</v>
      </c>
      <c r="V153" s="17">
        <f t="shared" si="36"/>
        <v>432.7618</v>
      </c>
      <c r="W153" s="21">
        <f t="shared" si="5"/>
        <v>4</v>
      </c>
      <c r="X153" s="21">
        <f t="shared" si="6"/>
        <v>2163.809</v>
      </c>
      <c r="Y153" s="21">
        <f t="shared" si="7"/>
        <v>2.014719739</v>
      </c>
      <c r="Z153" s="8">
        <f t="shared" si="19"/>
        <v>439.6583514</v>
      </c>
      <c r="AA153" s="8">
        <f t="shared" si="31"/>
        <v>542</v>
      </c>
      <c r="AB153" s="13" t="str">
        <f t="shared" si="9"/>
        <v>#N/A</v>
      </c>
      <c r="AC153" s="13">
        <f t="shared" si="10"/>
        <v>1.2327754</v>
      </c>
      <c r="AD153" s="13">
        <f>AA153/vlookup(A153,Max!$A$2:$AP$700,column(Max!$AP$2),false)</f>
        <v>0.8603174603</v>
      </c>
      <c r="AE153" s="8">
        <f t="shared" si="11"/>
        <v>262.3523461</v>
      </c>
      <c r="AF153" s="14">
        <f t="shared" si="12"/>
        <v>1.02792664</v>
      </c>
      <c r="AG153" s="14">
        <f t="shared" si="13"/>
        <v>1.970960282</v>
      </c>
      <c r="AH153" s="14">
        <f t="shared" si="14"/>
        <v>1</v>
      </c>
      <c r="AI153" s="14">
        <f t="shared" si="15"/>
        <v>1.020237722</v>
      </c>
      <c r="AJ153" s="15">
        <f t="shared" si="16"/>
        <v>0</v>
      </c>
      <c r="AK153" s="15" t="str">
        <f t="shared" si="17"/>
        <v>  @CONFIG[RD-220] {
   %cost = 542
   @cost -= #$../../cost$
  }</v>
      </c>
    </row>
    <row r="154" ht="15.75" customHeight="1">
      <c r="A154" s="16" t="s">
        <v>592</v>
      </c>
      <c r="B154" s="16" t="s">
        <v>593</v>
      </c>
      <c r="C154" s="8">
        <f t="shared" si="1"/>
        <v>738</v>
      </c>
      <c r="D154" s="16">
        <v>1964.0</v>
      </c>
      <c r="E154" s="16"/>
      <c r="F154" s="16" t="b">
        <v>1</v>
      </c>
      <c r="G154" s="16" t="b">
        <v>0</v>
      </c>
      <c r="H154" s="16" t="b">
        <v>0</v>
      </c>
      <c r="I154" s="16" t="b">
        <v>0</v>
      </c>
      <c r="J154" s="9" t="b">
        <v>0</v>
      </c>
      <c r="K154" s="16"/>
      <c r="L154" s="16">
        <v>0.0</v>
      </c>
      <c r="M154" s="16">
        <v>1070.0</v>
      </c>
      <c r="N154" s="16">
        <v>1117.9</v>
      </c>
      <c r="O154" s="16">
        <v>318.0</v>
      </c>
      <c r="P154" s="16">
        <v>14.7</v>
      </c>
      <c r="Q154" s="16">
        <v>0.998397</v>
      </c>
      <c r="R154" s="16">
        <v>0.998397</v>
      </c>
      <c r="S154" s="19">
        <f t="shared" si="2"/>
        <v>0</v>
      </c>
      <c r="T154" s="19">
        <f t="shared" si="3"/>
        <v>106.5365188</v>
      </c>
      <c r="U154" s="20">
        <f t="shared" si="4"/>
        <v>0.4825333535</v>
      </c>
      <c r="V154" s="17">
        <f t="shared" si="36"/>
        <v>539.4240359</v>
      </c>
      <c r="W154" s="21">
        <f t="shared" si="5"/>
        <v>4</v>
      </c>
      <c r="X154" s="21">
        <f t="shared" si="6"/>
        <v>2697.120179</v>
      </c>
      <c r="Y154" s="21">
        <f t="shared" si="7"/>
        <v>2.412666767</v>
      </c>
      <c r="Z154" s="8">
        <f t="shared" si="19"/>
        <v>548.4845092</v>
      </c>
      <c r="AA154" s="8">
        <f t="shared" si="31"/>
        <v>738</v>
      </c>
      <c r="AB154" s="13" t="str">
        <f t="shared" si="9"/>
        <v>#N/A</v>
      </c>
      <c r="AC154" s="13">
        <f t="shared" si="10"/>
        <v>1.345525694</v>
      </c>
      <c r="AD154" s="13">
        <f>AA154/vlookup(A154,Max!$A$2:$AP$700,column(Max!$AP$2),false)</f>
        <v>1.010958904</v>
      </c>
      <c r="AE154" s="8">
        <f t="shared" si="11"/>
        <v>323.8870786</v>
      </c>
      <c r="AF154" s="14">
        <f t="shared" si="12"/>
        <v>1.131484045</v>
      </c>
      <c r="AG154" s="14">
        <f t="shared" si="13"/>
        <v>1.970960282</v>
      </c>
      <c r="AH154" s="14">
        <f t="shared" si="14"/>
        <v>1</v>
      </c>
      <c r="AI154" s="14">
        <f t="shared" si="15"/>
        <v>1.021339626</v>
      </c>
      <c r="AJ154" s="15">
        <f t="shared" si="16"/>
        <v>0</v>
      </c>
      <c r="AK154" s="15" t="str">
        <f t="shared" si="17"/>
        <v>  @CONFIG[RD-221] {
   %cost = 738
   @cost -= #$../../cost$
  }</v>
      </c>
    </row>
    <row r="155" ht="15.75" customHeight="1">
      <c r="A155" s="16" t="s">
        <v>648</v>
      </c>
      <c r="B155" s="16" t="s">
        <v>647</v>
      </c>
      <c r="C155" s="8">
        <f t="shared" si="1"/>
        <v>22</v>
      </c>
      <c r="D155" s="16">
        <v>1964.0</v>
      </c>
      <c r="E155" s="16"/>
      <c r="F155" s="16" t="b">
        <v>1</v>
      </c>
      <c r="G155" s="16" t="b">
        <v>0</v>
      </c>
      <c r="H155" s="16" t="b">
        <v>1</v>
      </c>
      <c r="I155" s="16" t="b">
        <v>0</v>
      </c>
      <c r="J155" s="9" t="b">
        <v>0</v>
      </c>
      <c r="K155" s="16">
        <v>90.0</v>
      </c>
      <c r="L155" s="16">
        <v>0.0</v>
      </c>
      <c r="M155" s="16">
        <v>120.0</v>
      </c>
      <c r="N155" s="16">
        <v>82.0</v>
      </c>
      <c r="O155" s="16">
        <v>292.0</v>
      </c>
      <c r="P155" s="16">
        <v>6.57</v>
      </c>
      <c r="Q155" s="16">
        <v>0.999046</v>
      </c>
      <c r="R155" s="16">
        <v>0.999046</v>
      </c>
      <c r="S155" s="19">
        <f t="shared" si="2"/>
        <v>90</v>
      </c>
      <c r="T155" s="19">
        <f t="shared" si="3"/>
        <v>69.68060768</v>
      </c>
      <c r="U155" s="20">
        <f t="shared" si="4"/>
        <v>1.570331454</v>
      </c>
      <c r="V155" s="17">
        <f t="shared" si="36"/>
        <v>128.7671793</v>
      </c>
      <c r="W155" s="21">
        <f t="shared" si="5"/>
        <v>4</v>
      </c>
      <c r="X155" s="21">
        <f t="shared" si="6"/>
        <v>643.8358963</v>
      </c>
      <c r="Y155" s="21">
        <f t="shared" si="7"/>
        <v>7.851657272</v>
      </c>
      <c r="Z155" s="8">
        <f t="shared" si="19"/>
        <v>131.0969523</v>
      </c>
      <c r="AA155" s="8">
        <f t="shared" si="31"/>
        <v>118</v>
      </c>
      <c r="AB155" s="13">
        <f t="shared" si="9"/>
        <v>1.311111111</v>
      </c>
      <c r="AC155" s="13">
        <f t="shared" si="10"/>
        <v>0.9000972026</v>
      </c>
      <c r="AD155" s="13">
        <f>AA155/vlookup(A155,Max!$A$2:$AP$700,column(Max!$AP$2),false)</f>
        <v>1.735294118</v>
      </c>
      <c r="AE155" s="8">
        <f t="shared" si="11"/>
        <v>85.12105437</v>
      </c>
      <c r="AF155" s="14">
        <f t="shared" si="12"/>
        <v>0.9777307799</v>
      </c>
      <c r="AG155" s="14">
        <f t="shared" si="13"/>
        <v>1.38775951</v>
      </c>
      <c r="AH155" s="14">
        <f t="shared" si="14"/>
        <v>1</v>
      </c>
      <c r="AI155" s="14">
        <f t="shared" si="15"/>
        <v>1.020562109</v>
      </c>
      <c r="AJ155" s="27">
        <f t="shared" si="16"/>
        <v>22</v>
      </c>
      <c r="AK155" s="15" t="str">
        <f t="shared" si="17"/>
        <v>  @CONFIG[RD-855] {
   %cost = 118
   @cost -= #$../../cost$
  }</v>
      </c>
    </row>
    <row r="156" ht="15.75" customHeight="1">
      <c r="A156" s="16" t="s">
        <v>651</v>
      </c>
      <c r="B156" s="16" t="s">
        <v>650</v>
      </c>
      <c r="C156" s="8">
        <f t="shared" si="1"/>
        <v>-2</v>
      </c>
      <c r="D156" s="16">
        <v>1964.0</v>
      </c>
      <c r="E156" s="16"/>
      <c r="F156" s="16" t="b">
        <v>1</v>
      </c>
      <c r="G156" s="16" t="b">
        <v>0</v>
      </c>
      <c r="H156" s="16" t="b">
        <v>1</v>
      </c>
      <c r="I156" s="16" t="b">
        <v>0</v>
      </c>
      <c r="J156" s="9" t="b">
        <v>0</v>
      </c>
      <c r="K156" s="16">
        <v>60.0</v>
      </c>
      <c r="L156" s="16">
        <v>0.0</v>
      </c>
      <c r="M156" s="16">
        <v>28.0</v>
      </c>
      <c r="N156" s="16">
        <v>13.48</v>
      </c>
      <c r="O156" s="16">
        <v>280.5</v>
      </c>
      <c r="P156" s="16">
        <v>7.16</v>
      </c>
      <c r="Q156" s="16">
        <v>0.998913</v>
      </c>
      <c r="R156" s="16">
        <v>0.994565</v>
      </c>
      <c r="S156" s="19">
        <f t="shared" si="2"/>
        <v>60</v>
      </c>
      <c r="T156" s="19">
        <f t="shared" si="3"/>
        <v>49.09205182</v>
      </c>
      <c r="U156" s="20">
        <f t="shared" si="4"/>
        <v>4.059659983</v>
      </c>
      <c r="V156" s="17">
        <f t="shared" si="36"/>
        <v>54.72421658</v>
      </c>
      <c r="W156" s="21">
        <f t="shared" si="5"/>
        <v>4</v>
      </c>
      <c r="X156" s="21">
        <f t="shared" si="6"/>
        <v>273.6210829</v>
      </c>
      <c r="Y156" s="21">
        <f t="shared" si="7"/>
        <v>20.29829992</v>
      </c>
      <c r="Z156" s="8">
        <f t="shared" si="19"/>
        <v>55.46211287</v>
      </c>
      <c r="AA156" s="8">
        <f t="shared" si="31"/>
        <v>48</v>
      </c>
      <c r="AB156" s="13">
        <f t="shared" si="9"/>
        <v>0.8</v>
      </c>
      <c r="AC156" s="13">
        <f t="shared" si="10"/>
        <v>0.865455669</v>
      </c>
      <c r="AD156" s="13">
        <f>AA156/vlookup(A156,Max!$A$2:$AP$700,column(Max!$AP$2),false)</f>
        <v>2.181818182</v>
      </c>
      <c r="AE156" s="8">
        <f t="shared" si="11"/>
        <v>35.58483882</v>
      </c>
      <c r="AF156" s="14">
        <f t="shared" si="12"/>
        <v>0.9511248763</v>
      </c>
      <c r="AG156" s="14">
        <f t="shared" si="13"/>
        <v>1.414872919</v>
      </c>
      <c r="AH156" s="14">
        <f t="shared" si="14"/>
        <v>1</v>
      </c>
      <c r="AI156" s="14">
        <f t="shared" si="15"/>
        <v>1.008820981</v>
      </c>
      <c r="AJ156" s="27">
        <f t="shared" si="16"/>
        <v>-2</v>
      </c>
      <c r="AK156" s="15" t="str">
        <f t="shared" si="17"/>
        <v>  @CONFIG[RD-856] {
   %cost = 48
   @cost -= #$../../cost$
  }</v>
      </c>
    </row>
    <row r="157" ht="15.75" customHeight="1">
      <c r="A157" s="7" t="s">
        <v>736</v>
      </c>
      <c r="B157" s="7" t="s">
        <v>737</v>
      </c>
      <c r="C157" s="8">
        <f t="shared" si="1"/>
        <v>198</v>
      </c>
      <c r="D157" s="7">
        <v>1964.0</v>
      </c>
      <c r="E157" s="7"/>
      <c r="F157" s="7" t="b">
        <v>1</v>
      </c>
      <c r="G157" s="7" t="b">
        <v>0</v>
      </c>
      <c r="H157" s="7" t="b">
        <v>0</v>
      </c>
      <c r="I157" s="7" t="b">
        <v>0</v>
      </c>
      <c r="J157" s="9" t="b">
        <v>0</v>
      </c>
      <c r="K157" s="7">
        <v>175.0</v>
      </c>
      <c r="L157" s="7">
        <v>0.0</v>
      </c>
      <c r="M157" s="7">
        <v>185.0</v>
      </c>
      <c r="N157" s="7">
        <v>147.6</v>
      </c>
      <c r="O157" s="7">
        <v>303.0</v>
      </c>
      <c r="P157" s="7">
        <v>9.61</v>
      </c>
      <c r="Q157" s="7">
        <v>0.999167</v>
      </c>
      <c r="R157" s="7">
        <v>0.997456</v>
      </c>
      <c r="S157" s="10">
        <f t="shared" si="2"/>
        <v>175</v>
      </c>
      <c r="T157" s="10">
        <f t="shared" si="3"/>
        <v>81.35681762</v>
      </c>
      <c r="U157" s="11">
        <f t="shared" si="4"/>
        <v>1.202520504</v>
      </c>
      <c r="V157" s="8">
        <f t="shared" si="36"/>
        <v>177.4920264</v>
      </c>
      <c r="W157" s="12">
        <f t="shared" si="5"/>
        <v>4</v>
      </c>
      <c r="X157" s="12">
        <f t="shared" si="6"/>
        <v>887.460132</v>
      </c>
      <c r="Y157" s="12">
        <f t="shared" si="7"/>
        <v>6.012602521</v>
      </c>
      <c r="Z157" s="8">
        <f t="shared" si="19"/>
        <v>180.4428525</v>
      </c>
      <c r="AA157" s="8">
        <f t="shared" si="31"/>
        <v>198</v>
      </c>
      <c r="AB157" s="13">
        <f t="shared" si="9"/>
        <v>1.131428571</v>
      </c>
      <c r="AC157" s="13">
        <f t="shared" si="10"/>
        <v>1.097300321</v>
      </c>
      <c r="AD157" s="13">
        <f>AA157/vlookup(A157,Max!$A$2:$AP$700,column(Max!$AP$2),false)</f>
        <v>1.466666667</v>
      </c>
      <c r="AE157" s="8">
        <f t="shared" si="11"/>
        <v>110.6328566</v>
      </c>
      <c r="AF157" s="14">
        <f t="shared" si="12"/>
        <v>1.011468879</v>
      </c>
      <c r="AG157" s="14">
        <f t="shared" si="13"/>
        <v>1.735000836</v>
      </c>
      <c r="AH157" s="14">
        <f t="shared" si="14"/>
        <v>1</v>
      </c>
      <c r="AI157" s="14">
        <f t="shared" si="15"/>
        <v>1.018934767</v>
      </c>
      <c r="AJ157" s="15">
        <f t="shared" si="16"/>
        <v>0</v>
      </c>
      <c r="AK157" s="15" t="str">
        <f t="shared" si="17"/>
        <v>  @CONFIG[S5.23] {
   %cost = 198
   @cost -= #$../../cost$
  }</v>
      </c>
    </row>
    <row r="158" ht="15.75" customHeight="1">
      <c r="A158" s="16" t="s">
        <v>796</v>
      </c>
      <c r="B158" s="16" t="s">
        <v>797</v>
      </c>
      <c r="C158" s="8">
        <f t="shared" si="1"/>
        <v>100</v>
      </c>
      <c r="D158" s="16">
        <v>1964.0</v>
      </c>
      <c r="E158" s="16"/>
      <c r="F158" s="16" t="b">
        <v>0</v>
      </c>
      <c r="G158" s="16" t="b">
        <v>0</v>
      </c>
      <c r="H158" s="16" t="b">
        <v>0</v>
      </c>
      <c r="I158" s="16" t="b">
        <v>0</v>
      </c>
      <c r="J158" s="9" t="b">
        <v>0</v>
      </c>
      <c r="K158" s="16">
        <v>500.0</v>
      </c>
      <c r="L158" s="16">
        <v>0.0</v>
      </c>
      <c r="M158" s="16">
        <v>200.0</v>
      </c>
      <c r="N158" s="16">
        <v>153.7</v>
      </c>
      <c r="O158" s="16">
        <v>208.0</v>
      </c>
      <c r="P158" s="16">
        <v>1.76</v>
      </c>
      <c r="Q158" s="16">
        <v>0.9</v>
      </c>
      <c r="R158" s="16">
        <v>0.966667</v>
      </c>
      <c r="S158" s="19">
        <f t="shared" si="2"/>
        <v>500</v>
      </c>
      <c r="T158" s="19">
        <f t="shared" si="3"/>
        <v>78.36519074</v>
      </c>
      <c r="U158" s="20">
        <f t="shared" si="4"/>
        <v>0.8375386251</v>
      </c>
      <c r="V158" s="17">
        <f t="shared" si="36"/>
        <v>128.7296867</v>
      </c>
      <c r="W158" s="21">
        <f t="shared" si="5"/>
        <v>1.75</v>
      </c>
      <c r="X158" s="21">
        <f t="shared" si="6"/>
        <v>354.0066384</v>
      </c>
      <c r="Y158" s="21">
        <f t="shared" si="7"/>
        <v>2.303231219</v>
      </c>
      <c r="Z158" s="8">
        <f t="shared" si="19"/>
        <v>114.5694598</v>
      </c>
      <c r="AA158" s="8">
        <f t="shared" si="31"/>
        <v>100</v>
      </c>
      <c r="AB158" s="13">
        <f t="shared" si="9"/>
        <v>0.2</v>
      </c>
      <c r="AC158" s="13">
        <f t="shared" si="10"/>
        <v>0.872832954</v>
      </c>
      <c r="AD158" s="13">
        <f>AA158/vlookup(A158,Max!$A$2:$AP$700,column(Max!$AP$2),false)</f>
        <v>4.166666667</v>
      </c>
      <c r="AE158" s="8">
        <f t="shared" si="11"/>
        <v>115.9959436</v>
      </c>
      <c r="AF158" s="14">
        <f t="shared" si="12"/>
        <v>0.8768869312</v>
      </c>
      <c r="AG158" s="14">
        <f t="shared" si="13"/>
        <v>1.042645018</v>
      </c>
      <c r="AH158" s="14">
        <f t="shared" si="14"/>
        <v>1</v>
      </c>
      <c r="AI158" s="14">
        <f t="shared" si="15"/>
        <v>0.9421157101</v>
      </c>
      <c r="AJ158" s="15">
        <f t="shared" si="16"/>
        <v>0</v>
      </c>
      <c r="AK158" s="15" t="str">
        <f t="shared" si="17"/>
        <v>  @CONFIG[Vesta] {
   %cost = 100
   @cost -= #$../../cost$
  }</v>
      </c>
    </row>
    <row r="159" ht="15.75" customHeight="1">
      <c r="A159" s="7" t="s">
        <v>1017</v>
      </c>
      <c r="B159" s="7" t="s">
        <v>828</v>
      </c>
      <c r="C159" s="8">
        <f t="shared" si="1"/>
        <v>-4</v>
      </c>
      <c r="D159" s="7">
        <v>1964.0</v>
      </c>
      <c r="E159" s="7"/>
      <c r="F159" s="7" t="b">
        <v>0</v>
      </c>
      <c r="G159" s="7" t="b">
        <v>0</v>
      </c>
      <c r="H159" s="7" t="b">
        <v>1</v>
      </c>
      <c r="I159" s="7" t="b">
        <v>1</v>
      </c>
      <c r="J159" s="9" t="b">
        <v>0</v>
      </c>
      <c r="K159" s="7">
        <v>300.0</v>
      </c>
      <c r="L159" s="7">
        <v>200.0</v>
      </c>
      <c r="M159" s="7">
        <v>212.0</v>
      </c>
      <c r="N159" s="7">
        <v>47.08</v>
      </c>
      <c r="O159" s="7">
        <v>230.0</v>
      </c>
      <c r="P159" s="7">
        <v>1.52</v>
      </c>
      <c r="Q159" s="7">
        <v>0.99</v>
      </c>
      <c r="R159" s="7">
        <v>0.998</v>
      </c>
      <c r="S159" s="10">
        <f t="shared" si="2"/>
        <v>500</v>
      </c>
      <c r="T159" s="10">
        <f t="shared" si="3"/>
        <v>22.64539583</v>
      </c>
      <c r="U159" s="11">
        <f t="shared" si="4"/>
        <v>5.352591334</v>
      </c>
      <c r="V159" s="8">
        <v>252.0</v>
      </c>
      <c r="W159" s="12">
        <f t="shared" si="5"/>
        <v>1.75</v>
      </c>
      <c r="X159" s="12">
        <f t="shared" si="6"/>
        <v>693</v>
      </c>
      <c r="Y159" s="12">
        <f t="shared" si="7"/>
        <v>14.71962617</v>
      </c>
      <c r="Z159" s="8">
        <f t="shared" si="19"/>
        <v>381.03156</v>
      </c>
      <c r="AA159" s="8">
        <f t="shared" si="31"/>
        <v>159</v>
      </c>
      <c r="AB159" s="13">
        <f t="shared" si="9"/>
        <v>0.318</v>
      </c>
      <c r="AC159" s="13">
        <f t="shared" si="10"/>
        <v>0.4172882687</v>
      </c>
      <c r="AD159" s="13">
        <f>AA159/vlookup(A159,Max!$A$2:$AP$700,column(Max!$AP$2),false)</f>
        <v>1.747252747</v>
      </c>
      <c r="AE159" s="8">
        <f t="shared" si="11"/>
        <v>120.17636</v>
      </c>
      <c r="AF159" s="14">
        <f t="shared" si="12"/>
        <v>0.8868200397</v>
      </c>
      <c r="AG159" s="14">
        <f t="shared" si="13"/>
        <v>0.9983361824</v>
      </c>
      <c r="AH159" s="14">
        <f t="shared" si="14"/>
        <v>1.5</v>
      </c>
      <c r="AI159" s="14">
        <f t="shared" si="15"/>
        <v>0.9950074975</v>
      </c>
      <c r="AJ159" s="27">
        <f t="shared" si="16"/>
        <v>-4</v>
      </c>
      <c r="AK159" s="15" t="str">
        <f t="shared" si="17"/>
        <v>  @CONFIG[XLR11-RM-13-10k] {
   %cost = 159
   @cost -= #$../../cost$
  }</v>
      </c>
    </row>
    <row r="160" ht="15.75" customHeight="1">
      <c r="A160" s="7" t="s">
        <v>91</v>
      </c>
      <c r="B160" s="7" t="s">
        <v>90</v>
      </c>
      <c r="C160" s="8">
        <f t="shared" si="1"/>
        <v>4</v>
      </c>
      <c r="D160" s="7">
        <v>1965.0</v>
      </c>
      <c r="E160" s="7"/>
      <c r="F160" s="7" t="b">
        <v>0</v>
      </c>
      <c r="G160" s="7" t="b">
        <v>0</v>
      </c>
      <c r="H160" s="7" t="b">
        <v>1</v>
      </c>
      <c r="I160" s="7" t="b">
        <v>0</v>
      </c>
      <c r="J160" s="9" t="b">
        <v>0</v>
      </c>
      <c r="K160" s="7">
        <v>150.0</v>
      </c>
      <c r="L160" s="7">
        <v>-25.0</v>
      </c>
      <c r="M160" s="7">
        <v>90.0</v>
      </c>
      <c r="N160" s="7">
        <v>35.2</v>
      </c>
      <c r="O160" s="7">
        <v>278.0</v>
      </c>
      <c r="P160" s="7">
        <v>1.4</v>
      </c>
      <c r="Q160" s="7">
        <v>0.997945</v>
      </c>
      <c r="R160" s="7">
        <v>0.996875</v>
      </c>
      <c r="S160" s="10">
        <f t="shared" si="2"/>
        <v>125</v>
      </c>
      <c r="T160" s="10">
        <f t="shared" si="3"/>
        <v>39.88223399</v>
      </c>
      <c r="U160" s="11">
        <f t="shared" si="4"/>
        <v>2.574311269</v>
      </c>
      <c r="V160" s="8">
        <f t="shared" ref="V160:V161" si="37">0.2*(8.17*POWER(M160*P160,0.46))+0.8*(0.146*POWER(M160*O160,0.639))</f>
        <v>90.61575665</v>
      </c>
      <c r="W160" s="12">
        <f t="shared" si="5"/>
        <v>1.75</v>
      </c>
      <c r="X160" s="12">
        <f t="shared" si="6"/>
        <v>249.1933308</v>
      </c>
      <c r="Y160" s="12">
        <f t="shared" si="7"/>
        <v>7.079355989</v>
      </c>
      <c r="Z160" s="8">
        <f t="shared" si="19"/>
        <v>91.95926409</v>
      </c>
      <c r="AA160" s="8">
        <f t="shared" si="31"/>
        <v>67</v>
      </c>
      <c r="AB160" s="13">
        <f t="shared" si="9"/>
        <v>0.536</v>
      </c>
      <c r="AC160" s="13">
        <f t="shared" si="10"/>
        <v>0.7285834729</v>
      </c>
      <c r="AD160" s="13">
        <f>AA160/vlookup(A160,Max!$A$2:$AP$700,column(Max!$AP$2),false)</f>
        <v>1.367346939</v>
      </c>
      <c r="AE160" s="8">
        <f t="shared" si="11"/>
        <v>71.55884225</v>
      </c>
      <c r="AF160" s="14">
        <f t="shared" si="12"/>
        <v>0.9460824974</v>
      </c>
      <c r="AG160" s="14">
        <f t="shared" si="13"/>
        <v>0.9800332539</v>
      </c>
      <c r="AH160" s="14">
        <f t="shared" si="14"/>
        <v>1</v>
      </c>
      <c r="AI160" s="14">
        <f t="shared" si="15"/>
        <v>1.012232534</v>
      </c>
      <c r="AJ160" s="27">
        <f t="shared" si="16"/>
        <v>4</v>
      </c>
      <c r="AK160" s="15" t="str">
        <f t="shared" si="17"/>
        <v>  @CONFIG[AJ10-118E] {
   %cost = 67
   @cost -= #$../../cost$
  }</v>
      </c>
    </row>
    <row r="161" ht="15.75" customHeight="1">
      <c r="A161" s="7" t="s">
        <v>146</v>
      </c>
      <c r="B161" s="7" t="s">
        <v>145</v>
      </c>
      <c r="C161" s="8">
        <f t="shared" si="1"/>
        <v>36</v>
      </c>
      <c r="D161" s="7">
        <v>1965.0</v>
      </c>
      <c r="E161" s="7"/>
      <c r="F161" s="7" t="b">
        <v>0</v>
      </c>
      <c r="G161" s="7" t="b">
        <v>0</v>
      </c>
      <c r="H161" s="7" t="b">
        <v>1</v>
      </c>
      <c r="I161" s="7" t="b">
        <v>0</v>
      </c>
      <c r="J161" s="9" t="b">
        <v>0</v>
      </c>
      <c r="K161" s="7">
        <v>300.0</v>
      </c>
      <c r="L161" s="7">
        <v>15.0</v>
      </c>
      <c r="M161" s="7">
        <v>192.0</v>
      </c>
      <c r="N161" s="7">
        <v>55.02</v>
      </c>
      <c r="O161" s="7">
        <v>368.0</v>
      </c>
      <c r="P161" s="7">
        <v>1.03</v>
      </c>
      <c r="Q161" s="7">
        <v>0.997718</v>
      </c>
      <c r="R161" s="7">
        <v>0.995679</v>
      </c>
      <c r="S161" s="10">
        <f t="shared" si="2"/>
        <v>315</v>
      </c>
      <c r="T161" s="10">
        <f t="shared" si="3"/>
        <v>29.22124264</v>
      </c>
      <c r="U161" s="11">
        <f t="shared" si="4"/>
        <v>3.001994827</v>
      </c>
      <c r="V161" s="8">
        <f t="shared" si="37"/>
        <v>165.1697554</v>
      </c>
      <c r="W161" s="12">
        <f t="shared" si="5"/>
        <v>1.75</v>
      </c>
      <c r="X161" s="12">
        <f t="shared" si="6"/>
        <v>454.2168273</v>
      </c>
      <c r="Y161" s="12">
        <f t="shared" si="7"/>
        <v>8.255485775</v>
      </c>
      <c r="Z161" s="8">
        <f t="shared" si="19"/>
        <v>167.3841633</v>
      </c>
      <c r="AA161" s="8">
        <f t="shared" si="31"/>
        <v>172</v>
      </c>
      <c r="AB161" s="13">
        <f t="shared" si="9"/>
        <v>0.546031746</v>
      </c>
      <c r="AC161" s="13">
        <f t="shared" si="10"/>
        <v>1.027576305</v>
      </c>
      <c r="AD161" s="13">
        <f>AA161/vlookup(A161,Max!$A$2:$AP$700,column(Max!$AP$2),false)</f>
        <v>1.011764706</v>
      </c>
      <c r="AE161" s="8">
        <f t="shared" si="11"/>
        <v>113.1555611</v>
      </c>
      <c r="AF161" s="14">
        <f t="shared" si="12"/>
        <v>1.650729212</v>
      </c>
      <c r="AG161" s="14">
        <f t="shared" si="13"/>
        <v>0.9146403984</v>
      </c>
      <c r="AH161" s="14">
        <f t="shared" si="14"/>
        <v>1</v>
      </c>
      <c r="AI161" s="14">
        <f t="shared" si="15"/>
        <v>1.0086254</v>
      </c>
      <c r="AJ161" s="27">
        <f t="shared" si="16"/>
        <v>36</v>
      </c>
      <c r="AK161" s="15" t="str">
        <f t="shared" si="17"/>
        <v>  @CONFIG[G-1A] {
   %cost = 172
   @cost -= #$../../cost$
  }</v>
      </c>
    </row>
    <row r="162" ht="15.75" customHeight="1">
      <c r="A162" s="16" t="s">
        <v>733</v>
      </c>
      <c r="B162" s="16" t="s">
        <v>730</v>
      </c>
      <c r="C162" s="8">
        <f t="shared" si="1"/>
        <v>-48</v>
      </c>
      <c r="D162" s="16">
        <v>1965.0</v>
      </c>
      <c r="E162" s="16"/>
      <c r="F162" s="16" t="b">
        <v>0</v>
      </c>
      <c r="G162" s="16" t="b">
        <v>0</v>
      </c>
      <c r="H162" s="16" t="b">
        <v>0</v>
      </c>
      <c r="I162" s="16" t="b">
        <v>0</v>
      </c>
      <c r="J162" s="9" t="b">
        <v>0</v>
      </c>
      <c r="K162" s="16">
        <v>150.0</v>
      </c>
      <c r="L162" s="16">
        <v>100.0</v>
      </c>
      <c r="M162" s="16">
        <v>160.0</v>
      </c>
      <c r="N162" s="16">
        <v>165.5</v>
      </c>
      <c r="O162" s="16">
        <v>265.0</v>
      </c>
      <c r="P162" s="16">
        <v>6.8</v>
      </c>
      <c r="Q162" s="16">
        <v>0.960345</v>
      </c>
      <c r="R162" s="16">
        <v>0.960345</v>
      </c>
      <c r="S162" s="19">
        <f t="shared" si="2"/>
        <v>250</v>
      </c>
      <c r="T162" s="19">
        <f t="shared" si="3"/>
        <v>105.4768955</v>
      </c>
      <c r="U162" s="20">
        <f t="shared" si="4"/>
        <v>1.607250755</v>
      </c>
      <c r="V162" s="17">
        <v>266.0</v>
      </c>
      <c r="W162" s="21">
        <f t="shared" si="5"/>
        <v>1.75</v>
      </c>
      <c r="X162" s="21">
        <f t="shared" si="6"/>
        <v>731.5</v>
      </c>
      <c r="Y162" s="21">
        <f t="shared" si="7"/>
        <v>4.419939577</v>
      </c>
      <c r="Z162" s="8">
        <f t="shared" si="19"/>
        <v>250.6418301</v>
      </c>
      <c r="AA162" s="8">
        <f t="shared" si="31"/>
        <v>136</v>
      </c>
      <c r="AB162" s="13">
        <f t="shared" si="9"/>
        <v>0.544</v>
      </c>
      <c r="AC162" s="13">
        <f t="shared" si="10"/>
        <v>0.5426069542</v>
      </c>
      <c r="AD162" s="13">
        <f>AA162/vlookup(A162,Max!$A$2:$AP$700,column(Max!$AP$2),false)</f>
        <v>2.092307692</v>
      </c>
      <c r="AE162" s="8">
        <f t="shared" si="11"/>
        <v>101.3077784</v>
      </c>
      <c r="AF162" s="14">
        <f t="shared" si="12"/>
        <v>0.9235379953</v>
      </c>
      <c r="AG162" s="14">
        <f t="shared" si="13"/>
        <v>1.563994948</v>
      </c>
      <c r="AH162" s="14">
        <f t="shared" si="14"/>
        <v>1</v>
      </c>
      <c r="AI162" s="14">
        <f t="shared" si="15"/>
        <v>0.9267875957</v>
      </c>
      <c r="AJ162" s="27">
        <f t="shared" si="16"/>
        <v>-48</v>
      </c>
      <c r="AK162" s="15" t="str">
        <f t="shared" si="17"/>
        <v>  @CONFIG[Isayev-R17] {
   %cost = 136
   @cost -= #$../../cost$
  }</v>
      </c>
    </row>
    <row r="163" ht="15.75" customHeight="1">
      <c r="A163" s="16" t="s">
        <v>270</v>
      </c>
      <c r="B163" s="16" t="s">
        <v>266</v>
      </c>
      <c r="C163" s="8">
        <f t="shared" si="1"/>
        <v>34</v>
      </c>
      <c r="D163" s="16">
        <v>1965.0</v>
      </c>
      <c r="E163" s="16"/>
      <c r="F163" s="16" t="b">
        <v>1</v>
      </c>
      <c r="G163" s="16" t="b">
        <v>0</v>
      </c>
      <c r="H163" s="16" t="b">
        <v>0</v>
      </c>
      <c r="I163" s="16" t="b">
        <v>0</v>
      </c>
      <c r="J163" s="9" t="b">
        <v>0</v>
      </c>
      <c r="K163" s="16">
        <v>275.0</v>
      </c>
      <c r="L163" s="16">
        <v>60.0</v>
      </c>
      <c r="M163" s="16">
        <v>470.0</v>
      </c>
      <c r="N163" s="16">
        <v>385.2</v>
      </c>
      <c r="O163" s="16">
        <v>316.0</v>
      </c>
      <c r="P163" s="16">
        <v>4.8</v>
      </c>
      <c r="Q163" s="16">
        <v>0.993636</v>
      </c>
      <c r="R163" s="16">
        <v>0.993636</v>
      </c>
      <c r="S163" s="19">
        <f t="shared" si="2"/>
        <v>335</v>
      </c>
      <c r="T163" s="19">
        <f t="shared" si="3"/>
        <v>83.57333704</v>
      </c>
      <c r="U163" s="20">
        <f t="shared" si="4"/>
        <v>0.7596295283</v>
      </c>
      <c r="V163" s="17">
        <f t="shared" ref="V163:V177" si="38">0.2*(8.17*POWER(M163*P163,0.46))+0.8*(0.146*POWER(M163*O163,0.639))</f>
        <v>292.6092943</v>
      </c>
      <c r="W163" s="21">
        <f t="shared" si="5"/>
        <v>4</v>
      </c>
      <c r="X163" s="21">
        <f t="shared" si="6"/>
        <v>1463.046472</v>
      </c>
      <c r="Y163" s="21">
        <f t="shared" si="7"/>
        <v>3.798147642</v>
      </c>
      <c r="Z163" s="8">
        <f t="shared" si="19"/>
        <v>294.7489999</v>
      </c>
      <c r="AA163" s="8">
        <f t="shared" si="31"/>
        <v>310</v>
      </c>
      <c r="AB163" s="13">
        <f t="shared" si="9"/>
        <v>0.9253731343</v>
      </c>
      <c r="AC163" s="13">
        <f t="shared" si="10"/>
        <v>1.05174233</v>
      </c>
      <c r="AD163" s="13">
        <f>AA163/vlookup(A163,Max!$A$2:$AP$700,column(Max!$AP$2),false)</f>
        <v>1.24</v>
      </c>
      <c r="AE163" s="8">
        <f t="shared" si="11"/>
        <v>195.337434</v>
      </c>
      <c r="AF163" s="14">
        <f t="shared" si="12"/>
        <v>1.115677507</v>
      </c>
      <c r="AG163" s="14">
        <f t="shared" si="13"/>
        <v>1.408818492</v>
      </c>
      <c r="AH163" s="14">
        <f t="shared" si="14"/>
        <v>1</v>
      </c>
      <c r="AI163" s="14">
        <f t="shared" si="15"/>
        <v>1.009207125</v>
      </c>
      <c r="AJ163" s="27">
        <f t="shared" si="16"/>
        <v>34</v>
      </c>
      <c r="AK163" s="15" t="str">
        <f t="shared" si="17"/>
        <v>  @CONFIG[LR105-NA-7.1] {
   %cost = 310
   @cost -= #$../../cost$
  }</v>
      </c>
    </row>
    <row r="164" ht="15.75" customHeight="1">
      <c r="A164" s="7" t="s">
        <v>304</v>
      </c>
      <c r="B164" s="7" t="s">
        <v>288</v>
      </c>
      <c r="C164" s="8">
        <f t="shared" si="1"/>
        <v>8</v>
      </c>
      <c r="D164" s="7">
        <v>1965.0</v>
      </c>
      <c r="E164" s="7"/>
      <c r="F164" s="7" t="b">
        <v>1</v>
      </c>
      <c r="G164" s="7" t="b">
        <v>0</v>
      </c>
      <c r="H164" s="7" t="b">
        <v>0</v>
      </c>
      <c r="I164" s="7" t="b">
        <v>0</v>
      </c>
      <c r="J164" s="9" t="b">
        <v>0</v>
      </c>
      <c r="K164" s="7">
        <v>250.0</v>
      </c>
      <c r="L164" s="7">
        <v>150.0</v>
      </c>
      <c r="M164" s="7">
        <f>839*0.8498212157</f>
        <v>713</v>
      </c>
      <c r="N164" s="7">
        <v>1172.1</v>
      </c>
      <c r="O164" s="7">
        <v>296.0</v>
      </c>
      <c r="P164" s="7">
        <v>5.67</v>
      </c>
      <c r="Q164" s="7">
        <v>0.99321</v>
      </c>
      <c r="R164" s="7">
        <v>0.99321</v>
      </c>
      <c r="S164" s="10">
        <f t="shared" si="2"/>
        <v>400</v>
      </c>
      <c r="T164" s="10">
        <f t="shared" si="3"/>
        <v>167.6310477</v>
      </c>
      <c r="U164" s="11">
        <f t="shared" si="4"/>
        <v>0.3152126263</v>
      </c>
      <c r="V164" s="8">
        <f t="shared" si="38"/>
        <v>369.4607193</v>
      </c>
      <c r="W164" s="12">
        <f t="shared" si="5"/>
        <v>4</v>
      </c>
      <c r="X164" s="12">
        <f t="shared" si="6"/>
        <v>1847.303597</v>
      </c>
      <c r="Y164" s="12">
        <f t="shared" si="7"/>
        <v>1.576063132</v>
      </c>
      <c r="Z164" s="8">
        <f t="shared" si="19"/>
        <v>371.8496908</v>
      </c>
      <c r="AA164" s="8">
        <f t="shared" si="31"/>
        <v>372</v>
      </c>
      <c r="AB164" s="13">
        <f t="shared" si="9"/>
        <v>0.93</v>
      </c>
      <c r="AC164" s="13">
        <f t="shared" si="10"/>
        <v>1.00040422</v>
      </c>
      <c r="AD164" s="13">
        <f>AA164/vlookup(A164,Max!$A$2:$AP$700,column(Max!$AP$2),false)</f>
        <v>0.6</v>
      </c>
      <c r="AE164" s="8">
        <f t="shared" si="11"/>
        <v>252.2540783</v>
      </c>
      <c r="AF164" s="14">
        <f t="shared" si="12"/>
        <v>0.9884432084</v>
      </c>
      <c r="AG164" s="14">
        <f t="shared" si="13"/>
        <v>1.481008632</v>
      </c>
      <c r="AH164" s="14">
        <f t="shared" si="14"/>
        <v>1</v>
      </c>
      <c r="AI164" s="14">
        <f t="shared" si="15"/>
        <v>1.008125784</v>
      </c>
      <c r="AJ164" s="27">
        <f t="shared" si="16"/>
        <v>8</v>
      </c>
      <c r="AK164" s="15" t="str">
        <f t="shared" si="17"/>
        <v>  @CONFIG[LR87-AJ-9] {
   %cost = 372
   @cost -= #$../../cost$
  }</v>
      </c>
    </row>
    <row r="165" ht="15.75" customHeight="1">
      <c r="A165" s="7" t="s">
        <v>335</v>
      </c>
      <c r="B165" s="7" t="s">
        <v>330</v>
      </c>
      <c r="C165" s="8">
        <f t="shared" si="1"/>
        <v>163</v>
      </c>
      <c r="D165" s="7">
        <v>1965.0</v>
      </c>
      <c r="E165" s="7"/>
      <c r="F165" s="7" t="b">
        <v>1</v>
      </c>
      <c r="G165" s="7" t="b">
        <v>0</v>
      </c>
      <c r="H165" s="7" t="b">
        <v>0</v>
      </c>
      <c r="I165" s="7" t="b">
        <v>0</v>
      </c>
      <c r="J165" s="9" t="b">
        <v>0</v>
      </c>
      <c r="K165" s="7">
        <v>300.0</v>
      </c>
      <c r="L165" s="7">
        <v>40.0</v>
      </c>
      <c r="M165" s="7">
        <v>1018.0</v>
      </c>
      <c r="N165" s="7">
        <v>931.7</v>
      </c>
      <c r="O165" s="7">
        <v>292.2</v>
      </c>
      <c r="P165" s="7">
        <v>3.92</v>
      </c>
      <c r="Q165" s="7">
        <v>0.993636</v>
      </c>
      <c r="R165" s="7">
        <v>0.993636</v>
      </c>
      <c r="S165" s="10">
        <f t="shared" si="2"/>
        <v>340</v>
      </c>
      <c r="T165" s="10">
        <f t="shared" si="3"/>
        <v>93.32707199</v>
      </c>
      <c r="U165" s="11">
        <f t="shared" si="4"/>
        <v>0.4736887775</v>
      </c>
      <c r="V165" s="8">
        <f t="shared" si="38"/>
        <v>441.335834</v>
      </c>
      <c r="W165" s="12">
        <f t="shared" si="5"/>
        <v>4</v>
      </c>
      <c r="X165" s="12">
        <f t="shared" si="6"/>
        <v>2206.67917</v>
      </c>
      <c r="Y165" s="12">
        <f t="shared" si="7"/>
        <v>2.368443887</v>
      </c>
      <c r="Z165" s="8">
        <f t="shared" si="19"/>
        <v>444.5631025</v>
      </c>
      <c r="AA165" s="8">
        <f t="shared" si="31"/>
        <v>411</v>
      </c>
      <c r="AB165" s="13">
        <f t="shared" si="9"/>
        <v>1.208823529</v>
      </c>
      <c r="AC165" s="13">
        <f t="shared" si="10"/>
        <v>0.9245031756</v>
      </c>
      <c r="AD165" s="13">
        <f>AA165/vlookup(A165,Max!$A$2:$AP$700,column(Max!$AP$2),false)</f>
        <v>0.9133333333</v>
      </c>
      <c r="AE165" s="8">
        <f t="shared" si="11"/>
        <v>314.0878682</v>
      </c>
      <c r="AF165" s="14">
        <f t="shared" si="12"/>
        <v>0.9782472781</v>
      </c>
      <c r="AG165" s="14">
        <f t="shared" si="13"/>
        <v>1.325770931</v>
      </c>
      <c r="AH165" s="14">
        <f t="shared" si="14"/>
        <v>1</v>
      </c>
      <c r="AI165" s="14">
        <f t="shared" si="15"/>
        <v>1.009207125</v>
      </c>
      <c r="AJ165" s="27">
        <f t="shared" si="16"/>
        <v>163</v>
      </c>
      <c r="AK165" s="15" t="str">
        <f t="shared" si="17"/>
        <v>  @CONFIG[LR89-NA-7.1] {
   %cost = 411
   @cost -= #$../../cost$
  }</v>
      </c>
    </row>
    <row r="166" ht="15.75" customHeight="1">
      <c r="A166" s="7" t="s">
        <v>345</v>
      </c>
      <c r="B166" s="7" t="s">
        <v>339</v>
      </c>
      <c r="C166" s="8">
        <f t="shared" si="1"/>
        <v>10</v>
      </c>
      <c r="D166" s="7">
        <v>1965.0</v>
      </c>
      <c r="E166" s="7"/>
      <c r="F166" s="7" t="b">
        <v>1</v>
      </c>
      <c r="G166" s="7" t="b">
        <v>0</v>
      </c>
      <c r="H166" s="7" t="b">
        <v>1</v>
      </c>
      <c r="I166" s="7" t="b">
        <v>0</v>
      </c>
      <c r="J166" s="9" t="b">
        <v>0</v>
      </c>
      <c r="K166" s="7">
        <v>250.0</v>
      </c>
      <c r="L166" s="7">
        <v>100.0</v>
      </c>
      <c r="M166" s="7">
        <f>500*1.18</f>
        <v>590</v>
      </c>
      <c r="N166" s="7">
        <v>456.1</v>
      </c>
      <c r="O166" s="7">
        <v>316.0</v>
      </c>
      <c r="P166" s="7">
        <v>5.7</v>
      </c>
      <c r="Q166" s="7">
        <v>0.99625</v>
      </c>
      <c r="R166" s="7">
        <v>0.99125</v>
      </c>
      <c r="S166" s="10">
        <f t="shared" si="2"/>
        <v>350</v>
      </c>
      <c r="T166" s="10">
        <f t="shared" si="3"/>
        <v>78.82924803</v>
      </c>
      <c r="U166" s="11">
        <f t="shared" si="4"/>
        <v>0.7475255595</v>
      </c>
      <c r="V166" s="8">
        <f t="shared" si="38"/>
        <v>340.9464077</v>
      </c>
      <c r="W166" s="12">
        <f t="shared" si="5"/>
        <v>4</v>
      </c>
      <c r="X166" s="12">
        <f t="shared" si="6"/>
        <v>1704.732038</v>
      </c>
      <c r="Y166" s="12">
        <f t="shared" si="7"/>
        <v>3.737627798</v>
      </c>
      <c r="Z166" s="8">
        <f t="shared" si="19"/>
        <v>343.5146931</v>
      </c>
      <c r="AA166" s="8">
        <f t="shared" si="31"/>
        <v>335</v>
      </c>
      <c r="AB166" s="13">
        <f t="shared" si="9"/>
        <v>0.9571428571</v>
      </c>
      <c r="AC166" s="13">
        <f t="shared" si="10"/>
        <v>0.9752130164</v>
      </c>
      <c r="AD166" s="13">
        <f>AA166/vlookup(A166,Max!$A$2:$AP$700,column(Max!$AP$2),false)</f>
        <v>1.395833333</v>
      </c>
      <c r="AE166" s="8">
        <f t="shared" si="11"/>
        <v>224.557802</v>
      </c>
      <c r="AF166" s="14">
        <f t="shared" si="12"/>
        <v>1.115677507</v>
      </c>
      <c r="AG166" s="14">
        <f t="shared" si="13"/>
        <v>1.344107012</v>
      </c>
      <c r="AH166" s="14">
        <f t="shared" si="14"/>
        <v>1</v>
      </c>
      <c r="AI166" s="14">
        <f t="shared" si="15"/>
        <v>0.9937813686</v>
      </c>
      <c r="AJ166" s="27">
        <f t="shared" si="16"/>
        <v>10</v>
      </c>
      <c r="AK166" s="15" t="str">
        <f t="shared" si="17"/>
        <v>  @CONFIG[LR91-AJ-9] {
   %cost = 335
   @cost -= #$../../cost$
  }</v>
      </c>
    </row>
    <row r="167" ht="15.75" customHeight="1">
      <c r="A167" s="7" t="s">
        <v>60</v>
      </c>
      <c r="B167" s="7" t="s">
        <v>54</v>
      </c>
      <c r="C167" s="8">
        <f t="shared" si="1"/>
        <v>62</v>
      </c>
      <c r="D167" s="7">
        <v>1965.0</v>
      </c>
      <c r="E167" s="7"/>
      <c r="F167" s="7" t="b">
        <v>1</v>
      </c>
      <c r="G167" s="7" t="b">
        <v>0</v>
      </c>
      <c r="H167" s="7" t="b">
        <v>1</v>
      </c>
      <c r="I167" s="7" t="b">
        <v>0</v>
      </c>
      <c r="J167" s="9" t="b">
        <v>0</v>
      </c>
      <c r="K167" s="7">
        <v>150.0</v>
      </c>
      <c r="L167" s="7">
        <v>-23.0</v>
      </c>
      <c r="M167" s="7">
        <v>134.26</v>
      </c>
      <c r="N167" s="7">
        <v>75.62</v>
      </c>
      <c r="O167" s="7">
        <v>300.0</v>
      </c>
      <c r="P167" s="7">
        <v>3.75</v>
      </c>
      <c r="Q167" s="7">
        <v>0.9977</v>
      </c>
      <c r="R167" s="7">
        <v>0.9978</v>
      </c>
      <c r="S167" s="10">
        <f t="shared" si="2"/>
        <v>127</v>
      </c>
      <c r="T167" s="10">
        <f t="shared" si="3"/>
        <v>57.43403828</v>
      </c>
      <c r="U167" s="11">
        <f t="shared" si="4"/>
        <v>1.73148638</v>
      </c>
      <c r="V167" s="8">
        <f t="shared" si="38"/>
        <v>130.935</v>
      </c>
      <c r="W167" s="12">
        <f t="shared" si="5"/>
        <v>4</v>
      </c>
      <c r="X167" s="12">
        <f t="shared" si="6"/>
        <v>654.6750001</v>
      </c>
      <c r="Y167" s="12">
        <f t="shared" si="7"/>
        <v>8.657431898</v>
      </c>
      <c r="Z167" s="8">
        <f t="shared" si="19"/>
        <v>132.9651551</v>
      </c>
      <c r="AA167" s="8">
        <f t="shared" si="31"/>
        <v>113</v>
      </c>
      <c r="AB167" s="13">
        <f t="shared" si="9"/>
        <v>0.8897637795</v>
      </c>
      <c r="AC167" s="13">
        <f t="shared" si="10"/>
        <v>0.8498467132</v>
      </c>
      <c r="AD167" s="13">
        <f>AA167/vlookup(A167,Max!$A$2:$AP$700,column(Max!$AP$2),false)</f>
        <v>1.686567164</v>
      </c>
      <c r="AE167" s="8">
        <f t="shared" si="11"/>
        <v>91.10029436</v>
      </c>
      <c r="AF167" s="14">
        <f t="shared" si="12"/>
        <v>1</v>
      </c>
      <c r="AG167" s="14">
        <f t="shared" si="13"/>
        <v>1.223260745</v>
      </c>
      <c r="AH167" s="14">
        <f t="shared" si="14"/>
        <v>1</v>
      </c>
      <c r="AI167" s="14">
        <f t="shared" si="15"/>
        <v>1.013959697</v>
      </c>
      <c r="AJ167" s="27">
        <f t="shared" si="16"/>
        <v>62</v>
      </c>
      <c r="AK167" s="15" t="str">
        <f t="shared" si="17"/>
        <v>  @CONFIG[Model8096-39] {
   %cost = 113
   @cost -= #$../../cost$
  }</v>
      </c>
    </row>
    <row r="168" ht="15.75" customHeight="1">
      <c r="A168" s="16" t="s">
        <v>449</v>
      </c>
      <c r="B168" s="16" t="s">
        <v>446</v>
      </c>
      <c r="C168" s="8">
        <f t="shared" si="1"/>
        <v>76</v>
      </c>
      <c r="D168" s="16">
        <v>1965.0</v>
      </c>
      <c r="E168" s="16"/>
      <c r="F168" s="16" t="b">
        <v>1</v>
      </c>
      <c r="G168" s="16" t="b">
        <v>0</v>
      </c>
      <c r="H168" s="16" t="b">
        <v>1</v>
      </c>
      <c r="I168" s="16" t="b">
        <v>0</v>
      </c>
      <c r="J168" s="9" t="b">
        <v>0</v>
      </c>
      <c r="K168" s="16">
        <v>350.0</v>
      </c>
      <c r="L168" s="16">
        <v>0.0</v>
      </c>
      <c r="M168" s="16">
        <v>408.5</v>
      </c>
      <c r="N168" s="16">
        <v>318.78</v>
      </c>
      <c r="O168" s="16">
        <v>330.4</v>
      </c>
      <c r="P168" s="16">
        <v>15.53</v>
      </c>
      <c r="Q168" s="16">
        <v>0.999219</v>
      </c>
      <c r="R168" s="16">
        <v>0.997401</v>
      </c>
      <c r="S168" s="19">
        <f t="shared" si="2"/>
        <v>350</v>
      </c>
      <c r="T168" s="19">
        <f t="shared" si="3"/>
        <v>79.57530806</v>
      </c>
      <c r="U168" s="20">
        <f t="shared" si="4"/>
        <v>0.9829358588</v>
      </c>
      <c r="V168" s="17">
        <f t="shared" si="38"/>
        <v>313.3402931</v>
      </c>
      <c r="W168" s="21">
        <f t="shared" si="5"/>
        <v>4</v>
      </c>
      <c r="X168" s="21">
        <f t="shared" si="6"/>
        <v>1566.701465</v>
      </c>
      <c r="Y168" s="21">
        <f t="shared" si="7"/>
        <v>4.914679294</v>
      </c>
      <c r="Z168" s="8">
        <f t="shared" si="19"/>
        <v>318.5486448</v>
      </c>
      <c r="AA168" s="8">
        <f t="shared" si="31"/>
        <v>380</v>
      </c>
      <c r="AB168" s="13">
        <f t="shared" si="9"/>
        <v>1.085714286</v>
      </c>
      <c r="AC168" s="13">
        <f t="shared" si="10"/>
        <v>1.192910428</v>
      </c>
      <c r="AD168" s="13">
        <f>AA168/vlookup(A168,Max!$A$2:$AP$700,column(Max!$AP$2),false)</f>
        <v>1.407407407</v>
      </c>
      <c r="AE168" s="8">
        <f t="shared" si="11"/>
        <v>179.2703569</v>
      </c>
      <c r="AF168" s="14">
        <f t="shared" si="12"/>
        <v>1.236895781</v>
      </c>
      <c r="AG168" s="14">
        <f t="shared" si="13"/>
        <v>1.684129882</v>
      </c>
      <c r="AH168" s="14">
        <f t="shared" si="14"/>
        <v>1</v>
      </c>
      <c r="AI168" s="14">
        <f t="shared" si="15"/>
        <v>1.016806282</v>
      </c>
      <c r="AJ168" s="27">
        <f t="shared" si="16"/>
        <v>76</v>
      </c>
      <c r="AK168" s="15" t="str">
        <f t="shared" si="17"/>
        <v>  @CONFIG[RD-0110] {
   %cost = 380
   @cost -= #$../../cost$
  }</v>
      </c>
    </row>
    <row r="169" ht="15.75" customHeight="1">
      <c r="A169" s="7" t="s">
        <v>473</v>
      </c>
      <c r="B169" s="7" t="s">
        <v>474</v>
      </c>
      <c r="C169" s="8">
        <f t="shared" si="1"/>
        <v>489</v>
      </c>
      <c r="D169" s="7">
        <v>1965.0</v>
      </c>
      <c r="E169" s="7"/>
      <c r="F169" s="7" t="b">
        <v>1</v>
      </c>
      <c r="G169" s="7" t="b">
        <v>0</v>
      </c>
      <c r="H169" s="7" t="b">
        <v>0</v>
      </c>
      <c r="I169" s="7" t="b">
        <v>0</v>
      </c>
      <c r="J169" s="9" t="b">
        <v>0</v>
      </c>
      <c r="K169" s="7">
        <v>300.0</v>
      </c>
      <c r="L169" s="7">
        <v>0.0</v>
      </c>
      <c r="M169" s="7">
        <v>540.0</v>
      </c>
      <c r="N169" s="7">
        <v>574.05</v>
      </c>
      <c r="O169" s="7">
        <v>326.105</v>
      </c>
      <c r="P169" s="7">
        <v>14.7</v>
      </c>
      <c r="Q169" s="7">
        <v>0.991176</v>
      </c>
      <c r="R169" s="7">
        <v>0.979412</v>
      </c>
      <c r="S169" s="10">
        <f t="shared" si="2"/>
        <v>300</v>
      </c>
      <c r="T169" s="10">
        <f t="shared" si="3"/>
        <v>108.4014982</v>
      </c>
      <c r="U169" s="11">
        <f t="shared" si="4"/>
        <v>0.6347243647</v>
      </c>
      <c r="V169" s="8">
        <f t="shared" si="38"/>
        <v>364.3635216</v>
      </c>
      <c r="W169" s="12">
        <f t="shared" si="5"/>
        <v>4</v>
      </c>
      <c r="X169" s="12">
        <f t="shared" si="6"/>
        <v>1821.817608</v>
      </c>
      <c r="Y169" s="12">
        <f t="shared" si="7"/>
        <v>3.173621823</v>
      </c>
      <c r="Z169" s="8">
        <f t="shared" si="19"/>
        <v>361.0003255</v>
      </c>
      <c r="AA169" s="8">
        <f t="shared" si="31"/>
        <v>489</v>
      </c>
      <c r="AB169" s="13">
        <f t="shared" si="9"/>
        <v>1.63</v>
      </c>
      <c r="AC169" s="13">
        <f t="shared" si="10"/>
        <v>1.354569416</v>
      </c>
      <c r="AD169" s="13">
        <f>AA169/vlookup(A169,Max!$A$2:$AP$700,column(Max!$AP$2),false)</f>
        <v>1.63</v>
      </c>
      <c r="AE169" s="8">
        <f t="shared" si="11"/>
        <v>212.6846213</v>
      </c>
      <c r="AF169" s="14">
        <f t="shared" si="12"/>
        <v>1.198888276</v>
      </c>
      <c r="AG169" s="14">
        <f t="shared" si="13"/>
        <v>1.970960282</v>
      </c>
      <c r="AH169" s="14">
        <f t="shared" si="14"/>
        <v>1</v>
      </c>
      <c r="AI169" s="14">
        <f t="shared" si="15"/>
        <v>0.9734767096</v>
      </c>
      <c r="AJ169" s="15">
        <f t="shared" si="16"/>
        <v>0</v>
      </c>
      <c r="AK169" s="15" t="str">
        <f t="shared" si="17"/>
        <v>  @CONFIG[RD-0208] {
   %cost = 489
   @cost -= #$../../cost$
  }</v>
      </c>
    </row>
    <row r="170" ht="15.75" customHeight="1">
      <c r="A170" s="7" t="s">
        <v>491</v>
      </c>
      <c r="B170" s="7" t="s">
        <v>492</v>
      </c>
      <c r="C170" s="8">
        <f t="shared" si="1"/>
        <v>180</v>
      </c>
      <c r="D170" s="7">
        <v>1965.0</v>
      </c>
      <c r="E170" s="7"/>
      <c r="F170" s="7" t="b">
        <v>1</v>
      </c>
      <c r="G170" s="7" t="b">
        <v>0</v>
      </c>
      <c r="H170" s="7" t="b">
        <v>1</v>
      </c>
      <c r="I170" s="7" t="b">
        <v>0</v>
      </c>
      <c r="J170" s="9" t="b">
        <v>0</v>
      </c>
      <c r="K170" s="7">
        <v>194.0</v>
      </c>
      <c r="L170" s="7">
        <v>0.0</v>
      </c>
      <c r="M170" s="7">
        <v>153.0</v>
      </c>
      <c r="N170" s="7">
        <v>219.2</v>
      </c>
      <c r="O170" s="7">
        <v>312.7</v>
      </c>
      <c r="P170" s="7">
        <v>14.7</v>
      </c>
      <c r="Q170" s="7">
        <v>0.997807</v>
      </c>
      <c r="R170" s="7">
        <v>0.997807</v>
      </c>
      <c r="S170" s="10">
        <f t="shared" si="2"/>
        <v>194</v>
      </c>
      <c r="T170" s="10">
        <f t="shared" si="3"/>
        <v>146.0926753</v>
      </c>
      <c r="U170" s="11">
        <f t="shared" si="4"/>
        <v>0.780821351</v>
      </c>
      <c r="V170" s="8">
        <f t="shared" si="38"/>
        <v>171.1560401</v>
      </c>
      <c r="W170" s="12">
        <f t="shared" si="5"/>
        <v>4</v>
      </c>
      <c r="X170" s="12">
        <f t="shared" si="6"/>
        <v>855.7802007</v>
      </c>
      <c r="Y170" s="12">
        <f t="shared" si="7"/>
        <v>3.904106755</v>
      </c>
      <c r="Z170" s="8">
        <f t="shared" si="19"/>
        <v>173.8292937</v>
      </c>
      <c r="AA170" s="8">
        <f t="shared" si="31"/>
        <v>180</v>
      </c>
      <c r="AB170" s="13">
        <f t="shared" si="9"/>
        <v>0.9278350515</v>
      </c>
      <c r="AC170" s="13">
        <f t="shared" si="10"/>
        <v>1.035498656</v>
      </c>
      <c r="AD170" s="13">
        <f>AA170/vlookup(A170,Max!$A$2:$AP$700,column(Max!$AP$2),false)</f>
        <v>0.9</v>
      </c>
      <c r="AE170" s="8">
        <f t="shared" si="11"/>
        <v>98.59860449</v>
      </c>
      <c r="AF170" s="14">
        <f t="shared" si="12"/>
        <v>1.083040449</v>
      </c>
      <c r="AG170" s="14">
        <f t="shared" si="13"/>
        <v>1.663444841</v>
      </c>
      <c r="AH170" s="14">
        <f t="shared" si="14"/>
        <v>1</v>
      </c>
      <c r="AI170" s="14">
        <f t="shared" si="15"/>
        <v>1.014249367</v>
      </c>
      <c r="AJ170" s="15">
        <f t="shared" si="16"/>
        <v>0</v>
      </c>
      <c r="AK170" s="15" t="str">
        <f t="shared" si="17"/>
        <v>  @CONFIG[RD-0216] {
   %cost = 180
   @cost -= #$../../cost$
  }</v>
      </c>
    </row>
    <row r="171" ht="15.75" customHeight="1">
      <c r="A171" s="7" t="s">
        <v>533</v>
      </c>
      <c r="B171" s="7" t="s">
        <v>1008</v>
      </c>
      <c r="C171" s="8">
        <f t="shared" si="1"/>
        <v>-52</v>
      </c>
      <c r="D171" s="7">
        <v>1965.0</v>
      </c>
      <c r="E171" s="7"/>
      <c r="F171" s="7" t="b">
        <v>1</v>
      </c>
      <c r="G171" s="7" t="b">
        <v>0</v>
      </c>
      <c r="H171" s="7" t="b">
        <v>0</v>
      </c>
      <c r="I171" s="7" t="b">
        <v>0</v>
      </c>
      <c r="J171" s="9" t="b">
        <v>0</v>
      </c>
      <c r="K171" s="7">
        <v>470.0</v>
      </c>
      <c r="L171" s="7">
        <v>60.0</v>
      </c>
      <c r="M171" s="7">
        <v>1100.0</v>
      </c>
      <c r="N171" s="7">
        <v>995.37</v>
      </c>
      <c r="O171" s="7">
        <v>314.07</v>
      </c>
      <c r="P171" s="7">
        <v>5.86</v>
      </c>
      <c r="Q171" s="7">
        <v>0.999893</v>
      </c>
      <c r="R171" s="7">
        <v>0.999893</v>
      </c>
      <c r="S171" s="10">
        <f t="shared" si="2"/>
        <v>530</v>
      </c>
      <c r="T171" s="10">
        <f t="shared" si="3"/>
        <v>92.27226581</v>
      </c>
      <c r="U171" s="11">
        <f t="shared" si="4"/>
        <v>0.498781778</v>
      </c>
      <c r="V171" s="8">
        <f t="shared" si="38"/>
        <v>496.4724183</v>
      </c>
      <c r="W171" s="12">
        <f t="shared" si="5"/>
        <v>4</v>
      </c>
      <c r="X171" s="12">
        <f t="shared" si="6"/>
        <v>2482.362092</v>
      </c>
      <c r="Y171" s="12">
        <f t="shared" si="7"/>
        <v>2.49390889</v>
      </c>
      <c r="Z171" s="8">
        <f t="shared" si="19"/>
        <v>506.2956273</v>
      </c>
      <c r="AA171" s="8">
        <f t="shared" si="31"/>
        <v>554</v>
      </c>
      <c r="AB171" s="13">
        <f t="shared" si="9"/>
        <v>1.045283019</v>
      </c>
      <c r="AC171" s="13">
        <f t="shared" si="10"/>
        <v>1.094222368</v>
      </c>
      <c r="AD171" s="13">
        <f>AA171/vlookup(A171,Max!$A$2:$AP$700,column(Max!$AP$2),false)</f>
        <v>0.9719298246</v>
      </c>
      <c r="AE171" s="8">
        <f t="shared" si="11"/>
        <v>329.4591778</v>
      </c>
      <c r="AF171" s="14">
        <f t="shared" si="12"/>
        <v>1.097475522</v>
      </c>
      <c r="AG171" s="14">
        <f t="shared" si="13"/>
        <v>1.495725704</v>
      </c>
      <c r="AH171" s="14">
        <f t="shared" si="14"/>
        <v>1</v>
      </c>
      <c r="AI171" s="14">
        <f t="shared" si="15"/>
        <v>1.02516987</v>
      </c>
      <c r="AJ171" s="27">
        <f t="shared" si="16"/>
        <v>-52</v>
      </c>
      <c r="AK171" s="15" t="str">
        <f t="shared" si="17"/>
        <v>  @CONFIG[RD-107-8D728] {
   %cost = 554
   @cost -= #$../../cost$
  }</v>
      </c>
    </row>
    <row r="172" ht="15.75" customHeight="1">
      <c r="A172" s="7" t="s">
        <v>544</v>
      </c>
      <c r="B172" s="7" t="s">
        <v>1009</v>
      </c>
      <c r="C172" s="8">
        <f t="shared" si="1"/>
        <v>-60</v>
      </c>
      <c r="D172" s="7">
        <v>1965.0</v>
      </c>
      <c r="E172" s="7"/>
      <c r="F172" s="7" t="b">
        <v>1</v>
      </c>
      <c r="G172" s="7" t="b">
        <v>0</v>
      </c>
      <c r="H172" s="7" t="b">
        <v>0</v>
      </c>
      <c r="I172" s="7" t="b">
        <v>0</v>
      </c>
      <c r="J172" s="9" t="b">
        <v>0</v>
      </c>
      <c r="K172" s="7">
        <v>450.0</v>
      </c>
      <c r="L172" s="7">
        <v>60.0</v>
      </c>
      <c r="M172" s="7">
        <v>1145.0</v>
      </c>
      <c r="N172" s="7">
        <v>973.8</v>
      </c>
      <c r="O172" s="7">
        <v>315.81</v>
      </c>
      <c r="P172" s="7">
        <v>5.31</v>
      </c>
      <c r="Q172" s="7">
        <v>0.999893</v>
      </c>
      <c r="R172" s="7">
        <v>0.999893</v>
      </c>
      <c r="S172" s="10">
        <f t="shared" si="2"/>
        <v>510</v>
      </c>
      <c r="T172" s="10">
        <f t="shared" si="3"/>
        <v>86.72485985</v>
      </c>
      <c r="U172" s="11">
        <f t="shared" si="4"/>
        <v>0.519587941</v>
      </c>
      <c r="V172" s="8">
        <f t="shared" si="38"/>
        <v>505.9747369</v>
      </c>
      <c r="W172" s="12">
        <f t="shared" si="5"/>
        <v>4</v>
      </c>
      <c r="X172" s="12">
        <f t="shared" si="6"/>
        <v>2529.873685</v>
      </c>
      <c r="Y172" s="12">
        <f t="shared" si="7"/>
        <v>2.597939705</v>
      </c>
      <c r="Z172" s="8">
        <f t="shared" si="19"/>
        <v>515.9859589</v>
      </c>
      <c r="AA172" s="8">
        <f t="shared" si="31"/>
        <v>560</v>
      </c>
      <c r="AB172" s="13">
        <f t="shared" si="9"/>
        <v>1.098039216</v>
      </c>
      <c r="AC172" s="13">
        <f t="shared" si="10"/>
        <v>1.085300851</v>
      </c>
      <c r="AD172" s="13">
        <f>AA172/vlookup(A172,Max!$A$2:$AP$700,column(Max!$AP$2),false)</f>
        <v>0.7671232877</v>
      </c>
      <c r="AE172" s="8">
        <f t="shared" si="11"/>
        <v>337.7116855</v>
      </c>
      <c r="AF172" s="14">
        <f t="shared" si="12"/>
        <v>1.114192301</v>
      </c>
      <c r="AG172" s="14">
        <f t="shared" si="13"/>
        <v>1.452148493</v>
      </c>
      <c r="AH172" s="14">
        <f t="shared" si="14"/>
        <v>1</v>
      </c>
      <c r="AI172" s="14">
        <f t="shared" si="15"/>
        <v>1.02516987</v>
      </c>
      <c r="AJ172" s="27">
        <f t="shared" si="16"/>
        <v>-60</v>
      </c>
      <c r="AK172" s="15" t="str">
        <f t="shared" si="17"/>
        <v>  @CONFIG[RD-108-8D727] {
   %cost = 560
   @cost -= #$../../cost$
  }</v>
      </c>
    </row>
    <row r="173" ht="15.75" customHeight="1">
      <c r="A173" s="16" t="s">
        <v>595</v>
      </c>
      <c r="B173" s="16" t="s">
        <v>596</v>
      </c>
      <c r="C173" s="8">
        <f t="shared" si="1"/>
        <v>728</v>
      </c>
      <c r="D173" s="16">
        <v>1965.0</v>
      </c>
      <c r="E173" s="16"/>
      <c r="F173" s="16" t="b">
        <v>1</v>
      </c>
      <c r="G173" s="16" t="b">
        <v>0</v>
      </c>
      <c r="H173" s="16" t="b">
        <v>0</v>
      </c>
      <c r="I173" s="16" t="b">
        <v>0</v>
      </c>
      <c r="J173" s="9" t="b">
        <v>0</v>
      </c>
      <c r="K173" s="16">
        <v>515.0</v>
      </c>
      <c r="L173" s="16">
        <v>0.0</v>
      </c>
      <c r="M173" s="16">
        <v>1080.0</v>
      </c>
      <c r="N173" s="16">
        <v>1545.0</v>
      </c>
      <c r="O173" s="16">
        <v>315.5</v>
      </c>
      <c r="P173" s="16">
        <v>14.7</v>
      </c>
      <c r="Q173" s="16">
        <v>0.997966</v>
      </c>
      <c r="R173" s="16">
        <v>0.997966</v>
      </c>
      <c r="S173" s="19">
        <f t="shared" si="2"/>
        <v>515</v>
      </c>
      <c r="T173" s="19">
        <f t="shared" si="3"/>
        <v>145.8760689</v>
      </c>
      <c r="U173" s="20">
        <f t="shared" si="4"/>
        <v>0.3497616491</v>
      </c>
      <c r="V173" s="17">
        <f t="shared" si="38"/>
        <v>540.3817479</v>
      </c>
      <c r="W173" s="21">
        <f t="shared" si="5"/>
        <v>4</v>
      </c>
      <c r="X173" s="21">
        <f t="shared" si="6"/>
        <v>2701.908739</v>
      </c>
      <c r="Y173" s="21">
        <f t="shared" si="7"/>
        <v>1.748808246</v>
      </c>
      <c r="Z173" s="8">
        <f t="shared" si="19"/>
        <v>548.9933456</v>
      </c>
      <c r="AA173" s="8">
        <f t="shared" si="31"/>
        <v>728</v>
      </c>
      <c r="AB173" s="13">
        <f t="shared" si="9"/>
        <v>1.413592233</v>
      </c>
      <c r="AC173" s="13">
        <f t="shared" si="10"/>
        <v>1.326063432</v>
      </c>
      <c r="AD173" s="13">
        <f>AA173/vlookup(A173,Max!$A$2:$AP$700,column(Max!$AP$2),false)</f>
        <v>0.6933333333</v>
      </c>
      <c r="AE173" s="8">
        <f t="shared" si="11"/>
        <v>325.7508777</v>
      </c>
      <c r="AF173" s="14">
        <f t="shared" si="12"/>
        <v>1.111775132</v>
      </c>
      <c r="AG173" s="14">
        <f t="shared" si="13"/>
        <v>1.970960282</v>
      </c>
      <c r="AH173" s="14">
        <f t="shared" si="14"/>
        <v>1</v>
      </c>
      <c r="AI173" s="14">
        <f t="shared" si="15"/>
        <v>1.020237722</v>
      </c>
      <c r="AJ173" s="15">
        <f t="shared" si="16"/>
        <v>0</v>
      </c>
      <c r="AK173" s="15" t="str">
        <f t="shared" si="17"/>
        <v>  @CONFIG[RD-253] {
   %cost = 728
   @cost -= #$../../cost$
  }</v>
      </c>
    </row>
    <row r="174" ht="15.75" customHeight="1">
      <c r="A174" s="7" t="s">
        <v>781</v>
      </c>
      <c r="B174" s="7" t="s">
        <v>782</v>
      </c>
      <c r="C174" s="8">
        <f t="shared" si="1"/>
        <v>27</v>
      </c>
      <c r="D174" s="7">
        <v>1965.0</v>
      </c>
      <c r="E174" s="7"/>
      <c r="F174" s="7" t="b">
        <v>0</v>
      </c>
      <c r="G174" s="7" t="b">
        <v>0</v>
      </c>
      <c r="H174" s="7" t="b">
        <v>1</v>
      </c>
      <c r="I174" s="7" t="b">
        <v>1</v>
      </c>
      <c r="J174" s="9" t="b">
        <v>0</v>
      </c>
      <c r="K174" s="7">
        <v>30.0</v>
      </c>
      <c r="L174" s="7">
        <v>0.0</v>
      </c>
      <c r="M174" s="7">
        <v>9.0</v>
      </c>
      <c r="N174" s="7">
        <v>0.462</v>
      </c>
      <c r="O174" s="7">
        <v>287.0</v>
      </c>
      <c r="P174" s="7">
        <v>1.72</v>
      </c>
      <c r="Q174" s="7">
        <v>0.994531</v>
      </c>
      <c r="R174" s="7">
        <v>0.993182</v>
      </c>
      <c r="S174" s="10">
        <f t="shared" si="2"/>
        <v>30</v>
      </c>
      <c r="T174" s="10">
        <f t="shared" si="3"/>
        <v>5.234543211</v>
      </c>
      <c r="U174" s="11">
        <f t="shared" si="4"/>
        <v>50.76665325</v>
      </c>
      <c r="V174" s="8">
        <f t="shared" si="38"/>
        <v>23.4541938</v>
      </c>
      <c r="W174" s="12">
        <f t="shared" si="5"/>
        <v>1.75</v>
      </c>
      <c r="X174" s="12">
        <f t="shared" si="6"/>
        <v>64.49903295</v>
      </c>
      <c r="Y174" s="12">
        <f t="shared" si="7"/>
        <v>139.6082964</v>
      </c>
      <c r="Z174" s="8">
        <f t="shared" si="19"/>
        <v>35.45395582</v>
      </c>
      <c r="AA174" s="8">
        <f t="shared" si="31"/>
        <v>27</v>
      </c>
      <c r="AB174" s="13">
        <f t="shared" si="9"/>
        <v>0.9</v>
      </c>
      <c r="AC174" s="13">
        <f t="shared" si="10"/>
        <v>0.7615511266</v>
      </c>
      <c r="AD174" s="13">
        <f>AA174/vlookup(A174,Max!$A$2:$AP$700,column(Max!$AP$2),false)</f>
        <v>2.076923077</v>
      </c>
      <c r="AE174" s="8">
        <f t="shared" si="11"/>
        <v>18.2184742</v>
      </c>
      <c r="AF174" s="14">
        <f t="shared" si="12"/>
        <v>0.965438477</v>
      </c>
      <c r="AG174" s="14">
        <f t="shared" si="13"/>
        <v>1.026492793</v>
      </c>
      <c r="AH174" s="14">
        <f t="shared" si="14"/>
        <v>1.5</v>
      </c>
      <c r="AI174" s="14">
        <f t="shared" si="15"/>
        <v>0.994328587</v>
      </c>
      <c r="AJ174" s="15">
        <f t="shared" si="16"/>
        <v>0</v>
      </c>
      <c r="AK174" s="15" t="str">
        <f t="shared" si="17"/>
        <v>  @CONFIG[TD-339] {
   %cost = 27
   @cost -= #$../../cost$
  }</v>
      </c>
    </row>
    <row r="175" ht="15.75" customHeight="1">
      <c r="A175" s="7" t="s">
        <v>797</v>
      </c>
      <c r="B175" s="7" t="s">
        <v>797</v>
      </c>
      <c r="C175" s="8">
        <f t="shared" si="1"/>
        <v>-12</v>
      </c>
      <c r="D175" s="7">
        <v>1965.0</v>
      </c>
      <c r="E175" s="7"/>
      <c r="F175" s="7" t="b">
        <v>0</v>
      </c>
      <c r="G175" s="7" t="b">
        <v>0</v>
      </c>
      <c r="H175" s="7" t="b">
        <v>0</v>
      </c>
      <c r="I175" s="7" t="b">
        <v>0</v>
      </c>
      <c r="J175" s="9" t="b">
        <v>0</v>
      </c>
      <c r="K175" s="7">
        <v>500.0</v>
      </c>
      <c r="L175" s="7">
        <v>0.0</v>
      </c>
      <c r="M175" s="7">
        <v>190.0</v>
      </c>
      <c r="N175" s="7">
        <v>320.6</v>
      </c>
      <c r="O175" s="7">
        <v>230.0</v>
      </c>
      <c r="P175" s="7">
        <v>1.76</v>
      </c>
      <c r="Q175" s="7">
        <v>0.925</v>
      </c>
      <c r="R175" s="7">
        <v>0.925</v>
      </c>
      <c r="S175" s="10">
        <f t="shared" si="2"/>
        <v>500</v>
      </c>
      <c r="T175" s="10">
        <f t="shared" si="3"/>
        <v>172.0636931</v>
      </c>
      <c r="U175" s="11">
        <f t="shared" si="4"/>
        <v>0.4101826563</v>
      </c>
      <c r="V175" s="8">
        <f t="shared" si="38"/>
        <v>131.5045596</v>
      </c>
      <c r="W175" s="12">
        <f t="shared" si="5"/>
        <v>1.75</v>
      </c>
      <c r="X175" s="12">
        <f t="shared" si="6"/>
        <v>361.6375389</v>
      </c>
      <c r="Y175" s="12">
        <f t="shared" si="7"/>
        <v>1.128002305</v>
      </c>
      <c r="Z175" s="8">
        <f t="shared" si="19"/>
        <v>115.14868</v>
      </c>
      <c r="AA175" s="8">
        <f t="shared" si="31"/>
        <v>88</v>
      </c>
      <c r="AB175" s="13">
        <f t="shared" si="9"/>
        <v>0.176</v>
      </c>
      <c r="AC175" s="13">
        <f t="shared" si="10"/>
        <v>0.7642293424</v>
      </c>
      <c r="AD175" s="13">
        <f>AA175/vlookup(A175,Max!$A$2:$AP$700,column(Max!$AP$2),false)</f>
        <v>1.073170732</v>
      </c>
      <c r="AE175" s="8">
        <f t="shared" si="11"/>
        <v>112.4384342</v>
      </c>
      <c r="AF175" s="14">
        <f t="shared" si="12"/>
        <v>0.8868200397</v>
      </c>
      <c r="AG175" s="14">
        <f t="shared" si="13"/>
        <v>1.042645018</v>
      </c>
      <c r="AH175" s="14">
        <f t="shared" si="14"/>
        <v>1</v>
      </c>
      <c r="AI175" s="14">
        <f t="shared" si="15"/>
        <v>0.8438521191</v>
      </c>
      <c r="AJ175" s="27">
        <f t="shared" si="16"/>
        <v>-12</v>
      </c>
      <c r="AK175" s="15" t="str">
        <f t="shared" si="17"/>
        <v>  @CONFIG[Vexin] {
   %cost = 88
   @cost -= #$../../cost$
  }</v>
      </c>
    </row>
    <row r="176" ht="15.75" customHeight="1">
      <c r="A176" s="16" t="s">
        <v>61</v>
      </c>
      <c r="B176" s="16" t="s">
        <v>54</v>
      </c>
      <c r="C176" s="8">
        <f t="shared" si="1"/>
        <v>59</v>
      </c>
      <c r="D176" s="16">
        <v>1965.0</v>
      </c>
      <c r="E176" s="16"/>
      <c r="F176" s="16" t="b">
        <v>1</v>
      </c>
      <c r="G176" s="16" t="b">
        <v>0</v>
      </c>
      <c r="H176" s="16" t="b">
        <v>1</v>
      </c>
      <c r="I176" s="16" t="b">
        <v>0</v>
      </c>
      <c r="J176" s="9" t="b">
        <v>0</v>
      </c>
      <c r="K176" s="16">
        <v>150.0</v>
      </c>
      <c r="L176" s="16">
        <v>100.0</v>
      </c>
      <c r="M176" s="16">
        <v>137.26</v>
      </c>
      <c r="N176" s="16">
        <v>71.17</v>
      </c>
      <c r="O176" s="16">
        <v>290.5</v>
      </c>
      <c r="P176" s="16">
        <v>3.48</v>
      </c>
      <c r="Q176" s="16">
        <v>0.9977</v>
      </c>
      <c r="R176" s="16">
        <v>0.9978</v>
      </c>
      <c r="S176" s="19">
        <f t="shared" si="2"/>
        <v>250</v>
      </c>
      <c r="T176" s="19">
        <f t="shared" si="3"/>
        <v>52.8727981</v>
      </c>
      <c r="U176" s="20">
        <f t="shared" si="4"/>
        <v>1.820910077</v>
      </c>
      <c r="V176" s="17">
        <f t="shared" si="38"/>
        <v>129.5941702</v>
      </c>
      <c r="W176" s="21">
        <f t="shared" si="5"/>
        <v>4</v>
      </c>
      <c r="X176" s="21">
        <f t="shared" si="6"/>
        <v>647.9708508</v>
      </c>
      <c r="Y176" s="21">
        <f t="shared" si="7"/>
        <v>9.104550383</v>
      </c>
      <c r="Z176" s="8">
        <f t="shared" si="19"/>
        <v>131.6035355</v>
      </c>
      <c r="AA176" s="8">
        <f t="shared" si="31"/>
        <v>110</v>
      </c>
      <c r="AB176" s="13">
        <f t="shared" si="9"/>
        <v>0.44</v>
      </c>
      <c r="AC176" s="13">
        <f t="shared" si="10"/>
        <v>0.8358438058</v>
      </c>
      <c r="AD176" s="13">
        <f>AA176/vlookup(A176,Max!$A$2:$AP$700,column(Max!$AP$2),false)</f>
        <v>1.617647059</v>
      </c>
      <c r="AE176" s="8">
        <f t="shared" si="11"/>
        <v>92.32648834</v>
      </c>
      <c r="AF176" s="14">
        <f t="shared" si="12"/>
        <v>0.9739191239</v>
      </c>
      <c r="AG176" s="14">
        <f t="shared" si="13"/>
        <v>1.202866234</v>
      </c>
      <c r="AH176" s="14">
        <f t="shared" si="14"/>
        <v>1</v>
      </c>
      <c r="AI176" s="14">
        <f t="shared" si="15"/>
        <v>1.013959697</v>
      </c>
      <c r="AJ176" s="27">
        <f t="shared" si="16"/>
        <v>59</v>
      </c>
      <c r="AK176" s="15" t="str">
        <f t="shared" si="17"/>
        <v>  @CONFIG[XLR81-BA-13] {
   %cost = 110
   @cost -= #$../../cost$
  }</v>
      </c>
    </row>
    <row r="177" ht="15.75" customHeight="1">
      <c r="A177" s="7" t="s">
        <v>632</v>
      </c>
      <c r="B177" s="7" t="s">
        <v>630</v>
      </c>
      <c r="C177" s="8">
        <f t="shared" si="1"/>
        <v>10</v>
      </c>
      <c r="D177" s="7">
        <v>1966.0</v>
      </c>
      <c r="E177" s="7"/>
      <c r="F177" s="7" t="b">
        <v>1</v>
      </c>
      <c r="G177" s="7" t="b">
        <v>0</v>
      </c>
      <c r="H177" s="7" t="b">
        <v>1</v>
      </c>
      <c r="I177" s="7" t="b">
        <v>0</v>
      </c>
      <c r="J177" s="9" t="b">
        <v>0</v>
      </c>
      <c r="K177" s="7">
        <v>400.0</v>
      </c>
      <c r="L177" s="7">
        <v>10.0</v>
      </c>
      <c r="M177" s="7">
        <v>148.0</v>
      </c>
      <c r="N177" s="7">
        <v>67.3</v>
      </c>
      <c r="O177" s="7">
        <v>342.2</v>
      </c>
      <c r="P177" s="7">
        <v>5.4</v>
      </c>
      <c r="Q177" s="7">
        <v>0.996173</v>
      </c>
      <c r="R177" s="7">
        <v>0.998454</v>
      </c>
      <c r="S177" s="10">
        <f t="shared" si="2"/>
        <v>410</v>
      </c>
      <c r="T177" s="10">
        <f t="shared" si="3"/>
        <v>46.36952766</v>
      </c>
      <c r="U177" s="11">
        <f t="shared" si="4"/>
        <v>2.285837126</v>
      </c>
      <c r="V177" s="8">
        <f t="shared" si="38"/>
        <v>153.8368386</v>
      </c>
      <c r="W177" s="12">
        <f t="shared" si="5"/>
        <v>4</v>
      </c>
      <c r="X177" s="12">
        <f t="shared" si="6"/>
        <v>769.1841929</v>
      </c>
      <c r="Y177" s="12">
        <f t="shared" si="7"/>
        <v>11.42918563</v>
      </c>
      <c r="Z177" s="8">
        <f t="shared" si="19"/>
        <v>156.0879202</v>
      </c>
      <c r="AA177" s="8">
        <f t="shared" si="31"/>
        <v>175</v>
      </c>
      <c r="AB177" s="13">
        <f t="shared" si="9"/>
        <v>0.4268292683</v>
      </c>
      <c r="AC177" s="13">
        <f t="shared" si="10"/>
        <v>1.121162994</v>
      </c>
      <c r="AD177" s="13">
        <f>AA177/vlookup(A177,Max!$A$2:$AP$700,column(Max!$AP$2),false)</f>
        <v>1.767676768</v>
      </c>
      <c r="AE177" s="8">
        <f t="shared" si="11"/>
        <v>96.63426563</v>
      </c>
      <c r="AF177" s="14">
        <f t="shared" si="12"/>
        <v>1.350200184</v>
      </c>
      <c r="AG177" s="14">
        <f t="shared" si="13"/>
        <v>1.327854837</v>
      </c>
      <c r="AH177" s="14">
        <f t="shared" si="14"/>
        <v>1</v>
      </c>
      <c r="AI177" s="14">
        <f t="shared" si="15"/>
        <v>1.011740378</v>
      </c>
      <c r="AJ177" s="27">
        <f t="shared" si="16"/>
        <v>10</v>
      </c>
      <c r="AK177" s="15" t="str">
        <f t="shared" si="17"/>
        <v>  @CONFIG[11D33M] {
   %cost = 175
   @cost -= #$../../cost$
  }</v>
      </c>
    </row>
    <row r="178" ht="15.75" customHeight="1">
      <c r="A178" s="7" t="s">
        <v>78</v>
      </c>
      <c r="B178" s="7" t="s">
        <v>76</v>
      </c>
      <c r="C178" s="8">
        <f t="shared" si="1"/>
        <v>133</v>
      </c>
      <c r="D178" s="7">
        <v>1966.0</v>
      </c>
      <c r="E178" s="7" t="b">
        <v>1</v>
      </c>
      <c r="F178" s="7" t="b">
        <v>0</v>
      </c>
      <c r="G178" s="7" t="b">
        <v>0</v>
      </c>
      <c r="H178" s="7" t="b">
        <v>1</v>
      </c>
      <c r="I178" s="7" t="b">
        <v>0</v>
      </c>
      <c r="J178" s="9" t="b">
        <v>0</v>
      </c>
      <c r="K178" s="7">
        <v>200.0</v>
      </c>
      <c r="L178" s="7">
        <v>100.0</v>
      </c>
      <c r="M178" s="7">
        <v>81.0</v>
      </c>
      <c r="N178" s="7">
        <v>26.7</v>
      </c>
      <c r="O178" s="7">
        <v>430.0</v>
      </c>
      <c r="P178" s="7">
        <v>0.45</v>
      </c>
      <c r="Q178" s="7">
        <v>0.9965</v>
      </c>
      <c r="R178" s="7">
        <v>0.998</v>
      </c>
      <c r="S178" s="10">
        <f t="shared" si="2"/>
        <v>300</v>
      </c>
      <c r="T178" s="10">
        <f t="shared" si="3"/>
        <v>33.61286766</v>
      </c>
      <c r="U178" s="11">
        <f t="shared" si="4"/>
        <v>9.513108614</v>
      </c>
      <c r="V178" s="8">
        <v>254.0</v>
      </c>
      <c r="W178" s="12">
        <f t="shared" si="5"/>
        <v>1.75</v>
      </c>
      <c r="X178" s="12">
        <f t="shared" si="6"/>
        <v>698.5</v>
      </c>
      <c r="Y178" s="12">
        <f t="shared" si="7"/>
        <v>26.16104869</v>
      </c>
      <c r="Z178" s="8">
        <f t="shared" si="19"/>
        <v>257.684778</v>
      </c>
      <c r="AA178" s="8">
        <f t="shared" si="31"/>
        <v>206</v>
      </c>
      <c r="AB178" s="13">
        <f t="shared" si="9"/>
        <v>0.6866666667</v>
      </c>
      <c r="AC178" s="13">
        <f t="shared" si="10"/>
        <v>0.7994263441</v>
      </c>
      <c r="AD178" s="13">
        <f>AA178/vlookup(A178,Max!$A$2:$AP$700,column(Max!$AP$2),false)</f>
        <v>1.084210526</v>
      </c>
      <c r="AE178" s="8">
        <f t="shared" si="11"/>
        <v>95.7250295</v>
      </c>
      <c r="AF178" s="14">
        <f t="shared" si="12"/>
        <v>2.80669557</v>
      </c>
      <c r="AG178" s="14">
        <f t="shared" si="13"/>
        <v>0.7591626266</v>
      </c>
      <c r="AH178" s="14">
        <f t="shared" si="14"/>
        <v>1</v>
      </c>
      <c r="AI178" s="14">
        <f t="shared" si="15"/>
        <v>1.011420203</v>
      </c>
      <c r="AJ178" s="27">
        <f t="shared" si="16"/>
        <v>133</v>
      </c>
      <c r="AK178" s="15" t="str">
        <f t="shared" si="17"/>
        <v>  @CONFIG[AJ10-133-LH] {
   %cost = 206
   @cost -= #$../../cost$
  }</v>
      </c>
    </row>
    <row r="179" ht="15.75" customHeight="1">
      <c r="A179" s="7" t="s">
        <v>131</v>
      </c>
      <c r="B179" s="7" t="s">
        <v>130</v>
      </c>
      <c r="C179" s="8">
        <f t="shared" si="1"/>
        <v>28</v>
      </c>
      <c r="D179" s="7">
        <v>1966.0</v>
      </c>
      <c r="E179" s="7" t="b">
        <v>0</v>
      </c>
      <c r="F179" s="7" t="b">
        <v>1</v>
      </c>
      <c r="G179" s="7" t="b">
        <v>0</v>
      </c>
      <c r="H179" s="7" t="b">
        <v>0</v>
      </c>
      <c r="I179" s="7" t="b">
        <v>0</v>
      </c>
      <c r="J179" s="9" t="b">
        <v>0</v>
      </c>
      <c r="K179" s="7"/>
      <c r="L179" s="7"/>
      <c r="M179" s="7">
        <v>1814.4</v>
      </c>
      <c r="N179" s="7">
        <v>2366.39</v>
      </c>
      <c r="O179" s="7">
        <v>291.0</v>
      </c>
      <c r="P179" s="7">
        <v>5.45</v>
      </c>
      <c r="Q179" s="7">
        <v>0.996939</v>
      </c>
      <c r="R179" s="7">
        <v>0.996939</v>
      </c>
      <c r="S179" s="10">
        <f t="shared" si="2"/>
        <v>0</v>
      </c>
      <c r="T179" s="10">
        <f t="shared" si="3"/>
        <v>132.9941712</v>
      </c>
      <c r="U179" s="11">
        <f t="shared" si="4"/>
        <v>0.271456521</v>
      </c>
      <c r="V179" s="8">
        <f t="shared" ref="V179:V180" si="39">0.2*(8.17*POWER(M179*P179,0.46))+0.8*(0.146*POWER(M179*O179,0.639))</f>
        <v>642.3719966</v>
      </c>
      <c r="W179" s="12">
        <f t="shared" si="5"/>
        <v>4</v>
      </c>
      <c r="X179" s="12">
        <f t="shared" si="6"/>
        <v>3211.859983</v>
      </c>
      <c r="Y179" s="12">
        <f t="shared" si="7"/>
        <v>1.357282605</v>
      </c>
      <c r="Z179" s="8">
        <f t="shared" si="19"/>
        <v>651.292854</v>
      </c>
      <c r="AA179" s="8">
        <f t="shared" si="31"/>
        <v>652</v>
      </c>
      <c r="AB179" s="13" t="str">
        <f t="shared" si="9"/>
        <v>#N/A</v>
      </c>
      <c r="AC179" s="13">
        <f t="shared" si="10"/>
        <v>1.001085757</v>
      </c>
      <c r="AD179" s="13">
        <f>AA179/vlookup(A179,Max!$A$2:$AP$700,column(Max!$AP$2),false)</f>
        <v>0.5669565217</v>
      </c>
      <c r="AE179" s="8">
        <f t="shared" si="11"/>
        <v>448.9070112</v>
      </c>
      <c r="AF179" s="14">
        <f t="shared" si="12"/>
        <v>0.9751775897</v>
      </c>
      <c r="AG179" s="14">
        <f t="shared" si="13"/>
        <v>1.463529979</v>
      </c>
      <c r="AH179" s="14">
        <f t="shared" si="14"/>
        <v>1</v>
      </c>
      <c r="AI179" s="14">
        <f t="shared" si="15"/>
        <v>1.017614949</v>
      </c>
      <c r="AJ179" s="27">
        <f t="shared" si="16"/>
        <v>28</v>
      </c>
      <c r="AK179" s="15" t="str">
        <f t="shared" si="17"/>
        <v>  @CONFIG[E-1-468k] {
   %cost = 652
   @cost -= #$../../cost$
  }</v>
      </c>
    </row>
    <row r="180" ht="15.75" customHeight="1">
      <c r="A180" s="7" t="s">
        <v>1018</v>
      </c>
      <c r="B180" s="7" t="s">
        <v>158</v>
      </c>
      <c r="C180" s="8">
        <f t="shared" si="1"/>
        <v>21</v>
      </c>
      <c r="D180" s="7">
        <v>1966.0</v>
      </c>
      <c r="E180" s="7"/>
      <c r="F180" s="7" t="b">
        <v>1</v>
      </c>
      <c r="G180" s="7" t="b">
        <v>0</v>
      </c>
      <c r="H180" s="7" t="b">
        <v>0</v>
      </c>
      <c r="I180" s="7" t="b">
        <v>0</v>
      </c>
      <c r="J180" s="9" t="b">
        <v>0</v>
      </c>
      <c r="K180" s="7">
        <v>250.0</v>
      </c>
      <c r="L180" s="7">
        <v>10.0</v>
      </c>
      <c r="M180" s="7">
        <v>911.0</v>
      </c>
      <c r="N180" s="7">
        <v>997.93</v>
      </c>
      <c r="O180" s="7">
        <v>295.0</v>
      </c>
      <c r="P180" s="7">
        <v>4.75</v>
      </c>
      <c r="Q180" s="7">
        <v>0.996341</v>
      </c>
      <c r="R180" s="7">
        <v>0.996341</v>
      </c>
      <c r="S180" s="10">
        <f t="shared" si="2"/>
        <v>260</v>
      </c>
      <c r="T180" s="10">
        <f t="shared" si="3"/>
        <v>111.7020195</v>
      </c>
      <c r="U180" s="11">
        <f t="shared" si="4"/>
        <v>0.4219550128</v>
      </c>
      <c r="V180" s="8">
        <f t="shared" si="39"/>
        <v>421.081566</v>
      </c>
      <c r="W180" s="12">
        <f t="shared" si="5"/>
        <v>4</v>
      </c>
      <c r="X180" s="12">
        <f t="shared" si="6"/>
        <v>2105.40783</v>
      </c>
      <c r="Y180" s="12">
        <f t="shared" si="7"/>
        <v>2.109775064</v>
      </c>
      <c r="Z180" s="8">
        <f t="shared" si="19"/>
        <v>426.4273599</v>
      </c>
      <c r="AA180" s="8">
        <f t="shared" si="31"/>
        <v>413</v>
      </c>
      <c r="AB180" s="13">
        <f t="shared" si="9"/>
        <v>1.588461538</v>
      </c>
      <c r="AC180" s="13">
        <f t="shared" si="10"/>
        <v>0.9685119643</v>
      </c>
      <c r="AD180" s="13">
        <f>AA180/vlookup(A180,Max!$A$2:$AP$700,column(Max!$AP$2),false)</f>
        <v>0.826</v>
      </c>
      <c r="AE180" s="8">
        <f t="shared" si="11"/>
        <v>293.3113531</v>
      </c>
      <c r="AF180" s="14">
        <f t="shared" si="12"/>
        <v>0.985688335</v>
      </c>
      <c r="AG180" s="14">
        <f t="shared" si="13"/>
        <v>1.404399787</v>
      </c>
      <c r="AH180" s="14">
        <f t="shared" si="14"/>
        <v>1</v>
      </c>
      <c r="AI180" s="14">
        <f t="shared" si="15"/>
        <v>1.01608963</v>
      </c>
      <c r="AJ180" s="27">
        <f t="shared" si="16"/>
        <v>21</v>
      </c>
      <c r="AK180" s="15" t="str">
        <f t="shared" si="17"/>
        <v>  @CONFIG[H-1-200k] {
   %cost = 413
   @cost -= #$../../cost$
  }</v>
      </c>
    </row>
    <row r="181" ht="15.75" customHeight="1">
      <c r="A181" s="16" t="s">
        <v>176</v>
      </c>
      <c r="B181" s="16" t="s">
        <v>177</v>
      </c>
      <c r="C181" s="8">
        <f t="shared" si="1"/>
        <v>428</v>
      </c>
      <c r="D181" s="16">
        <v>1966.0</v>
      </c>
      <c r="E181" s="16" t="b">
        <v>1</v>
      </c>
      <c r="F181" s="16" t="b">
        <v>1</v>
      </c>
      <c r="G181" s="16" t="b">
        <v>0</v>
      </c>
      <c r="H181" s="16" t="b">
        <v>1</v>
      </c>
      <c r="I181" s="16" t="b">
        <v>0</v>
      </c>
      <c r="J181" s="9" t="b">
        <v>0</v>
      </c>
      <c r="K181" s="16">
        <v>500.0</v>
      </c>
      <c r="L181" s="16">
        <v>0.0</v>
      </c>
      <c r="M181" s="16">
        <v>150.0</v>
      </c>
      <c r="N181" s="16">
        <v>62.4</v>
      </c>
      <c r="O181" s="16">
        <v>440.8</v>
      </c>
      <c r="P181" s="16">
        <v>3.0</v>
      </c>
      <c r="Q181" s="16">
        <v>0.986364</v>
      </c>
      <c r="R181" s="16">
        <v>0.968182</v>
      </c>
      <c r="S181" s="19">
        <f t="shared" si="2"/>
        <v>500</v>
      </c>
      <c r="T181" s="19">
        <f t="shared" si="3"/>
        <v>42.42019434</v>
      </c>
      <c r="U181" s="20">
        <f t="shared" si="4"/>
        <v>13.00568778</v>
      </c>
      <c r="V181" s="17">
        <f t="shared" ref="V181:V184" si="40">0.9*(0.00015*M181*O181*P181+797)+0.1*(43.1*POWER(M181,0.549))</f>
        <v>811.5549172</v>
      </c>
      <c r="W181" s="21">
        <f t="shared" si="5"/>
        <v>4</v>
      </c>
      <c r="X181" s="21">
        <f t="shared" si="6"/>
        <v>4057.774586</v>
      </c>
      <c r="Y181" s="21">
        <f t="shared" si="7"/>
        <v>65.02843888</v>
      </c>
      <c r="Z181" s="8">
        <f t="shared" si="19"/>
        <v>791.2497079</v>
      </c>
      <c r="AA181" s="8">
        <f t="shared" si="31"/>
        <v>428</v>
      </c>
      <c r="AB181" s="13">
        <f t="shared" si="9"/>
        <v>0.856</v>
      </c>
      <c r="AC181" s="13">
        <f t="shared" si="10"/>
        <v>0.5409164714</v>
      </c>
      <c r="AD181" s="13">
        <f>AA181/vlookup(A181,Max!$A$2:$AP$700,column(Max!$AP$2),false)</f>
        <v>1.860869565</v>
      </c>
      <c r="AE181" s="8">
        <f t="shared" si="11"/>
        <v>129.9921419</v>
      </c>
      <c r="AF181" s="14">
        <f t="shared" si="12"/>
        <v>3.098210678</v>
      </c>
      <c r="AG181" s="14">
        <f t="shared" si="13"/>
        <v>1.163360426</v>
      </c>
      <c r="AH181" s="14">
        <f t="shared" si="14"/>
        <v>1</v>
      </c>
      <c r="AI181" s="14">
        <f t="shared" si="15"/>
        <v>0.913897642</v>
      </c>
      <c r="AJ181" s="15">
        <f t="shared" si="16"/>
        <v>0</v>
      </c>
      <c r="AK181" s="15" t="str">
        <f t="shared" si="17"/>
        <v>  @CONFIG[HM-7] {
   %cost = 428
   @cost -= #$../../cost$
  }</v>
      </c>
    </row>
    <row r="182" ht="15.75" customHeight="1">
      <c r="A182" s="16" t="s">
        <v>1019</v>
      </c>
      <c r="B182" s="16" t="s">
        <v>185</v>
      </c>
      <c r="C182" s="8">
        <f t="shared" si="1"/>
        <v>1444</v>
      </c>
      <c r="D182" s="16">
        <v>1966.0</v>
      </c>
      <c r="E182" s="16" t="b">
        <v>1</v>
      </c>
      <c r="F182" s="16" t="b">
        <v>1</v>
      </c>
      <c r="G182" s="16" t="b">
        <v>0</v>
      </c>
      <c r="H182" s="16" t="b">
        <v>1</v>
      </c>
      <c r="I182" s="16" t="b">
        <v>0</v>
      </c>
      <c r="J182" s="9" t="b">
        <v>0</v>
      </c>
      <c r="K182" s="16">
        <v>1355.0</v>
      </c>
      <c r="L182" s="16">
        <v>0.0</v>
      </c>
      <c r="M182" s="16">
        <v>1566.708</v>
      </c>
      <c r="N182" s="16">
        <v>889.644</v>
      </c>
      <c r="O182" s="16">
        <v>418.0</v>
      </c>
      <c r="P182" s="16">
        <v>4.94</v>
      </c>
      <c r="Q182" s="16">
        <v>0.987931</v>
      </c>
      <c r="R182" s="16">
        <v>0.986538</v>
      </c>
      <c r="S182" s="19">
        <f t="shared" si="2"/>
        <v>1355</v>
      </c>
      <c r="T182" s="19">
        <f t="shared" si="3"/>
        <v>57.90386006</v>
      </c>
      <c r="U182" s="20">
        <f t="shared" si="4"/>
        <v>1.572180687</v>
      </c>
      <c r="V182" s="17">
        <f t="shared" si="40"/>
        <v>1398.681115</v>
      </c>
      <c r="W182" s="21">
        <f t="shared" si="5"/>
        <v>4</v>
      </c>
      <c r="X182" s="21">
        <f t="shared" si="6"/>
        <v>6993.405576</v>
      </c>
      <c r="Y182" s="21">
        <f t="shared" si="7"/>
        <v>7.860903435</v>
      </c>
      <c r="Z182" s="8">
        <f t="shared" si="19"/>
        <v>1391.172258</v>
      </c>
      <c r="AA182" s="8">
        <f t="shared" si="31"/>
        <v>1444</v>
      </c>
      <c r="AB182" s="13">
        <f t="shared" si="9"/>
        <v>1.065682657</v>
      </c>
      <c r="AC182" s="13">
        <f t="shared" si="10"/>
        <v>1.037973545</v>
      </c>
      <c r="AD182" s="13">
        <f>AA182/vlookup(A182,Max!$A$2:$AP$700,column(Max!$AP$2),false)</f>
        <v>0.9025</v>
      </c>
      <c r="AE182" s="8">
        <f t="shared" si="11"/>
        <v>457.7358324</v>
      </c>
      <c r="AF182" s="14">
        <f t="shared" si="12"/>
        <v>2.520190337</v>
      </c>
      <c r="AG182" s="14">
        <f t="shared" si="13"/>
        <v>1.301519165</v>
      </c>
      <c r="AH182" s="14">
        <f t="shared" si="14"/>
        <v>1</v>
      </c>
      <c r="AI182" s="14">
        <f t="shared" si="15"/>
        <v>0.9616412679</v>
      </c>
      <c r="AJ182" s="15">
        <f t="shared" si="16"/>
        <v>0</v>
      </c>
      <c r="AK182" s="15" t="str">
        <f t="shared" si="17"/>
        <v>  @CONFIG[J-2-200k] {
   %cost = 1444
   @cost -= #$../../cost$
  }</v>
      </c>
    </row>
    <row r="183" ht="15.75" customHeight="1">
      <c r="A183" s="7" t="s">
        <v>1020</v>
      </c>
      <c r="B183" s="7" t="s">
        <v>185</v>
      </c>
      <c r="C183" s="8">
        <f t="shared" si="1"/>
        <v>75</v>
      </c>
      <c r="D183" s="7">
        <v>1966.0</v>
      </c>
      <c r="E183" s="7" t="b">
        <v>1</v>
      </c>
      <c r="F183" s="7" t="b">
        <v>1</v>
      </c>
      <c r="G183" s="7" t="b">
        <v>0</v>
      </c>
      <c r="H183" s="7" t="b">
        <v>1</v>
      </c>
      <c r="I183" s="7" t="b">
        <v>0</v>
      </c>
      <c r="J183" s="9" t="b">
        <v>0</v>
      </c>
      <c r="K183" s="7">
        <v>1355.0</v>
      </c>
      <c r="L183" s="7">
        <v>150.0</v>
      </c>
      <c r="M183" s="33">
        <f>1566.708*1.093</f>
        <v>1712.411844</v>
      </c>
      <c r="N183" s="7">
        <v>889.644</v>
      </c>
      <c r="O183" s="7">
        <v>418.0</v>
      </c>
      <c r="P183" s="7">
        <v>4.94</v>
      </c>
      <c r="Q183" s="7">
        <v>0.987931</v>
      </c>
      <c r="R183" s="7">
        <v>0.986538</v>
      </c>
      <c r="S183" s="10">
        <f t="shared" si="2"/>
        <v>1505</v>
      </c>
      <c r="T183" s="10">
        <f t="shared" si="3"/>
        <v>52.97699914</v>
      </c>
      <c r="U183" s="11">
        <f t="shared" si="4"/>
        <v>1.631594066</v>
      </c>
      <c r="V183" s="8">
        <f t="shared" si="40"/>
        <v>1451.537871</v>
      </c>
      <c r="W183" s="12">
        <f t="shared" si="5"/>
        <v>4</v>
      </c>
      <c r="X183" s="12">
        <f t="shared" si="6"/>
        <v>7257.689355</v>
      </c>
      <c r="Y183" s="12">
        <f t="shared" si="7"/>
        <v>8.157970328</v>
      </c>
      <c r="Z183" s="8">
        <f t="shared" si="19"/>
        <v>1443.74525</v>
      </c>
      <c r="AA183" s="8">
        <f t="shared" si="31"/>
        <v>1519</v>
      </c>
      <c r="AB183" s="13">
        <f t="shared" si="9"/>
        <v>1.009302326</v>
      </c>
      <c r="AC183" s="13">
        <f t="shared" si="10"/>
        <v>1.052124673</v>
      </c>
      <c r="AD183" s="13">
        <f>AA183/vlookup(A183,Max!$A$2:$AP$700,column(Max!$AP$2),false)</f>
        <v>0.8438888889</v>
      </c>
      <c r="AE183" s="8">
        <f t="shared" si="11"/>
        <v>481.5064932</v>
      </c>
      <c r="AF183" s="14">
        <f t="shared" si="12"/>
        <v>2.520190337</v>
      </c>
      <c r="AG183" s="14">
        <f t="shared" si="13"/>
        <v>1.301519165</v>
      </c>
      <c r="AH183" s="14">
        <f t="shared" si="14"/>
        <v>1</v>
      </c>
      <c r="AI183" s="14">
        <f t="shared" si="15"/>
        <v>0.9616412679</v>
      </c>
      <c r="AJ183" s="27">
        <f t="shared" si="16"/>
        <v>75</v>
      </c>
      <c r="AK183" s="15" t="str">
        <f t="shared" si="17"/>
        <v>  @CONFIG[J-2-200K-CVS] {
   %cost = 1519
   @cost -= #$../../cost$
  }</v>
      </c>
    </row>
    <row r="184" ht="15.75" customHeight="1">
      <c r="A184" s="7" t="s">
        <v>326</v>
      </c>
      <c r="B184" s="7" t="s">
        <v>325</v>
      </c>
      <c r="C184" s="8">
        <f t="shared" si="1"/>
        <v>179</v>
      </c>
      <c r="D184" s="7">
        <v>1966.0</v>
      </c>
      <c r="E184" s="7" t="b">
        <v>1</v>
      </c>
      <c r="F184" s="7" t="b">
        <v>1</v>
      </c>
      <c r="G184" s="7" t="b">
        <v>0</v>
      </c>
      <c r="H184" s="7" t="b">
        <v>1</v>
      </c>
      <c r="I184" s="7" t="b">
        <v>0</v>
      </c>
      <c r="J184" s="9" t="b">
        <v>0</v>
      </c>
      <c r="K184" s="7">
        <v>700.0</v>
      </c>
      <c r="L184" s="7">
        <v>250.0</v>
      </c>
      <c r="M184" s="7">
        <v>1050.0</v>
      </c>
      <c r="N184" s="7">
        <v>778.0</v>
      </c>
      <c r="O184" s="7">
        <v>421.0</v>
      </c>
      <c r="P184" s="7">
        <v>5.48</v>
      </c>
      <c r="Q184" s="7">
        <v>0.975</v>
      </c>
      <c r="R184" s="7">
        <v>0.98</v>
      </c>
      <c r="S184" s="10">
        <f t="shared" si="2"/>
        <v>950</v>
      </c>
      <c r="T184" s="10">
        <f t="shared" si="3"/>
        <v>75.55611537</v>
      </c>
      <c r="U184" s="11">
        <f t="shared" si="4"/>
        <v>1.594748639</v>
      </c>
      <c r="V184" s="8">
        <f t="shared" si="40"/>
        <v>1240.714441</v>
      </c>
      <c r="W184" s="12">
        <f t="shared" si="5"/>
        <v>4</v>
      </c>
      <c r="X184" s="12">
        <f t="shared" si="6"/>
        <v>6203.572206</v>
      </c>
      <c r="Y184" s="12">
        <f t="shared" si="7"/>
        <v>7.973743195</v>
      </c>
      <c r="Z184" s="8">
        <f t="shared" si="19"/>
        <v>1210.316937</v>
      </c>
      <c r="AA184" s="8">
        <f t="shared" si="31"/>
        <v>1153</v>
      </c>
      <c r="AB184" s="13">
        <f t="shared" si="9"/>
        <v>1.213684211</v>
      </c>
      <c r="AC184" s="13">
        <f t="shared" si="10"/>
        <v>0.9526430346</v>
      </c>
      <c r="AD184" s="13">
        <f>AA184/vlookup(A184,Max!$A$2:$AP$700,column(Max!$AP$2),false)</f>
        <v>0.720625</v>
      </c>
      <c r="AE184" s="8">
        <f t="shared" si="11"/>
        <v>365.3573089</v>
      </c>
      <c r="AF184" s="14">
        <f t="shared" si="12"/>
        <v>2.588400216</v>
      </c>
      <c r="AG184" s="14">
        <f t="shared" si="13"/>
        <v>1.332255831</v>
      </c>
      <c r="AH184" s="14">
        <f t="shared" si="14"/>
        <v>1</v>
      </c>
      <c r="AI184" s="14">
        <f t="shared" si="15"/>
        <v>0.9151425362</v>
      </c>
      <c r="AJ184" s="27">
        <f t="shared" si="16"/>
        <v>179</v>
      </c>
      <c r="AK184" s="15" t="str">
        <f t="shared" si="17"/>
        <v>  @CONFIG[LR87-LH2-Vacuum] {
   %cost = 1153
   @cost -= #$../../cost$
  }</v>
      </c>
    </row>
    <row r="185" ht="15.75" customHeight="1">
      <c r="A185" s="16" t="s">
        <v>604</v>
      </c>
      <c r="B185" s="16" t="s">
        <v>605</v>
      </c>
      <c r="C185" s="8">
        <f t="shared" si="1"/>
        <v>796</v>
      </c>
      <c r="D185" s="16">
        <v>1966.0</v>
      </c>
      <c r="E185" s="16"/>
      <c r="F185" s="16" t="b">
        <v>1</v>
      </c>
      <c r="G185" s="16" t="b">
        <v>0</v>
      </c>
      <c r="H185" s="16" t="b">
        <v>1</v>
      </c>
      <c r="I185" s="16" t="b">
        <v>0</v>
      </c>
      <c r="J185" s="9" t="b">
        <v>0</v>
      </c>
      <c r="K185" s="16">
        <v>525.0</v>
      </c>
      <c r="L185" s="16">
        <v>0.0</v>
      </c>
      <c r="M185" s="16">
        <v>1450.0</v>
      </c>
      <c r="N185" s="16">
        <v>1622.0</v>
      </c>
      <c r="O185" s="16">
        <v>327.0</v>
      </c>
      <c r="P185" s="16">
        <v>14.71</v>
      </c>
      <c r="Q185" s="16">
        <v>0.997966</v>
      </c>
      <c r="R185" s="16">
        <v>0.997966</v>
      </c>
      <c r="S185" s="19">
        <f t="shared" si="2"/>
        <v>525</v>
      </c>
      <c r="T185" s="19">
        <f t="shared" si="3"/>
        <v>114.067565</v>
      </c>
      <c r="U185" s="20">
        <f t="shared" si="4"/>
        <v>0.4037505405</v>
      </c>
      <c r="V185" s="17">
        <f>0.2*(8.17*POWER(M185*P185,0.46))+0.8*(0.146*POWER(M185*O185,0.639))</f>
        <v>654.8833767</v>
      </c>
      <c r="W185" s="21">
        <f t="shared" si="5"/>
        <v>4</v>
      </c>
      <c r="X185" s="21">
        <f t="shared" si="6"/>
        <v>3274.416883</v>
      </c>
      <c r="Y185" s="21">
        <f t="shared" si="7"/>
        <v>2.018752702</v>
      </c>
      <c r="Z185" s="8">
        <f t="shared" si="19"/>
        <v>665.319688</v>
      </c>
      <c r="AA185" s="8">
        <f t="shared" si="31"/>
        <v>796</v>
      </c>
      <c r="AB185" s="13">
        <f t="shared" si="9"/>
        <v>1.516190476</v>
      </c>
      <c r="AC185" s="13">
        <f t="shared" si="10"/>
        <v>1.196417323</v>
      </c>
      <c r="AD185" s="13">
        <f>AA185/vlookup(A185,Max!$A$2:$AP$700,column(Max!$AP$2),false)</f>
        <v>0.796</v>
      </c>
      <c r="AE185" s="8">
        <f t="shared" si="11"/>
        <v>390.7527905</v>
      </c>
      <c r="AF185" s="14">
        <f t="shared" si="12"/>
        <v>1.206673473</v>
      </c>
      <c r="AG185" s="14">
        <f t="shared" si="13"/>
        <v>1.663699383</v>
      </c>
      <c r="AH185" s="14">
        <f t="shared" si="14"/>
        <v>1</v>
      </c>
      <c r="AI185" s="14">
        <f t="shared" si="15"/>
        <v>1.015057725</v>
      </c>
      <c r="AJ185" s="15">
        <f t="shared" si="16"/>
        <v>0</v>
      </c>
      <c r="AK185" s="15" t="str">
        <f t="shared" si="17"/>
        <v>  @CONFIG[RD-254] {
   %cost = 796
   @cost -= #$../../cost$
  }</v>
      </c>
    </row>
    <row r="186" ht="15.75" customHeight="1">
      <c r="A186" s="16" t="s">
        <v>662</v>
      </c>
      <c r="B186" s="16" t="s">
        <v>660</v>
      </c>
      <c r="C186" s="8">
        <f t="shared" si="1"/>
        <v>145</v>
      </c>
      <c r="D186" s="16">
        <v>1966.0</v>
      </c>
      <c r="E186" s="16" t="b">
        <v>1</v>
      </c>
      <c r="F186" s="16" t="b">
        <v>1</v>
      </c>
      <c r="G186" s="16" t="b">
        <v>0</v>
      </c>
      <c r="H186" s="16" t="b">
        <v>1</v>
      </c>
      <c r="I186" s="16" t="b">
        <v>0</v>
      </c>
      <c r="J186" s="9" t="b">
        <v>0</v>
      </c>
      <c r="K186" s="16">
        <v>500.0</v>
      </c>
      <c r="L186" s="16">
        <v>100.0</v>
      </c>
      <c r="M186" s="16">
        <v>131.0</v>
      </c>
      <c r="N186" s="16">
        <v>70.05</v>
      </c>
      <c r="O186" s="16">
        <v>442.2</v>
      </c>
      <c r="P186" s="16">
        <v>2.72</v>
      </c>
      <c r="Q186" s="16">
        <v>0.998128</v>
      </c>
      <c r="R186" s="16">
        <v>0.996316</v>
      </c>
      <c r="S186" s="19">
        <f t="shared" si="2"/>
        <v>600</v>
      </c>
      <c r="T186" s="19">
        <f t="shared" si="3"/>
        <v>54.52757291</v>
      </c>
      <c r="U186" s="20">
        <f t="shared" si="4"/>
        <v>11.43772036</v>
      </c>
      <c r="V186" s="17">
        <f>0.9*(0.00015*M186*O186*P186+797)+0.1*(43.1*POWER(M186,0.549))</f>
        <v>801.2123114</v>
      </c>
      <c r="W186" s="21">
        <f t="shared" si="5"/>
        <v>4</v>
      </c>
      <c r="X186" s="21">
        <f t="shared" si="6"/>
        <v>4006.061557</v>
      </c>
      <c r="Y186" s="21">
        <f t="shared" si="7"/>
        <v>57.18860181</v>
      </c>
      <c r="Z186" s="8">
        <f t="shared" si="19"/>
        <v>812.7905475</v>
      </c>
      <c r="AA186" s="8">
        <f t="shared" si="31"/>
        <v>439</v>
      </c>
      <c r="AB186" s="13">
        <f t="shared" si="9"/>
        <v>0.7316666667</v>
      </c>
      <c r="AC186" s="13">
        <f t="shared" si="10"/>
        <v>0.540114549</v>
      </c>
      <c r="AD186" s="13">
        <f>AA186/vlookup(A186,Max!$A$2:$AP$700,column(Max!$AP$2),false)</f>
        <v>0.9340425532</v>
      </c>
      <c r="AE186" s="8">
        <f t="shared" si="11"/>
        <v>121.4446052</v>
      </c>
      <c r="AF186" s="14">
        <f t="shared" si="12"/>
        <v>3.138561055</v>
      </c>
      <c r="AG186" s="14">
        <f t="shared" si="13"/>
        <v>1.137994092</v>
      </c>
      <c r="AH186" s="14">
        <f t="shared" si="14"/>
        <v>1</v>
      </c>
      <c r="AI186" s="14">
        <f t="shared" si="15"/>
        <v>1.011277565</v>
      </c>
      <c r="AJ186" s="27">
        <f t="shared" si="16"/>
        <v>145</v>
      </c>
      <c r="AK186" s="15" t="str">
        <f t="shared" si="17"/>
        <v>  @CONFIG[RL10A-3-3] {
   %cost = 439
   @cost -= #$../../cost$
  }</v>
      </c>
    </row>
    <row r="187" ht="15.75" customHeight="1">
      <c r="A187" s="7" t="s">
        <v>217</v>
      </c>
      <c r="B187" s="7" t="s">
        <v>216</v>
      </c>
      <c r="C187" s="8">
        <f t="shared" si="1"/>
        <v>58</v>
      </c>
      <c r="D187" s="7">
        <v>1966.0</v>
      </c>
      <c r="E187" s="7"/>
      <c r="F187" s="7" t="b">
        <v>1</v>
      </c>
      <c r="G187" s="7" t="b">
        <v>0</v>
      </c>
      <c r="H187" s="7" t="b">
        <v>1</v>
      </c>
      <c r="I187" s="7" t="b">
        <v>0</v>
      </c>
      <c r="J187" s="9" t="b">
        <v>0</v>
      </c>
      <c r="K187" s="7">
        <v>100.0</v>
      </c>
      <c r="L187" s="7">
        <v>0.0</v>
      </c>
      <c r="M187" s="7">
        <v>50.0</v>
      </c>
      <c r="N187" s="7">
        <v>4.03</v>
      </c>
      <c r="O187" s="7">
        <v>270.0</v>
      </c>
      <c r="P187" s="7">
        <v>3.92</v>
      </c>
      <c r="Q187" s="7">
        <v>0.995</v>
      </c>
      <c r="R187" s="7">
        <v>0.995</v>
      </c>
      <c r="S187" s="10">
        <f t="shared" si="2"/>
        <v>100</v>
      </c>
      <c r="T187" s="10">
        <f t="shared" si="3"/>
        <v>8.218912653</v>
      </c>
      <c r="U187" s="11">
        <f t="shared" si="4"/>
        <v>17.22656603</v>
      </c>
      <c r="V187" s="8">
        <f t="shared" ref="V187:V188" si="41">0.2*(8.17*POWER(M187*P187,0.46))+0.8*(0.146*POWER(M187*O187,0.639))</f>
        <v>69.42306111</v>
      </c>
      <c r="W187" s="12">
        <f t="shared" si="5"/>
        <v>4</v>
      </c>
      <c r="X187" s="12">
        <f t="shared" si="6"/>
        <v>347.1153055</v>
      </c>
      <c r="Y187" s="12">
        <f t="shared" si="7"/>
        <v>86.13283016</v>
      </c>
      <c r="Z187" s="8">
        <f t="shared" si="19"/>
        <v>70.11902729</v>
      </c>
      <c r="AA187" s="8">
        <f t="shared" si="31"/>
        <v>58</v>
      </c>
      <c r="AB187" s="13">
        <f t="shared" si="9"/>
        <v>0.58</v>
      </c>
      <c r="AC187" s="13">
        <f t="shared" si="10"/>
        <v>0.8271649257</v>
      </c>
      <c r="AD187" s="13">
        <f>AA187/vlookup(A187,Max!$A$2:$AP$700,column(Max!$AP$2),false)</f>
        <v>5.043478261</v>
      </c>
      <c r="AE187" s="8">
        <f t="shared" si="11"/>
        <v>50.28174842</v>
      </c>
      <c r="AF187" s="14">
        <f t="shared" si="12"/>
        <v>0.9315196521</v>
      </c>
      <c r="AG187" s="14">
        <f t="shared" si="13"/>
        <v>1.235524521</v>
      </c>
      <c r="AH187" s="14">
        <f t="shared" si="14"/>
        <v>1</v>
      </c>
      <c r="AI187" s="14">
        <f t="shared" si="15"/>
        <v>1.000063133</v>
      </c>
      <c r="AJ187" s="15">
        <f t="shared" si="16"/>
        <v>0</v>
      </c>
      <c r="AK187" s="15" t="str">
        <f t="shared" si="17"/>
        <v>  @CONFIG[S5_35] {
   %cost = 58
   @cost -= #$../../cost$
  }</v>
      </c>
    </row>
    <row r="188" ht="15.75" customHeight="1">
      <c r="A188" s="16" t="s">
        <v>215</v>
      </c>
      <c r="B188" s="16" t="s">
        <v>216</v>
      </c>
      <c r="C188" s="8">
        <f t="shared" si="1"/>
        <v>1</v>
      </c>
      <c r="D188" s="16">
        <v>1966.0</v>
      </c>
      <c r="E188" s="16"/>
      <c r="F188" s="16" t="b">
        <v>1</v>
      </c>
      <c r="G188" s="16" t="b">
        <v>0</v>
      </c>
      <c r="H188" s="16" t="b">
        <v>1</v>
      </c>
      <c r="I188" s="16" t="b">
        <v>0</v>
      </c>
      <c r="J188" s="9" t="b">
        <v>0</v>
      </c>
      <c r="K188" s="16">
        <v>100.0</v>
      </c>
      <c r="L188" s="16">
        <v>0.0</v>
      </c>
      <c r="M188" s="16">
        <v>50.0</v>
      </c>
      <c r="N188" s="16">
        <v>4.09</v>
      </c>
      <c r="O188" s="16">
        <v>278.0</v>
      </c>
      <c r="P188" s="16">
        <v>3.92</v>
      </c>
      <c r="Q188" s="16">
        <v>0.995</v>
      </c>
      <c r="R188" s="16">
        <v>0.995</v>
      </c>
      <c r="S188" s="19">
        <f t="shared" si="2"/>
        <v>100</v>
      </c>
      <c r="T188" s="19">
        <f t="shared" si="3"/>
        <v>8.341278598</v>
      </c>
      <c r="U188" s="20">
        <f t="shared" si="4"/>
        <v>17.20823966</v>
      </c>
      <c r="V188" s="17">
        <f t="shared" si="41"/>
        <v>70.38170023</v>
      </c>
      <c r="W188" s="21">
        <f t="shared" si="5"/>
        <v>4</v>
      </c>
      <c r="X188" s="21">
        <f t="shared" si="6"/>
        <v>351.9085011</v>
      </c>
      <c r="Y188" s="21">
        <f t="shared" si="7"/>
        <v>86.04119832</v>
      </c>
      <c r="Z188" s="8">
        <f t="shared" si="19"/>
        <v>71.08727677</v>
      </c>
      <c r="AA188" s="8">
        <f t="shared" si="31"/>
        <v>59</v>
      </c>
      <c r="AB188" s="13">
        <f t="shared" si="9"/>
        <v>0.59</v>
      </c>
      <c r="AC188" s="13">
        <f t="shared" si="10"/>
        <v>0.8299656799</v>
      </c>
      <c r="AD188" s="13">
        <f>AA188/vlookup(A188,Max!$A$2:$AP$700,column(Max!$AP$2),false)</f>
        <v>4.72</v>
      </c>
      <c r="AE188" s="8">
        <f t="shared" si="11"/>
        <v>50.28174842</v>
      </c>
      <c r="AF188" s="14">
        <f t="shared" si="12"/>
        <v>0.9460824974</v>
      </c>
      <c r="AG188" s="14">
        <f t="shared" si="13"/>
        <v>1.235524521</v>
      </c>
      <c r="AH188" s="14">
        <f t="shared" si="14"/>
        <v>1</v>
      </c>
      <c r="AI188" s="14">
        <f t="shared" si="15"/>
        <v>1.000063133</v>
      </c>
      <c r="AJ188" s="27">
        <f t="shared" si="16"/>
        <v>1</v>
      </c>
      <c r="AK188" s="15" t="str">
        <f t="shared" si="17"/>
        <v>  @CONFIG[S5_60] {
   %cost = 59
   @cost -= #$../../cost$
  }</v>
      </c>
    </row>
    <row r="189" ht="15.75" customHeight="1">
      <c r="A189" s="16" t="s">
        <v>62</v>
      </c>
      <c r="B189" s="16" t="s">
        <v>54</v>
      </c>
      <c r="C189" s="8">
        <f t="shared" si="1"/>
        <v>401</v>
      </c>
      <c r="D189" s="16">
        <v>1966.0</v>
      </c>
      <c r="E189" s="16" t="b">
        <v>1</v>
      </c>
      <c r="F189" s="16" t="b">
        <v>1</v>
      </c>
      <c r="G189" s="16" t="b">
        <v>0</v>
      </c>
      <c r="H189" s="16" t="b">
        <v>1</v>
      </c>
      <c r="I189" s="16" t="b">
        <v>0</v>
      </c>
      <c r="J189" s="9" t="b">
        <v>0</v>
      </c>
      <c r="K189" s="16">
        <v>150.0</v>
      </c>
      <c r="L189" s="16">
        <v>1050.0</v>
      </c>
      <c r="M189" s="16">
        <v>150.0</v>
      </c>
      <c r="N189" s="16">
        <v>53.7</v>
      </c>
      <c r="O189" s="16">
        <v>446.2</v>
      </c>
      <c r="P189" s="16">
        <v>2.06</v>
      </c>
      <c r="Q189" s="16">
        <v>0.994</v>
      </c>
      <c r="R189" s="16">
        <v>0.995</v>
      </c>
      <c r="S189" s="19">
        <f t="shared" si="2"/>
        <v>1200</v>
      </c>
      <c r="T189" s="19">
        <f t="shared" si="3"/>
        <v>36.50584032</v>
      </c>
      <c r="U189" s="20">
        <f t="shared" si="4"/>
        <v>14.96069926</v>
      </c>
      <c r="V189" s="17">
        <f>0.9*(0.00015*M189*O189*P189+797)+0.1*(43.1*POWER(M189,0.549))</f>
        <v>803.3895502</v>
      </c>
      <c r="W189" s="21">
        <f t="shared" si="5"/>
        <v>4</v>
      </c>
      <c r="X189" s="21">
        <f t="shared" si="6"/>
        <v>4016.947751</v>
      </c>
      <c r="Y189" s="21">
        <f t="shared" si="7"/>
        <v>74.8034963</v>
      </c>
      <c r="Z189" s="8">
        <f t="shared" si="19"/>
        <v>810.6441579</v>
      </c>
      <c r="AA189" s="8">
        <f t="shared" si="31"/>
        <v>452</v>
      </c>
      <c r="AB189" s="13">
        <f t="shared" si="9"/>
        <v>0.3766666667</v>
      </c>
      <c r="AC189" s="13">
        <f t="shared" si="10"/>
        <v>0.5575812712</v>
      </c>
      <c r="AD189" s="13">
        <f>AA189/vlookup(A189,Max!$A$2:$AP$700,column(Max!$AP$2),false)</f>
        <v>1.329411765</v>
      </c>
      <c r="AE189" s="8">
        <f t="shared" si="11"/>
        <v>129.9921419</v>
      </c>
      <c r="AF189" s="14">
        <f t="shared" si="12"/>
        <v>3.257296229</v>
      </c>
      <c r="AG189" s="14">
        <f t="shared" si="13"/>
        <v>1.069010888</v>
      </c>
      <c r="AH189" s="14">
        <f t="shared" si="14"/>
        <v>1</v>
      </c>
      <c r="AI189" s="14">
        <f t="shared" si="15"/>
        <v>0.9975523048</v>
      </c>
      <c r="AJ189" s="27">
        <f t="shared" si="16"/>
        <v>401</v>
      </c>
      <c r="AK189" s="15" t="str">
        <f t="shared" si="17"/>
        <v>  @CONFIG[XLR81-LF2-SPS] {
   %cost = 452
   @cost -= #$../../cost$
  }</v>
      </c>
    </row>
    <row r="190" ht="15.75" customHeight="1">
      <c r="A190" s="16" t="s">
        <v>138</v>
      </c>
      <c r="B190" s="16" t="s">
        <v>139</v>
      </c>
      <c r="C190" s="8">
        <f t="shared" si="1"/>
        <v>1855</v>
      </c>
      <c r="D190" s="16">
        <v>1967.0</v>
      </c>
      <c r="E190" s="16"/>
      <c r="F190" s="16" t="b">
        <v>1</v>
      </c>
      <c r="G190" s="16" t="b">
        <v>0</v>
      </c>
      <c r="H190" s="16" t="b">
        <v>0</v>
      </c>
      <c r="I190" s="16" t="b">
        <v>0</v>
      </c>
      <c r="J190" s="9" t="b">
        <v>0</v>
      </c>
      <c r="K190" s="16">
        <v>2100.0</v>
      </c>
      <c r="L190" s="16">
        <v>0.0</v>
      </c>
      <c r="M190" s="16">
        <v>8444.0</v>
      </c>
      <c r="N190" s="16">
        <v>7775.49</v>
      </c>
      <c r="O190" s="16">
        <v>301.0</v>
      </c>
      <c r="P190" s="16">
        <v>6.77</v>
      </c>
      <c r="Q190" s="16">
        <v>0.994697</v>
      </c>
      <c r="R190" s="16">
        <v>0.994697</v>
      </c>
      <c r="S190" s="19">
        <f t="shared" si="2"/>
        <v>2100</v>
      </c>
      <c r="T190" s="19">
        <f t="shared" si="3"/>
        <v>93.89854564</v>
      </c>
      <c r="U190" s="20">
        <f t="shared" si="4"/>
        <v>0.21844974</v>
      </c>
      <c r="V190" s="17">
        <f>0.2*(8.17*POWER(M190*P190,0.46))+0.8*(0.146*POWER(M190*O190,0.639))</f>
        <v>1698.553769</v>
      </c>
      <c r="W190" s="21">
        <f t="shared" si="5"/>
        <v>4</v>
      </c>
      <c r="X190" s="21">
        <f t="shared" si="6"/>
        <v>8492.768843</v>
      </c>
      <c r="Y190" s="21">
        <f t="shared" si="7"/>
        <v>1.0922487</v>
      </c>
      <c r="Z190" s="8">
        <f t="shared" si="19"/>
        <v>1714.557749</v>
      </c>
      <c r="AA190" s="8">
        <f t="shared" si="31"/>
        <v>1855</v>
      </c>
      <c r="AB190" s="13">
        <f t="shared" si="9"/>
        <v>0.8833333333</v>
      </c>
      <c r="AC190" s="13">
        <f t="shared" si="10"/>
        <v>1.081911648</v>
      </c>
      <c r="AD190" s="13">
        <f>AA190/vlookup(A190,Max!$A$2:$AP$700,column(Max!$AP$2),false)</f>
        <v>0.6396551724</v>
      </c>
      <c r="AE190" s="8">
        <f t="shared" si="11"/>
        <v>1169.651842</v>
      </c>
      <c r="AF190" s="14">
        <f t="shared" si="12"/>
        <v>1.003273336</v>
      </c>
      <c r="AG190" s="14">
        <f t="shared" si="13"/>
        <v>1.561921751</v>
      </c>
      <c r="AH190" s="14">
        <f t="shared" si="14"/>
        <v>1</v>
      </c>
      <c r="AI190" s="14">
        <f t="shared" si="15"/>
        <v>1.01190335</v>
      </c>
      <c r="AJ190" s="15">
        <f t="shared" si="16"/>
        <v>0</v>
      </c>
      <c r="AK190" s="15" t="str">
        <f t="shared" si="17"/>
        <v>  @CONFIG[F-1-1.5M] {
   %cost = 1855
   @cost -= #$../../cost$
  }</v>
      </c>
    </row>
    <row r="191" ht="15.75" customHeight="1">
      <c r="A191" s="16" t="s">
        <v>1021</v>
      </c>
      <c r="B191" s="16" t="s">
        <v>185</v>
      </c>
      <c r="C191" s="8">
        <f t="shared" si="1"/>
        <v>99</v>
      </c>
      <c r="D191" s="16">
        <v>1967.0</v>
      </c>
      <c r="E191" s="16" t="b">
        <v>1</v>
      </c>
      <c r="F191" s="16" t="b">
        <v>1</v>
      </c>
      <c r="G191" s="16" t="b">
        <v>0</v>
      </c>
      <c r="H191" s="16" t="b">
        <v>1</v>
      </c>
      <c r="I191" s="16" t="b">
        <v>0</v>
      </c>
      <c r="J191" s="9" t="b">
        <v>0</v>
      </c>
      <c r="K191" s="16">
        <v>1355.0</v>
      </c>
      <c r="L191" s="16">
        <v>5.0</v>
      </c>
      <c r="M191" s="16">
        <v>1566.708</v>
      </c>
      <c r="N191" s="16">
        <v>1000.8495</v>
      </c>
      <c r="O191" s="16">
        <v>424.4</v>
      </c>
      <c r="P191" s="16">
        <v>5.15</v>
      </c>
      <c r="Q191" s="16">
        <v>0.987931</v>
      </c>
      <c r="R191" s="16">
        <v>0.986538</v>
      </c>
      <c r="S191" s="19">
        <f t="shared" si="2"/>
        <v>1360</v>
      </c>
      <c r="T191" s="19">
        <f t="shared" si="3"/>
        <v>65.14184257</v>
      </c>
      <c r="U191" s="20">
        <f t="shared" si="4"/>
        <v>1.423009452</v>
      </c>
      <c r="V191" s="17">
        <f t="shared" ref="V191:V192" si="42">0.9*(0.00015*M191*O191*P191+797)+0.1*(43.1*POWER(M191,0.549))</f>
        <v>1424.218299</v>
      </c>
      <c r="W191" s="21">
        <f t="shared" si="5"/>
        <v>4</v>
      </c>
      <c r="X191" s="21">
        <f t="shared" si="6"/>
        <v>7121.091494</v>
      </c>
      <c r="Y191" s="21">
        <f t="shared" si="7"/>
        <v>7.115047262</v>
      </c>
      <c r="Z191" s="8">
        <f t="shared" si="19"/>
        <v>1416.572344</v>
      </c>
      <c r="AA191" s="8">
        <f t="shared" si="31"/>
        <v>1543</v>
      </c>
      <c r="AB191" s="13">
        <f t="shared" si="9"/>
        <v>1.134558824</v>
      </c>
      <c r="AC191" s="13">
        <f t="shared" si="10"/>
        <v>1.089248993</v>
      </c>
      <c r="AD191" s="13">
        <f>AA191/vlookup(A191,Max!$A$2:$AP$700,column(Max!$AP$2),false)</f>
        <v>0.8121052632</v>
      </c>
      <c r="AE191" s="8">
        <f t="shared" si="11"/>
        <v>457.7358324</v>
      </c>
      <c r="AF191" s="14">
        <f t="shared" si="12"/>
        <v>2.668398728</v>
      </c>
      <c r="AG191" s="14">
        <f t="shared" si="13"/>
        <v>1.313767853</v>
      </c>
      <c r="AH191" s="14">
        <f t="shared" si="14"/>
        <v>1</v>
      </c>
      <c r="AI191" s="14">
        <f t="shared" si="15"/>
        <v>0.9616412679</v>
      </c>
      <c r="AJ191" s="27">
        <f t="shared" si="16"/>
        <v>99</v>
      </c>
      <c r="AK191" s="15" t="str">
        <f t="shared" si="17"/>
        <v>  @CONFIG[J-2-225k] {
   %cost = 1543
   @cost -= #$../../cost$
  }</v>
      </c>
    </row>
    <row r="192" ht="15.75" customHeight="1">
      <c r="A192" s="7" t="s">
        <v>1022</v>
      </c>
      <c r="B192" s="7" t="s">
        <v>185</v>
      </c>
      <c r="C192" s="8">
        <f t="shared" si="1"/>
        <v>179</v>
      </c>
      <c r="D192" s="7">
        <v>1967.0</v>
      </c>
      <c r="E192" s="7" t="b">
        <v>1</v>
      </c>
      <c r="F192" s="7" t="b">
        <v>1</v>
      </c>
      <c r="G192" s="7" t="b">
        <v>0</v>
      </c>
      <c r="H192" s="7" t="b">
        <v>1</v>
      </c>
      <c r="I192" s="7" t="b">
        <v>0</v>
      </c>
      <c r="J192" s="9" t="b">
        <v>0</v>
      </c>
      <c r="K192" s="7">
        <v>1355.0</v>
      </c>
      <c r="L192" s="7">
        <v>155.0</v>
      </c>
      <c r="M192" s="33">
        <f>1566.708*1.093</f>
        <v>1712.411844</v>
      </c>
      <c r="N192" s="7">
        <v>1000.8495</v>
      </c>
      <c r="O192" s="7">
        <v>424.4</v>
      </c>
      <c r="P192" s="7">
        <v>5.15</v>
      </c>
      <c r="Q192" s="7">
        <v>0.987931</v>
      </c>
      <c r="R192" s="7">
        <v>0.986538</v>
      </c>
      <c r="S192" s="10">
        <f t="shared" si="2"/>
        <v>1510</v>
      </c>
      <c r="T192" s="10">
        <f t="shared" si="3"/>
        <v>59.59912404</v>
      </c>
      <c r="U192" s="11">
        <f t="shared" si="4"/>
        <v>1.478194287</v>
      </c>
      <c r="V192" s="8">
        <f t="shared" si="42"/>
        <v>1479.450013</v>
      </c>
      <c r="W192" s="12">
        <f t="shared" si="5"/>
        <v>4</v>
      </c>
      <c r="X192" s="12">
        <f t="shared" si="6"/>
        <v>7397.250064</v>
      </c>
      <c r="Y192" s="12">
        <f t="shared" si="7"/>
        <v>7.390971433</v>
      </c>
      <c r="Z192" s="8">
        <f t="shared" si="19"/>
        <v>1471.507545</v>
      </c>
      <c r="AA192" s="8">
        <f t="shared" si="31"/>
        <v>1623</v>
      </c>
      <c r="AB192" s="13">
        <f t="shared" si="9"/>
        <v>1.074834437</v>
      </c>
      <c r="AC192" s="13">
        <f t="shared" si="10"/>
        <v>1.102950512</v>
      </c>
      <c r="AD192" s="13">
        <f>AA192/vlookup(A192,Max!$A$2:$AP$700,column(Max!$AP$2),false)</f>
        <v>0.7728571429</v>
      </c>
      <c r="AE192" s="8">
        <f t="shared" si="11"/>
        <v>481.5064932</v>
      </c>
      <c r="AF192" s="14">
        <f t="shared" si="12"/>
        <v>2.668398728</v>
      </c>
      <c r="AG192" s="14">
        <f t="shared" si="13"/>
        <v>1.313767853</v>
      </c>
      <c r="AH192" s="14">
        <f t="shared" si="14"/>
        <v>1</v>
      </c>
      <c r="AI192" s="14">
        <f t="shared" si="15"/>
        <v>0.9616412679</v>
      </c>
      <c r="AJ192" s="27">
        <f t="shared" si="16"/>
        <v>179</v>
      </c>
      <c r="AK192" s="15" t="str">
        <f t="shared" si="17"/>
        <v>  @CONFIG[J-2-225K-CVS] {
   %cost = 1623
   @cost -= #$../../cost$
  }</v>
      </c>
    </row>
    <row r="193" ht="15.75" customHeight="1">
      <c r="A193" s="7" t="s">
        <v>271</v>
      </c>
      <c r="B193" s="7" t="s">
        <v>266</v>
      </c>
      <c r="C193" s="8">
        <f t="shared" si="1"/>
        <v>34</v>
      </c>
      <c r="D193" s="7">
        <v>1967.0</v>
      </c>
      <c r="E193" s="7"/>
      <c r="F193" s="7" t="b">
        <v>1</v>
      </c>
      <c r="G193" s="7" t="b">
        <v>0</v>
      </c>
      <c r="H193" s="7" t="b">
        <v>0</v>
      </c>
      <c r="I193" s="7" t="b">
        <v>0</v>
      </c>
      <c r="J193" s="9" t="b">
        <v>0</v>
      </c>
      <c r="K193" s="7">
        <v>275.0</v>
      </c>
      <c r="L193" s="7">
        <v>80.0</v>
      </c>
      <c r="M193" s="7">
        <v>470.0</v>
      </c>
      <c r="N193" s="7">
        <v>386.4</v>
      </c>
      <c r="O193" s="7">
        <v>316.0</v>
      </c>
      <c r="P193" s="7">
        <v>4.8</v>
      </c>
      <c r="Q193" s="7">
        <v>0.993636</v>
      </c>
      <c r="R193" s="7">
        <v>0.993636</v>
      </c>
      <c r="S193" s="10">
        <f t="shared" si="2"/>
        <v>355</v>
      </c>
      <c r="T193" s="10">
        <f t="shared" si="3"/>
        <v>83.83369012</v>
      </c>
      <c r="U193" s="11">
        <f t="shared" si="4"/>
        <v>0.7572704304</v>
      </c>
      <c r="V193" s="8">
        <f t="shared" ref="V193:V205" si="43">0.2*(8.17*POWER(M193*P193,0.46))+0.8*(0.146*POWER(M193*O193,0.639))</f>
        <v>292.6092943</v>
      </c>
      <c r="W193" s="12">
        <f t="shared" si="5"/>
        <v>4</v>
      </c>
      <c r="X193" s="12">
        <f t="shared" si="6"/>
        <v>1463.046472</v>
      </c>
      <c r="Y193" s="12">
        <f t="shared" si="7"/>
        <v>3.786352152</v>
      </c>
      <c r="Z193" s="8">
        <f t="shared" si="19"/>
        <v>294.7489999</v>
      </c>
      <c r="AA193" s="8">
        <f t="shared" si="31"/>
        <v>310</v>
      </c>
      <c r="AB193" s="13">
        <f t="shared" si="9"/>
        <v>0.8732394366</v>
      </c>
      <c r="AC193" s="13">
        <f t="shared" si="10"/>
        <v>1.05174233</v>
      </c>
      <c r="AD193" s="13">
        <f>AA193/vlookup(A193,Max!$A$2:$AP$700,column(Max!$AP$2),false)</f>
        <v>1.347826087</v>
      </c>
      <c r="AE193" s="8">
        <f t="shared" si="11"/>
        <v>195.337434</v>
      </c>
      <c r="AF193" s="14">
        <f t="shared" si="12"/>
        <v>1.115677507</v>
      </c>
      <c r="AG193" s="14">
        <f t="shared" si="13"/>
        <v>1.408818492</v>
      </c>
      <c r="AH193" s="14">
        <f t="shared" si="14"/>
        <v>1</v>
      </c>
      <c r="AI193" s="14">
        <f t="shared" si="15"/>
        <v>1.009207125</v>
      </c>
      <c r="AJ193" s="27">
        <f t="shared" si="16"/>
        <v>34</v>
      </c>
      <c r="AK193" s="15" t="str">
        <f t="shared" si="17"/>
        <v>  @CONFIG[LR105-NA-7.2] {
   %cost = 310
   @cost -= #$../../cost$
  }</v>
      </c>
    </row>
    <row r="194" ht="15.75" customHeight="1">
      <c r="A194" s="16" t="s">
        <v>336</v>
      </c>
      <c r="B194" s="16" t="s">
        <v>330</v>
      </c>
      <c r="C194" s="8">
        <f t="shared" si="1"/>
        <v>171</v>
      </c>
      <c r="D194" s="16">
        <v>1967.0</v>
      </c>
      <c r="E194" s="16"/>
      <c r="F194" s="16" t="b">
        <v>1</v>
      </c>
      <c r="G194" s="16" t="b">
        <v>0</v>
      </c>
      <c r="H194" s="16" t="b">
        <v>0</v>
      </c>
      <c r="I194" s="16" t="b">
        <v>0</v>
      </c>
      <c r="J194" s="9" t="b">
        <v>0</v>
      </c>
      <c r="K194" s="16">
        <v>300.0</v>
      </c>
      <c r="L194" s="16">
        <v>50.0</v>
      </c>
      <c r="M194" s="16">
        <v>1018.0</v>
      </c>
      <c r="N194" s="16">
        <v>950.8</v>
      </c>
      <c r="O194" s="16">
        <v>293.4</v>
      </c>
      <c r="P194" s="16">
        <v>4.12</v>
      </c>
      <c r="Q194" s="16">
        <v>0.993636</v>
      </c>
      <c r="R194" s="16">
        <v>0.993636</v>
      </c>
      <c r="S194" s="19">
        <f t="shared" si="2"/>
        <v>350</v>
      </c>
      <c r="T194" s="19">
        <f t="shared" si="3"/>
        <v>95.24029199</v>
      </c>
      <c r="U194" s="20">
        <f t="shared" si="4"/>
        <v>0.4669901637</v>
      </c>
      <c r="V194" s="17">
        <f t="shared" si="43"/>
        <v>444.0142476</v>
      </c>
      <c r="W194" s="21">
        <f t="shared" si="5"/>
        <v>4</v>
      </c>
      <c r="X194" s="21">
        <f t="shared" si="6"/>
        <v>2220.071238</v>
      </c>
      <c r="Y194" s="21">
        <f t="shared" si="7"/>
        <v>2.334950818</v>
      </c>
      <c r="Z194" s="8">
        <f t="shared" si="19"/>
        <v>447.261102</v>
      </c>
      <c r="AA194" s="8">
        <f t="shared" si="31"/>
        <v>419</v>
      </c>
      <c r="AB194" s="13">
        <f t="shared" si="9"/>
        <v>1.197142857</v>
      </c>
      <c r="AC194" s="13">
        <f t="shared" si="10"/>
        <v>0.936812967</v>
      </c>
      <c r="AD194" s="13">
        <f>AA194/vlookup(A194,Max!$A$2:$AP$700,column(Max!$AP$2),false)</f>
        <v>1.02195122</v>
      </c>
      <c r="AE194" s="8">
        <f t="shared" si="11"/>
        <v>314.0878682</v>
      </c>
      <c r="AF194" s="14">
        <f t="shared" si="12"/>
        <v>0.9813878804</v>
      </c>
      <c r="AG194" s="14">
        <f t="shared" si="13"/>
        <v>1.345711107</v>
      </c>
      <c r="AH194" s="14">
        <f t="shared" si="14"/>
        <v>1</v>
      </c>
      <c r="AI194" s="14">
        <f t="shared" si="15"/>
        <v>1.009207125</v>
      </c>
      <c r="AJ194" s="27">
        <f t="shared" si="16"/>
        <v>171</v>
      </c>
      <c r="AK194" s="15" t="str">
        <f t="shared" si="17"/>
        <v>  @CONFIG[LR89-NA-7.2] {
   %cost = 419
   @cost -= #$../../cost$
  }</v>
      </c>
    </row>
    <row r="195" ht="15.75" customHeight="1">
      <c r="A195" s="7" t="s">
        <v>63</v>
      </c>
      <c r="B195" s="7" t="s">
        <v>54</v>
      </c>
      <c r="C195" s="8">
        <f t="shared" si="1"/>
        <v>73</v>
      </c>
      <c r="D195" s="7">
        <v>1967.0</v>
      </c>
      <c r="E195" s="7"/>
      <c r="F195" s="7" t="b">
        <v>1</v>
      </c>
      <c r="G195" s="7" t="b">
        <v>0</v>
      </c>
      <c r="H195" s="7" t="b">
        <v>1</v>
      </c>
      <c r="I195" s="7" t="b">
        <v>0</v>
      </c>
      <c r="J195" s="9" t="b">
        <v>0</v>
      </c>
      <c r="K195" s="7">
        <v>150.0</v>
      </c>
      <c r="L195" s="7">
        <v>125.0</v>
      </c>
      <c r="M195" s="7">
        <v>143.26</v>
      </c>
      <c r="N195" s="7">
        <v>78.3</v>
      </c>
      <c r="O195" s="7">
        <v>312.0</v>
      </c>
      <c r="P195" s="7">
        <v>3.4</v>
      </c>
      <c r="Q195" s="7">
        <v>0.9977</v>
      </c>
      <c r="R195" s="7">
        <v>0.9978</v>
      </c>
      <c r="S195" s="10">
        <f t="shared" si="2"/>
        <v>275</v>
      </c>
      <c r="T195" s="10">
        <f t="shared" si="3"/>
        <v>55.73347706</v>
      </c>
      <c r="U195" s="11">
        <f t="shared" si="4"/>
        <v>1.75661661</v>
      </c>
      <c r="V195" s="8">
        <f t="shared" si="43"/>
        <v>137.5430805</v>
      </c>
      <c r="W195" s="12">
        <f t="shared" si="5"/>
        <v>4</v>
      </c>
      <c r="X195" s="12">
        <f t="shared" si="6"/>
        <v>687.7154027</v>
      </c>
      <c r="Y195" s="12">
        <f t="shared" si="7"/>
        <v>8.783083049</v>
      </c>
      <c r="Z195" s="8">
        <f t="shared" si="19"/>
        <v>139.6756943</v>
      </c>
      <c r="AA195" s="8">
        <f t="shared" si="31"/>
        <v>124</v>
      </c>
      <c r="AB195" s="13">
        <f t="shared" si="9"/>
        <v>0.4509090909</v>
      </c>
      <c r="AC195" s="13">
        <f t="shared" si="10"/>
        <v>0.8877707797</v>
      </c>
      <c r="AD195" s="13">
        <f>AA195/vlookup(A195,Max!$A$2:$AP$700,column(Max!$AP$2),false)</f>
        <v>1.797101449</v>
      </c>
      <c r="AE195" s="8">
        <f t="shared" si="11"/>
        <v>94.74840356</v>
      </c>
      <c r="AF195" s="14">
        <f t="shared" si="12"/>
        <v>1.076082311</v>
      </c>
      <c r="AG195" s="14">
        <f t="shared" si="13"/>
        <v>1.196588323</v>
      </c>
      <c r="AH195" s="14">
        <f t="shared" si="14"/>
        <v>1</v>
      </c>
      <c r="AI195" s="14">
        <f t="shared" si="15"/>
        <v>1.013959697</v>
      </c>
      <c r="AJ195" s="27">
        <f t="shared" si="16"/>
        <v>73</v>
      </c>
      <c r="AK195" s="15" t="str">
        <f t="shared" si="17"/>
        <v>  @CONFIG[Model8096A] {
   %cost = 124
   @cost -= #$../../cost$
  }</v>
      </c>
    </row>
    <row r="196" ht="15.75" customHeight="1">
      <c r="A196" s="16" t="s">
        <v>472</v>
      </c>
      <c r="B196" s="16" t="s">
        <v>471</v>
      </c>
      <c r="C196" s="8">
        <f t="shared" si="1"/>
        <v>23</v>
      </c>
      <c r="D196" s="16">
        <v>1967.0</v>
      </c>
      <c r="E196" s="16"/>
      <c r="F196" s="16" t="b">
        <v>1</v>
      </c>
      <c r="G196" s="16" t="b">
        <v>0</v>
      </c>
      <c r="H196" s="16" t="b">
        <v>0</v>
      </c>
      <c r="I196" s="16" t="b">
        <v>0</v>
      </c>
      <c r="J196" s="9" t="b">
        <v>0</v>
      </c>
      <c r="K196" s="16">
        <v>295.0</v>
      </c>
      <c r="L196" s="16">
        <v>0.0</v>
      </c>
      <c r="M196" s="16">
        <v>408.0</v>
      </c>
      <c r="N196" s="16">
        <v>569.2</v>
      </c>
      <c r="O196" s="16">
        <v>311.0</v>
      </c>
      <c r="P196" s="16">
        <v>14.7</v>
      </c>
      <c r="Q196" s="16">
        <v>0.999722</v>
      </c>
      <c r="R196" s="16">
        <v>0.998768</v>
      </c>
      <c r="S196" s="19">
        <f t="shared" si="2"/>
        <v>295</v>
      </c>
      <c r="T196" s="19">
        <f t="shared" si="3"/>
        <v>142.2604085</v>
      </c>
      <c r="U196" s="20">
        <f t="shared" si="4"/>
        <v>0.5313223133</v>
      </c>
      <c r="V196" s="17">
        <f t="shared" si="43"/>
        <v>302.4286608</v>
      </c>
      <c r="W196" s="21">
        <f t="shared" si="5"/>
        <v>4</v>
      </c>
      <c r="X196" s="21">
        <f t="shared" si="6"/>
        <v>1512.143304</v>
      </c>
      <c r="Y196" s="21">
        <f t="shared" si="7"/>
        <v>2.656611567</v>
      </c>
      <c r="Z196" s="8">
        <f t="shared" si="19"/>
        <v>308.0206703</v>
      </c>
      <c r="AA196" s="8">
        <f t="shared" si="31"/>
        <v>385</v>
      </c>
      <c r="AB196" s="13">
        <f t="shared" si="9"/>
        <v>1.305084746</v>
      </c>
      <c r="AC196" s="13">
        <f t="shared" si="10"/>
        <v>1.249916117</v>
      </c>
      <c r="AD196" s="13">
        <f>AA196/vlookup(A196,Max!$A$2:$AP$700,column(Max!$AP$2),false)</f>
        <v>0.9871794872</v>
      </c>
      <c r="AE196" s="8">
        <f t="shared" si="11"/>
        <v>179.1361147</v>
      </c>
      <c r="AF196" s="14">
        <f t="shared" si="12"/>
        <v>1.066630493</v>
      </c>
      <c r="AG196" s="14">
        <f t="shared" si="13"/>
        <v>1.970960282</v>
      </c>
      <c r="AH196" s="14">
        <f t="shared" si="14"/>
        <v>1</v>
      </c>
      <c r="AI196" s="14">
        <f t="shared" si="15"/>
        <v>1.022288704</v>
      </c>
      <c r="AJ196" s="27">
        <f t="shared" si="16"/>
        <v>23</v>
      </c>
      <c r="AK196" s="15" t="str">
        <f t="shared" si="17"/>
        <v>  @CONFIG[RD-0203U] {
   %cost = 385
   @cost -= #$../../cost$
  }</v>
      </c>
    </row>
    <row r="197" ht="15.75" customHeight="1">
      <c r="A197" s="16" t="s">
        <v>475</v>
      </c>
      <c r="B197" s="16" t="s">
        <v>474</v>
      </c>
      <c r="C197" s="8">
        <f t="shared" si="1"/>
        <v>-41</v>
      </c>
      <c r="D197" s="16">
        <v>1967.0</v>
      </c>
      <c r="E197" s="16"/>
      <c r="F197" s="16" t="b">
        <v>1</v>
      </c>
      <c r="G197" s="16" t="b">
        <v>0</v>
      </c>
      <c r="H197" s="16" t="b">
        <v>1</v>
      </c>
      <c r="I197" s="16" t="b">
        <v>0</v>
      </c>
      <c r="J197" s="9" t="b">
        <v>0</v>
      </c>
      <c r="K197" s="16">
        <v>300.0</v>
      </c>
      <c r="L197" s="16">
        <v>0.0</v>
      </c>
      <c r="M197" s="16">
        <v>566.0</v>
      </c>
      <c r="N197" s="16">
        <v>584.77</v>
      </c>
      <c r="O197" s="16">
        <v>327.0</v>
      </c>
      <c r="P197" s="16">
        <v>14.7</v>
      </c>
      <c r="Q197" s="16">
        <v>0.999445</v>
      </c>
      <c r="R197" s="16">
        <v>0.998166</v>
      </c>
      <c r="S197" s="19">
        <f t="shared" si="2"/>
        <v>300</v>
      </c>
      <c r="T197" s="19">
        <f t="shared" si="3"/>
        <v>105.3532594</v>
      </c>
      <c r="U197" s="20">
        <f t="shared" si="4"/>
        <v>0.6414058594</v>
      </c>
      <c r="V197" s="17">
        <f t="shared" si="43"/>
        <v>375.0749044</v>
      </c>
      <c r="W197" s="21">
        <f t="shared" si="5"/>
        <v>4</v>
      </c>
      <c r="X197" s="21">
        <f t="shared" si="6"/>
        <v>1875.374522</v>
      </c>
      <c r="Y197" s="21">
        <f t="shared" si="7"/>
        <v>3.207029297</v>
      </c>
      <c r="Z197" s="8">
        <f t="shared" si="19"/>
        <v>381.6807303</v>
      </c>
      <c r="AA197" s="8">
        <f t="shared" si="31"/>
        <v>448</v>
      </c>
      <c r="AB197" s="13">
        <f t="shared" si="9"/>
        <v>1.493333333</v>
      </c>
      <c r="AC197" s="13">
        <f t="shared" si="10"/>
        <v>1.173755876</v>
      </c>
      <c r="AD197" s="13">
        <f>AA197/vlookup(A197,Max!$A$2:$AP$700,column(Max!$AP$2),false)</f>
        <v>1.066666667</v>
      </c>
      <c r="AE197" s="8">
        <f t="shared" si="11"/>
        <v>218.9081752</v>
      </c>
      <c r="AF197" s="14">
        <f t="shared" si="12"/>
        <v>1.206673473</v>
      </c>
      <c r="AG197" s="14">
        <f t="shared" si="13"/>
        <v>1.663444841</v>
      </c>
      <c r="AH197" s="14">
        <f t="shared" si="14"/>
        <v>1</v>
      </c>
      <c r="AI197" s="14">
        <f t="shared" si="15"/>
        <v>1.019333258</v>
      </c>
      <c r="AJ197" s="27">
        <f t="shared" si="16"/>
        <v>-41</v>
      </c>
      <c r="AK197" s="15" t="str">
        <f t="shared" si="17"/>
        <v>  @CONFIG[RD-0210] {
   %cost = 448
   @cost -= #$../../cost$
  }</v>
      </c>
    </row>
    <row r="198" ht="15.75" customHeight="1">
      <c r="A198" s="16" t="s">
        <v>480</v>
      </c>
      <c r="B198" s="16" t="s">
        <v>479</v>
      </c>
      <c r="C198" s="8">
        <f t="shared" si="1"/>
        <v>36</v>
      </c>
      <c r="D198" s="16">
        <v>1967.0</v>
      </c>
      <c r="E198" s="16"/>
      <c r="F198" s="16" t="b">
        <v>1</v>
      </c>
      <c r="G198" s="16" t="b">
        <v>0</v>
      </c>
      <c r="H198" s="16" t="b">
        <v>1</v>
      </c>
      <c r="I198" s="16" t="b">
        <v>0</v>
      </c>
      <c r="J198" s="9" t="b">
        <v>0</v>
      </c>
      <c r="K198" s="16">
        <v>300.0</v>
      </c>
      <c r="L198" s="16">
        <v>0.0</v>
      </c>
      <c r="M198" s="16">
        <f>550+90</f>
        <v>640</v>
      </c>
      <c r="N198" s="16">
        <f>581.8+30.98</f>
        <v>612.78</v>
      </c>
      <c r="O198" s="16">
        <v>325.3</v>
      </c>
      <c r="P198" s="16">
        <v>14.71</v>
      </c>
      <c r="Q198" s="16">
        <v>0.998951</v>
      </c>
      <c r="R198" s="16">
        <v>0.993357</v>
      </c>
      <c r="S198" s="19">
        <f t="shared" si="2"/>
        <v>300</v>
      </c>
      <c r="T198" s="19">
        <f t="shared" si="3"/>
        <v>97.63464049</v>
      </c>
      <c r="U198" s="20">
        <f t="shared" si="4"/>
        <v>0.6565588348</v>
      </c>
      <c r="V198" s="17">
        <f t="shared" si="43"/>
        <v>402.3261228</v>
      </c>
      <c r="W198" s="21">
        <f t="shared" si="5"/>
        <v>4</v>
      </c>
      <c r="X198" s="21">
        <f t="shared" si="6"/>
        <v>2011.630614</v>
      </c>
      <c r="Y198" s="21">
        <f t="shared" si="7"/>
        <v>3.282794174</v>
      </c>
      <c r="Z198" s="8">
        <f t="shared" si="19"/>
        <v>407.2807563</v>
      </c>
      <c r="AA198" s="8">
        <f t="shared" si="31"/>
        <v>471</v>
      </c>
      <c r="AB198" s="13">
        <f t="shared" si="9"/>
        <v>1.57</v>
      </c>
      <c r="AC198" s="13">
        <f t="shared" si="10"/>
        <v>1.156450416</v>
      </c>
      <c r="AD198" s="13">
        <f>AA198/vlookup(A198,Max!$A$2:$AP$700,column(Max!$AP$2),false)</f>
        <v>1.207692308</v>
      </c>
      <c r="AE198" s="8">
        <f t="shared" si="11"/>
        <v>236.0566489</v>
      </c>
      <c r="AF198" s="14">
        <f t="shared" si="12"/>
        <v>1.191945534</v>
      </c>
      <c r="AG198" s="14">
        <f t="shared" si="13"/>
        <v>1.663699383</v>
      </c>
      <c r="AH198" s="14">
        <f t="shared" si="14"/>
        <v>1</v>
      </c>
      <c r="AI198" s="14">
        <f t="shared" si="15"/>
        <v>1.005856136</v>
      </c>
      <c r="AJ198" s="27">
        <f t="shared" si="16"/>
        <v>36</v>
      </c>
      <c r="AK198" s="15" t="str">
        <f t="shared" si="17"/>
        <v>  @CONFIG[RD-0212] {
   %cost = 471
   @cost -= #$../../cost$
  }</v>
      </c>
    </row>
    <row r="199" ht="15.75" customHeight="1">
      <c r="A199" s="16" t="s">
        <v>485</v>
      </c>
      <c r="B199" s="16" t="s">
        <v>484</v>
      </c>
      <c r="C199" s="8">
        <f t="shared" si="1"/>
        <v>20</v>
      </c>
      <c r="D199" s="16">
        <v>1967.0</v>
      </c>
      <c r="E199" s="16"/>
      <c r="F199" s="16" t="b">
        <v>1</v>
      </c>
      <c r="G199" s="16" t="b">
        <v>0</v>
      </c>
      <c r="H199" s="16" t="b">
        <v>1</v>
      </c>
      <c r="I199" s="16" t="b">
        <v>0</v>
      </c>
      <c r="J199" s="9" t="b">
        <v>0</v>
      </c>
      <c r="K199" s="16">
        <v>260.0</v>
      </c>
      <c r="L199" s="16">
        <v>0.0</v>
      </c>
      <c r="M199" s="16">
        <v>550.0</v>
      </c>
      <c r="N199" s="16">
        <v>581.8</v>
      </c>
      <c r="O199" s="16">
        <v>327.0</v>
      </c>
      <c r="P199" s="16">
        <v>14.71</v>
      </c>
      <c r="Q199" s="16">
        <v>0.999474</v>
      </c>
      <c r="R199" s="16">
        <v>0.996667</v>
      </c>
      <c r="S199" s="19">
        <f t="shared" si="2"/>
        <v>260</v>
      </c>
      <c r="T199" s="19">
        <f t="shared" si="3"/>
        <v>107.8674347</v>
      </c>
      <c r="U199" s="20">
        <f t="shared" si="4"/>
        <v>0.6339319474</v>
      </c>
      <c r="V199" s="17">
        <f t="shared" si="43"/>
        <v>368.821607</v>
      </c>
      <c r="W199" s="21">
        <f t="shared" si="5"/>
        <v>4</v>
      </c>
      <c r="X199" s="21">
        <f t="shared" si="6"/>
        <v>1844.108035</v>
      </c>
      <c r="Y199" s="21">
        <f t="shared" si="7"/>
        <v>3.169659737</v>
      </c>
      <c r="Z199" s="8">
        <f t="shared" si="19"/>
        <v>374.7754031</v>
      </c>
      <c r="AA199" s="8">
        <f t="shared" si="31"/>
        <v>439</v>
      </c>
      <c r="AB199" s="13">
        <f t="shared" si="9"/>
        <v>1.688461538</v>
      </c>
      <c r="AC199" s="13">
        <f t="shared" si="10"/>
        <v>1.171368228</v>
      </c>
      <c r="AD199" s="13">
        <f>AA199/vlookup(A199,Max!$A$2:$AP$700,column(Max!$AP$2),false)</f>
        <v>1.070731707</v>
      </c>
      <c r="AE199" s="8">
        <f t="shared" si="11"/>
        <v>215.091411</v>
      </c>
      <c r="AF199" s="14">
        <f t="shared" si="12"/>
        <v>1.206673473</v>
      </c>
      <c r="AG199" s="14">
        <f t="shared" si="13"/>
        <v>1.663699383</v>
      </c>
      <c r="AH199" s="14">
        <f t="shared" si="14"/>
        <v>1</v>
      </c>
      <c r="AI199" s="14">
        <f t="shared" si="15"/>
        <v>1.015584264</v>
      </c>
      <c r="AJ199" s="27">
        <f t="shared" si="16"/>
        <v>20</v>
      </c>
      <c r="AK199" s="15" t="str">
        <f t="shared" si="17"/>
        <v>  @CONFIG[RD-0213] {
   %cost = 439
   @cost -= #$../../cost$
  }</v>
      </c>
    </row>
    <row r="200" ht="15.75" customHeight="1">
      <c r="A200" s="16" t="s">
        <v>490</v>
      </c>
      <c r="B200" s="16" t="s">
        <v>489</v>
      </c>
      <c r="C200" s="8">
        <f t="shared" si="1"/>
        <v>4</v>
      </c>
      <c r="D200" s="16">
        <v>1967.0</v>
      </c>
      <c r="E200" s="16"/>
      <c r="F200" s="16" t="b">
        <v>1</v>
      </c>
      <c r="G200" s="16" t="b">
        <v>0</v>
      </c>
      <c r="H200" s="16" t="b">
        <v>1</v>
      </c>
      <c r="I200" s="16" t="b">
        <v>0</v>
      </c>
      <c r="J200" s="9" t="b">
        <v>0</v>
      </c>
      <c r="K200" s="16">
        <v>10.0</v>
      </c>
      <c r="L200" s="16">
        <v>0.0</v>
      </c>
      <c r="M200" s="16">
        <v>90.0</v>
      </c>
      <c r="N200" s="16">
        <v>30.98</v>
      </c>
      <c r="O200" s="16">
        <v>293.0</v>
      </c>
      <c r="P200" s="16">
        <v>5.3</v>
      </c>
      <c r="Q200" s="16">
        <v>0.999748</v>
      </c>
      <c r="R200" s="16">
        <v>0.998067</v>
      </c>
      <c r="S200" s="19">
        <f t="shared" si="2"/>
        <v>10</v>
      </c>
      <c r="T200" s="19">
        <f t="shared" si="3"/>
        <v>35.10089798</v>
      </c>
      <c r="U200" s="20">
        <f t="shared" si="4"/>
        <v>3.420388202</v>
      </c>
      <c r="V200" s="17">
        <f t="shared" si="43"/>
        <v>105.9636265</v>
      </c>
      <c r="W200" s="21">
        <f t="shared" si="5"/>
        <v>4</v>
      </c>
      <c r="X200" s="21">
        <f t="shared" si="6"/>
        <v>529.8181325</v>
      </c>
      <c r="Y200" s="21">
        <f t="shared" si="7"/>
        <v>17.10194101</v>
      </c>
      <c r="Z200" s="8">
        <f t="shared" si="19"/>
        <v>107.8514201</v>
      </c>
      <c r="AA200" s="8">
        <f t="shared" si="31"/>
        <v>95</v>
      </c>
      <c r="AB200" s="13">
        <f t="shared" si="9"/>
        <v>9.5</v>
      </c>
      <c r="AC200" s="13">
        <f t="shared" si="10"/>
        <v>0.8808414381</v>
      </c>
      <c r="AD200" s="13">
        <f>AA200/vlookup(A200,Max!$A$2:$AP$700,column(Max!$AP$2),false)</f>
        <v>3.392857143</v>
      </c>
      <c r="AE200" s="8">
        <f t="shared" si="11"/>
        <v>71.55884225</v>
      </c>
      <c r="AF200" s="14">
        <f t="shared" si="12"/>
        <v>0.9803330393</v>
      </c>
      <c r="AG200" s="14">
        <f t="shared" si="13"/>
        <v>1.322281966</v>
      </c>
      <c r="AH200" s="14">
        <f t="shared" si="14"/>
        <v>1</v>
      </c>
      <c r="AI200" s="14">
        <f t="shared" si="15"/>
        <v>1.019853086</v>
      </c>
      <c r="AJ200" s="27">
        <f t="shared" si="16"/>
        <v>4</v>
      </c>
      <c r="AK200" s="15" t="str">
        <f t="shared" si="17"/>
        <v>  @CONFIG[RD-0214] {
   %cost = 95
   @cost -= #$../../cost$
  }</v>
      </c>
    </row>
    <row r="201" ht="15.75" customHeight="1">
      <c r="A201" s="7" t="s">
        <v>597</v>
      </c>
      <c r="B201" s="7" t="s">
        <v>596</v>
      </c>
      <c r="C201" s="8">
        <f t="shared" si="1"/>
        <v>4</v>
      </c>
      <c r="D201" s="7">
        <v>1967.0</v>
      </c>
      <c r="E201" s="7"/>
      <c r="F201" s="7" t="b">
        <v>1</v>
      </c>
      <c r="G201" s="7" t="b">
        <v>0</v>
      </c>
      <c r="H201" s="7" t="b">
        <v>0</v>
      </c>
      <c r="I201" s="7" t="b">
        <v>0</v>
      </c>
      <c r="J201" s="9" t="b">
        <v>0</v>
      </c>
      <c r="K201" s="7">
        <v>515.0</v>
      </c>
      <c r="L201" s="7">
        <v>50.0</v>
      </c>
      <c r="M201" s="7">
        <v>1080.0</v>
      </c>
      <c r="N201" s="7">
        <v>1635.0</v>
      </c>
      <c r="O201" s="7">
        <v>316.0</v>
      </c>
      <c r="P201" s="7">
        <v>14.71</v>
      </c>
      <c r="Q201" s="7">
        <v>0.998397</v>
      </c>
      <c r="R201" s="7">
        <v>0.998397</v>
      </c>
      <c r="S201" s="10">
        <f t="shared" si="2"/>
        <v>565</v>
      </c>
      <c r="T201" s="10">
        <f t="shared" si="3"/>
        <v>154.373704</v>
      </c>
      <c r="U201" s="11">
        <f t="shared" si="4"/>
        <v>0.3307834936</v>
      </c>
      <c r="V201" s="8">
        <f t="shared" si="43"/>
        <v>540.831012</v>
      </c>
      <c r="W201" s="12">
        <f t="shared" si="5"/>
        <v>4</v>
      </c>
      <c r="X201" s="12">
        <f t="shared" si="6"/>
        <v>2704.15506</v>
      </c>
      <c r="Y201" s="12">
        <f t="shared" si="7"/>
        <v>1.653917468</v>
      </c>
      <c r="Z201" s="8">
        <f t="shared" si="19"/>
        <v>549.9151177</v>
      </c>
      <c r="AA201" s="8">
        <f t="shared" si="31"/>
        <v>732</v>
      </c>
      <c r="AB201" s="13">
        <f t="shared" si="9"/>
        <v>1.295575221</v>
      </c>
      <c r="AC201" s="13">
        <f t="shared" si="10"/>
        <v>1.331114524</v>
      </c>
      <c r="AD201" s="13">
        <f>AA201/vlookup(A201,Max!$A$2:$AP$700,column(Max!$AP$2),false)</f>
        <v>0.6971428571</v>
      </c>
      <c r="AE201" s="8">
        <f t="shared" si="11"/>
        <v>325.7508777</v>
      </c>
      <c r="AF201" s="14">
        <f t="shared" si="12"/>
        <v>1.115677507</v>
      </c>
      <c r="AG201" s="14">
        <f t="shared" si="13"/>
        <v>1.971362423</v>
      </c>
      <c r="AH201" s="14">
        <f t="shared" si="14"/>
        <v>1</v>
      </c>
      <c r="AI201" s="14">
        <f t="shared" si="15"/>
        <v>1.021339626</v>
      </c>
      <c r="AJ201" s="27">
        <f t="shared" si="16"/>
        <v>4</v>
      </c>
      <c r="AK201" s="15" t="str">
        <f t="shared" si="17"/>
        <v>  @CONFIG[RD-253-Mk2] {
   %cost = 732
   @cost -= #$../../cost$
  }</v>
      </c>
    </row>
    <row r="202" ht="15.75" customHeight="1">
      <c r="A202" s="16" t="s">
        <v>633</v>
      </c>
      <c r="B202" s="16" t="s">
        <v>630</v>
      </c>
      <c r="C202" s="8">
        <f t="shared" si="1"/>
        <v>76</v>
      </c>
      <c r="D202" s="16">
        <v>1967.0</v>
      </c>
      <c r="E202" s="16"/>
      <c r="F202" s="16" t="b">
        <v>1</v>
      </c>
      <c r="G202" s="16" t="b">
        <v>0</v>
      </c>
      <c r="H202" s="16" t="b">
        <v>1</v>
      </c>
      <c r="I202" s="16" t="b">
        <v>0</v>
      </c>
      <c r="J202" s="9" t="b">
        <v>0</v>
      </c>
      <c r="K202" s="16">
        <v>400.0</v>
      </c>
      <c r="L202" s="16">
        <v>100.0</v>
      </c>
      <c r="M202" s="16">
        <v>230.0</v>
      </c>
      <c r="N202" s="16">
        <v>83.36</v>
      </c>
      <c r="O202" s="16">
        <v>349.0</v>
      </c>
      <c r="P202" s="16">
        <v>6.98</v>
      </c>
      <c r="Q202" s="16">
        <v>0.988281</v>
      </c>
      <c r="R202" s="16">
        <v>0.982813</v>
      </c>
      <c r="S202" s="19">
        <f t="shared" si="2"/>
        <v>500</v>
      </c>
      <c r="T202" s="19">
        <f t="shared" si="3"/>
        <v>36.95806229</v>
      </c>
      <c r="U202" s="20">
        <f t="shared" si="4"/>
        <v>2.492237481</v>
      </c>
      <c r="V202" s="17">
        <f t="shared" si="43"/>
        <v>207.7529164</v>
      </c>
      <c r="W202" s="21">
        <f t="shared" si="5"/>
        <v>4</v>
      </c>
      <c r="X202" s="21">
        <f t="shared" si="6"/>
        <v>1038.764582</v>
      </c>
      <c r="Y202" s="21">
        <f t="shared" si="7"/>
        <v>12.46118741</v>
      </c>
      <c r="Z202" s="8">
        <f t="shared" si="19"/>
        <v>205.9445134</v>
      </c>
      <c r="AA202" s="8">
        <f t="shared" si="31"/>
        <v>241</v>
      </c>
      <c r="AB202" s="13">
        <f t="shared" si="9"/>
        <v>0.482</v>
      </c>
      <c r="AC202" s="13">
        <f t="shared" si="10"/>
        <v>1.170218114</v>
      </c>
      <c r="AD202" s="13">
        <f>AA202/vlookup(A202,Max!$A$2:$AP$700,column(Max!$AP$2),false)</f>
        <v>2.190909091</v>
      </c>
      <c r="AE202" s="8">
        <f t="shared" si="11"/>
        <v>126.2812344</v>
      </c>
      <c r="AF202" s="14">
        <f t="shared" si="12"/>
        <v>1.421908687</v>
      </c>
      <c r="AG202" s="14">
        <f t="shared" si="13"/>
        <v>1.406790653</v>
      </c>
      <c r="AH202" s="14">
        <f t="shared" si="14"/>
        <v>1</v>
      </c>
      <c r="AI202" s="14">
        <f t="shared" si="15"/>
        <v>0.9534333951</v>
      </c>
      <c r="AJ202" s="27">
        <f t="shared" si="16"/>
        <v>76</v>
      </c>
      <c r="AK202" s="15" t="str">
        <f t="shared" si="17"/>
        <v>  @CONFIG[RD-58] {
   %cost = 241
   @cost -= #$../../cost$
  }</v>
      </c>
    </row>
    <row r="203" ht="15.75" customHeight="1">
      <c r="A203" s="7" t="s">
        <v>816</v>
      </c>
      <c r="B203" s="7" t="s">
        <v>810</v>
      </c>
      <c r="C203" s="8">
        <f t="shared" si="1"/>
        <v>16</v>
      </c>
      <c r="D203" s="7">
        <v>1967.0</v>
      </c>
      <c r="E203" s="7"/>
      <c r="F203" s="7" t="b">
        <v>1</v>
      </c>
      <c r="G203" s="7" t="b">
        <v>0</v>
      </c>
      <c r="H203" s="7" t="b">
        <v>1</v>
      </c>
      <c r="I203" s="7" t="b">
        <v>0</v>
      </c>
      <c r="J203" s="9" t="b">
        <v>0</v>
      </c>
      <c r="K203" s="7">
        <v>300.0</v>
      </c>
      <c r="L203" s="7">
        <v>40.0</v>
      </c>
      <c r="M203" s="7">
        <v>886.0</v>
      </c>
      <c r="N203" s="7">
        <v>808.0</v>
      </c>
      <c r="O203" s="7">
        <v>292.7</v>
      </c>
      <c r="P203" s="7">
        <v>5.85</v>
      </c>
      <c r="Q203" s="7">
        <v>0.998872</v>
      </c>
      <c r="R203" s="7">
        <v>0.998872</v>
      </c>
      <c r="S203" s="10">
        <f t="shared" si="2"/>
        <v>340</v>
      </c>
      <c r="T203" s="10">
        <f t="shared" si="3"/>
        <v>92.9944354</v>
      </c>
      <c r="U203" s="11">
        <f t="shared" si="4"/>
        <v>0.5197835261</v>
      </c>
      <c r="V203" s="8">
        <f t="shared" si="43"/>
        <v>419.9850891</v>
      </c>
      <c r="W203" s="12">
        <f t="shared" si="5"/>
        <v>4</v>
      </c>
      <c r="X203" s="12">
        <f t="shared" si="6"/>
        <v>2099.925445</v>
      </c>
      <c r="Y203" s="12">
        <f t="shared" si="7"/>
        <v>2.59891763</v>
      </c>
      <c r="Z203" s="8">
        <f t="shared" si="19"/>
        <v>427.4378389</v>
      </c>
      <c r="AA203" s="8">
        <f t="shared" si="31"/>
        <v>389</v>
      </c>
      <c r="AB203" s="13">
        <f t="shared" si="9"/>
        <v>1.144117647</v>
      </c>
      <c r="AC203" s="13">
        <f t="shared" si="10"/>
        <v>0.9100738508</v>
      </c>
      <c r="AD203" s="13">
        <f>AA203/vlookup(A203,Max!$A$2:$AP$700,column(Max!$AP$2),false)</f>
        <v>1.296666667</v>
      </c>
      <c r="AE203" s="8">
        <f t="shared" si="11"/>
        <v>288.3273105</v>
      </c>
      <c r="AF203" s="14">
        <f t="shared" si="12"/>
        <v>0.9795471568</v>
      </c>
      <c r="AG203" s="14">
        <f t="shared" si="13"/>
        <v>1.351985625</v>
      </c>
      <c r="AH203" s="14">
        <f t="shared" si="14"/>
        <v>1</v>
      </c>
      <c r="AI203" s="14">
        <f t="shared" si="15"/>
        <v>1.019673682</v>
      </c>
      <c r="AJ203" s="27">
        <f t="shared" si="16"/>
        <v>16</v>
      </c>
      <c r="AK203" s="15" t="str">
        <f t="shared" si="17"/>
        <v>  @CONFIG[Viking-4C] {
   %cost = 389
   @cost -= #$../../cost$
  }</v>
      </c>
    </row>
    <row r="204" ht="15.75" customHeight="1">
      <c r="A204" s="16" t="s">
        <v>814</v>
      </c>
      <c r="B204" s="16" t="s">
        <v>810</v>
      </c>
      <c r="C204" s="8">
        <f t="shared" si="1"/>
        <v>27</v>
      </c>
      <c r="D204" s="16">
        <v>1967.0</v>
      </c>
      <c r="E204" s="16"/>
      <c r="F204" s="16" t="b">
        <v>1</v>
      </c>
      <c r="G204" s="16" t="b">
        <v>0</v>
      </c>
      <c r="H204" s="16" t="b">
        <v>0</v>
      </c>
      <c r="I204" s="16" t="b">
        <v>0</v>
      </c>
      <c r="J204" s="9" t="b">
        <v>0</v>
      </c>
      <c r="K204" s="16">
        <v>300.0</v>
      </c>
      <c r="L204" s="16">
        <v>20.0</v>
      </c>
      <c r="M204" s="16">
        <v>826.0</v>
      </c>
      <c r="N204" s="16">
        <v>760.0</v>
      </c>
      <c r="O204" s="16">
        <v>278.5</v>
      </c>
      <c r="P204" s="16">
        <v>5.85</v>
      </c>
      <c r="Q204" s="16">
        <v>0.999247</v>
      </c>
      <c r="R204" s="16">
        <v>0.999247</v>
      </c>
      <c r="S204" s="19">
        <f t="shared" si="2"/>
        <v>320</v>
      </c>
      <c r="T204" s="19">
        <f t="shared" si="3"/>
        <v>93.82376751</v>
      </c>
      <c r="U204" s="20">
        <f t="shared" si="4"/>
        <v>0.516485621</v>
      </c>
      <c r="V204" s="17">
        <f t="shared" si="43"/>
        <v>392.5290719</v>
      </c>
      <c r="W204" s="21">
        <f t="shared" si="5"/>
        <v>4</v>
      </c>
      <c r="X204" s="21">
        <f t="shared" si="6"/>
        <v>1962.64536</v>
      </c>
      <c r="Y204" s="21">
        <f t="shared" si="7"/>
        <v>2.582428105</v>
      </c>
      <c r="Z204" s="8">
        <f t="shared" si="19"/>
        <v>399.7887272</v>
      </c>
      <c r="AA204" s="8">
        <f t="shared" si="31"/>
        <v>400</v>
      </c>
      <c r="AB204" s="13">
        <f t="shared" si="9"/>
        <v>1.25</v>
      </c>
      <c r="AC204" s="13">
        <f t="shared" si="10"/>
        <v>1.000528461</v>
      </c>
      <c r="AD204" s="13">
        <f>AA204/vlookup(A204,Max!$A$2:$AP$700,column(Max!$AP$2),false)</f>
        <v>1.052631579</v>
      </c>
      <c r="AE204" s="8">
        <f t="shared" si="11"/>
        <v>276.14469</v>
      </c>
      <c r="AF204" s="14">
        <f t="shared" si="12"/>
        <v>0.9470713697</v>
      </c>
      <c r="AG204" s="14">
        <f t="shared" si="13"/>
        <v>1.494959516</v>
      </c>
      <c r="AH204" s="14">
        <f t="shared" si="14"/>
        <v>1</v>
      </c>
      <c r="AI204" s="14">
        <f t="shared" si="15"/>
        <v>1.023514845</v>
      </c>
      <c r="AJ204" s="27">
        <f t="shared" si="16"/>
        <v>27</v>
      </c>
      <c r="AK204" s="15" t="str">
        <f t="shared" si="17"/>
        <v>  @CONFIG[Viking-5C] {
   %cost = 400
   @cost -= #$../../cost$
  }</v>
      </c>
    </row>
    <row r="205" ht="15.75" customHeight="1">
      <c r="A205" s="7" t="s">
        <v>815</v>
      </c>
      <c r="B205" s="7" t="s">
        <v>810</v>
      </c>
      <c r="C205" s="8">
        <f t="shared" si="1"/>
        <v>27</v>
      </c>
      <c r="D205" s="7">
        <v>1967.0</v>
      </c>
      <c r="E205" s="7"/>
      <c r="F205" s="7" t="b">
        <v>1</v>
      </c>
      <c r="G205" s="7" t="b">
        <v>0</v>
      </c>
      <c r="H205" s="7" t="b">
        <v>0</v>
      </c>
      <c r="I205" s="7" t="b">
        <v>0</v>
      </c>
      <c r="J205" s="9" t="b">
        <v>0</v>
      </c>
      <c r="K205" s="7">
        <v>300.0</v>
      </c>
      <c r="L205" s="7">
        <v>5.0</v>
      </c>
      <c r="M205" s="7">
        <v>826.0</v>
      </c>
      <c r="N205" s="7">
        <v>760.0</v>
      </c>
      <c r="O205" s="7">
        <v>278.3</v>
      </c>
      <c r="P205" s="7">
        <v>5.85</v>
      </c>
      <c r="Q205" s="7">
        <v>0.999372</v>
      </c>
      <c r="R205" s="7">
        <v>0.999372</v>
      </c>
      <c r="S205" s="10">
        <f t="shared" si="2"/>
        <v>305</v>
      </c>
      <c r="T205" s="10">
        <f t="shared" si="3"/>
        <v>93.82376751</v>
      </c>
      <c r="U205" s="11">
        <f t="shared" si="4"/>
        <v>0.5162974361</v>
      </c>
      <c r="V205" s="8">
        <f t="shared" si="43"/>
        <v>392.3860514</v>
      </c>
      <c r="W205" s="12">
        <f t="shared" si="5"/>
        <v>4</v>
      </c>
      <c r="X205" s="12">
        <f t="shared" si="6"/>
        <v>1961.930257</v>
      </c>
      <c r="Y205" s="12">
        <f t="shared" si="7"/>
        <v>2.58148718</v>
      </c>
      <c r="Z205" s="8">
        <f t="shared" si="19"/>
        <v>399.7410903</v>
      </c>
      <c r="AA205" s="8">
        <f t="shared" si="31"/>
        <v>400</v>
      </c>
      <c r="AB205" s="13">
        <f t="shared" si="9"/>
        <v>1.31147541</v>
      </c>
      <c r="AC205" s="13">
        <f t="shared" si="10"/>
        <v>1.000647693</v>
      </c>
      <c r="AD205" s="13">
        <f>AA205/vlookup(A205,Max!$A$2:$AP$700,column(Max!$AP$2),false)</f>
        <v>1.176470588</v>
      </c>
      <c r="AE205" s="8">
        <f t="shared" si="11"/>
        <v>276.14469</v>
      </c>
      <c r="AF205" s="14">
        <f t="shared" si="12"/>
        <v>0.9466746589</v>
      </c>
      <c r="AG205" s="14">
        <f t="shared" si="13"/>
        <v>1.494959516</v>
      </c>
      <c r="AH205" s="14">
        <f t="shared" si="14"/>
        <v>1</v>
      </c>
      <c r="AI205" s="14">
        <f t="shared" si="15"/>
        <v>1.023834965</v>
      </c>
      <c r="AJ205" s="27">
        <f t="shared" si="16"/>
        <v>27</v>
      </c>
      <c r="AK205" s="15" t="str">
        <f t="shared" si="17"/>
        <v>  @CONFIG[Viking-6] {
   %cost = 400
   @cost -= #$../../cost$
  }</v>
      </c>
    </row>
    <row r="206" ht="15.75" customHeight="1">
      <c r="A206" s="16" t="s">
        <v>493</v>
      </c>
      <c r="B206" s="16" t="s">
        <v>492</v>
      </c>
      <c r="C206" s="8">
        <f t="shared" si="1"/>
        <v>69</v>
      </c>
      <c r="D206" s="16">
        <v>1968.0</v>
      </c>
      <c r="E206" s="16"/>
      <c r="F206" s="16" t="b">
        <v>1</v>
      </c>
      <c r="G206" s="16" t="b">
        <v>0</v>
      </c>
      <c r="H206" s="16" t="b">
        <v>1</v>
      </c>
      <c r="I206" s="16" t="b">
        <v>0</v>
      </c>
      <c r="J206" s="9" t="b">
        <v>0</v>
      </c>
      <c r="K206" s="16">
        <v>194.0</v>
      </c>
      <c r="L206" s="16"/>
      <c r="M206" s="16">
        <v>199.0</v>
      </c>
      <c r="N206" s="16">
        <v>230.5</v>
      </c>
      <c r="O206" s="16">
        <v>328.8</v>
      </c>
      <c r="P206" s="16">
        <v>17.5</v>
      </c>
      <c r="Q206" s="16">
        <v>0.998357</v>
      </c>
      <c r="R206" s="16">
        <v>0.998357</v>
      </c>
      <c r="S206" s="19">
        <f t="shared" si="2"/>
        <v>194</v>
      </c>
      <c r="T206" s="19">
        <f t="shared" si="3"/>
        <v>118.1128575</v>
      </c>
      <c r="U206" s="20">
        <f t="shared" si="4"/>
        <v>0.8863228007</v>
      </c>
      <c r="V206" s="17">
        <f>0.2*(8.17*POWER(M206*P206,0.46))+0.6*(0.146*POWER(M206*O206,0.639))+0.2*(0.29*N206+83.4)</f>
        <v>204.2974056</v>
      </c>
      <c r="W206" s="21">
        <f t="shared" si="5"/>
        <v>4</v>
      </c>
      <c r="X206" s="21">
        <f t="shared" si="6"/>
        <v>1021.487028</v>
      </c>
      <c r="Y206" s="21">
        <f t="shared" si="7"/>
        <v>4.431614004</v>
      </c>
      <c r="Z206" s="8">
        <f t="shared" si="19"/>
        <v>207.7125839</v>
      </c>
      <c r="AA206" s="8">
        <f t="shared" si="31"/>
        <v>249</v>
      </c>
      <c r="AB206" s="13">
        <f t="shared" si="9"/>
        <v>1.283505155</v>
      </c>
      <c r="AC206" s="13">
        <f t="shared" si="10"/>
        <v>1.198771857</v>
      </c>
      <c r="AD206" s="13">
        <f>AA206/vlookup(A206,Max!$A$2:$AP$700,column(Max!$AP$2),false)</f>
        <v>1.464705882</v>
      </c>
      <c r="AE206" s="8">
        <f t="shared" si="11"/>
        <v>115.6433045</v>
      </c>
      <c r="AF206" s="14">
        <f t="shared" si="12"/>
        <v>1.222544665</v>
      </c>
      <c r="AG206" s="14">
        <f t="shared" si="13"/>
        <v>1.729997857</v>
      </c>
      <c r="AH206" s="14">
        <f t="shared" si="14"/>
        <v>1</v>
      </c>
      <c r="AI206" s="14">
        <f t="shared" si="15"/>
        <v>1.017047766</v>
      </c>
      <c r="AJ206" s="27">
        <f t="shared" si="16"/>
        <v>69</v>
      </c>
      <c r="AK206" s="15" t="str">
        <f t="shared" si="17"/>
        <v>  @CONFIG[11D23] {
   %cost = 249
   @cost -= #$../../cost$
  }</v>
      </c>
    </row>
    <row r="207" ht="15.75" customHeight="1">
      <c r="A207" s="16" t="s">
        <v>34</v>
      </c>
      <c r="B207" s="16" t="s">
        <v>33</v>
      </c>
      <c r="C207" s="8">
        <f t="shared" si="1"/>
        <v>152</v>
      </c>
      <c r="D207" s="16">
        <v>1968.0</v>
      </c>
      <c r="E207" s="16"/>
      <c r="F207" s="16" t="b">
        <v>1</v>
      </c>
      <c r="G207" s="16" t="b">
        <v>0</v>
      </c>
      <c r="H207" s="16" t="b">
        <v>1</v>
      </c>
      <c r="I207" s="16" t="b">
        <v>0</v>
      </c>
      <c r="J207" s="9" t="b">
        <v>0</v>
      </c>
      <c r="K207" s="16"/>
      <c r="L207" s="16"/>
      <c r="M207" s="16">
        <v>117.7</v>
      </c>
      <c r="N207" s="16">
        <v>131.41</v>
      </c>
      <c r="O207" s="16">
        <v>326.0</v>
      </c>
      <c r="P207" s="16">
        <v>8.92</v>
      </c>
      <c r="Q207" s="16">
        <v>0.999</v>
      </c>
      <c r="R207" s="16">
        <v>0.998</v>
      </c>
      <c r="S207" s="19">
        <f t="shared" si="2"/>
        <v>0</v>
      </c>
      <c r="T207" s="19">
        <f t="shared" si="3"/>
        <v>113.8495388</v>
      </c>
      <c r="U207" s="20">
        <f t="shared" si="4"/>
        <v>1.060103265</v>
      </c>
      <c r="V207" s="17">
        <f t="shared" ref="V207:V214" si="44">0.2*(8.17*POWER(M207*P207,0.46))+0.8*(0.146*POWER(M207*O207,0.639))</f>
        <v>139.30817</v>
      </c>
      <c r="W207" s="21">
        <f t="shared" si="5"/>
        <v>4</v>
      </c>
      <c r="X207" s="21">
        <f t="shared" si="6"/>
        <v>696.54085</v>
      </c>
      <c r="Y207" s="21">
        <f t="shared" si="7"/>
        <v>5.300516323</v>
      </c>
      <c r="Z207" s="8">
        <f t="shared" si="19"/>
        <v>141.6766875</v>
      </c>
      <c r="AA207" s="8">
        <f t="shared" si="31"/>
        <v>152</v>
      </c>
      <c r="AB207" s="13" t="str">
        <f t="shared" si="9"/>
        <v>#N/A</v>
      </c>
      <c r="AC207" s="13">
        <f t="shared" si="10"/>
        <v>1.072865287</v>
      </c>
      <c r="AD207" s="13">
        <f>AA207/vlookup(A207,Max!$A$2:$AP$700,column(Max!$AP$2),false)</f>
        <v>1.216</v>
      </c>
      <c r="AE207" s="8">
        <f t="shared" si="11"/>
        <v>84.13160173</v>
      </c>
      <c r="AF207" s="14">
        <f t="shared" si="12"/>
        <v>1.197979511</v>
      </c>
      <c r="AG207" s="14">
        <f t="shared" si="13"/>
        <v>1.48659989</v>
      </c>
      <c r="AH207" s="14">
        <f t="shared" si="14"/>
        <v>1</v>
      </c>
      <c r="AI207" s="14">
        <f t="shared" si="15"/>
        <v>1.017775723</v>
      </c>
      <c r="AJ207" s="15">
        <f t="shared" si="16"/>
        <v>0</v>
      </c>
      <c r="AK207" s="15" t="str">
        <f t="shared" si="17"/>
        <v>  @CONFIG[11D423] {
   %cost = 152
   @cost -= #$../../cost$
  }</v>
      </c>
    </row>
    <row r="208" ht="15.75" customHeight="1">
      <c r="A208" s="7" t="s">
        <v>33</v>
      </c>
      <c r="B208" s="7" t="s">
        <v>33</v>
      </c>
      <c r="C208" s="8">
        <f t="shared" si="1"/>
        <v>-8</v>
      </c>
      <c r="D208" s="7">
        <v>1968.0</v>
      </c>
      <c r="E208" s="7"/>
      <c r="F208" s="7" t="b">
        <v>1</v>
      </c>
      <c r="G208" s="7" t="b">
        <v>0</v>
      </c>
      <c r="H208" s="7" t="b">
        <v>1</v>
      </c>
      <c r="I208" s="7" t="b">
        <v>0</v>
      </c>
      <c r="J208" s="9" t="b">
        <v>0</v>
      </c>
      <c r="K208" s="7"/>
      <c r="L208" s="7"/>
      <c r="M208" s="7">
        <v>107.0</v>
      </c>
      <c r="N208" s="7">
        <v>131.41</v>
      </c>
      <c r="O208" s="7">
        <v>326.0</v>
      </c>
      <c r="P208" s="7">
        <v>8.92</v>
      </c>
      <c r="Q208" s="7">
        <v>0.998916</v>
      </c>
      <c r="R208" s="7">
        <v>0.99705</v>
      </c>
      <c r="S208" s="10">
        <f t="shared" si="2"/>
        <v>0</v>
      </c>
      <c r="T208" s="10">
        <f t="shared" si="3"/>
        <v>125.2344927</v>
      </c>
      <c r="U208" s="11">
        <f t="shared" si="4"/>
        <v>1.0024049</v>
      </c>
      <c r="V208" s="8">
        <f t="shared" si="44"/>
        <v>131.7260279</v>
      </c>
      <c r="W208" s="12">
        <f t="shared" si="5"/>
        <v>4</v>
      </c>
      <c r="X208" s="12">
        <f t="shared" si="6"/>
        <v>658.6301395</v>
      </c>
      <c r="Y208" s="12">
        <f t="shared" si="7"/>
        <v>5.0120245</v>
      </c>
      <c r="Z208" s="8">
        <f t="shared" si="19"/>
        <v>133.8295869</v>
      </c>
      <c r="AA208" s="8">
        <f t="shared" si="31"/>
        <v>144</v>
      </c>
      <c r="AB208" s="13" t="str">
        <f t="shared" si="9"/>
        <v>#N/A</v>
      </c>
      <c r="AC208" s="13">
        <f t="shared" si="10"/>
        <v>1.075995251</v>
      </c>
      <c r="AD208" s="13">
        <f>AA208/vlookup(A208,Max!$A$2:$AP$700,column(Max!$AP$2),false)</f>
        <v>1.309090909</v>
      </c>
      <c r="AE208" s="8">
        <f t="shared" si="11"/>
        <v>79.42673844</v>
      </c>
      <c r="AF208" s="14">
        <f t="shared" si="12"/>
        <v>1.197979511</v>
      </c>
      <c r="AG208" s="14">
        <f t="shared" si="13"/>
        <v>1.48659989</v>
      </c>
      <c r="AH208" s="14">
        <f t="shared" si="14"/>
        <v>1</v>
      </c>
      <c r="AI208" s="14">
        <f t="shared" si="15"/>
        <v>1.015141965</v>
      </c>
      <c r="AJ208" s="27">
        <f t="shared" si="16"/>
        <v>-8</v>
      </c>
      <c r="AK208" s="15" t="str">
        <f t="shared" si="17"/>
        <v>  @CONFIG[15D13] {
   %cost = 144
   @cost -= #$../../cost$
  }</v>
      </c>
    </row>
    <row r="209" ht="15.75" customHeight="1">
      <c r="A209" s="16" t="s">
        <v>71</v>
      </c>
      <c r="B209" s="16" t="s">
        <v>72</v>
      </c>
      <c r="C209" s="8">
        <f t="shared" si="1"/>
        <v>159</v>
      </c>
      <c r="D209" s="16">
        <v>1968.0</v>
      </c>
      <c r="E209" s="16"/>
      <c r="F209" s="16" t="b">
        <v>0</v>
      </c>
      <c r="G209" s="16" t="b">
        <v>0</v>
      </c>
      <c r="H209" s="16" t="b">
        <v>1</v>
      </c>
      <c r="I209" s="16" t="b">
        <v>0</v>
      </c>
      <c r="J209" s="9" t="b">
        <v>0</v>
      </c>
      <c r="K209" s="16">
        <v>350.0</v>
      </c>
      <c r="L209" s="16">
        <v>0.0</v>
      </c>
      <c r="M209" s="16">
        <v>372.44</v>
      </c>
      <c r="N209" s="16">
        <v>97.416</v>
      </c>
      <c r="O209" s="16">
        <v>314.5</v>
      </c>
      <c r="P209" s="16">
        <v>0.68</v>
      </c>
      <c r="Q209" s="16">
        <v>0.9995</v>
      </c>
      <c r="R209" s="16">
        <v>0.999</v>
      </c>
      <c r="S209" s="19">
        <f t="shared" si="2"/>
        <v>350</v>
      </c>
      <c r="T209" s="19">
        <f t="shared" si="3"/>
        <v>26.67185971</v>
      </c>
      <c r="U209" s="20">
        <f t="shared" si="4"/>
        <v>2.292171967</v>
      </c>
      <c r="V209" s="17">
        <f t="shared" si="44"/>
        <v>223.2942243</v>
      </c>
      <c r="W209" s="21">
        <f t="shared" si="5"/>
        <v>1.75</v>
      </c>
      <c r="X209" s="21">
        <f t="shared" si="6"/>
        <v>614.0591168</v>
      </c>
      <c r="Y209" s="21">
        <f t="shared" si="7"/>
        <v>6.303472908</v>
      </c>
      <c r="Z209" s="8">
        <f t="shared" si="19"/>
        <v>227.4252791</v>
      </c>
      <c r="AA209" s="8">
        <f t="shared" si="31"/>
        <v>159</v>
      </c>
      <c r="AB209" s="13">
        <f t="shared" si="9"/>
        <v>0.4542857143</v>
      </c>
      <c r="AC209" s="13">
        <f t="shared" si="10"/>
        <v>0.6991307239</v>
      </c>
      <c r="AD209" s="13">
        <f>AA209/vlookup(A209,Max!$A$2:$AP$700,column(Max!$AP$2),false)</f>
        <v>1.177777778</v>
      </c>
      <c r="AE209" s="8">
        <f t="shared" si="11"/>
        <v>169.4221005</v>
      </c>
      <c r="AF209" s="14">
        <f t="shared" si="12"/>
        <v>1.102229686</v>
      </c>
      <c r="AG209" s="14">
        <f t="shared" si="13"/>
        <v>0.8330604363</v>
      </c>
      <c r="AH209" s="14">
        <f t="shared" si="14"/>
        <v>1</v>
      </c>
      <c r="AI209" s="14">
        <f t="shared" si="15"/>
        <v>1.021604342</v>
      </c>
      <c r="AJ209" s="15">
        <f t="shared" si="16"/>
        <v>0</v>
      </c>
      <c r="AK209" s="15" t="str">
        <f t="shared" si="17"/>
        <v>  @CONFIG[AJ10-137] {
   %cost = 159
   @cost -= #$../../cost$
  }</v>
      </c>
    </row>
    <row r="210" ht="15.75" customHeight="1">
      <c r="A210" s="7" t="s">
        <v>112</v>
      </c>
      <c r="B210" s="7" t="s">
        <v>111</v>
      </c>
      <c r="C210" s="8">
        <f t="shared" si="1"/>
        <v>33</v>
      </c>
      <c r="D210" s="7">
        <v>1968.0</v>
      </c>
      <c r="E210" s="7" t="b">
        <v>0</v>
      </c>
      <c r="F210" s="7" t="b">
        <v>0</v>
      </c>
      <c r="G210" s="7" t="b">
        <v>0</v>
      </c>
      <c r="H210" s="7" t="b">
        <v>1</v>
      </c>
      <c r="I210" s="7" t="b">
        <v>0</v>
      </c>
      <c r="J210" s="9" t="b">
        <v>0</v>
      </c>
      <c r="K210" s="7"/>
      <c r="L210" s="7">
        <v>0.0</v>
      </c>
      <c r="M210" s="7">
        <v>68.0</v>
      </c>
      <c r="N210" s="7">
        <v>22.56</v>
      </c>
      <c r="O210" s="7">
        <v>297.0</v>
      </c>
      <c r="P210" s="7">
        <v>0.9</v>
      </c>
      <c r="Q210" s="7">
        <v>0.93</v>
      </c>
      <c r="R210" s="7">
        <v>0.883333</v>
      </c>
      <c r="S210" s="10">
        <f t="shared" si="2"/>
        <v>0</v>
      </c>
      <c r="T210" s="10">
        <f t="shared" si="3"/>
        <v>33.83058485</v>
      </c>
      <c r="U210" s="11">
        <f t="shared" si="4"/>
        <v>3.399196463</v>
      </c>
      <c r="V210" s="8">
        <f t="shared" si="44"/>
        <v>76.68587221</v>
      </c>
      <c r="W210" s="12">
        <f t="shared" si="5"/>
        <v>1.75</v>
      </c>
      <c r="X210" s="12">
        <f t="shared" si="6"/>
        <v>210.8861486</v>
      </c>
      <c r="Y210" s="12">
        <f t="shared" si="7"/>
        <v>9.347790274</v>
      </c>
      <c r="Z210" s="8">
        <f t="shared" si="19"/>
        <v>64.53113769</v>
      </c>
      <c r="AA210" s="8">
        <f t="shared" si="31"/>
        <v>33</v>
      </c>
      <c r="AB210" s="13" t="str">
        <f t="shared" si="9"/>
        <v>#N/A</v>
      </c>
      <c r="AC210" s="13">
        <f t="shared" si="10"/>
        <v>0.5113810353</v>
      </c>
      <c r="AD210" s="13">
        <f>AA210/vlookup(A210,Max!$A$2:$AP$700,column(Max!$AP$2),false)</f>
        <v>2.444444444</v>
      </c>
      <c r="AE210" s="8">
        <f t="shared" si="11"/>
        <v>60.4578617</v>
      </c>
      <c r="AF210" s="14">
        <f t="shared" si="12"/>
        <v>0.9912508265</v>
      </c>
      <c r="AG210" s="14">
        <f t="shared" si="13"/>
        <v>0.8872920059</v>
      </c>
      <c r="AH210" s="14">
        <f t="shared" si="14"/>
        <v>1</v>
      </c>
      <c r="AI210" s="14">
        <f t="shared" si="15"/>
        <v>0.6272353452</v>
      </c>
      <c r="AJ210" s="15">
        <f t="shared" si="16"/>
        <v>0</v>
      </c>
      <c r="AK210" s="15" t="str">
        <f t="shared" si="17"/>
        <v>  @CONFIG[AstrisI] {
   %cost = 33
   @cost -= #$../../cost$
  }</v>
      </c>
    </row>
    <row r="211" ht="15.75" customHeight="1">
      <c r="A211" s="16" t="s">
        <v>110</v>
      </c>
      <c r="B211" s="16" t="s">
        <v>111</v>
      </c>
      <c r="C211" s="8">
        <f t="shared" si="1"/>
        <v>9</v>
      </c>
      <c r="D211" s="16">
        <v>1968.0</v>
      </c>
      <c r="E211" s="16" t="b">
        <v>0</v>
      </c>
      <c r="F211" s="16" t="b">
        <v>0</v>
      </c>
      <c r="G211" s="16" t="b">
        <v>0</v>
      </c>
      <c r="H211" s="16" t="b">
        <v>1</v>
      </c>
      <c r="I211" s="16" t="b">
        <v>0</v>
      </c>
      <c r="J211" s="9" t="b">
        <v>0</v>
      </c>
      <c r="K211" s="16"/>
      <c r="L211" s="16">
        <v>50.0</v>
      </c>
      <c r="M211" s="16">
        <v>68.0</v>
      </c>
      <c r="N211" s="16">
        <v>23.3</v>
      </c>
      <c r="O211" s="16">
        <v>310.0</v>
      </c>
      <c r="P211" s="16">
        <v>0.9</v>
      </c>
      <c r="Q211" s="16">
        <v>0.95</v>
      </c>
      <c r="R211" s="16">
        <v>0.92</v>
      </c>
      <c r="S211" s="19">
        <f t="shared" si="2"/>
        <v>50</v>
      </c>
      <c r="T211" s="19">
        <f t="shared" si="3"/>
        <v>34.94027602</v>
      </c>
      <c r="U211" s="20">
        <f t="shared" si="4"/>
        <v>3.369665383</v>
      </c>
      <c r="V211" s="17">
        <f t="shared" si="44"/>
        <v>78.51320343</v>
      </c>
      <c r="W211" s="21">
        <f t="shared" si="5"/>
        <v>1.75</v>
      </c>
      <c r="X211" s="21">
        <f t="shared" si="6"/>
        <v>215.9113094</v>
      </c>
      <c r="Y211" s="21">
        <f t="shared" si="7"/>
        <v>9.266579804</v>
      </c>
      <c r="Z211" s="8">
        <f t="shared" si="19"/>
        <v>70.19080387</v>
      </c>
      <c r="AA211" s="8">
        <f t="shared" si="31"/>
        <v>42</v>
      </c>
      <c r="AB211" s="13">
        <f t="shared" si="9"/>
        <v>0.84</v>
      </c>
      <c r="AC211" s="13">
        <f t="shared" si="10"/>
        <v>0.5983689841</v>
      </c>
      <c r="AD211" s="13">
        <f>AA211/vlookup(A211,Max!$A$2:$AP$700,column(Max!$AP$2),false)</f>
        <v>2.210526316</v>
      </c>
      <c r="AE211" s="8">
        <f t="shared" si="11"/>
        <v>60.4578617</v>
      </c>
      <c r="AF211" s="14">
        <f t="shared" si="12"/>
        <v>1.057751671</v>
      </c>
      <c r="AG211" s="14">
        <f t="shared" si="13"/>
        <v>0.8872920059</v>
      </c>
      <c r="AH211" s="14">
        <f t="shared" si="14"/>
        <v>1</v>
      </c>
      <c r="AI211" s="14">
        <f t="shared" si="15"/>
        <v>0.7323026321</v>
      </c>
      <c r="AJ211" s="27">
        <f t="shared" si="16"/>
        <v>9</v>
      </c>
      <c r="AK211" s="15" t="str">
        <f t="shared" si="17"/>
        <v>  @CONFIG[AstrisII] {
   %cost = 42
   @cost -= #$../../cost$
  }</v>
      </c>
    </row>
    <row r="212" ht="15.75" customHeight="1">
      <c r="A212" s="7" t="s">
        <v>122</v>
      </c>
      <c r="B212" s="7" t="s">
        <v>123</v>
      </c>
      <c r="C212" s="8">
        <f t="shared" si="1"/>
        <v>8</v>
      </c>
      <c r="D212" s="7">
        <v>1968.0</v>
      </c>
      <c r="E212" s="7"/>
      <c r="F212" s="7" t="b">
        <v>0</v>
      </c>
      <c r="G212" s="7" t="b">
        <v>0</v>
      </c>
      <c r="H212" s="7" t="b">
        <v>1</v>
      </c>
      <c r="I212" s="7" t="b">
        <v>0</v>
      </c>
      <c r="J212" s="9" t="b">
        <v>0</v>
      </c>
      <c r="K212" s="7">
        <v>25.0</v>
      </c>
      <c r="L212" s="7">
        <v>0.0</v>
      </c>
      <c r="M212" s="7">
        <v>2.84</v>
      </c>
      <c r="N212" s="7">
        <v>0.445</v>
      </c>
      <c r="O212" s="7">
        <v>301.0</v>
      </c>
      <c r="P212" s="7">
        <v>0.67</v>
      </c>
      <c r="Q212" s="7">
        <v>0.995</v>
      </c>
      <c r="R212" s="7">
        <v>0.9985</v>
      </c>
      <c r="S212" s="10">
        <f t="shared" si="2"/>
        <v>25</v>
      </c>
      <c r="T212" s="10">
        <f t="shared" si="3"/>
        <v>15.97794766</v>
      </c>
      <c r="U212" s="11">
        <f t="shared" si="4"/>
        <v>24.55002564</v>
      </c>
      <c r="V212" s="8">
        <f t="shared" si="44"/>
        <v>10.92476141</v>
      </c>
      <c r="W212" s="12">
        <f t="shared" si="5"/>
        <v>1.75</v>
      </c>
      <c r="X212" s="12">
        <f t="shared" si="6"/>
        <v>30.04309388</v>
      </c>
      <c r="Y212" s="12">
        <f t="shared" si="7"/>
        <v>67.51257052</v>
      </c>
      <c r="Z212" s="8">
        <f t="shared" si="19"/>
        <v>11.07232763</v>
      </c>
      <c r="AA212" s="8">
        <f t="shared" si="31"/>
        <v>8</v>
      </c>
      <c r="AB212" s="13">
        <f t="shared" si="9"/>
        <v>0.32</v>
      </c>
      <c r="AC212" s="13">
        <f t="shared" si="10"/>
        <v>0.7225219728</v>
      </c>
      <c r="AD212" s="13">
        <f>AA212/vlookup(A212,Max!$A$2:$AP$700,column(Max!$AP$2),false)</f>
        <v>0.7272727273</v>
      </c>
      <c r="AE212" s="8">
        <f t="shared" si="11"/>
        <v>9.323952655</v>
      </c>
      <c r="AF212" s="14">
        <f t="shared" si="12"/>
        <v>1.003273336</v>
      </c>
      <c r="AG212" s="14">
        <f t="shared" si="13"/>
        <v>0.8302881406</v>
      </c>
      <c r="AH212" s="14">
        <f t="shared" si="14"/>
        <v>1</v>
      </c>
      <c r="AI212" s="14">
        <f t="shared" si="15"/>
        <v>1.008880873</v>
      </c>
      <c r="AJ212" s="15">
        <f t="shared" si="16"/>
        <v>0</v>
      </c>
      <c r="AK212" s="15" t="str">
        <f t="shared" si="17"/>
        <v>  @CONFIG[C-1] {
   %cost = 8
   @cost -= #$../../cost$
  }</v>
      </c>
    </row>
    <row r="213" ht="15.75" customHeight="1">
      <c r="A213" s="7" t="s">
        <v>69</v>
      </c>
      <c r="B213" s="7" t="s">
        <v>68</v>
      </c>
      <c r="C213" s="8">
        <f t="shared" si="1"/>
        <v>10</v>
      </c>
      <c r="D213" s="7">
        <v>1968.0</v>
      </c>
      <c r="E213" s="7"/>
      <c r="F213" s="7" t="b">
        <v>1</v>
      </c>
      <c r="G213" s="7" t="b">
        <v>0</v>
      </c>
      <c r="H213" s="7" t="b">
        <v>1</v>
      </c>
      <c r="I213" s="7" t="b">
        <v>0</v>
      </c>
      <c r="J213" s="9" t="b">
        <v>0</v>
      </c>
      <c r="K213" s="7">
        <v>50.0</v>
      </c>
      <c r="L213" s="7">
        <v>50.0</v>
      </c>
      <c r="M213" s="7">
        <v>78.0</v>
      </c>
      <c r="N213" s="7">
        <v>0.4</v>
      </c>
      <c r="O213" s="7">
        <v>273.0</v>
      </c>
      <c r="P213" s="7">
        <v>0.62</v>
      </c>
      <c r="Q213" s="7">
        <v>0.999414</v>
      </c>
      <c r="R213" s="7">
        <v>0.999123</v>
      </c>
      <c r="S213" s="10">
        <f t="shared" si="2"/>
        <v>100</v>
      </c>
      <c r="T213" s="10">
        <f t="shared" si="3"/>
        <v>0.5229313897</v>
      </c>
      <c r="U213" s="11">
        <f t="shared" si="4"/>
        <v>194.5955933</v>
      </c>
      <c r="V213" s="8">
        <f t="shared" si="44"/>
        <v>77.83823731</v>
      </c>
      <c r="W213" s="12">
        <f t="shared" si="5"/>
        <v>4</v>
      </c>
      <c r="X213" s="12">
        <f t="shared" si="6"/>
        <v>389.1911865</v>
      </c>
      <c r="Y213" s="12">
        <f t="shared" si="7"/>
        <v>972.9779663</v>
      </c>
      <c r="Z213" s="8">
        <f t="shared" si="19"/>
        <v>79.28116471</v>
      </c>
      <c r="AA213" s="8">
        <f t="shared" si="31"/>
        <v>51</v>
      </c>
      <c r="AB213" s="13">
        <f t="shared" si="9"/>
        <v>0.51</v>
      </c>
      <c r="AC213" s="13">
        <f t="shared" si="10"/>
        <v>0.6432801559</v>
      </c>
      <c r="AD213" s="13">
        <f>AA213/vlookup(A213,Max!$A$2:$AP$700,column(Max!$AP$2),false)</f>
        <v>13.78378378</v>
      </c>
      <c r="AE213" s="8">
        <f t="shared" si="11"/>
        <v>65.65365205</v>
      </c>
      <c r="AF213" s="14">
        <f t="shared" si="12"/>
        <v>0.9367111657</v>
      </c>
      <c r="AG213" s="14">
        <f t="shared" si="13"/>
        <v>0.815924801</v>
      </c>
      <c r="AH213" s="14">
        <f t="shared" si="14"/>
        <v>1</v>
      </c>
      <c r="AI213" s="14">
        <f t="shared" si="15"/>
        <v>1.021699021</v>
      </c>
      <c r="AJ213" s="27">
        <f t="shared" si="16"/>
        <v>10</v>
      </c>
      <c r="AK213" s="15" t="str">
        <f t="shared" si="17"/>
        <v>  @CONFIG[ISPS] {
   %cost = 51
   @cost -= #$../../cost$
  }</v>
      </c>
    </row>
    <row r="214" ht="15.75" customHeight="1">
      <c r="A214" s="16" t="s">
        <v>70</v>
      </c>
      <c r="B214" s="16" t="s">
        <v>68</v>
      </c>
      <c r="C214" s="8">
        <f t="shared" si="1"/>
        <v>11</v>
      </c>
      <c r="D214" s="16">
        <v>1968.0</v>
      </c>
      <c r="E214" s="16"/>
      <c r="F214" s="16" t="b">
        <v>1</v>
      </c>
      <c r="G214" s="16" t="b">
        <v>0</v>
      </c>
      <c r="H214" s="16" t="b">
        <v>1</v>
      </c>
      <c r="I214" s="16" t="b">
        <v>0</v>
      </c>
      <c r="J214" s="9" t="b">
        <v>0</v>
      </c>
      <c r="K214" s="16">
        <v>50.0</v>
      </c>
      <c r="L214" s="16">
        <v>50.0</v>
      </c>
      <c r="M214" s="16">
        <v>78.0</v>
      </c>
      <c r="N214" s="16">
        <v>0.4</v>
      </c>
      <c r="O214" s="16">
        <v>278.0</v>
      </c>
      <c r="P214" s="16">
        <v>0.62</v>
      </c>
      <c r="Q214" s="16">
        <v>0.999414</v>
      </c>
      <c r="R214" s="16">
        <v>0.999123</v>
      </c>
      <c r="S214" s="19">
        <f t="shared" si="2"/>
        <v>100</v>
      </c>
      <c r="T214" s="19">
        <f t="shared" si="3"/>
        <v>0.5229313897</v>
      </c>
      <c r="U214" s="20">
        <f t="shared" si="4"/>
        <v>196.5817851</v>
      </c>
      <c r="V214" s="17">
        <f t="shared" si="44"/>
        <v>78.63271405</v>
      </c>
      <c r="W214" s="21">
        <f t="shared" si="5"/>
        <v>4</v>
      </c>
      <c r="X214" s="21">
        <f t="shared" si="6"/>
        <v>393.1635702</v>
      </c>
      <c r="Y214" s="21">
        <f t="shared" si="7"/>
        <v>982.9089256</v>
      </c>
      <c r="Z214" s="8">
        <f t="shared" si="19"/>
        <v>80.09036908</v>
      </c>
      <c r="AA214" s="8">
        <f t="shared" si="31"/>
        <v>52</v>
      </c>
      <c r="AB214" s="13">
        <f t="shared" si="9"/>
        <v>0.52</v>
      </c>
      <c r="AC214" s="13">
        <f t="shared" si="10"/>
        <v>0.6492665797</v>
      </c>
      <c r="AD214" s="13">
        <f>AA214/vlookup(A214,Max!$A$2:$AP$700,column(Max!$AP$2),false)</f>
        <v>13.68421053</v>
      </c>
      <c r="AE214" s="8">
        <f t="shared" si="11"/>
        <v>65.65365205</v>
      </c>
      <c r="AF214" s="14">
        <f t="shared" si="12"/>
        <v>0.9460824974</v>
      </c>
      <c r="AG214" s="14">
        <f t="shared" si="13"/>
        <v>0.815924801</v>
      </c>
      <c r="AH214" s="14">
        <f t="shared" si="14"/>
        <v>1</v>
      </c>
      <c r="AI214" s="14">
        <f t="shared" si="15"/>
        <v>1.021699021</v>
      </c>
      <c r="AJ214" s="27">
        <f t="shared" si="16"/>
        <v>11</v>
      </c>
      <c r="AK214" s="15" t="str">
        <f t="shared" si="17"/>
        <v>  @CONFIG[ISPS-HDA] {
   %cost = 52
   @cost -= #$../../cost$
  }</v>
      </c>
    </row>
    <row r="215" ht="15.75" customHeight="1">
      <c r="A215" s="16" t="s">
        <v>327</v>
      </c>
      <c r="B215" s="16" t="s">
        <v>325</v>
      </c>
      <c r="C215" s="8">
        <f t="shared" si="1"/>
        <v>225</v>
      </c>
      <c r="D215" s="16">
        <v>1968.0</v>
      </c>
      <c r="E215" s="16" t="b">
        <v>1</v>
      </c>
      <c r="F215" s="16" t="b">
        <v>1</v>
      </c>
      <c r="G215" s="16" t="b">
        <v>0</v>
      </c>
      <c r="H215" s="16" t="b">
        <v>0</v>
      </c>
      <c r="I215" s="16" t="b">
        <v>0</v>
      </c>
      <c r="J215" s="9" t="b">
        <v>0</v>
      </c>
      <c r="K215" s="16">
        <v>700.0</v>
      </c>
      <c r="L215" s="16">
        <v>350.0</v>
      </c>
      <c r="M215" s="16">
        <v>939.0</v>
      </c>
      <c r="N215" s="16">
        <v>801.0</v>
      </c>
      <c r="O215" s="16">
        <v>409.0</v>
      </c>
      <c r="P215" s="16">
        <v>5.67</v>
      </c>
      <c r="Q215" s="16">
        <v>0.99</v>
      </c>
      <c r="R215" s="16">
        <v>0.995</v>
      </c>
      <c r="S215" s="19">
        <f t="shared" si="2"/>
        <v>1050</v>
      </c>
      <c r="T215" s="19">
        <f t="shared" si="3"/>
        <v>86.98537638</v>
      </c>
      <c r="U215" s="20">
        <f t="shared" si="4"/>
        <v>1.493100434</v>
      </c>
      <c r="V215" s="17">
        <f>0.9*(0.00015*M215*O215*P215+797)+0.1*(43.1*POWER(M215,0.549))</f>
        <v>1195.973448</v>
      </c>
      <c r="W215" s="21">
        <f t="shared" si="5"/>
        <v>4</v>
      </c>
      <c r="X215" s="21">
        <f t="shared" si="6"/>
        <v>5979.867238</v>
      </c>
      <c r="Y215" s="21">
        <f t="shared" si="7"/>
        <v>7.46550217</v>
      </c>
      <c r="Z215" s="8">
        <f t="shared" si="19"/>
        <v>1202.013114</v>
      </c>
      <c r="AA215" s="8">
        <f t="shared" si="31"/>
        <v>1199</v>
      </c>
      <c r="AB215" s="13">
        <f t="shared" si="9"/>
        <v>1.141904762</v>
      </c>
      <c r="AC215" s="13">
        <f t="shared" si="10"/>
        <v>0.9974932773</v>
      </c>
      <c r="AD215" s="13">
        <f>AA215/vlookup(A215,Max!$A$2:$AP$700,column(Max!$AP$2),false)</f>
        <v>0.6661111111</v>
      </c>
      <c r="AE215" s="8">
        <f t="shared" si="11"/>
        <v>343.3241781</v>
      </c>
      <c r="AF215" s="14">
        <f t="shared" si="12"/>
        <v>2.328171304</v>
      </c>
      <c r="AG215" s="14">
        <f t="shared" si="13"/>
        <v>1.481008632</v>
      </c>
      <c r="AH215" s="14">
        <f t="shared" si="14"/>
        <v>1</v>
      </c>
      <c r="AI215" s="14">
        <f t="shared" si="15"/>
        <v>1.01267413</v>
      </c>
      <c r="AJ215" s="27">
        <f t="shared" si="16"/>
        <v>225</v>
      </c>
      <c r="AK215" s="15" t="str">
        <f t="shared" si="17"/>
        <v>  @CONFIG[LR87-LH2-SustainerUpgrade] {
   %cost = 1199
   @cost -= #$../../cost$
  }</v>
      </c>
    </row>
    <row r="216" ht="15.75" customHeight="1">
      <c r="A216" s="7" t="s">
        <v>583</v>
      </c>
      <c r="B216" s="7" t="s">
        <v>579</v>
      </c>
      <c r="C216" s="8">
        <f t="shared" si="1"/>
        <v>-9</v>
      </c>
      <c r="D216" s="7">
        <v>1968.0</v>
      </c>
      <c r="E216" s="7"/>
      <c r="F216" s="7" t="b">
        <v>1</v>
      </c>
      <c r="G216" s="7" t="b">
        <v>0</v>
      </c>
      <c r="H216" s="7" t="b">
        <v>0</v>
      </c>
      <c r="I216" s="7" t="b">
        <v>0</v>
      </c>
      <c r="J216" s="9" t="b">
        <v>0</v>
      </c>
      <c r="K216" s="7">
        <v>330.0</v>
      </c>
      <c r="L216" s="7">
        <v>-50.0</v>
      </c>
      <c r="M216" s="7">
        <v>655.0</v>
      </c>
      <c r="N216" s="7">
        <v>872.3</v>
      </c>
      <c r="O216" s="7">
        <v>291.3</v>
      </c>
      <c r="P216" s="7">
        <v>7.35</v>
      </c>
      <c r="Q216" s="7">
        <v>0.998934</v>
      </c>
      <c r="R216" s="7">
        <v>0.998934</v>
      </c>
      <c r="S216" s="10">
        <f t="shared" si="2"/>
        <v>280</v>
      </c>
      <c r="T216" s="10">
        <f t="shared" si="3"/>
        <v>135.8012901</v>
      </c>
      <c r="U216" s="11">
        <f t="shared" si="4"/>
        <v>0.4095937709</v>
      </c>
      <c r="V216" s="8">
        <f>0.2*(8.17*POWER(M216*P216,0.46))+0.8*(0.146*POWER(M216*O216,0.639))</f>
        <v>357.2886463</v>
      </c>
      <c r="W216" s="12">
        <f t="shared" si="5"/>
        <v>4</v>
      </c>
      <c r="X216" s="12">
        <f t="shared" si="6"/>
        <v>1786.443232</v>
      </c>
      <c r="Y216" s="12">
        <f t="shared" si="7"/>
        <v>2.047968854</v>
      </c>
      <c r="Z216" s="8">
        <f t="shared" si="19"/>
        <v>363.6730859</v>
      </c>
      <c r="AA216" s="8">
        <f t="shared" si="31"/>
        <v>383</v>
      </c>
      <c r="AB216" s="13">
        <f t="shared" si="9"/>
        <v>1.367857143</v>
      </c>
      <c r="AC216" s="13">
        <f t="shared" si="10"/>
        <v>1.053143647</v>
      </c>
      <c r="AD216" s="13">
        <f>AA216/vlookup(A216,Max!$A$2:$AP$700,column(Max!$AP$2),false)</f>
        <v>0.9119047619</v>
      </c>
      <c r="AE216" s="8">
        <f t="shared" si="11"/>
        <v>239.4394962</v>
      </c>
      <c r="AF216" s="14">
        <f t="shared" si="12"/>
        <v>0.9759384465</v>
      </c>
      <c r="AG216" s="14">
        <f t="shared" si="13"/>
        <v>1.600917212</v>
      </c>
      <c r="AH216" s="14">
        <f t="shared" si="14"/>
        <v>1</v>
      </c>
      <c r="AI216" s="14">
        <f t="shared" si="15"/>
        <v>1.02271353</v>
      </c>
      <c r="AJ216" s="27">
        <f t="shared" si="16"/>
        <v>-9</v>
      </c>
      <c r="AK216" s="15" t="str">
        <f t="shared" si="17"/>
        <v>  @CONFIG[RD-215M-8D613] {
   %cost = 383
   @cost -= #$../../cost$
  }</v>
      </c>
    </row>
    <row r="217" ht="15.75" customHeight="1">
      <c r="A217" s="7" t="s">
        <v>1023</v>
      </c>
      <c r="B217" s="7" t="s">
        <v>726</v>
      </c>
      <c r="C217" s="8">
        <f t="shared" si="1"/>
        <v>74</v>
      </c>
      <c r="D217" s="7">
        <v>1968.0</v>
      </c>
      <c r="E217" s="7" t="b">
        <v>1</v>
      </c>
      <c r="F217" s="7" t="b">
        <v>1</v>
      </c>
      <c r="G217" s="7" t="b">
        <v>0</v>
      </c>
      <c r="H217" s="7" t="b">
        <v>1</v>
      </c>
      <c r="I217" s="7" t="b">
        <v>0</v>
      </c>
      <c r="J217" s="9" t="b">
        <v>0</v>
      </c>
      <c r="K217" s="7">
        <v>350.0</v>
      </c>
      <c r="L217" s="7">
        <v>50.0</v>
      </c>
      <c r="M217" s="7">
        <v>131.0</v>
      </c>
      <c r="N217" s="7">
        <v>72.56</v>
      </c>
      <c r="O217" s="7">
        <v>425.0</v>
      </c>
      <c r="P217" s="7">
        <v>2.72</v>
      </c>
      <c r="Q217" s="7">
        <v>0.998128</v>
      </c>
      <c r="R217" s="7">
        <v>0.996316</v>
      </c>
      <c r="S217" s="10">
        <f t="shared" si="2"/>
        <v>400</v>
      </c>
      <c r="T217" s="10">
        <f t="shared" si="3"/>
        <v>56.4813803</v>
      </c>
      <c r="U217" s="11">
        <f t="shared" si="4"/>
        <v>11.0306634</v>
      </c>
      <c r="V217" s="8">
        <f>0.9*(0.00015*M217*O217*P217+797)+0.1*(43.1*POWER(M217,0.549))</f>
        <v>800.3849363</v>
      </c>
      <c r="W217" s="12">
        <f t="shared" si="5"/>
        <v>4</v>
      </c>
      <c r="X217" s="12">
        <f t="shared" si="6"/>
        <v>4001.924682</v>
      </c>
      <c r="Y217" s="12">
        <f t="shared" si="7"/>
        <v>55.153317</v>
      </c>
      <c r="Z217" s="8">
        <f t="shared" si="19"/>
        <v>811.9512162</v>
      </c>
      <c r="AA217" s="8">
        <f t="shared" si="31"/>
        <v>375</v>
      </c>
      <c r="AB217" s="13">
        <f t="shared" si="9"/>
        <v>0.9375</v>
      </c>
      <c r="AC217" s="13">
        <f t="shared" si="10"/>
        <v>0.4618504074</v>
      </c>
      <c r="AD217" s="13">
        <f>AA217/vlookup(A217,Max!$A$2:$AP$700,column(Max!$AP$2),false)</f>
        <v>1.136363636</v>
      </c>
      <c r="AE217" s="8">
        <f t="shared" si="11"/>
        <v>121.4446052</v>
      </c>
      <c r="AF217" s="14">
        <f t="shared" si="12"/>
        <v>2.682821306</v>
      </c>
      <c r="AG217" s="14">
        <f t="shared" si="13"/>
        <v>1.137994092</v>
      </c>
      <c r="AH217" s="14">
        <f t="shared" si="14"/>
        <v>1</v>
      </c>
      <c r="AI217" s="14">
        <f t="shared" si="15"/>
        <v>1.011277565</v>
      </c>
      <c r="AJ217" s="27">
        <f t="shared" si="16"/>
        <v>74</v>
      </c>
      <c r="AK217" s="15" t="str">
        <f t="shared" si="17"/>
        <v>  @CONFIG[RZ.20-Mk2] {
   %cost = 375
   @cost -= #$../../cost$
  }</v>
      </c>
    </row>
    <row r="218" ht="15.75" customHeight="1">
      <c r="A218" s="16" t="s">
        <v>220</v>
      </c>
      <c r="B218" s="16" t="s">
        <v>221</v>
      </c>
      <c r="C218" s="8">
        <f t="shared" si="1"/>
        <v>159</v>
      </c>
      <c r="D218" s="16">
        <v>1969.0</v>
      </c>
      <c r="E218" s="16"/>
      <c r="F218" s="16" t="b">
        <v>1</v>
      </c>
      <c r="G218" s="16" t="b">
        <v>0</v>
      </c>
      <c r="H218" s="16" t="b">
        <v>1</v>
      </c>
      <c r="I218" s="16" t="b">
        <v>1</v>
      </c>
      <c r="J218" s="9" t="b">
        <v>0</v>
      </c>
      <c r="K218" s="16">
        <v>200.0</v>
      </c>
      <c r="L218" s="16">
        <v>0.0</v>
      </c>
      <c r="M218" s="16">
        <v>81.0</v>
      </c>
      <c r="N218" s="16">
        <v>18.89</v>
      </c>
      <c r="O218" s="16">
        <v>314.0</v>
      </c>
      <c r="P218" s="16">
        <v>8.3</v>
      </c>
      <c r="Q218" s="16">
        <v>0.997619</v>
      </c>
      <c r="R218" s="16">
        <v>0.986364</v>
      </c>
      <c r="S218" s="19">
        <f t="shared" si="2"/>
        <v>200</v>
      </c>
      <c r="T218" s="19">
        <f t="shared" si="3"/>
        <v>23.78078914</v>
      </c>
      <c r="U218" s="20">
        <f t="shared" si="4"/>
        <v>5.767590512</v>
      </c>
      <c r="V218" s="17">
        <f t="shared" ref="V218:V221" si="45">0.2*(8.17*POWER(M218*P218,0.46))+0.8*(0.146*POWER(M218*O218,0.639))</f>
        <v>108.9497848</v>
      </c>
      <c r="W218" s="21">
        <f t="shared" si="5"/>
        <v>4</v>
      </c>
      <c r="X218" s="21">
        <f t="shared" si="6"/>
        <v>544.7489238</v>
      </c>
      <c r="Y218" s="21">
        <f t="shared" si="7"/>
        <v>28.83795256</v>
      </c>
      <c r="Z218" s="8">
        <f t="shared" si="19"/>
        <v>164.0809036</v>
      </c>
      <c r="AA218" s="8">
        <f t="shared" si="31"/>
        <v>159</v>
      </c>
      <c r="AB218" s="13">
        <f t="shared" si="9"/>
        <v>0.795</v>
      </c>
      <c r="AC218" s="13">
        <f t="shared" si="10"/>
        <v>0.9690341564</v>
      </c>
      <c r="AD218" s="13">
        <f>AA218/vlookup(A218,Max!$A$2:$AP$700,column(Max!$AP$2),false)</f>
        <v>2.839285714</v>
      </c>
      <c r="AE218" s="8">
        <f t="shared" si="11"/>
        <v>67.16111</v>
      </c>
      <c r="AF218" s="14">
        <f t="shared" si="12"/>
        <v>1.096711703</v>
      </c>
      <c r="AG218" s="14">
        <f t="shared" si="13"/>
        <v>1.462697688</v>
      </c>
      <c r="AH218" s="14">
        <f t="shared" si="14"/>
        <v>1.5</v>
      </c>
      <c r="AI218" s="14">
        <f t="shared" si="15"/>
        <v>0.9849559905</v>
      </c>
      <c r="AJ218" s="15">
        <f t="shared" si="16"/>
        <v>0</v>
      </c>
      <c r="AK218" s="15" t="str">
        <f t="shared" si="17"/>
        <v>  @CONFIG[11D417] {
   %cost = 159
   @cost -= #$../../cost$
  }</v>
      </c>
    </row>
    <row r="219" ht="15.75" customHeight="1">
      <c r="A219" s="7" t="s">
        <v>222</v>
      </c>
      <c r="B219" s="7" t="s">
        <v>221</v>
      </c>
      <c r="C219" s="8">
        <f t="shared" si="1"/>
        <v>-79</v>
      </c>
      <c r="D219" s="7">
        <v>1969.0</v>
      </c>
      <c r="E219" s="7"/>
      <c r="F219" s="7" t="b">
        <v>1</v>
      </c>
      <c r="G219" s="7" t="b">
        <v>0</v>
      </c>
      <c r="H219" s="7" t="b">
        <v>1</v>
      </c>
      <c r="I219" s="7" t="b">
        <v>1</v>
      </c>
      <c r="J219" s="9" t="b">
        <v>0</v>
      </c>
      <c r="K219" s="7">
        <v>200.0</v>
      </c>
      <c r="L219" s="7">
        <v>0.0</v>
      </c>
      <c r="M219" s="9">
        <v>81.0</v>
      </c>
      <c r="N219" s="7">
        <v>3.43</v>
      </c>
      <c r="O219" s="7">
        <v>254.0</v>
      </c>
      <c r="P219" s="7">
        <v>0.89</v>
      </c>
      <c r="Q219" s="7">
        <v>0.997619</v>
      </c>
      <c r="R219" s="7">
        <v>0.986364</v>
      </c>
      <c r="S219" s="10">
        <f t="shared" si="2"/>
        <v>200</v>
      </c>
      <c r="T219" s="10">
        <f t="shared" si="3"/>
        <v>4.318057531</v>
      </c>
      <c r="U219" s="11">
        <f t="shared" si="4"/>
        <v>22.83356154</v>
      </c>
      <c r="V219" s="8">
        <f t="shared" si="45"/>
        <v>78.31911608</v>
      </c>
      <c r="W219" s="12">
        <f t="shared" si="5"/>
        <v>4</v>
      </c>
      <c r="X219" s="12">
        <f t="shared" si="6"/>
        <v>391.5955804</v>
      </c>
      <c r="Y219" s="12">
        <f t="shared" si="7"/>
        <v>114.1678077</v>
      </c>
      <c r="Z219" s="8">
        <f t="shared" si="19"/>
        <v>117.9504059</v>
      </c>
      <c r="AA219" s="8">
        <f t="shared" si="31"/>
        <v>80</v>
      </c>
      <c r="AB219" s="13">
        <f t="shared" si="9"/>
        <v>0.4</v>
      </c>
      <c r="AC219" s="13">
        <f t="shared" si="10"/>
        <v>0.6782511633</v>
      </c>
      <c r="AD219" s="13">
        <f>AA219/vlookup(A219,Max!$A$2:$AP$700,column(Max!$AP$2),false)</f>
        <v>34.7826087</v>
      </c>
      <c r="AE219" s="8">
        <f t="shared" si="11"/>
        <v>67.16111</v>
      </c>
      <c r="AF219" s="14">
        <f t="shared" si="12"/>
        <v>0.9086594763</v>
      </c>
      <c r="AG219" s="14">
        <f t="shared" si="13"/>
        <v>0.8850641619</v>
      </c>
      <c r="AH219" s="14">
        <f t="shared" si="14"/>
        <v>1.5</v>
      </c>
      <c r="AI219" s="14">
        <f t="shared" si="15"/>
        <v>0.9849559905</v>
      </c>
      <c r="AJ219" s="27">
        <f t="shared" si="16"/>
        <v>-79</v>
      </c>
      <c r="AK219" s="15" t="str">
        <f t="shared" si="17"/>
        <v>  @CONFIG[11D417B] {
   %cost = 80
   @cost -= #$../../cost$
  }</v>
      </c>
    </row>
    <row r="220" ht="15.75" customHeight="1">
      <c r="A220" s="16" t="s">
        <v>132</v>
      </c>
      <c r="B220" s="16" t="s">
        <v>130</v>
      </c>
      <c r="C220" s="8">
        <f t="shared" si="1"/>
        <v>38</v>
      </c>
      <c r="D220" s="16">
        <v>1969.0</v>
      </c>
      <c r="E220" s="16" t="b">
        <v>0</v>
      </c>
      <c r="F220" s="16" t="b">
        <v>1</v>
      </c>
      <c r="G220" s="16" t="b">
        <v>0</v>
      </c>
      <c r="H220" s="16" t="b">
        <v>0</v>
      </c>
      <c r="I220" s="16" t="b">
        <v>0</v>
      </c>
      <c r="J220" s="9" t="b">
        <v>0</v>
      </c>
      <c r="K220" s="16"/>
      <c r="L220" s="16"/>
      <c r="M220" s="16">
        <v>1814.4</v>
      </c>
      <c r="N220" s="16">
        <v>2505.97</v>
      </c>
      <c r="O220" s="16">
        <v>291.0</v>
      </c>
      <c r="P220" s="16">
        <v>5.77</v>
      </c>
      <c r="Q220" s="16">
        <v>0.996341</v>
      </c>
      <c r="R220" s="16">
        <v>0.996341</v>
      </c>
      <c r="S220" s="19">
        <f t="shared" si="2"/>
        <v>0</v>
      </c>
      <c r="T220" s="19">
        <f t="shared" si="3"/>
        <v>140.8387473</v>
      </c>
      <c r="U220" s="20">
        <f t="shared" si="4"/>
        <v>0.2575301332</v>
      </c>
      <c r="V220" s="17">
        <f t="shared" si="45"/>
        <v>645.3627878</v>
      </c>
      <c r="W220" s="21">
        <f t="shared" si="5"/>
        <v>4</v>
      </c>
      <c r="X220" s="21">
        <f t="shared" si="6"/>
        <v>3226.813939</v>
      </c>
      <c r="Y220" s="21">
        <f t="shared" si="7"/>
        <v>1.287650666</v>
      </c>
      <c r="Z220" s="8">
        <f t="shared" si="19"/>
        <v>653.555919</v>
      </c>
      <c r="AA220" s="8">
        <f t="shared" si="31"/>
        <v>662</v>
      </c>
      <c r="AB220" s="13" t="str">
        <f t="shared" si="9"/>
        <v>#N/A</v>
      </c>
      <c r="AC220" s="13">
        <f t="shared" si="10"/>
        <v>1.012920212</v>
      </c>
      <c r="AD220" s="13">
        <f>AA220/vlookup(A220,Max!$A$2:$AP$700,column(Max!$AP$2),false)</f>
        <v>0.662</v>
      </c>
      <c r="AE220" s="8">
        <f t="shared" si="11"/>
        <v>448.9070112</v>
      </c>
      <c r="AF220" s="14">
        <f t="shared" si="12"/>
        <v>0.9751775897</v>
      </c>
      <c r="AG220" s="14">
        <f t="shared" si="13"/>
        <v>1.488796764</v>
      </c>
      <c r="AH220" s="14">
        <f t="shared" si="14"/>
        <v>1</v>
      </c>
      <c r="AI220" s="14">
        <f t="shared" si="15"/>
        <v>1.01608963</v>
      </c>
      <c r="AJ220" s="27">
        <f t="shared" si="16"/>
        <v>38</v>
      </c>
      <c r="AK220" s="15" t="str">
        <f t="shared" si="17"/>
        <v>  @CONFIG[E-1-500k] {
   %cost = 662
   @cost -= #$../../cost$
  }</v>
      </c>
    </row>
    <row r="221" ht="15.75" customHeight="1">
      <c r="A221" s="7" t="s">
        <v>140</v>
      </c>
      <c r="B221" s="7" t="s">
        <v>139</v>
      </c>
      <c r="C221" s="8">
        <f t="shared" si="1"/>
        <v>34</v>
      </c>
      <c r="D221" s="7">
        <v>1969.0</v>
      </c>
      <c r="E221" s="7"/>
      <c r="F221" s="7" t="b">
        <v>1</v>
      </c>
      <c r="G221" s="7" t="b">
        <v>0</v>
      </c>
      <c r="H221" s="7" t="b">
        <v>0</v>
      </c>
      <c r="I221" s="7" t="b">
        <v>0</v>
      </c>
      <c r="J221" s="9" t="b">
        <v>0</v>
      </c>
      <c r="K221" s="7">
        <v>2100.0</v>
      </c>
      <c r="L221" s="7">
        <v>0.0</v>
      </c>
      <c r="M221" s="7">
        <v>8444.0</v>
      </c>
      <c r="N221" s="7">
        <v>7895.01</v>
      </c>
      <c r="O221" s="7">
        <v>305.0</v>
      </c>
      <c r="P221" s="7">
        <v>6.77</v>
      </c>
      <c r="Q221" s="7">
        <v>0.994697</v>
      </c>
      <c r="R221" s="7">
        <v>0.994697</v>
      </c>
      <c r="S221" s="10">
        <f t="shared" si="2"/>
        <v>2100</v>
      </c>
      <c r="T221" s="10">
        <f t="shared" si="3"/>
        <v>95.34189573</v>
      </c>
      <c r="U221" s="11">
        <f t="shared" si="4"/>
        <v>0.2166947872</v>
      </c>
      <c r="V221" s="8">
        <f t="shared" si="45"/>
        <v>1710.807512</v>
      </c>
      <c r="W221" s="12">
        <f t="shared" si="5"/>
        <v>4</v>
      </c>
      <c r="X221" s="12">
        <f t="shared" si="6"/>
        <v>8554.037558</v>
      </c>
      <c r="Y221" s="12">
        <f t="shared" si="7"/>
        <v>1.083473936</v>
      </c>
      <c r="Z221" s="8">
        <f t="shared" si="19"/>
        <v>1726.926948</v>
      </c>
      <c r="AA221" s="8">
        <f t="shared" si="31"/>
        <v>1889</v>
      </c>
      <c r="AB221" s="13">
        <f t="shared" si="9"/>
        <v>0.8995238095</v>
      </c>
      <c r="AC221" s="13">
        <f t="shared" si="10"/>
        <v>1.093850555</v>
      </c>
      <c r="AD221" s="13">
        <f>AA221/vlookup(A221,Max!$A$2:$AP$700,column(Max!$AP$2),false)</f>
        <v>0.6996296296</v>
      </c>
      <c r="AE221" s="8">
        <f t="shared" si="11"/>
        <v>1169.651842</v>
      </c>
      <c r="AF221" s="14">
        <f t="shared" si="12"/>
        <v>1.021881862</v>
      </c>
      <c r="AG221" s="14">
        <f t="shared" si="13"/>
        <v>1.561921751</v>
      </c>
      <c r="AH221" s="14">
        <f t="shared" si="14"/>
        <v>1</v>
      </c>
      <c r="AI221" s="14">
        <f t="shared" si="15"/>
        <v>1.01190335</v>
      </c>
      <c r="AJ221" s="27">
        <f t="shared" si="16"/>
        <v>34</v>
      </c>
      <c r="AK221" s="15" t="str">
        <f t="shared" si="17"/>
        <v>  @CONFIG[F-1-1.52M] {
   %cost = 1889
   @cost -= #$../../cost$
  }</v>
      </c>
    </row>
    <row r="222" ht="15.75" customHeight="1">
      <c r="A222" s="16" t="s">
        <v>1024</v>
      </c>
      <c r="B222" s="16" t="s">
        <v>185</v>
      </c>
      <c r="C222" s="8">
        <f t="shared" si="1"/>
        <v>201</v>
      </c>
      <c r="D222" s="16">
        <v>1969.0</v>
      </c>
      <c r="E222" s="16" t="b">
        <v>1</v>
      </c>
      <c r="F222" s="16" t="b">
        <v>1</v>
      </c>
      <c r="G222" s="16" t="b">
        <v>0</v>
      </c>
      <c r="H222" s="16" t="b">
        <v>1</v>
      </c>
      <c r="I222" s="16" t="b">
        <v>0</v>
      </c>
      <c r="J222" s="9" t="b">
        <v>0</v>
      </c>
      <c r="K222" s="16">
        <v>1355.0</v>
      </c>
      <c r="L222" s="16">
        <v>10.0</v>
      </c>
      <c r="M222" s="16">
        <v>1566.708</v>
      </c>
      <c r="N222" s="16">
        <v>1023.0906</v>
      </c>
      <c r="O222" s="16">
        <v>425.0</v>
      </c>
      <c r="P222" s="16">
        <v>5.26</v>
      </c>
      <c r="Q222" s="16">
        <v>0.998077</v>
      </c>
      <c r="R222" s="16">
        <v>0.997794</v>
      </c>
      <c r="S222" s="19">
        <f t="shared" si="2"/>
        <v>1365</v>
      </c>
      <c r="T222" s="19">
        <f t="shared" si="3"/>
        <v>66.58943907</v>
      </c>
      <c r="U222" s="20">
        <f t="shared" si="4"/>
        <v>1.402377988</v>
      </c>
      <c r="V222" s="17">
        <f t="shared" ref="V222:V223" si="46">0.9*(0.00015*M222*O222*P222+797)+0.1*(43.1*POWER(M222,0.549))</f>
        <v>1434.759737</v>
      </c>
      <c r="W222" s="21">
        <f t="shared" si="5"/>
        <v>4</v>
      </c>
      <c r="X222" s="21">
        <f t="shared" si="6"/>
        <v>7173.798685</v>
      </c>
      <c r="Y222" s="21">
        <f t="shared" si="7"/>
        <v>7.011889939</v>
      </c>
      <c r="Z222" s="8">
        <f t="shared" si="19"/>
        <v>1457.536895</v>
      </c>
      <c r="AA222" s="8">
        <f t="shared" si="31"/>
        <v>1645</v>
      </c>
      <c r="AB222" s="13">
        <f t="shared" si="9"/>
        <v>1.205128205</v>
      </c>
      <c r="AC222" s="13">
        <f t="shared" si="10"/>
        <v>1.12861637</v>
      </c>
      <c r="AD222" s="13">
        <f>AA222/vlookup(A222,Max!$A$2:$AP$700,column(Max!$AP$2),false)</f>
        <v>0.7477272727</v>
      </c>
      <c r="AE222" s="8">
        <f t="shared" si="11"/>
        <v>457.7358324</v>
      </c>
      <c r="AF222" s="14">
        <f t="shared" si="12"/>
        <v>2.682821306</v>
      </c>
      <c r="AG222" s="14">
        <f t="shared" si="13"/>
        <v>1.320029985</v>
      </c>
      <c r="AH222" s="14">
        <f t="shared" si="14"/>
        <v>1</v>
      </c>
      <c r="AI222" s="14">
        <f t="shared" si="15"/>
        <v>1.014902572</v>
      </c>
      <c r="AJ222" s="27">
        <f t="shared" si="16"/>
        <v>201</v>
      </c>
      <c r="AK222" s="15" t="str">
        <f t="shared" si="17"/>
        <v>  @CONFIG[J-2-230k] {
   %cost = 1645
   @cost -= #$../../cost$
  }</v>
      </c>
    </row>
    <row r="223" ht="15.75" customHeight="1">
      <c r="A223" s="7" t="s">
        <v>1025</v>
      </c>
      <c r="B223" s="7" t="s">
        <v>185</v>
      </c>
      <c r="C223" s="8">
        <f t="shared" si="1"/>
        <v>287</v>
      </c>
      <c r="D223" s="7">
        <v>1969.0</v>
      </c>
      <c r="E223" s="7" t="b">
        <v>1</v>
      </c>
      <c r="F223" s="7" t="b">
        <v>1</v>
      </c>
      <c r="G223" s="7" t="b">
        <v>0</v>
      </c>
      <c r="H223" s="7" t="b">
        <v>1</v>
      </c>
      <c r="I223" s="7" t="b">
        <v>0</v>
      </c>
      <c r="J223" s="9" t="b">
        <v>0</v>
      </c>
      <c r="K223" s="7">
        <v>1355.0</v>
      </c>
      <c r="L223" s="7">
        <v>160.0</v>
      </c>
      <c r="M223" s="33">
        <f>1566.708*1.093</f>
        <v>1712.411844</v>
      </c>
      <c r="N223" s="7">
        <v>1023.0906</v>
      </c>
      <c r="O223" s="7">
        <v>425.0</v>
      </c>
      <c r="P223" s="7">
        <v>5.26</v>
      </c>
      <c r="Q223" s="7">
        <v>0.998077</v>
      </c>
      <c r="R223" s="7">
        <v>0.997794</v>
      </c>
      <c r="S223" s="10">
        <f t="shared" si="2"/>
        <v>1515</v>
      </c>
      <c r="T223" s="10">
        <f t="shared" si="3"/>
        <v>60.92354902</v>
      </c>
      <c r="U223" s="11">
        <f t="shared" si="4"/>
        <v>1.45732138</v>
      </c>
      <c r="V223" s="8">
        <f t="shared" si="46"/>
        <v>1490.971805</v>
      </c>
      <c r="W223" s="12">
        <f t="shared" si="5"/>
        <v>4</v>
      </c>
      <c r="X223" s="12">
        <f t="shared" si="6"/>
        <v>7454.859023</v>
      </c>
      <c r="Y223" s="12">
        <f t="shared" si="7"/>
        <v>7.286606898</v>
      </c>
      <c r="Z223" s="8">
        <f t="shared" si="19"/>
        <v>1514.641343</v>
      </c>
      <c r="AA223" s="8">
        <f t="shared" si="31"/>
        <v>1731</v>
      </c>
      <c r="AB223" s="13">
        <f t="shared" si="9"/>
        <v>1.142574257</v>
      </c>
      <c r="AC223" s="13">
        <f t="shared" si="10"/>
        <v>1.142844811</v>
      </c>
      <c r="AD223" s="13">
        <f>AA223/vlookup(A223,Max!$A$2:$AP$700,column(Max!$AP$2),false)</f>
        <v>0.72125</v>
      </c>
      <c r="AE223" s="8">
        <f t="shared" si="11"/>
        <v>481.5064932</v>
      </c>
      <c r="AF223" s="14">
        <f t="shared" si="12"/>
        <v>2.682821306</v>
      </c>
      <c r="AG223" s="14">
        <f t="shared" si="13"/>
        <v>1.320029985</v>
      </c>
      <c r="AH223" s="14">
        <f t="shared" si="14"/>
        <v>1</v>
      </c>
      <c r="AI223" s="14">
        <f t="shared" si="15"/>
        <v>1.014902572</v>
      </c>
      <c r="AJ223" s="27">
        <f t="shared" si="16"/>
        <v>287</v>
      </c>
      <c r="AK223" s="15" t="str">
        <f t="shared" si="17"/>
        <v>  @CONFIG[J-2-230K-CVS] {
   %cost = 1731
   @cost -= #$../../cost$
  }</v>
      </c>
    </row>
    <row r="224" ht="15.75" customHeight="1">
      <c r="A224" s="16" t="s">
        <v>252</v>
      </c>
      <c r="B224" s="16" t="s">
        <v>252</v>
      </c>
      <c r="C224" s="8">
        <f t="shared" si="1"/>
        <v>63</v>
      </c>
      <c r="D224" s="16">
        <v>1969.0</v>
      </c>
      <c r="E224" s="16"/>
      <c r="F224" s="16" t="b">
        <v>0</v>
      </c>
      <c r="G224" s="16" t="b">
        <v>0</v>
      </c>
      <c r="H224" s="16" t="b">
        <v>1</v>
      </c>
      <c r="I224" s="16" t="b">
        <v>0</v>
      </c>
      <c r="J224" s="9" t="b">
        <v>0</v>
      </c>
      <c r="K224" s="16">
        <v>550.0</v>
      </c>
      <c r="L224" s="16">
        <v>0.0</v>
      </c>
      <c r="M224" s="16">
        <v>79.42</v>
      </c>
      <c r="N224" s="16">
        <v>15.57</v>
      </c>
      <c r="O224" s="16">
        <v>311.0</v>
      </c>
      <c r="P224" s="16">
        <v>0.83</v>
      </c>
      <c r="Q224" s="16">
        <v>0.998889</v>
      </c>
      <c r="R224" s="16">
        <v>0.997778</v>
      </c>
      <c r="S224" s="19">
        <f t="shared" si="2"/>
        <v>550</v>
      </c>
      <c r="T224" s="19">
        <f t="shared" si="3"/>
        <v>19.99116267</v>
      </c>
      <c r="U224" s="20">
        <f t="shared" si="4"/>
        <v>5.529937324</v>
      </c>
      <c r="V224" s="17">
        <f t="shared" ref="V224:V234" si="47">0.2*(8.17*POWER(M224*P224,0.46))+0.8*(0.146*POWER(M224*O224,0.639))</f>
        <v>86.10112414</v>
      </c>
      <c r="W224" s="21">
        <f t="shared" si="5"/>
        <v>1.75</v>
      </c>
      <c r="X224" s="21">
        <f t="shared" si="6"/>
        <v>236.7780914</v>
      </c>
      <c r="Y224" s="21">
        <f t="shared" si="7"/>
        <v>15.20732764</v>
      </c>
      <c r="Z224" s="8">
        <f t="shared" si="19"/>
        <v>87.53638413</v>
      </c>
      <c r="AA224" s="8">
        <f t="shared" si="31"/>
        <v>63</v>
      </c>
      <c r="AB224" s="13">
        <f t="shared" si="9"/>
        <v>0.1145454545</v>
      </c>
      <c r="AC224" s="13">
        <f t="shared" si="10"/>
        <v>0.7197007351</v>
      </c>
      <c r="AD224" s="13">
        <f>AA224/vlookup(A224,Max!$A$2:$AP$700,column(Max!$AP$2),false)</f>
        <v>2.423076923</v>
      </c>
      <c r="AE224" s="8">
        <f t="shared" si="11"/>
        <v>66.36992987</v>
      </c>
      <c r="AF224" s="14">
        <f t="shared" si="12"/>
        <v>1.066630493</v>
      </c>
      <c r="AG224" s="14">
        <f t="shared" si="13"/>
        <v>0.8712736401</v>
      </c>
      <c r="AH224" s="14">
        <f t="shared" si="14"/>
        <v>1</v>
      </c>
      <c r="AI224" s="14">
        <f t="shared" si="15"/>
        <v>1.016927285</v>
      </c>
      <c r="AJ224" s="15">
        <f t="shared" si="16"/>
        <v>0</v>
      </c>
      <c r="AK224" s="15" t="str">
        <f t="shared" si="17"/>
        <v>  @CONFIG[LMAE] {
   %cost = 63
   @cost -= #$../../cost$
  }</v>
      </c>
    </row>
    <row r="225" ht="15.75" customHeight="1">
      <c r="A225" s="16" t="s">
        <v>254</v>
      </c>
      <c r="B225" s="16" t="s">
        <v>255</v>
      </c>
      <c r="C225" s="8">
        <f t="shared" si="1"/>
        <v>142</v>
      </c>
      <c r="D225" s="16">
        <v>1969.0</v>
      </c>
      <c r="E225" s="16"/>
      <c r="F225" s="16" t="b">
        <v>0</v>
      </c>
      <c r="G225" s="16" t="b">
        <v>0</v>
      </c>
      <c r="H225" s="16" t="b">
        <v>1</v>
      </c>
      <c r="I225" s="16" t="b">
        <v>1</v>
      </c>
      <c r="J225" s="9" t="b">
        <v>0</v>
      </c>
      <c r="K225" s="16">
        <v>900.0</v>
      </c>
      <c r="L225" s="16">
        <v>0.0</v>
      </c>
      <c r="M225" s="16">
        <v>158.0</v>
      </c>
      <c r="N225" s="16">
        <v>46.71</v>
      </c>
      <c r="O225" s="16">
        <v>305.0</v>
      </c>
      <c r="P225" s="16">
        <v>0.71</v>
      </c>
      <c r="Q225" s="16">
        <v>0.997826</v>
      </c>
      <c r="R225" s="16">
        <v>0.996721</v>
      </c>
      <c r="S225" s="19">
        <f t="shared" si="2"/>
        <v>900</v>
      </c>
      <c r="T225" s="19">
        <f t="shared" si="3"/>
        <v>30.1461672</v>
      </c>
      <c r="U225" s="20">
        <f t="shared" si="4"/>
        <v>2.763974221</v>
      </c>
      <c r="V225" s="17">
        <f t="shared" si="47"/>
        <v>129.1052359</v>
      </c>
      <c r="W225" s="21">
        <f t="shared" si="5"/>
        <v>1.75</v>
      </c>
      <c r="X225" s="21">
        <f t="shared" si="6"/>
        <v>355.0393987</v>
      </c>
      <c r="Y225" s="21">
        <f t="shared" si="7"/>
        <v>7.600929109</v>
      </c>
      <c r="Z225" s="8">
        <f t="shared" si="19"/>
        <v>196.4763751</v>
      </c>
      <c r="AA225" s="45">
        <v>142.0</v>
      </c>
      <c r="AB225" s="13">
        <f t="shared" si="9"/>
        <v>0.1577777778</v>
      </c>
      <c r="AC225" s="13">
        <f t="shared" si="10"/>
        <v>0.7227332035</v>
      </c>
      <c r="AD225" s="13">
        <f>AA225/vlookup(A225,Max!$A$2:$AP$700,column(Max!$AP$2),false)</f>
        <v>1.352380952</v>
      </c>
      <c r="AE225" s="8">
        <f t="shared" si="11"/>
        <v>100.5384527</v>
      </c>
      <c r="AF225" s="14">
        <f t="shared" si="12"/>
        <v>1.021881862</v>
      </c>
      <c r="AG225" s="14">
        <f t="shared" si="13"/>
        <v>0.8411919977</v>
      </c>
      <c r="AH225" s="14">
        <f t="shared" si="14"/>
        <v>1.5</v>
      </c>
      <c r="AI225" s="14">
        <f t="shared" si="15"/>
        <v>1.011540032</v>
      </c>
      <c r="AJ225" s="15">
        <f t="shared" si="16"/>
        <v>0</v>
      </c>
      <c r="AK225" s="15" t="str">
        <f t="shared" si="17"/>
        <v>  @CONFIG[LMDE-H] {
   %cost = 142
   @cost -= #$../../cost$
  }</v>
      </c>
    </row>
    <row r="226" ht="15.75" customHeight="1">
      <c r="A226" s="16" t="s">
        <v>392</v>
      </c>
      <c r="B226" s="16" t="s">
        <v>393</v>
      </c>
      <c r="C226" s="8">
        <f t="shared" si="1"/>
        <v>781</v>
      </c>
      <c r="D226" s="16">
        <v>1969.0</v>
      </c>
      <c r="E226" s="16"/>
      <c r="F226" s="16" t="b">
        <v>1</v>
      </c>
      <c r="G226" s="16" t="b">
        <v>0</v>
      </c>
      <c r="H226" s="16" t="b">
        <v>0</v>
      </c>
      <c r="I226" s="16" t="b">
        <v>0</v>
      </c>
      <c r="J226" s="9" t="b">
        <v>0</v>
      </c>
      <c r="K226" s="16">
        <v>670.0</v>
      </c>
      <c r="L226" s="16">
        <v>0.0</v>
      </c>
      <c r="M226" s="16">
        <v>1247.0</v>
      </c>
      <c r="N226" s="16">
        <v>1543.6</v>
      </c>
      <c r="O226" s="16">
        <v>318.0</v>
      </c>
      <c r="P226" s="16">
        <v>14.5</v>
      </c>
      <c r="Q226" s="16">
        <v>0.985165</v>
      </c>
      <c r="R226" s="16">
        <v>0.985165</v>
      </c>
      <c r="S226" s="19">
        <f t="shared" si="2"/>
        <v>670</v>
      </c>
      <c r="T226" s="19">
        <f t="shared" si="3"/>
        <v>126.2256569</v>
      </c>
      <c r="U226" s="20">
        <f t="shared" si="4"/>
        <v>0.3820735327</v>
      </c>
      <c r="V226" s="17">
        <f t="shared" si="47"/>
        <v>589.7687052</v>
      </c>
      <c r="W226" s="21">
        <f t="shared" si="5"/>
        <v>4</v>
      </c>
      <c r="X226" s="21">
        <f t="shared" si="6"/>
        <v>2948.843526</v>
      </c>
      <c r="Y226" s="21">
        <f t="shared" si="7"/>
        <v>1.910367664</v>
      </c>
      <c r="Z226" s="8">
        <f t="shared" si="19"/>
        <v>584.1954364</v>
      </c>
      <c r="AA226" s="8">
        <f t="shared" ref="AA226:AA243" si="48">round(AE226*AF226*AG226*AH226*AI226,0)</f>
        <v>781</v>
      </c>
      <c r="AB226" s="13">
        <f t="shared" si="9"/>
        <v>1.165671642</v>
      </c>
      <c r="AC226" s="13">
        <f t="shared" si="10"/>
        <v>1.336881378</v>
      </c>
      <c r="AD226" s="13">
        <f>AA226/vlookup(A226,Max!$A$2:$AP$700,column(Max!$AP$2),false)</f>
        <v>1.115714286</v>
      </c>
      <c r="AE226" s="8">
        <f t="shared" si="11"/>
        <v>355.98031</v>
      </c>
      <c r="AF226" s="14">
        <f t="shared" si="12"/>
        <v>1.131484045</v>
      </c>
      <c r="AG226" s="14">
        <f t="shared" si="13"/>
        <v>1.96287694</v>
      </c>
      <c r="AH226" s="14">
        <f t="shared" si="14"/>
        <v>1</v>
      </c>
      <c r="AI226" s="14">
        <f t="shared" si="15"/>
        <v>0.9878350899</v>
      </c>
      <c r="AJ226" s="15">
        <f t="shared" si="16"/>
        <v>0</v>
      </c>
      <c r="AK226" s="15" t="str">
        <f t="shared" si="17"/>
        <v>  @CONFIG[NK-15] {
   %cost = 781
   @cost -= #$../../cost$
  }</v>
      </c>
    </row>
    <row r="227" ht="15.75" customHeight="1">
      <c r="A227" s="7" t="s">
        <v>398</v>
      </c>
      <c r="B227" s="7" t="s">
        <v>399</v>
      </c>
      <c r="C227" s="8">
        <f t="shared" si="1"/>
        <v>653</v>
      </c>
      <c r="D227" s="7">
        <v>1969.0</v>
      </c>
      <c r="E227" s="7"/>
      <c r="F227" s="7" t="b">
        <v>1</v>
      </c>
      <c r="G227" s="7" t="b">
        <v>0</v>
      </c>
      <c r="H227" s="7" t="b">
        <v>1</v>
      </c>
      <c r="I227" s="7" t="b">
        <v>0</v>
      </c>
      <c r="J227" s="9" t="b">
        <v>0</v>
      </c>
      <c r="K227" s="7">
        <v>780.0</v>
      </c>
      <c r="L227" s="7">
        <v>0.0</v>
      </c>
      <c r="M227" s="7">
        <v>1396.0</v>
      </c>
      <c r="N227" s="7">
        <v>1647.5</v>
      </c>
      <c r="O227" s="7">
        <v>325.0</v>
      </c>
      <c r="P227" s="7">
        <v>14.5</v>
      </c>
      <c r="Q227" s="7">
        <v>0.974</v>
      </c>
      <c r="R227" s="7">
        <v>0.96</v>
      </c>
      <c r="S227" s="10">
        <f t="shared" si="2"/>
        <v>780</v>
      </c>
      <c r="T227" s="10">
        <f t="shared" si="3"/>
        <v>120.3425828</v>
      </c>
      <c r="U227" s="11">
        <f t="shared" si="4"/>
        <v>0.3868474552</v>
      </c>
      <c r="V227" s="8">
        <f t="shared" si="47"/>
        <v>637.3311825</v>
      </c>
      <c r="W227" s="12">
        <f t="shared" si="5"/>
        <v>4</v>
      </c>
      <c r="X227" s="12">
        <f t="shared" si="6"/>
        <v>3186.655912</v>
      </c>
      <c r="Y227" s="12">
        <f t="shared" si="7"/>
        <v>1.934237276</v>
      </c>
      <c r="Z227" s="8">
        <f t="shared" si="19"/>
        <v>608.6767725</v>
      </c>
      <c r="AA227" s="8">
        <f t="shared" si="48"/>
        <v>653</v>
      </c>
      <c r="AB227" s="13">
        <f t="shared" si="9"/>
        <v>0.8371794872</v>
      </c>
      <c r="AC227" s="13">
        <f t="shared" si="10"/>
        <v>1.072818989</v>
      </c>
      <c r="AD227" s="13">
        <f>AA227/vlookup(A227,Max!$A$2:$AP$700,column(Max!$AP$2),false)</f>
        <v>1.053225806</v>
      </c>
      <c r="AE227" s="8">
        <f t="shared" si="11"/>
        <v>381.6913019</v>
      </c>
      <c r="AF227" s="14">
        <f t="shared" si="12"/>
        <v>1.189372511</v>
      </c>
      <c r="AG227" s="14">
        <f t="shared" si="13"/>
        <v>1.658325598</v>
      </c>
      <c r="AH227" s="14">
        <f t="shared" si="14"/>
        <v>1</v>
      </c>
      <c r="AI227" s="14">
        <f t="shared" si="15"/>
        <v>0.8669368996</v>
      </c>
      <c r="AJ227" s="15">
        <f t="shared" si="16"/>
        <v>0</v>
      </c>
      <c r="AK227" s="15" t="str">
        <f t="shared" si="17"/>
        <v>  @CONFIG[NK-15V] {
   %cost = 653
   @cost -= #$../../cost$
  }</v>
      </c>
    </row>
    <row r="228" ht="15.75" customHeight="1">
      <c r="A228" s="7" t="s">
        <v>410</v>
      </c>
      <c r="B228" s="7" t="s">
        <v>408</v>
      </c>
      <c r="C228" s="8">
        <f t="shared" si="1"/>
        <v>51</v>
      </c>
      <c r="D228" s="7">
        <v>1969.0</v>
      </c>
      <c r="E228" s="7"/>
      <c r="F228" s="7" t="b">
        <v>1</v>
      </c>
      <c r="G228" s="7" t="b">
        <v>0</v>
      </c>
      <c r="H228" s="7" t="b">
        <v>1</v>
      </c>
      <c r="I228" s="7" t="b">
        <v>0</v>
      </c>
      <c r="J228" s="9" t="b">
        <v>0</v>
      </c>
      <c r="K228" s="7">
        <v>500.0</v>
      </c>
      <c r="L228" s="7">
        <v>20.0</v>
      </c>
      <c r="M228" s="7">
        <v>721.6</v>
      </c>
      <c r="N228" s="7">
        <v>451.1</v>
      </c>
      <c r="O228" s="7">
        <v>345.0</v>
      </c>
      <c r="P228" s="7">
        <v>9.2</v>
      </c>
      <c r="Q228" s="7">
        <v>0.98</v>
      </c>
      <c r="R228" s="7">
        <v>0.975</v>
      </c>
      <c r="S228" s="10">
        <f t="shared" si="2"/>
        <v>520</v>
      </c>
      <c r="T228" s="10">
        <f t="shared" si="3"/>
        <v>63.74639445</v>
      </c>
      <c r="U228" s="11">
        <f t="shared" si="4"/>
        <v>0.9341447642</v>
      </c>
      <c r="V228" s="8">
        <f t="shared" si="47"/>
        <v>421.3927031</v>
      </c>
      <c r="W228" s="12">
        <f t="shared" si="5"/>
        <v>4</v>
      </c>
      <c r="X228" s="12">
        <f t="shared" si="6"/>
        <v>2106.963516</v>
      </c>
      <c r="Y228" s="12">
        <f t="shared" si="7"/>
        <v>4.670723821</v>
      </c>
      <c r="Z228" s="8">
        <f t="shared" si="19"/>
        <v>411.0685819</v>
      </c>
      <c r="AA228" s="8">
        <f t="shared" si="48"/>
        <v>480</v>
      </c>
      <c r="AB228" s="13">
        <f t="shared" si="9"/>
        <v>0.9230769231</v>
      </c>
      <c r="AC228" s="13">
        <f t="shared" si="10"/>
        <v>1.167688364</v>
      </c>
      <c r="AD228" s="13">
        <f>AA228/vlookup(A228,Max!$A$2:$AP$700,column(Max!$AP$2),false)</f>
        <v>1.92</v>
      </c>
      <c r="AE228" s="8">
        <f t="shared" si="11"/>
        <v>254.1201592</v>
      </c>
      <c r="AF228" s="14">
        <f t="shared" si="12"/>
        <v>1.379129451</v>
      </c>
      <c r="AG228" s="14">
        <f t="shared" si="13"/>
        <v>1.496974027</v>
      </c>
      <c r="AH228" s="14">
        <f t="shared" si="14"/>
        <v>1</v>
      </c>
      <c r="AI228" s="14">
        <f t="shared" si="15"/>
        <v>0.9151425362</v>
      </c>
      <c r="AJ228" s="27">
        <f t="shared" si="16"/>
        <v>51</v>
      </c>
      <c r="AK228" s="15" t="str">
        <f t="shared" si="17"/>
        <v>  @CONFIG[NK-19] {
   %cost = 480
   @cost -= #$../../cost$
  }</v>
      </c>
    </row>
    <row r="229" ht="15.75" customHeight="1">
      <c r="A229" s="16" t="s">
        <v>409</v>
      </c>
      <c r="B229" s="16" t="s">
        <v>408</v>
      </c>
      <c r="C229" s="8">
        <f t="shared" si="1"/>
        <v>-23</v>
      </c>
      <c r="D229" s="16">
        <v>1969.0</v>
      </c>
      <c r="E229" s="16"/>
      <c r="F229" s="16" t="b">
        <v>1</v>
      </c>
      <c r="G229" s="16" t="b">
        <v>0</v>
      </c>
      <c r="H229" s="16" t="b">
        <v>1</v>
      </c>
      <c r="I229" s="16" t="b">
        <v>0</v>
      </c>
      <c r="J229" s="9" t="b">
        <v>0</v>
      </c>
      <c r="K229" s="16">
        <v>500.0</v>
      </c>
      <c r="L229" s="16">
        <v>10.0</v>
      </c>
      <c r="M229" s="16">
        <v>584.0</v>
      </c>
      <c r="N229" s="16">
        <v>402.1</v>
      </c>
      <c r="O229" s="16">
        <v>340.0</v>
      </c>
      <c r="P229" s="16">
        <v>9.2</v>
      </c>
      <c r="Q229" s="16">
        <v>0.98</v>
      </c>
      <c r="R229" s="16">
        <v>0.975</v>
      </c>
      <c r="S229" s="19">
        <f t="shared" si="2"/>
        <v>510</v>
      </c>
      <c r="T229" s="19">
        <f t="shared" si="3"/>
        <v>70.2102548</v>
      </c>
      <c r="U229" s="20">
        <f t="shared" si="4"/>
        <v>0.9166990796</v>
      </c>
      <c r="V229" s="17">
        <f t="shared" si="47"/>
        <v>368.6046999</v>
      </c>
      <c r="W229" s="21">
        <f t="shared" si="5"/>
        <v>4</v>
      </c>
      <c r="X229" s="21">
        <f t="shared" si="6"/>
        <v>1843.023499</v>
      </c>
      <c r="Y229" s="21">
        <f t="shared" si="7"/>
        <v>4.583495398</v>
      </c>
      <c r="Z229" s="8">
        <f t="shared" si="19"/>
        <v>359.5738848</v>
      </c>
      <c r="AA229" s="8">
        <f t="shared" si="48"/>
        <v>406</v>
      </c>
      <c r="AB229" s="13">
        <f t="shared" si="9"/>
        <v>0.7960784314</v>
      </c>
      <c r="AC229" s="13">
        <f t="shared" si="10"/>
        <v>1.129114258</v>
      </c>
      <c r="AD229" s="13">
        <f>AA229/vlookup(A229,Max!$A$2:$AP$700,column(Max!$AP$2),false)</f>
        <v>1.845454545</v>
      </c>
      <c r="AE229" s="8">
        <f t="shared" si="11"/>
        <v>223.1536597</v>
      </c>
      <c r="AF229" s="14">
        <f t="shared" si="12"/>
        <v>1.328038609</v>
      </c>
      <c r="AG229" s="14">
        <f t="shared" si="13"/>
        <v>1.496974027</v>
      </c>
      <c r="AH229" s="14">
        <f t="shared" si="14"/>
        <v>1</v>
      </c>
      <c r="AI229" s="14">
        <f t="shared" si="15"/>
        <v>0.9151425362</v>
      </c>
      <c r="AJ229" s="27">
        <f t="shared" si="16"/>
        <v>-23</v>
      </c>
      <c r="AK229" s="15" t="str">
        <f t="shared" si="17"/>
        <v>  @CONFIG[NK-21] {
   %cost = 406
   @cost -= #$../../cost$
  }</v>
      </c>
    </row>
    <row r="230" ht="15.75" customHeight="1">
      <c r="A230" s="7" t="s">
        <v>404</v>
      </c>
      <c r="B230" s="7" t="s">
        <v>403</v>
      </c>
      <c r="C230" s="8">
        <f t="shared" si="1"/>
        <v>31</v>
      </c>
      <c r="D230" s="7">
        <v>1969.0</v>
      </c>
      <c r="E230" s="7"/>
      <c r="F230" s="7" t="b">
        <v>1</v>
      </c>
      <c r="G230" s="7" t="b">
        <v>0</v>
      </c>
      <c r="H230" s="7" t="b">
        <v>0</v>
      </c>
      <c r="I230" s="7" t="b">
        <v>0</v>
      </c>
      <c r="J230" s="9" t="b">
        <v>0</v>
      </c>
      <c r="K230" s="7">
        <v>350.0</v>
      </c>
      <c r="L230" s="7">
        <v>5.0</v>
      </c>
      <c r="M230" s="7">
        <v>491.55</v>
      </c>
      <c r="N230" s="7">
        <v>482.0</v>
      </c>
      <c r="O230" s="7">
        <v>331.0</v>
      </c>
      <c r="P230" s="7">
        <v>10.34</v>
      </c>
      <c r="Q230" s="7">
        <v>0.980556</v>
      </c>
      <c r="R230" s="7">
        <v>0.980556</v>
      </c>
      <c r="S230" s="10">
        <f t="shared" si="2"/>
        <v>355</v>
      </c>
      <c r="T230" s="10">
        <f t="shared" si="3"/>
        <v>99.99048179</v>
      </c>
      <c r="U230" s="11">
        <f t="shared" si="4"/>
        <v>0.6899694837</v>
      </c>
      <c r="V230" s="8">
        <f t="shared" si="47"/>
        <v>332.5652912</v>
      </c>
      <c r="W230" s="12">
        <f t="shared" si="5"/>
        <v>4</v>
      </c>
      <c r="X230" s="12">
        <f t="shared" si="6"/>
        <v>1662.826456</v>
      </c>
      <c r="Y230" s="12">
        <f t="shared" si="7"/>
        <v>3.449847419</v>
      </c>
      <c r="Z230" s="8">
        <f t="shared" si="19"/>
        <v>326.4095306</v>
      </c>
      <c r="AA230" s="8">
        <f t="shared" si="48"/>
        <v>432</v>
      </c>
      <c r="AB230" s="13">
        <f t="shared" si="9"/>
        <v>1.216901408</v>
      </c>
      <c r="AC230" s="13">
        <f t="shared" si="10"/>
        <v>1.323490767</v>
      </c>
      <c r="AD230" s="13">
        <f>AA230/vlookup(A230,Max!$A$2:$AP$700,column(Max!$AP$2),false)</f>
        <v>1.661538462</v>
      </c>
      <c r="AE230" s="8">
        <f t="shared" si="11"/>
        <v>200.7760691</v>
      </c>
      <c r="AF230" s="14">
        <f t="shared" si="12"/>
        <v>1.242337337</v>
      </c>
      <c r="AG230" s="14">
        <f t="shared" si="13"/>
        <v>1.773531203</v>
      </c>
      <c r="AH230" s="14">
        <f t="shared" si="14"/>
        <v>1</v>
      </c>
      <c r="AI230" s="14">
        <f t="shared" si="15"/>
        <v>0.9763218686</v>
      </c>
      <c r="AJ230" s="27">
        <f t="shared" si="16"/>
        <v>31</v>
      </c>
      <c r="AK230" s="15" t="str">
        <f t="shared" si="17"/>
        <v>  @CONFIG[NK-9-1969] {
   %cost = 432
   @cost -= #$../../cost$
  }</v>
      </c>
    </row>
    <row r="231" ht="15.75" customHeight="1">
      <c r="A231" s="7" t="s">
        <v>1026</v>
      </c>
      <c r="B231" s="7" t="s">
        <v>605</v>
      </c>
      <c r="C231" s="8">
        <f t="shared" si="1"/>
        <v>7</v>
      </c>
      <c r="D231" s="7">
        <v>1969.0</v>
      </c>
      <c r="E231" s="7"/>
      <c r="F231" s="7" t="b">
        <v>1</v>
      </c>
      <c r="G231" s="7" t="b">
        <v>0</v>
      </c>
      <c r="H231" s="7" t="b">
        <v>1</v>
      </c>
      <c r="I231" s="7" t="b">
        <v>0</v>
      </c>
      <c r="J231" s="9" t="b">
        <v>0</v>
      </c>
      <c r="K231" s="7">
        <v>525.0</v>
      </c>
      <c r="L231" s="7">
        <v>50.0</v>
      </c>
      <c r="M231" s="7">
        <v>1450.0</v>
      </c>
      <c r="N231" s="7">
        <v>1716.0</v>
      </c>
      <c r="O231" s="7">
        <v>327.8</v>
      </c>
      <c r="P231" s="7">
        <v>14.71</v>
      </c>
      <c r="Q231" s="7">
        <v>0.998397</v>
      </c>
      <c r="R231" s="7">
        <v>0.998397</v>
      </c>
      <c r="S231" s="10">
        <f t="shared" si="2"/>
        <v>575</v>
      </c>
      <c r="T231" s="10">
        <f t="shared" si="3"/>
        <v>120.6781391</v>
      </c>
      <c r="U231" s="11">
        <f t="shared" si="4"/>
        <v>0.3820841615</v>
      </c>
      <c r="V231" s="8">
        <f t="shared" si="47"/>
        <v>655.6564212</v>
      </c>
      <c r="W231" s="12">
        <f t="shared" si="5"/>
        <v>4</v>
      </c>
      <c r="X231" s="12">
        <f t="shared" si="6"/>
        <v>3278.282106</v>
      </c>
      <c r="Y231" s="12">
        <f t="shared" si="7"/>
        <v>1.910420808</v>
      </c>
      <c r="Z231" s="8">
        <f t="shared" si="19"/>
        <v>666.6691999</v>
      </c>
      <c r="AA231" s="8">
        <f t="shared" si="48"/>
        <v>803</v>
      </c>
      <c r="AB231" s="13">
        <f t="shared" si="9"/>
        <v>1.396521739</v>
      </c>
      <c r="AC231" s="13">
        <f t="shared" si="10"/>
        <v>1.204495423</v>
      </c>
      <c r="AD231" s="13">
        <f>AA231/vlookup(A231,Max!$A$2:$AP$700,column(Max!$AP$2),false)</f>
        <v>0.8452631579</v>
      </c>
      <c r="AE231" s="8">
        <f t="shared" si="11"/>
        <v>390.7527905</v>
      </c>
      <c r="AF231" s="14">
        <f t="shared" si="12"/>
        <v>1.213691867</v>
      </c>
      <c r="AG231" s="14">
        <f t="shared" si="13"/>
        <v>1.663699383</v>
      </c>
      <c r="AH231" s="14">
        <f t="shared" si="14"/>
        <v>1</v>
      </c>
      <c r="AI231" s="14">
        <f t="shared" si="15"/>
        <v>1.017251527</v>
      </c>
      <c r="AJ231" s="27">
        <f t="shared" si="16"/>
        <v>7</v>
      </c>
      <c r="AK231" s="15" t="str">
        <f t="shared" si="17"/>
        <v>  @CONFIG[RD-254-Mk2] {
   %cost = 803
   @cost -= #$../../cost$
  }</v>
      </c>
    </row>
    <row r="232" ht="15.75" customHeight="1">
      <c r="A232" s="7" t="s">
        <v>133</v>
      </c>
      <c r="B232" s="7" t="s">
        <v>130</v>
      </c>
      <c r="C232" s="8">
        <f t="shared" si="1"/>
        <v>22</v>
      </c>
      <c r="D232" s="7">
        <v>1970.0</v>
      </c>
      <c r="E232" s="7"/>
      <c r="F232" s="7" t="b">
        <v>1</v>
      </c>
      <c r="G232" s="7" t="b">
        <v>0</v>
      </c>
      <c r="H232" s="7" t="b">
        <v>0</v>
      </c>
      <c r="I232" s="7" t="b">
        <v>0</v>
      </c>
      <c r="J232" s="9" t="b">
        <v>0</v>
      </c>
      <c r="K232" s="7">
        <v>600.0</v>
      </c>
      <c r="L232" s="7">
        <v>100.0</v>
      </c>
      <c r="M232" s="7">
        <v>1800.0</v>
      </c>
      <c r="N232" s="7">
        <v>2358.25</v>
      </c>
      <c r="O232" s="7">
        <v>290.0</v>
      </c>
      <c r="P232" s="7">
        <v>5.45</v>
      </c>
      <c r="Q232" s="7">
        <v>0.995</v>
      </c>
      <c r="R232" s="7">
        <v>0.996</v>
      </c>
      <c r="S232" s="10">
        <f t="shared" si="2"/>
        <v>700</v>
      </c>
      <c r="T232" s="10">
        <f t="shared" si="3"/>
        <v>133.5969862</v>
      </c>
      <c r="U232" s="11">
        <f t="shared" si="4"/>
        <v>0.2705866012</v>
      </c>
      <c r="V232" s="8">
        <f t="shared" si="47"/>
        <v>638.1108524</v>
      </c>
      <c r="W232" s="12">
        <f t="shared" si="5"/>
        <v>4</v>
      </c>
      <c r="X232" s="12">
        <f t="shared" si="6"/>
        <v>3190.554262</v>
      </c>
      <c r="Y232" s="12">
        <f t="shared" si="7"/>
        <v>1.352933006</v>
      </c>
      <c r="Z232" s="8">
        <f t="shared" si="19"/>
        <v>645.1428339</v>
      </c>
      <c r="AA232" s="8">
        <f t="shared" si="48"/>
        <v>646</v>
      </c>
      <c r="AB232" s="13">
        <f t="shared" si="9"/>
        <v>0.9228571429</v>
      </c>
      <c r="AC232" s="13">
        <f t="shared" si="10"/>
        <v>1.001328645</v>
      </c>
      <c r="AD232" s="13">
        <f>AA232/vlookup(A232,Max!$A$2:$AP$700,column(Max!$AP$2),false)</f>
        <v>0.817721519</v>
      </c>
      <c r="AE232" s="8">
        <f t="shared" si="11"/>
        <v>446.697021</v>
      </c>
      <c r="AF232" s="14">
        <f t="shared" si="12"/>
        <v>0.9726726019</v>
      </c>
      <c r="AG232" s="14">
        <f t="shared" si="13"/>
        <v>1.463529979</v>
      </c>
      <c r="AH232" s="14">
        <f t="shared" si="14"/>
        <v>1</v>
      </c>
      <c r="AI232" s="14">
        <f t="shared" si="15"/>
        <v>1.015220455</v>
      </c>
      <c r="AJ232" s="27">
        <f t="shared" si="16"/>
        <v>22</v>
      </c>
      <c r="AK232" s="15" t="str">
        <f t="shared" si="17"/>
        <v>  @CONFIG[E-1-Upgrade] {
   %cost = 646
   @cost -= #$../../cost$
  }</v>
      </c>
    </row>
    <row r="233" ht="15.75" customHeight="1">
      <c r="A233" s="16" t="s">
        <v>223</v>
      </c>
      <c r="B233" s="16" t="s">
        <v>224</v>
      </c>
      <c r="C233" s="8">
        <f t="shared" si="1"/>
        <v>107</v>
      </c>
      <c r="D233" s="16">
        <v>1970.0</v>
      </c>
      <c r="E233" s="16"/>
      <c r="F233" s="16" t="b">
        <v>1</v>
      </c>
      <c r="G233" s="16" t="b">
        <v>0</v>
      </c>
      <c r="H233" s="16" t="b">
        <v>1</v>
      </c>
      <c r="I233" s="16" t="b">
        <v>0</v>
      </c>
      <c r="J233" s="9" t="b">
        <v>0</v>
      </c>
      <c r="K233" s="16">
        <v>200.0</v>
      </c>
      <c r="L233" s="16">
        <v>0.0</v>
      </c>
      <c r="M233" s="16">
        <v>70.0</v>
      </c>
      <c r="N233" s="16">
        <v>18.85</v>
      </c>
      <c r="O233" s="16">
        <v>312.0</v>
      </c>
      <c r="P233" s="16">
        <v>13.32</v>
      </c>
      <c r="Q233" s="16">
        <v>0.996512</v>
      </c>
      <c r="R233" s="16">
        <v>0.991176</v>
      </c>
      <c r="S233" s="19">
        <f t="shared" si="2"/>
        <v>200</v>
      </c>
      <c r="T233" s="19">
        <f t="shared" si="3"/>
        <v>27.4595008</v>
      </c>
      <c r="U233" s="20">
        <f t="shared" si="4"/>
        <v>5.685623418</v>
      </c>
      <c r="V233" s="17">
        <f t="shared" si="47"/>
        <v>107.1740014</v>
      </c>
      <c r="W233" s="21">
        <f t="shared" si="5"/>
        <v>4</v>
      </c>
      <c r="X233" s="21">
        <f t="shared" si="6"/>
        <v>535.8700072</v>
      </c>
      <c r="Y233" s="21">
        <f t="shared" si="7"/>
        <v>28.42811709</v>
      </c>
      <c r="Z233" s="8">
        <f t="shared" si="19"/>
        <v>108.0012538</v>
      </c>
      <c r="AA233" s="8">
        <f t="shared" si="48"/>
        <v>107</v>
      </c>
      <c r="AB233" s="13">
        <f t="shared" si="9"/>
        <v>0.535</v>
      </c>
      <c r="AC233" s="13">
        <f t="shared" si="10"/>
        <v>0.9907292394</v>
      </c>
      <c r="AD233" s="13">
        <f>AA233/vlookup(A233,Max!$A$2:$AP$700,column(Max!$AP$2),false)</f>
        <v>3.057142857</v>
      </c>
      <c r="AE233" s="8">
        <f t="shared" si="11"/>
        <v>61.51955617</v>
      </c>
      <c r="AF233" s="14">
        <f t="shared" si="12"/>
        <v>1.076082311</v>
      </c>
      <c r="AG233" s="14">
        <f t="shared" si="13"/>
        <v>1.626954677</v>
      </c>
      <c r="AH233" s="14">
        <f t="shared" si="14"/>
        <v>1</v>
      </c>
      <c r="AI233" s="14">
        <f t="shared" si="15"/>
        <v>0.9942492904</v>
      </c>
      <c r="AJ233" s="15">
        <f t="shared" si="16"/>
        <v>0</v>
      </c>
      <c r="AK233" s="15" t="str">
        <f t="shared" si="17"/>
        <v>  @CONFIG[KTDU-425] {
   %cost = 107
   @cost -= #$../../cost$
  }</v>
      </c>
    </row>
    <row r="234" ht="15.75" customHeight="1">
      <c r="A234" s="16" t="s">
        <v>310</v>
      </c>
      <c r="B234" s="16" t="s">
        <v>288</v>
      </c>
      <c r="C234" s="8">
        <f t="shared" si="1"/>
        <v>33</v>
      </c>
      <c r="D234" s="16">
        <v>1970.0</v>
      </c>
      <c r="E234" s="16"/>
      <c r="F234" s="16" t="b">
        <v>1</v>
      </c>
      <c r="G234" s="16" t="b">
        <v>0</v>
      </c>
      <c r="H234" s="16" t="b">
        <v>0</v>
      </c>
      <c r="I234" s="16" t="b">
        <v>0</v>
      </c>
      <c r="J234" s="9" t="b">
        <v>0</v>
      </c>
      <c r="K234" s="16">
        <v>250.0</v>
      </c>
      <c r="L234" s="16">
        <v>140.0</v>
      </c>
      <c r="M234" s="16">
        <v>758.0</v>
      </c>
      <c r="N234" s="16">
        <v>1170.0</v>
      </c>
      <c r="O234" s="16">
        <v>302.0</v>
      </c>
      <c r="P234" s="16">
        <v>5.7</v>
      </c>
      <c r="Q234" s="16">
        <v>0.995778</v>
      </c>
      <c r="R234" s="16">
        <v>0.995778</v>
      </c>
      <c r="S234" s="19">
        <f t="shared" si="2"/>
        <v>390</v>
      </c>
      <c r="T234" s="19">
        <f t="shared" si="3"/>
        <v>157.3968292</v>
      </c>
      <c r="U234" s="20">
        <f t="shared" si="4"/>
        <v>0.3311930751</v>
      </c>
      <c r="V234" s="17">
        <f t="shared" si="47"/>
        <v>387.4958978</v>
      </c>
      <c r="W234" s="21">
        <f t="shared" si="5"/>
        <v>4</v>
      </c>
      <c r="X234" s="21">
        <f t="shared" si="6"/>
        <v>1937.479489</v>
      </c>
      <c r="Y234" s="21">
        <f t="shared" si="7"/>
        <v>1.655965375</v>
      </c>
      <c r="Z234" s="8">
        <f t="shared" si="19"/>
        <v>391.9807077</v>
      </c>
      <c r="AA234" s="8">
        <f t="shared" si="48"/>
        <v>397</v>
      </c>
      <c r="AB234" s="13">
        <f t="shared" si="9"/>
        <v>1.017948718</v>
      </c>
      <c r="AC234" s="13">
        <f t="shared" si="10"/>
        <v>1.012804947</v>
      </c>
      <c r="AD234" s="13">
        <f>AA234/vlookup(A234,Max!$A$2:$AP$700,column(Max!$AP$2),false)</f>
        <v>0.7634615385</v>
      </c>
      <c r="AE234" s="8">
        <f t="shared" si="11"/>
        <v>261.9275109</v>
      </c>
      <c r="AF234" s="14">
        <f t="shared" si="12"/>
        <v>1.007095326</v>
      </c>
      <c r="AG234" s="14">
        <f t="shared" si="13"/>
        <v>1.483355099</v>
      </c>
      <c r="AH234" s="14">
        <f t="shared" si="14"/>
        <v>1</v>
      </c>
      <c r="AI234" s="14">
        <f t="shared" si="15"/>
        <v>1.01465484</v>
      </c>
      <c r="AJ234" s="27">
        <f t="shared" si="16"/>
        <v>33</v>
      </c>
      <c r="AK234" s="15" t="str">
        <f t="shared" si="17"/>
        <v>  @CONFIG[LR87-AJ-11] {
   %cost = 397
   @cost -= #$../../cost$
  }</v>
      </c>
    </row>
    <row r="235" ht="15.75" customHeight="1">
      <c r="A235" s="7" t="s">
        <v>328</v>
      </c>
      <c r="B235" s="7" t="s">
        <v>325</v>
      </c>
      <c r="C235" s="8">
        <f t="shared" si="1"/>
        <v>447</v>
      </c>
      <c r="D235" s="7">
        <v>1970.0</v>
      </c>
      <c r="E235" s="7" t="b">
        <v>1</v>
      </c>
      <c r="F235" s="7" t="b">
        <v>1</v>
      </c>
      <c r="G235" s="7" t="b">
        <v>0</v>
      </c>
      <c r="H235" s="7" t="b">
        <v>1</v>
      </c>
      <c r="I235" s="7" t="b">
        <v>0</v>
      </c>
      <c r="J235" s="9" t="b">
        <v>0</v>
      </c>
      <c r="K235" s="7">
        <v>700.0</v>
      </c>
      <c r="L235" s="7">
        <v>500.0</v>
      </c>
      <c r="M235" s="7">
        <v>1050.0</v>
      </c>
      <c r="N235" s="7">
        <v>889.0</v>
      </c>
      <c r="O235" s="7">
        <v>434.0</v>
      </c>
      <c r="P235" s="7">
        <v>5.67</v>
      </c>
      <c r="Q235" s="7">
        <v>0.99</v>
      </c>
      <c r="R235" s="7">
        <v>0.998</v>
      </c>
      <c r="S235" s="10">
        <f t="shared" si="2"/>
        <v>1200</v>
      </c>
      <c r="T235" s="10">
        <f t="shared" si="3"/>
        <v>86.33597245</v>
      </c>
      <c r="U235" s="11">
        <f t="shared" si="4"/>
        <v>1.420136576</v>
      </c>
      <c r="V235" s="8">
        <f>0.9*(0.00015*M235*O235*P235+797)+0.1*(43.1*POWER(M235,0.549))</f>
        <v>1262.501416</v>
      </c>
      <c r="W235" s="12">
        <f t="shared" si="5"/>
        <v>4</v>
      </c>
      <c r="X235" s="12">
        <f t="shared" si="6"/>
        <v>6312.507081</v>
      </c>
      <c r="Y235" s="12">
        <f t="shared" si="7"/>
        <v>7.100682881</v>
      </c>
      <c r="Z235" s="8">
        <f t="shared" si="19"/>
        <v>1272.626678</v>
      </c>
      <c r="AA235" s="8">
        <f t="shared" si="48"/>
        <v>1421</v>
      </c>
      <c r="AB235" s="13">
        <f t="shared" si="9"/>
        <v>1.184166667</v>
      </c>
      <c r="AC235" s="13">
        <f t="shared" si="10"/>
        <v>1.116588254</v>
      </c>
      <c r="AD235" s="13">
        <f>AA235/vlookup(A235,Max!$A$2:$AP$700,column(Max!$AP$2),false)</f>
        <v>0.7894444444</v>
      </c>
      <c r="AE235" s="8">
        <f t="shared" si="11"/>
        <v>365.3573089</v>
      </c>
      <c r="AF235" s="14">
        <f t="shared" si="12"/>
        <v>2.910713457</v>
      </c>
      <c r="AG235" s="14">
        <f t="shared" si="13"/>
        <v>1.34251205</v>
      </c>
      <c r="AH235" s="14">
        <f t="shared" si="14"/>
        <v>1</v>
      </c>
      <c r="AI235" s="14">
        <f t="shared" si="15"/>
        <v>0.9950074975</v>
      </c>
      <c r="AJ235" s="27">
        <f t="shared" si="16"/>
        <v>447</v>
      </c>
      <c r="AK235" s="15" t="str">
        <f t="shared" si="17"/>
        <v>  @CONFIG[LR87-LH2-VacuumUpgrade] {
   %cost = 1421
   @cost -= #$../../cost$
  }</v>
      </c>
    </row>
    <row r="236" ht="15.75" customHeight="1">
      <c r="A236" s="16" t="s">
        <v>379</v>
      </c>
      <c r="B236" s="16" t="s">
        <v>1027</v>
      </c>
      <c r="C236" s="8">
        <f t="shared" si="1"/>
        <v>27</v>
      </c>
      <c r="D236" s="16">
        <v>1970.0</v>
      </c>
      <c r="E236" s="16"/>
      <c r="F236" s="16" t="b">
        <v>0</v>
      </c>
      <c r="G236" s="16" t="b">
        <v>0</v>
      </c>
      <c r="H236" s="16" t="b">
        <v>1</v>
      </c>
      <c r="I236" s="16" t="b">
        <v>1</v>
      </c>
      <c r="J236" s="9" t="b">
        <v>0</v>
      </c>
      <c r="K236" s="16">
        <v>250.0</v>
      </c>
      <c r="L236" s="16">
        <v>0.0</v>
      </c>
      <c r="M236" s="16">
        <v>8.9</v>
      </c>
      <c r="N236" s="16">
        <v>2.811</v>
      </c>
      <c r="O236" s="16">
        <v>210.0</v>
      </c>
      <c r="P236" s="16">
        <v>2.4</v>
      </c>
      <c r="Q236" s="16">
        <v>0.999</v>
      </c>
      <c r="R236" s="16">
        <v>0.999</v>
      </c>
      <c r="S236" s="19">
        <f t="shared" si="2"/>
        <v>250</v>
      </c>
      <c r="T236" s="19">
        <f t="shared" si="3"/>
        <v>32.20699176</v>
      </c>
      <c r="U236" s="20">
        <f t="shared" si="4"/>
        <v>7.495354975</v>
      </c>
      <c r="V236" s="17">
        <f t="shared" ref="V236:V240" si="49">0.2*(8.17*POWER(M236*P236,0.46))+0.8*(0.146*POWER(M236*O236,0.639))</f>
        <v>21.06944284</v>
      </c>
      <c r="W236" s="21">
        <f t="shared" si="5"/>
        <v>1.75</v>
      </c>
      <c r="X236" s="21">
        <f t="shared" si="6"/>
        <v>57.9409678</v>
      </c>
      <c r="Y236" s="21">
        <f t="shared" si="7"/>
        <v>20.61222618</v>
      </c>
      <c r="Z236" s="8">
        <f t="shared" si="19"/>
        <v>32.17307081</v>
      </c>
      <c r="AA236" s="8">
        <f t="shared" si="48"/>
        <v>27</v>
      </c>
      <c r="AB236" s="13">
        <f t="shared" si="9"/>
        <v>0.108</v>
      </c>
      <c r="AC236" s="13">
        <f t="shared" si="10"/>
        <v>0.8392111576</v>
      </c>
      <c r="AD236" s="13">
        <f>AA236/vlookup(A236,Max!$A$2:$AP$700,column(Max!$AP$2),false)</f>
        <v>2.7</v>
      </c>
      <c r="AE236" s="8">
        <f t="shared" si="11"/>
        <v>18.09969746</v>
      </c>
      <c r="AF236" s="14">
        <f t="shared" si="12"/>
        <v>0.8774529039</v>
      </c>
      <c r="AG236" s="14">
        <f t="shared" si="13"/>
        <v>1.106393291</v>
      </c>
      <c r="AH236" s="14">
        <f t="shared" si="14"/>
        <v>1.5</v>
      </c>
      <c r="AI236" s="14">
        <f t="shared" si="15"/>
        <v>1.020327177</v>
      </c>
      <c r="AJ236" s="15">
        <f t="shared" si="16"/>
        <v>0</v>
      </c>
      <c r="AK236" s="15" t="str">
        <f t="shared" si="17"/>
        <v>  @CONFIG[MR-80-TDE] {
   %cost = 27
   @cost -= #$../../cost$
  }</v>
      </c>
    </row>
    <row r="237" ht="15.75" customHeight="1">
      <c r="A237" s="16" t="s">
        <v>584</v>
      </c>
      <c r="B237" s="16" t="s">
        <v>579</v>
      </c>
      <c r="C237" s="8">
        <f t="shared" si="1"/>
        <v>-14</v>
      </c>
      <c r="D237" s="16">
        <v>1970.0</v>
      </c>
      <c r="E237" s="16"/>
      <c r="F237" s="16" t="b">
        <v>1</v>
      </c>
      <c r="G237" s="16" t="b">
        <v>0</v>
      </c>
      <c r="H237" s="16" t="b">
        <v>0</v>
      </c>
      <c r="I237" s="16" t="b">
        <v>0</v>
      </c>
      <c r="J237" s="9" t="b">
        <v>0</v>
      </c>
      <c r="K237" s="16">
        <v>330.0</v>
      </c>
      <c r="L237" s="16">
        <v>0.0</v>
      </c>
      <c r="M237" s="16">
        <v>576.0</v>
      </c>
      <c r="N237" s="16">
        <v>882.6</v>
      </c>
      <c r="O237" s="16">
        <v>301.4</v>
      </c>
      <c r="P237" s="16">
        <v>8.34</v>
      </c>
      <c r="Q237" s="16">
        <v>0.999046</v>
      </c>
      <c r="R237" s="16">
        <v>0.999046</v>
      </c>
      <c r="S237" s="19">
        <f t="shared" si="2"/>
        <v>330</v>
      </c>
      <c r="T237" s="19">
        <f t="shared" si="3"/>
        <v>156.2502651</v>
      </c>
      <c r="U237" s="20">
        <f t="shared" si="4"/>
        <v>0.3863741365</v>
      </c>
      <c r="V237" s="17">
        <f t="shared" si="49"/>
        <v>341.0138129</v>
      </c>
      <c r="W237" s="21">
        <f t="shared" si="5"/>
        <v>4</v>
      </c>
      <c r="X237" s="21">
        <f t="shared" si="6"/>
        <v>1705.069064</v>
      </c>
      <c r="Y237" s="21">
        <f t="shared" si="7"/>
        <v>1.931870682</v>
      </c>
      <c r="Z237" s="8">
        <f t="shared" si="19"/>
        <v>347.1837451</v>
      </c>
      <c r="AA237" s="8">
        <f t="shared" si="48"/>
        <v>378</v>
      </c>
      <c r="AB237" s="13">
        <f t="shared" si="9"/>
        <v>1.145454545</v>
      </c>
      <c r="AC237" s="13">
        <f t="shared" si="10"/>
        <v>1.08876065</v>
      </c>
      <c r="AD237" s="13">
        <f>AA237/vlookup(A237,Max!$A$2:$AP$700,column(Max!$AP$2),false)</f>
        <v>0.9</v>
      </c>
      <c r="AE237" s="8">
        <f t="shared" si="11"/>
        <v>221.2729683</v>
      </c>
      <c r="AF237" s="14">
        <f t="shared" si="12"/>
        <v>1.004736128</v>
      </c>
      <c r="AG237" s="14">
        <f t="shared" si="13"/>
        <v>1.662771176</v>
      </c>
      <c r="AH237" s="14">
        <f t="shared" si="14"/>
        <v>1</v>
      </c>
      <c r="AI237" s="14">
        <f t="shared" si="15"/>
        <v>1.023000219</v>
      </c>
      <c r="AJ237" s="27">
        <f t="shared" si="16"/>
        <v>-14</v>
      </c>
      <c r="AK237" s="15" t="str">
        <f t="shared" si="17"/>
        <v>  @CONFIG[RD-250PM] {
   %cost = 378
   @cost -= #$../../cost$
  }</v>
      </c>
    </row>
    <row r="238" ht="15.75" customHeight="1">
      <c r="A238" s="7" t="s">
        <v>588</v>
      </c>
      <c r="B238" s="7" t="s">
        <v>586</v>
      </c>
      <c r="C238" s="8">
        <f t="shared" si="1"/>
        <v>71</v>
      </c>
      <c r="D238" s="7">
        <v>1970.0</v>
      </c>
      <c r="E238" s="7"/>
      <c r="F238" s="7" t="b">
        <v>1</v>
      </c>
      <c r="G238" s="7" t="b">
        <v>0</v>
      </c>
      <c r="H238" s="7" t="b">
        <v>1</v>
      </c>
      <c r="I238" s="7" t="b">
        <v>0</v>
      </c>
      <c r="J238" s="9" t="b">
        <v>0</v>
      </c>
      <c r="K238" s="7">
        <v>350.0</v>
      </c>
      <c r="L238" s="7">
        <v>0.0</v>
      </c>
      <c r="M238" s="7">
        <v>728.0</v>
      </c>
      <c r="N238" s="7">
        <v>941.4</v>
      </c>
      <c r="O238" s="7">
        <v>318.0</v>
      </c>
      <c r="P238" s="7">
        <v>8.92</v>
      </c>
      <c r="Q238" s="7">
        <v>0.99877</v>
      </c>
      <c r="R238" s="7">
        <v>0.99877</v>
      </c>
      <c r="S238" s="10">
        <f t="shared" si="2"/>
        <v>350</v>
      </c>
      <c r="T238" s="10">
        <f t="shared" si="3"/>
        <v>131.8627528</v>
      </c>
      <c r="U238" s="11">
        <f t="shared" si="4"/>
        <v>0.430822139</v>
      </c>
      <c r="V238" s="8">
        <f t="shared" si="49"/>
        <v>405.5759616</v>
      </c>
      <c r="W238" s="12">
        <f t="shared" si="5"/>
        <v>4</v>
      </c>
      <c r="X238" s="12">
        <f t="shared" si="6"/>
        <v>2027.879808</v>
      </c>
      <c r="Y238" s="12">
        <f t="shared" si="7"/>
        <v>2.154110695</v>
      </c>
      <c r="Z238" s="8">
        <f t="shared" si="19"/>
        <v>412.6903776</v>
      </c>
      <c r="AA238" s="8">
        <f t="shared" si="48"/>
        <v>438</v>
      </c>
      <c r="AB238" s="13">
        <f t="shared" si="9"/>
        <v>1.251428571</v>
      </c>
      <c r="AC238" s="13">
        <f t="shared" si="10"/>
        <v>1.061328356</v>
      </c>
      <c r="AD238" s="13">
        <f>AA238/vlookup(A238,Max!$A$2:$AP$700,column(Max!$AP$2),false)</f>
        <v>0.9954545455</v>
      </c>
      <c r="AE238" s="8">
        <f t="shared" si="11"/>
        <v>255.503439</v>
      </c>
      <c r="AF238" s="14">
        <f t="shared" si="12"/>
        <v>1.131484045</v>
      </c>
      <c r="AG238" s="14">
        <f t="shared" si="13"/>
        <v>1.48659989</v>
      </c>
      <c r="AH238" s="14">
        <f t="shared" si="14"/>
        <v>1</v>
      </c>
      <c r="AI238" s="14">
        <f t="shared" si="15"/>
        <v>1.019153167</v>
      </c>
      <c r="AJ238" s="27">
        <f t="shared" si="16"/>
        <v>71</v>
      </c>
      <c r="AK238" s="15" t="str">
        <f t="shared" si="17"/>
        <v>  @CONFIG[RD-262-11D26] {
   %cost = 438
   @cost -= #$../../cost$
  }</v>
      </c>
    </row>
    <row r="239" ht="15.75" customHeight="1">
      <c r="A239" s="7" t="s">
        <v>652</v>
      </c>
      <c r="B239" s="7" t="s">
        <v>653</v>
      </c>
      <c r="C239" s="8">
        <f t="shared" si="1"/>
        <v>126</v>
      </c>
      <c r="D239" s="7">
        <v>1970.0</v>
      </c>
      <c r="E239" s="7"/>
      <c r="F239" s="7" t="b">
        <v>1</v>
      </c>
      <c r="G239" s="7" t="b">
        <v>0</v>
      </c>
      <c r="H239" s="7" t="b">
        <v>1</v>
      </c>
      <c r="I239" s="7" t="b">
        <v>1</v>
      </c>
      <c r="J239" s="9" t="b">
        <v>0</v>
      </c>
      <c r="K239" s="7">
        <v>450.0</v>
      </c>
      <c r="L239" s="7"/>
      <c r="M239" s="7">
        <v>53.0</v>
      </c>
      <c r="N239" s="7">
        <v>20.104</v>
      </c>
      <c r="O239" s="7">
        <v>314.9</v>
      </c>
      <c r="P239" s="7">
        <v>7.85</v>
      </c>
      <c r="Q239" s="7">
        <v>0.996521</v>
      </c>
      <c r="R239" s="7">
        <v>0.998177</v>
      </c>
      <c r="S239" s="10">
        <f t="shared" si="2"/>
        <v>450</v>
      </c>
      <c r="T239" s="10">
        <f t="shared" si="3"/>
        <v>38.67995224</v>
      </c>
      <c r="U239" s="11">
        <f t="shared" si="4"/>
        <v>4.201875288</v>
      </c>
      <c r="V239" s="8">
        <f t="shared" si="49"/>
        <v>84.47450079</v>
      </c>
      <c r="W239" s="12">
        <f t="shared" si="5"/>
        <v>4</v>
      </c>
      <c r="X239" s="12">
        <f t="shared" si="6"/>
        <v>422.3725039</v>
      </c>
      <c r="Y239" s="12">
        <f t="shared" si="7"/>
        <v>21.00937644</v>
      </c>
      <c r="Z239" s="8">
        <f t="shared" si="19"/>
        <v>128.5749641</v>
      </c>
      <c r="AA239" s="8">
        <f t="shared" si="48"/>
        <v>126</v>
      </c>
      <c r="AB239" s="13">
        <f t="shared" si="9"/>
        <v>0.28</v>
      </c>
      <c r="AC239" s="13">
        <f t="shared" si="10"/>
        <v>0.9799730519</v>
      </c>
      <c r="AD239" s="13">
        <f>AA239/vlookup(A239,Max!$A$2:$AP$700,column(Max!$AP$2),false)</f>
        <v>2.1</v>
      </c>
      <c r="AE239" s="8">
        <f t="shared" si="11"/>
        <v>52.0662965</v>
      </c>
      <c r="AF239" s="14">
        <f t="shared" si="12"/>
        <v>1.10674817</v>
      </c>
      <c r="AG239" s="14">
        <f t="shared" si="13"/>
        <v>1.444467174</v>
      </c>
      <c r="AH239" s="14">
        <f t="shared" si="14"/>
        <v>1.5</v>
      </c>
      <c r="AI239" s="14">
        <f t="shared" si="15"/>
        <v>1.011922023</v>
      </c>
      <c r="AJ239" s="15">
        <f t="shared" si="16"/>
        <v>0</v>
      </c>
      <c r="AK239" s="15" t="str">
        <f t="shared" si="17"/>
        <v>  @CONFIG[RD-858] {
   %cost = 126
   @cost -= #$../../cost$
  }</v>
      </c>
    </row>
    <row r="240" ht="15.75" customHeight="1">
      <c r="A240" s="16" t="s">
        <v>654</v>
      </c>
      <c r="B240" s="16" t="s">
        <v>655</v>
      </c>
      <c r="C240" s="8">
        <f t="shared" si="1"/>
        <v>128</v>
      </c>
      <c r="D240" s="16">
        <v>1970.0</v>
      </c>
      <c r="E240" s="16"/>
      <c r="F240" s="16" t="b">
        <v>1</v>
      </c>
      <c r="G240" s="16" t="b">
        <v>0</v>
      </c>
      <c r="H240" s="16" t="b">
        <v>1</v>
      </c>
      <c r="I240" s="16" t="b">
        <v>1</v>
      </c>
      <c r="J240" s="9" t="b">
        <v>0</v>
      </c>
      <c r="K240" s="16">
        <v>450.0</v>
      </c>
      <c r="L240" s="16"/>
      <c r="M240" s="16">
        <v>57.0</v>
      </c>
      <c r="N240" s="16">
        <v>20.055</v>
      </c>
      <c r="O240" s="16">
        <v>311.9</v>
      </c>
      <c r="P240" s="16">
        <v>7.85</v>
      </c>
      <c r="Q240" s="16">
        <v>0.996521</v>
      </c>
      <c r="R240" s="16">
        <v>0.998177</v>
      </c>
      <c r="S240" s="19">
        <f t="shared" si="2"/>
        <v>450</v>
      </c>
      <c r="T240" s="19">
        <f t="shared" si="3"/>
        <v>35.87790981</v>
      </c>
      <c r="U240" s="20">
        <f t="shared" si="4"/>
        <v>4.376335188</v>
      </c>
      <c r="V240" s="17">
        <f t="shared" si="49"/>
        <v>87.76740219</v>
      </c>
      <c r="W240" s="21">
        <f t="shared" si="5"/>
        <v>4</v>
      </c>
      <c r="X240" s="21">
        <f t="shared" si="6"/>
        <v>438.837011</v>
      </c>
      <c r="Y240" s="21">
        <f t="shared" si="7"/>
        <v>21.88167594</v>
      </c>
      <c r="Z240" s="8">
        <f t="shared" si="19"/>
        <v>133.5869462</v>
      </c>
      <c r="AA240" s="8">
        <f t="shared" si="48"/>
        <v>128</v>
      </c>
      <c r="AB240" s="13">
        <f t="shared" si="9"/>
        <v>0.2844444444</v>
      </c>
      <c r="AC240" s="13">
        <f t="shared" si="10"/>
        <v>0.9581774543</v>
      </c>
      <c r="AD240" s="13">
        <f>AA240/vlookup(A240,Max!$A$2:$AP$700,column(Max!$AP$2),false)</f>
        <v>2.461538462</v>
      </c>
      <c r="AE240" s="8">
        <f t="shared" si="11"/>
        <v>54.38561639</v>
      </c>
      <c r="AF240" s="14">
        <f t="shared" si="12"/>
        <v>1.075111294</v>
      </c>
      <c r="AG240" s="14">
        <f t="shared" si="13"/>
        <v>1.444467174</v>
      </c>
      <c r="AH240" s="14">
        <f t="shared" si="14"/>
        <v>1.5</v>
      </c>
      <c r="AI240" s="14">
        <f t="shared" si="15"/>
        <v>1.011922023</v>
      </c>
      <c r="AJ240" s="15">
        <f t="shared" si="16"/>
        <v>0</v>
      </c>
      <c r="AK240" s="15" t="str">
        <f t="shared" si="17"/>
        <v>  @CONFIG[RD-859] {
   %cost = 128
   @cost -= #$../../cost$
  }</v>
      </c>
    </row>
    <row r="241" ht="15.75" customHeight="1">
      <c r="A241" s="7" t="s">
        <v>663</v>
      </c>
      <c r="B241" s="7" t="s">
        <v>660</v>
      </c>
      <c r="C241" s="8">
        <f t="shared" si="1"/>
        <v>524</v>
      </c>
      <c r="D241" s="7">
        <v>1970.0</v>
      </c>
      <c r="E241" s="7" t="b">
        <v>1</v>
      </c>
      <c r="F241" s="7" t="b">
        <v>1</v>
      </c>
      <c r="G241" s="7" t="b">
        <v>0</v>
      </c>
      <c r="H241" s="7" t="b">
        <v>1</v>
      </c>
      <c r="I241" s="7" t="b">
        <v>1</v>
      </c>
      <c r="J241" s="9" t="b">
        <v>0</v>
      </c>
      <c r="K241" s="7">
        <v>500.0</v>
      </c>
      <c r="L241" s="7">
        <v>800.0</v>
      </c>
      <c r="M241" s="7">
        <v>204.0</v>
      </c>
      <c r="N241" s="7">
        <v>66.7</v>
      </c>
      <c r="O241" s="7">
        <v>442.2</v>
      </c>
      <c r="P241" s="7">
        <v>2.72</v>
      </c>
      <c r="Q241" s="7">
        <v>0.99486</v>
      </c>
      <c r="R241" s="7">
        <v>0.99717</v>
      </c>
      <c r="S241" s="10">
        <f t="shared" si="2"/>
        <v>1300</v>
      </c>
      <c r="T241" s="10">
        <f t="shared" si="3"/>
        <v>33.34072118</v>
      </c>
      <c r="U241" s="11">
        <f t="shared" si="4"/>
        <v>12.44841808</v>
      </c>
      <c r="V241" s="8">
        <f>0.9*(0.00015*M241*O241*P241+797)+0.1*(43.1*POWER(M241,0.549))</f>
        <v>830.309486</v>
      </c>
      <c r="W241" s="12">
        <f t="shared" si="5"/>
        <v>4</v>
      </c>
      <c r="X241" s="12">
        <f t="shared" si="6"/>
        <v>4151.54743</v>
      </c>
      <c r="Y241" s="12">
        <f t="shared" si="7"/>
        <v>62.24209041</v>
      </c>
      <c r="Z241" s="8">
        <f t="shared" si="19"/>
        <v>1260.465281</v>
      </c>
      <c r="AA241" s="8">
        <f t="shared" si="48"/>
        <v>818</v>
      </c>
      <c r="AB241" s="13">
        <f t="shared" si="9"/>
        <v>0.6292307692</v>
      </c>
      <c r="AC241" s="13">
        <f t="shared" si="10"/>
        <v>0.6489667051</v>
      </c>
      <c r="AD241" s="13">
        <f>AA241/vlookup(A241,Max!$A$2:$AP$700,column(Max!$AP$2),false)</f>
        <v>1.947619048</v>
      </c>
      <c r="AE241" s="8">
        <f t="shared" si="11"/>
        <v>151.9675893</v>
      </c>
      <c r="AF241" s="14">
        <f t="shared" si="12"/>
        <v>3.138561055</v>
      </c>
      <c r="AG241" s="14">
        <f t="shared" si="13"/>
        <v>1.137994092</v>
      </c>
      <c r="AH241" s="14">
        <f t="shared" si="14"/>
        <v>1.5</v>
      </c>
      <c r="AI241" s="14">
        <f t="shared" si="15"/>
        <v>1.005170995</v>
      </c>
      <c r="AJ241" s="27">
        <f t="shared" si="16"/>
        <v>524</v>
      </c>
      <c r="AK241" s="15" t="str">
        <f t="shared" si="17"/>
        <v>  @CONFIG[RL10A-3-7] {
   %cost = 818
   @cost -= #$../../cost$
  }</v>
      </c>
    </row>
    <row r="242" ht="15.75" customHeight="1">
      <c r="A242" s="16" t="s">
        <v>1028</v>
      </c>
      <c r="B242" s="16" t="s">
        <v>797</v>
      </c>
      <c r="C242" s="8">
        <f t="shared" si="1"/>
        <v>29</v>
      </c>
      <c r="D242" s="16">
        <v>1970.0</v>
      </c>
      <c r="E242" s="16"/>
      <c r="F242" s="16" t="b">
        <v>0</v>
      </c>
      <c r="G242" s="16" t="b">
        <v>0</v>
      </c>
      <c r="H242" s="16" t="b">
        <v>0</v>
      </c>
      <c r="I242" s="16" t="b">
        <v>0</v>
      </c>
      <c r="J242" s="9" t="b">
        <v>0</v>
      </c>
      <c r="K242" s="16">
        <v>500.0</v>
      </c>
      <c r="L242" s="16">
        <v>0.0</v>
      </c>
      <c r="M242" s="16">
        <v>252.0</v>
      </c>
      <c r="N242" s="16">
        <v>406.8</v>
      </c>
      <c r="O242" s="16">
        <v>259.0</v>
      </c>
      <c r="P242" s="16">
        <v>1.96</v>
      </c>
      <c r="Q242" s="16">
        <v>0.983333</v>
      </c>
      <c r="R242" s="16">
        <v>0.983333</v>
      </c>
      <c r="S242" s="19">
        <f t="shared" si="2"/>
        <v>500</v>
      </c>
      <c r="T242" s="19">
        <f t="shared" si="3"/>
        <v>164.611331</v>
      </c>
      <c r="U242" s="20">
        <f t="shared" si="4"/>
        <v>0.4121510497</v>
      </c>
      <c r="V242" s="17">
        <f t="shared" ref="V242:V248" si="50">0.2*(8.17*POWER(M242*P242,0.46))+0.8*(0.146*POWER(M242*O242,0.639))</f>
        <v>167.663047</v>
      </c>
      <c r="W242" s="21">
        <f t="shared" si="5"/>
        <v>1.75</v>
      </c>
      <c r="X242" s="21">
        <f t="shared" si="6"/>
        <v>461.0733793</v>
      </c>
      <c r="Y242" s="21">
        <f t="shared" si="7"/>
        <v>1.133415387</v>
      </c>
      <c r="Z242" s="8">
        <f t="shared" si="19"/>
        <v>165.4740029</v>
      </c>
      <c r="AA242" s="8">
        <f t="shared" si="48"/>
        <v>129</v>
      </c>
      <c r="AB242" s="13">
        <f t="shared" si="9"/>
        <v>0.258</v>
      </c>
      <c r="AC242" s="13">
        <f t="shared" si="10"/>
        <v>0.7795786513</v>
      </c>
      <c r="AD242" s="13">
        <f>AA242/vlookup(A242,Max!$A$2:$AP$700,column(Max!$AP$2),false)</f>
        <v>0.86</v>
      </c>
      <c r="AE242" s="8">
        <f t="shared" si="11"/>
        <v>133.5002693</v>
      </c>
      <c r="AF242" s="14">
        <f t="shared" si="12"/>
        <v>0.9149901622</v>
      </c>
      <c r="AG242" s="14">
        <f t="shared" si="13"/>
        <v>1.076860615</v>
      </c>
      <c r="AH242" s="14">
        <f t="shared" si="14"/>
        <v>1</v>
      </c>
      <c r="AI242" s="14">
        <f t="shared" si="15"/>
        <v>0.9832490797</v>
      </c>
      <c r="AJ242" s="27">
        <f t="shared" si="16"/>
        <v>29</v>
      </c>
      <c r="AK242" s="15" t="str">
        <f t="shared" si="17"/>
        <v>  @CONFIG[ValoisA] {
   %cost = 129
   @cost -= #$../../cost$
  }</v>
      </c>
    </row>
    <row r="243" ht="15.75" customHeight="1">
      <c r="A243" s="7" t="s">
        <v>824</v>
      </c>
      <c r="B243" s="7" t="s">
        <v>820</v>
      </c>
      <c r="C243" s="8">
        <f t="shared" si="1"/>
        <v>50</v>
      </c>
      <c r="D243" s="7">
        <v>1970.0</v>
      </c>
      <c r="E243" s="7"/>
      <c r="F243" s="7" t="b">
        <v>1</v>
      </c>
      <c r="G243" s="7" t="b">
        <v>0</v>
      </c>
      <c r="H243" s="7" t="b">
        <v>1</v>
      </c>
      <c r="I243" s="7" t="b">
        <v>0</v>
      </c>
      <c r="J243" s="9" t="b">
        <v>0</v>
      </c>
      <c r="K243" s="7">
        <v>400.0</v>
      </c>
      <c r="L243" s="7">
        <v>150.0</v>
      </c>
      <c r="M243" s="7">
        <v>240.0</v>
      </c>
      <c r="N243" s="7">
        <v>186.42</v>
      </c>
      <c r="O243" s="7">
        <v>323.5</v>
      </c>
      <c r="P243" s="7">
        <v>5.0</v>
      </c>
      <c r="Q243" s="7">
        <v>0.998649</v>
      </c>
      <c r="R243" s="7">
        <v>0.996847</v>
      </c>
      <c r="S243" s="10">
        <f t="shared" si="2"/>
        <v>550</v>
      </c>
      <c r="T243" s="10">
        <f t="shared" si="3"/>
        <v>79.20645661</v>
      </c>
      <c r="U243" s="11">
        <f t="shared" si="4"/>
        <v>1.063710995</v>
      </c>
      <c r="V243" s="8">
        <f t="shared" si="50"/>
        <v>198.2970037</v>
      </c>
      <c r="W243" s="12">
        <f t="shared" si="5"/>
        <v>4</v>
      </c>
      <c r="X243" s="12">
        <f t="shared" si="6"/>
        <v>991.4850187</v>
      </c>
      <c r="Y243" s="12">
        <f t="shared" si="7"/>
        <v>5.318554976</v>
      </c>
      <c r="Z243" s="8">
        <f t="shared" si="19"/>
        <v>201.3706588</v>
      </c>
      <c r="AA243" s="8">
        <f t="shared" si="48"/>
        <v>202</v>
      </c>
      <c r="AB243" s="13">
        <f t="shared" si="9"/>
        <v>0.3672727273</v>
      </c>
      <c r="AC243" s="13">
        <f t="shared" si="10"/>
        <v>1.003125288</v>
      </c>
      <c r="AD243" s="13">
        <f>AA243/vlookup(A243,Max!$A$2:$AP$700,column(Max!$AP$2),false)</f>
        <v>1.393103448</v>
      </c>
      <c r="AE243" s="8">
        <f t="shared" si="11"/>
        <v>129.5938578</v>
      </c>
      <c r="AF243" s="14">
        <f t="shared" si="12"/>
        <v>1.176623095</v>
      </c>
      <c r="AG243" s="14">
        <f t="shared" si="13"/>
        <v>1.305059328</v>
      </c>
      <c r="AH243" s="14">
        <f t="shared" si="14"/>
        <v>1</v>
      </c>
      <c r="AI243" s="14">
        <f t="shared" si="15"/>
        <v>1.013947474</v>
      </c>
      <c r="AJ243" s="27">
        <f t="shared" si="16"/>
        <v>50</v>
      </c>
      <c r="AK243" s="15" t="str">
        <f t="shared" si="17"/>
        <v>  @CONFIG[X-405H-4] {
   %cost = 202
   @cost -= #$../../cost$
  }</v>
      </c>
    </row>
    <row r="244" ht="15.75" customHeight="1">
      <c r="A244" s="7" t="s">
        <v>256</v>
      </c>
      <c r="B244" s="7" t="s">
        <v>255</v>
      </c>
      <c r="C244" s="8">
        <f t="shared" si="1"/>
        <v>2</v>
      </c>
      <c r="D244" s="7">
        <v>1971.0</v>
      </c>
      <c r="E244" s="7"/>
      <c r="F244" s="7" t="b">
        <v>0</v>
      </c>
      <c r="G244" s="7" t="b">
        <v>0</v>
      </c>
      <c r="H244" s="7" t="b">
        <v>1</v>
      </c>
      <c r="I244" s="7" t="b">
        <v>1</v>
      </c>
      <c r="J244" s="9" t="b">
        <v>0</v>
      </c>
      <c r="K244" s="7">
        <v>900.0</v>
      </c>
      <c r="L244" s="7">
        <v>150.0</v>
      </c>
      <c r="M244" s="7">
        <v>158.0</v>
      </c>
      <c r="N244" s="7">
        <v>46.92</v>
      </c>
      <c r="O244" s="7">
        <v>306.4</v>
      </c>
      <c r="P244" s="7">
        <v>0.71</v>
      </c>
      <c r="Q244" s="7">
        <v>0.997826</v>
      </c>
      <c r="R244" s="7">
        <v>0.996721</v>
      </c>
      <c r="S244" s="10">
        <f t="shared" si="2"/>
        <v>1050</v>
      </c>
      <c r="T244" s="10">
        <f t="shared" si="3"/>
        <v>30.2816991</v>
      </c>
      <c r="U244" s="11">
        <f t="shared" si="4"/>
        <v>2.758772585</v>
      </c>
      <c r="V244" s="8">
        <f t="shared" si="50"/>
        <v>129.4416097</v>
      </c>
      <c r="W244" s="12">
        <f t="shared" si="5"/>
        <v>1.75</v>
      </c>
      <c r="X244" s="12">
        <f t="shared" si="6"/>
        <v>355.9644266</v>
      </c>
      <c r="Y244" s="12">
        <f t="shared" si="7"/>
        <v>7.586624608</v>
      </c>
      <c r="Z244" s="8">
        <f t="shared" si="19"/>
        <v>196.9882793</v>
      </c>
      <c r="AA244" s="45">
        <v>144.0</v>
      </c>
      <c r="AB244" s="13">
        <f t="shared" si="9"/>
        <v>0.1371428571</v>
      </c>
      <c r="AC244" s="13">
        <f t="shared" si="10"/>
        <v>0.7310079592</v>
      </c>
      <c r="AD244" s="13">
        <f>AA244/vlookup(A244,Max!$A$2:$AP$700,column(Max!$AP$2),false)</f>
        <v>1.454545455</v>
      </c>
      <c r="AE244" s="8">
        <f t="shared" si="11"/>
        <v>100.5384527</v>
      </c>
      <c r="AF244" s="14">
        <f t="shared" si="12"/>
        <v>1.030501844</v>
      </c>
      <c r="AG244" s="14">
        <f t="shared" si="13"/>
        <v>0.8411919977</v>
      </c>
      <c r="AH244" s="14">
        <f t="shared" si="14"/>
        <v>1.5</v>
      </c>
      <c r="AI244" s="14">
        <f t="shared" si="15"/>
        <v>1.011540032</v>
      </c>
      <c r="AJ244" s="27">
        <f t="shared" si="16"/>
        <v>2</v>
      </c>
      <c r="AK244" s="15" t="str">
        <f t="shared" si="17"/>
        <v>  @CONFIG[LMDE-J] {
   %cost = 144
   @cost -= #$../../cost$
  }</v>
      </c>
    </row>
    <row r="245" ht="15.75" customHeight="1">
      <c r="A245" s="16" t="s">
        <v>347</v>
      </c>
      <c r="B245" s="16" t="s">
        <v>339</v>
      </c>
      <c r="C245" s="8">
        <f t="shared" si="1"/>
        <v>21</v>
      </c>
      <c r="D245" s="16">
        <v>1971.0</v>
      </c>
      <c r="E245" s="16"/>
      <c r="F245" s="16" t="b">
        <v>1</v>
      </c>
      <c r="G245" s="16" t="b">
        <v>0</v>
      </c>
      <c r="H245" s="16" t="b">
        <v>1</v>
      </c>
      <c r="I245" s="16" t="b">
        <v>0</v>
      </c>
      <c r="J245" s="9" t="b">
        <v>0</v>
      </c>
      <c r="K245" s="16">
        <v>250.0</v>
      </c>
      <c r="L245" s="16">
        <v>110.0</v>
      </c>
      <c r="M245" s="16">
        <f>500*1.178</f>
        <v>589</v>
      </c>
      <c r="N245" s="16">
        <v>456.1</v>
      </c>
      <c r="O245" s="16">
        <v>318.0</v>
      </c>
      <c r="P245" s="16">
        <v>5.7</v>
      </c>
      <c r="Q245" s="16">
        <v>0.998649</v>
      </c>
      <c r="R245" s="16">
        <v>0.996847</v>
      </c>
      <c r="S245" s="19">
        <f t="shared" si="2"/>
        <v>360</v>
      </c>
      <c r="T245" s="19">
        <f t="shared" si="3"/>
        <v>78.96308377</v>
      </c>
      <c r="U245" s="20">
        <f t="shared" si="4"/>
        <v>0.7491719056</v>
      </c>
      <c r="V245" s="17">
        <f t="shared" si="50"/>
        <v>341.6973061</v>
      </c>
      <c r="W245" s="21">
        <f t="shared" si="5"/>
        <v>4</v>
      </c>
      <c r="X245" s="21">
        <f t="shared" si="6"/>
        <v>1708.486531</v>
      </c>
      <c r="Y245" s="21">
        <f t="shared" si="7"/>
        <v>3.745859528</v>
      </c>
      <c r="Z245" s="8">
        <f t="shared" si="19"/>
        <v>346.9937031</v>
      </c>
      <c r="AA245" s="8">
        <f t="shared" ref="AA245:AA276" si="51">round(AE245*AF245*AG245*AH245*AI245,0)</f>
        <v>346</v>
      </c>
      <c r="AB245" s="13">
        <f t="shared" si="9"/>
        <v>0.9611111111</v>
      </c>
      <c r="AC245" s="13">
        <f t="shared" si="10"/>
        <v>0.9971362503</v>
      </c>
      <c r="AD245" s="13">
        <f>AA245/vlookup(A245,Max!$A$2:$AP$700,column(Max!$AP$2),false)</f>
        <v>1.647619048</v>
      </c>
      <c r="AE245" s="8">
        <f t="shared" si="11"/>
        <v>224.3241539</v>
      </c>
      <c r="AF245" s="14">
        <f t="shared" si="12"/>
        <v>1.131484045</v>
      </c>
      <c r="AG245" s="14">
        <f t="shared" si="13"/>
        <v>1.344107012</v>
      </c>
      <c r="AH245" s="14">
        <f t="shared" si="14"/>
        <v>1</v>
      </c>
      <c r="AI245" s="14">
        <f t="shared" si="15"/>
        <v>1.013947474</v>
      </c>
      <c r="AJ245" s="27">
        <f t="shared" si="16"/>
        <v>21</v>
      </c>
      <c r="AK245" s="15" t="str">
        <f t="shared" si="17"/>
        <v>  @CONFIG[LR91-AJ-11] {
   %cost = 346
   @cost -= #$../../cost$
  }</v>
      </c>
    </row>
    <row r="246" ht="15.75" customHeight="1">
      <c r="A246" s="7" t="s">
        <v>35</v>
      </c>
      <c r="B246" s="7" t="s">
        <v>33</v>
      </c>
      <c r="C246" s="8">
        <f t="shared" si="1"/>
        <v>40</v>
      </c>
      <c r="D246" s="7">
        <v>1972.0</v>
      </c>
      <c r="E246" s="7"/>
      <c r="F246" s="7" t="b">
        <v>1</v>
      </c>
      <c r="G246" s="7" t="b">
        <v>0</v>
      </c>
      <c r="H246" s="7" t="b">
        <v>0</v>
      </c>
      <c r="I246" s="7" t="b">
        <v>0</v>
      </c>
      <c r="J246" s="9" t="b">
        <v>0</v>
      </c>
      <c r="K246" s="7"/>
      <c r="L246" s="7"/>
      <c r="M246" s="7">
        <v>117.7</v>
      </c>
      <c r="N246" s="7">
        <v>131.41</v>
      </c>
      <c r="O246" s="7">
        <v>335.0</v>
      </c>
      <c r="P246" s="7">
        <v>10.0</v>
      </c>
      <c r="Q246" s="7">
        <v>0.998916</v>
      </c>
      <c r="R246" s="7">
        <v>0.99705</v>
      </c>
      <c r="S246" s="10">
        <f t="shared" si="2"/>
        <v>0</v>
      </c>
      <c r="T246" s="10">
        <f t="shared" si="3"/>
        <v>113.8495388</v>
      </c>
      <c r="U246" s="11">
        <f t="shared" si="4"/>
        <v>1.089823557</v>
      </c>
      <c r="V246" s="8">
        <f t="shared" si="50"/>
        <v>143.2137136</v>
      </c>
      <c r="W246" s="12">
        <f t="shared" si="5"/>
        <v>4</v>
      </c>
      <c r="X246" s="12">
        <f t="shared" si="6"/>
        <v>716.068568</v>
      </c>
      <c r="Y246" s="12">
        <f t="shared" si="7"/>
        <v>5.449117784</v>
      </c>
      <c r="Z246" s="8">
        <f t="shared" si="19"/>
        <v>145.5007217</v>
      </c>
      <c r="AA246" s="8">
        <f t="shared" si="51"/>
        <v>192</v>
      </c>
      <c r="AB246" s="13" t="str">
        <f t="shared" si="9"/>
        <v>#N/A</v>
      </c>
      <c r="AC246" s="13">
        <f t="shared" si="10"/>
        <v>1.319581083</v>
      </c>
      <c r="AD246" s="13">
        <f>AA246/vlookup(A246,Max!$A$2:$AP$700,column(Max!$AP$2),false)</f>
        <v>4.8</v>
      </c>
      <c r="AE246" s="8">
        <f t="shared" si="11"/>
        <v>84.13160173</v>
      </c>
      <c r="AF246" s="14">
        <f t="shared" si="12"/>
        <v>1.279467524</v>
      </c>
      <c r="AG246" s="14">
        <f t="shared" si="13"/>
        <v>1.755830837</v>
      </c>
      <c r="AH246" s="14">
        <f t="shared" si="14"/>
        <v>1</v>
      </c>
      <c r="AI246" s="14">
        <f t="shared" si="15"/>
        <v>1.017898227</v>
      </c>
      <c r="AJ246" s="27">
        <f t="shared" si="16"/>
        <v>40</v>
      </c>
      <c r="AK246" s="15" t="str">
        <f t="shared" si="17"/>
        <v>  @CONFIG[5D22] {
   %cost = 192
   @cost -= #$../../cost$
  }</v>
      </c>
    </row>
    <row r="247" ht="15.75" customHeight="1">
      <c r="A247" s="16" t="s">
        <v>79</v>
      </c>
      <c r="B247" s="16" t="s">
        <v>76</v>
      </c>
      <c r="C247" s="8">
        <f t="shared" si="1"/>
        <v>4</v>
      </c>
      <c r="D247" s="16">
        <v>1972.0</v>
      </c>
      <c r="E247" s="16"/>
      <c r="F247" s="16" t="b">
        <v>0</v>
      </c>
      <c r="G247" s="16" t="b">
        <v>0</v>
      </c>
      <c r="H247" s="16" t="b">
        <v>1</v>
      </c>
      <c r="I247" s="16" t="b">
        <v>0</v>
      </c>
      <c r="J247" s="9" t="b">
        <v>0</v>
      </c>
      <c r="K247" s="16">
        <v>200.0</v>
      </c>
      <c r="L247" s="16">
        <v>50.0</v>
      </c>
      <c r="M247" s="16">
        <v>100.0</v>
      </c>
      <c r="N247" s="16">
        <v>42.3</v>
      </c>
      <c r="O247" s="16">
        <v>315.0</v>
      </c>
      <c r="P247" s="16">
        <v>0.9</v>
      </c>
      <c r="Q247" s="16">
        <v>0.999414</v>
      </c>
      <c r="R247" s="16">
        <v>0.999123</v>
      </c>
      <c r="S247" s="19">
        <f t="shared" si="2"/>
        <v>250</v>
      </c>
      <c r="T247" s="19">
        <f t="shared" si="3"/>
        <v>43.13399568</v>
      </c>
      <c r="U247" s="20">
        <f t="shared" si="4"/>
        <v>2.373968444</v>
      </c>
      <c r="V247" s="17">
        <f t="shared" si="50"/>
        <v>100.4188652</v>
      </c>
      <c r="W247" s="21">
        <f t="shared" si="5"/>
        <v>1.75</v>
      </c>
      <c r="X247" s="21">
        <f t="shared" si="6"/>
        <v>276.1518793</v>
      </c>
      <c r="Y247" s="21">
        <f t="shared" si="7"/>
        <v>6.528413221</v>
      </c>
      <c r="Z247" s="8">
        <f t="shared" si="19"/>
        <v>102.2803813</v>
      </c>
      <c r="AA247" s="8">
        <f t="shared" si="51"/>
        <v>77</v>
      </c>
      <c r="AB247" s="13">
        <f t="shared" si="9"/>
        <v>0.308</v>
      </c>
      <c r="AC247" s="13">
        <f t="shared" si="10"/>
        <v>0.7528325474</v>
      </c>
      <c r="AD247" s="13">
        <f>AA247/vlookup(A247,Max!$A$2:$AP$700,column(Max!$AP$2),false)</f>
        <v>1.241935484</v>
      </c>
      <c r="AE247" s="8">
        <f t="shared" si="11"/>
        <v>76.2501611</v>
      </c>
      <c r="AF247" s="14">
        <f t="shared" si="12"/>
        <v>1.107892259</v>
      </c>
      <c r="AG247" s="14">
        <f t="shared" si="13"/>
        <v>0.8872920059</v>
      </c>
      <c r="AH247" s="14">
        <f t="shared" si="14"/>
        <v>1</v>
      </c>
      <c r="AI247" s="14">
        <f t="shared" si="15"/>
        <v>1.021699021</v>
      </c>
      <c r="AJ247" s="27">
        <f t="shared" si="16"/>
        <v>4</v>
      </c>
      <c r="AK247" s="15" t="str">
        <f t="shared" si="17"/>
        <v>  @CONFIG[AJ10-118F] {
   %cost = 77
   @cost -= #$../../cost$
  }</v>
      </c>
    </row>
    <row r="248" ht="15.75" customHeight="1">
      <c r="A248" s="16" t="s">
        <v>1029</v>
      </c>
      <c r="B248" s="16" t="s">
        <v>158</v>
      </c>
      <c r="C248" s="8">
        <f t="shared" si="1"/>
        <v>22</v>
      </c>
      <c r="D248" s="16">
        <v>1972.0</v>
      </c>
      <c r="E248" s="16"/>
      <c r="F248" s="16" t="b">
        <v>1</v>
      </c>
      <c r="G248" s="16" t="b">
        <v>0</v>
      </c>
      <c r="H248" s="16" t="b">
        <v>0</v>
      </c>
      <c r="I248" s="16" t="b">
        <v>0</v>
      </c>
      <c r="J248" s="9" t="b">
        <v>0</v>
      </c>
      <c r="K248" s="16">
        <v>250.0</v>
      </c>
      <c r="L248" s="16">
        <v>15.0</v>
      </c>
      <c r="M248" s="16">
        <v>911.0</v>
      </c>
      <c r="N248" s="16">
        <v>1021.01</v>
      </c>
      <c r="O248" s="16">
        <v>295.0</v>
      </c>
      <c r="P248" s="16">
        <v>4.82</v>
      </c>
      <c r="Q248" s="16">
        <v>0.996341</v>
      </c>
      <c r="R248" s="16">
        <v>0.996341</v>
      </c>
      <c r="S248" s="19">
        <f t="shared" si="2"/>
        <v>265</v>
      </c>
      <c r="T248" s="19">
        <f t="shared" si="3"/>
        <v>114.2854498</v>
      </c>
      <c r="U248" s="20">
        <f t="shared" si="4"/>
        <v>0.4129252292</v>
      </c>
      <c r="V248" s="17">
        <f t="shared" si="50"/>
        <v>421.6007883</v>
      </c>
      <c r="W248" s="21">
        <f t="shared" si="5"/>
        <v>4</v>
      </c>
      <c r="X248" s="21">
        <f t="shared" si="6"/>
        <v>2108.003941</v>
      </c>
      <c r="Y248" s="21">
        <f t="shared" si="7"/>
        <v>2.064626146</v>
      </c>
      <c r="Z248" s="8">
        <f t="shared" si="19"/>
        <v>426.953174</v>
      </c>
      <c r="AA248" s="8">
        <f t="shared" si="51"/>
        <v>414</v>
      </c>
      <c r="AB248" s="13">
        <f t="shared" si="9"/>
        <v>1.562264151</v>
      </c>
      <c r="AC248" s="13">
        <f t="shared" si="10"/>
        <v>0.9696613709</v>
      </c>
      <c r="AD248" s="13">
        <f>AA248/vlookup(A248,Max!$A$2:$AP$700,column(Max!$AP$2),false)</f>
        <v>1.061538462</v>
      </c>
      <c r="AE248" s="8">
        <f t="shared" si="11"/>
        <v>293.3113531</v>
      </c>
      <c r="AF248" s="14">
        <f t="shared" si="12"/>
        <v>0.985688335</v>
      </c>
      <c r="AG248" s="14">
        <f t="shared" si="13"/>
        <v>1.410576953</v>
      </c>
      <c r="AH248" s="14">
        <f t="shared" si="14"/>
        <v>1</v>
      </c>
      <c r="AI248" s="14">
        <f t="shared" si="15"/>
        <v>1.01608963</v>
      </c>
      <c r="AJ248" s="27">
        <f t="shared" si="16"/>
        <v>22</v>
      </c>
      <c r="AK248" s="15" t="str">
        <f t="shared" si="17"/>
        <v>  @CONFIG[H-1-205k] {
   %cost = 414
   @cost -= #$../../cost$
  }</v>
      </c>
    </row>
    <row r="249" ht="15.75" customHeight="1">
      <c r="A249" s="7" t="s">
        <v>178</v>
      </c>
      <c r="B249" s="7" t="s">
        <v>177</v>
      </c>
      <c r="C249" s="8">
        <f t="shared" si="1"/>
        <v>86</v>
      </c>
      <c r="D249" s="7">
        <v>1972.0</v>
      </c>
      <c r="E249" s="7" t="b">
        <v>1</v>
      </c>
      <c r="F249" s="7" t="b">
        <v>1</v>
      </c>
      <c r="G249" s="7" t="b">
        <v>0</v>
      </c>
      <c r="H249" s="7" t="b">
        <v>1</v>
      </c>
      <c r="I249" s="7" t="b">
        <v>0</v>
      </c>
      <c r="J249" s="9" t="b">
        <v>0</v>
      </c>
      <c r="K249" s="7">
        <v>500.0</v>
      </c>
      <c r="L249" s="7">
        <v>100.0</v>
      </c>
      <c r="M249" s="7">
        <v>165.0</v>
      </c>
      <c r="N249" s="7">
        <v>64.2</v>
      </c>
      <c r="O249" s="7">
        <v>443.2</v>
      </c>
      <c r="P249" s="7">
        <v>3.5</v>
      </c>
      <c r="Q249" s="7">
        <v>0.990833</v>
      </c>
      <c r="R249" s="7">
        <v>0.993966</v>
      </c>
      <c r="S249" s="10">
        <f t="shared" si="2"/>
        <v>600</v>
      </c>
      <c r="T249" s="10">
        <f t="shared" si="3"/>
        <v>39.67623072</v>
      </c>
      <c r="U249" s="11">
        <f t="shared" si="4"/>
        <v>12.81859845</v>
      </c>
      <c r="V249" s="8">
        <f>0.9*(0.00015*M249*O249*P249+797)+0.1*(43.1*POWER(M249,0.549))</f>
        <v>822.9540204</v>
      </c>
      <c r="W249" s="12">
        <f t="shared" si="5"/>
        <v>4</v>
      </c>
      <c r="X249" s="12">
        <f t="shared" si="6"/>
        <v>4114.770102</v>
      </c>
      <c r="Y249" s="12">
        <f t="shared" si="7"/>
        <v>64.09299224</v>
      </c>
      <c r="Z249" s="8">
        <f t="shared" si="19"/>
        <v>826.9488973</v>
      </c>
      <c r="AA249" s="8">
        <f t="shared" si="51"/>
        <v>514</v>
      </c>
      <c r="AB249" s="13">
        <f t="shared" si="9"/>
        <v>0.8566666667</v>
      </c>
      <c r="AC249" s="13">
        <f t="shared" si="10"/>
        <v>0.6215619873</v>
      </c>
      <c r="AD249" s="13">
        <f>AA249/vlookup(A249,Max!$A$2:$AP$700,column(Max!$AP$2),false)</f>
        <v>2.336363636</v>
      </c>
      <c r="AE249" s="8">
        <f t="shared" si="11"/>
        <v>136.4037756</v>
      </c>
      <c r="AF249" s="14">
        <f t="shared" si="12"/>
        <v>3.167761424</v>
      </c>
      <c r="AG249" s="14">
        <f t="shared" si="13"/>
        <v>1.204418213</v>
      </c>
      <c r="AH249" s="14">
        <f t="shared" si="14"/>
        <v>1</v>
      </c>
      <c r="AI249" s="14">
        <f t="shared" si="15"/>
        <v>0.9870564531</v>
      </c>
      <c r="AJ249" s="27">
        <f t="shared" si="16"/>
        <v>86</v>
      </c>
      <c r="AK249" s="15" t="str">
        <f t="shared" si="17"/>
        <v>  @CONFIG[HM-7B] {
   %cost = 514
   @cost -= #$../../cost$
  }</v>
      </c>
    </row>
    <row r="250" ht="15.75" customHeight="1">
      <c r="A250" s="7" t="s">
        <v>225</v>
      </c>
      <c r="B250" s="7" t="s">
        <v>224</v>
      </c>
      <c r="C250" s="8">
        <f t="shared" si="1"/>
        <v>6</v>
      </c>
      <c r="D250" s="7">
        <v>1972.0</v>
      </c>
      <c r="E250" s="7"/>
      <c r="F250" s="7" t="b">
        <v>1</v>
      </c>
      <c r="G250" s="7" t="b">
        <v>0</v>
      </c>
      <c r="H250" s="7" t="b">
        <v>1</v>
      </c>
      <c r="I250" s="7" t="b">
        <v>0</v>
      </c>
      <c r="J250" s="9" t="b">
        <v>0</v>
      </c>
      <c r="K250" s="7">
        <v>200.0</v>
      </c>
      <c r="L250" s="7">
        <v>0.0</v>
      </c>
      <c r="M250" s="7">
        <v>70.0</v>
      </c>
      <c r="N250" s="7">
        <v>18.89</v>
      </c>
      <c r="O250" s="7">
        <v>315.0</v>
      </c>
      <c r="P250" s="7">
        <v>14.9</v>
      </c>
      <c r="Q250" s="7">
        <v>0.996512</v>
      </c>
      <c r="R250" s="7">
        <v>0.991176</v>
      </c>
      <c r="S250" s="10">
        <f t="shared" si="2"/>
        <v>200</v>
      </c>
      <c r="T250" s="10">
        <f t="shared" si="3"/>
        <v>27.5177703</v>
      </c>
      <c r="U250" s="11">
        <f t="shared" si="4"/>
        <v>5.802381819</v>
      </c>
      <c r="V250" s="8">
        <f t="shared" ref="V250:V251" si="52">0.2*(8.17*POWER(M250*P250,0.46))+0.8*(0.146*POWER(M250*O250,0.639))</f>
        <v>109.6069926</v>
      </c>
      <c r="W250" s="12">
        <f t="shared" si="5"/>
        <v>4</v>
      </c>
      <c r="X250" s="12">
        <f t="shared" si="6"/>
        <v>548.0349628</v>
      </c>
      <c r="Y250" s="12">
        <f t="shared" si="7"/>
        <v>29.0119091</v>
      </c>
      <c r="Z250" s="8">
        <f t="shared" si="19"/>
        <v>110.4530246</v>
      </c>
      <c r="AA250" s="8">
        <f t="shared" si="51"/>
        <v>113</v>
      </c>
      <c r="AB250" s="13">
        <f t="shared" si="9"/>
        <v>0.565</v>
      </c>
      <c r="AC250" s="13">
        <f t="shared" si="10"/>
        <v>1.023059354</v>
      </c>
      <c r="AD250" s="13">
        <f>AA250/vlookup(A250,Max!$A$2:$AP$700,column(Max!$AP$2),false)</f>
        <v>3.228571429</v>
      </c>
      <c r="AE250" s="8">
        <f t="shared" si="11"/>
        <v>61.51955617</v>
      </c>
      <c r="AF250" s="14">
        <f t="shared" si="12"/>
        <v>1.107892259</v>
      </c>
      <c r="AG250" s="14">
        <f t="shared" si="13"/>
        <v>1.668510387</v>
      </c>
      <c r="AH250" s="14">
        <f t="shared" si="14"/>
        <v>1</v>
      </c>
      <c r="AI250" s="14">
        <f t="shared" si="15"/>
        <v>0.9942492904</v>
      </c>
      <c r="AJ250" s="27">
        <f t="shared" si="16"/>
        <v>6</v>
      </c>
      <c r="AK250" s="15" t="str">
        <f t="shared" si="17"/>
        <v>  @CONFIG[KTDU-425A] {
   %cost = 113
   @cost -= #$../../cost$
  }</v>
      </c>
    </row>
    <row r="251" ht="15.75" customHeight="1">
      <c r="A251" s="7" t="s">
        <v>318</v>
      </c>
      <c r="B251" s="7" t="s">
        <v>288</v>
      </c>
      <c r="C251" s="8">
        <f t="shared" si="1"/>
        <v>40</v>
      </c>
      <c r="D251" s="7">
        <v>1972.0</v>
      </c>
      <c r="E251" s="7"/>
      <c r="F251" s="7" t="b">
        <v>1</v>
      </c>
      <c r="G251" s="7" t="b">
        <v>0</v>
      </c>
      <c r="H251" s="7" t="b">
        <v>0</v>
      </c>
      <c r="I251" s="7" t="b">
        <v>0</v>
      </c>
      <c r="J251" s="9" t="b">
        <v>0</v>
      </c>
      <c r="K251" s="7">
        <v>250.0</v>
      </c>
      <c r="L251" s="7">
        <v>140.0</v>
      </c>
      <c r="M251" s="7">
        <v>758.0</v>
      </c>
      <c r="N251" s="7">
        <v>1225.3</v>
      </c>
      <c r="O251" s="7">
        <v>303.5</v>
      </c>
      <c r="P251" s="7">
        <v>5.88</v>
      </c>
      <c r="Q251" s="7">
        <v>0.995977</v>
      </c>
      <c r="R251" s="7">
        <v>0.995977</v>
      </c>
      <c r="S251" s="10">
        <f t="shared" si="2"/>
        <v>390</v>
      </c>
      <c r="T251" s="10">
        <f t="shared" si="3"/>
        <v>164.8361837</v>
      </c>
      <c r="U251" s="11">
        <f t="shared" si="4"/>
        <v>0.3179530354</v>
      </c>
      <c r="V251" s="8">
        <f t="shared" si="52"/>
        <v>389.5878543</v>
      </c>
      <c r="W251" s="12">
        <f t="shared" si="5"/>
        <v>4</v>
      </c>
      <c r="X251" s="12">
        <f t="shared" si="6"/>
        <v>1947.939272</v>
      </c>
      <c r="Y251" s="12">
        <f t="shared" si="7"/>
        <v>1.589765177</v>
      </c>
      <c r="Z251" s="8">
        <f t="shared" si="19"/>
        <v>394.2512928</v>
      </c>
      <c r="AA251" s="8">
        <f t="shared" si="51"/>
        <v>404</v>
      </c>
      <c r="AB251" s="13">
        <f t="shared" si="9"/>
        <v>1.035897436</v>
      </c>
      <c r="AC251" s="13">
        <f t="shared" si="10"/>
        <v>1.024727141</v>
      </c>
      <c r="AD251" s="13">
        <f>AA251/vlookup(A251,Max!$A$2:$AP$700,column(Max!$AP$2),false)</f>
        <v>0.7087719298</v>
      </c>
      <c r="AE251" s="8">
        <f t="shared" si="11"/>
        <v>261.9275109</v>
      </c>
      <c r="AF251" s="14">
        <f t="shared" si="12"/>
        <v>1.013863377</v>
      </c>
      <c r="AG251" s="14">
        <f t="shared" si="13"/>
        <v>1.497255338</v>
      </c>
      <c r="AH251" s="14">
        <f t="shared" si="14"/>
        <v>1</v>
      </c>
      <c r="AI251" s="14">
        <f t="shared" si="15"/>
        <v>1.015161847</v>
      </c>
      <c r="AJ251" s="27">
        <f t="shared" si="16"/>
        <v>40</v>
      </c>
      <c r="AK251" s="15" t="str">
        <f t="shared" si="17"/>
        <v>  @CONFIG[LR87-AJ-11A] {
   %cost = 404
   @cost -= #$../../cost$
  }</v>
      </c>
    </row>
    <row r="252" ht="15.75" customHeight="1">
      <c r="A252" s="7" t="s">
        <v>354</v>
      </c>
      <c r="B252" s="7" t="s">
        <v>355</v>
      </c>
      <c r="C252" s="8">
        <f t="shared" si="1"/>
        <v>4914</v>
      </c>
      <c r="D252" s="7">
        <v>1972.0</v>
      </c>
      <c r="E252" s="7" t="b">
        <v>1</v>
      </c>
      <c r="F252" s="7" t="b">
        <v>1</v>
      </c>
      <c r="G252" s="7" t="b">
        <v>0</v>
      </c>
      <c r="H252" s="7" t="b">
        <v>1</v>
      </c>
      <c r="I252" s="7" t="b">
        <v>0</v>
      </c>
      <c r="J252" s="9" t="b">
        <v>0</v>
      </c>
      <c r="K252" s="7">
        <v>9200.0</v>
      </c>
      <c r="L252" s="7">
        <v>0.0</v>
      </c>
      <c r="M252" s="7">
        <v>9071.0</v>
      </c>
      <c r="N252" s="7">
        <v>5337.866</v>
      </c>
      <c r="O252" s="7">
        <v>428.0</v>
      </c>
      <c r="P252" s="7">
        <v>6.89</v>
      </c>
      <c r="Q252" s="7">
        <v>0.9932</v>
      </c>
      <c r="R252" s="7">
        <v>0.9932</v>
      </c>
      <c r="S252" s="10">
        <f t="shared" si="2"/>
        <v>9200</v>
      </c>
      <c r="T252" s="10">
        <f t="shared" si="3"/>
        <v>60.00560563</v>
      </c>
      <c r="U252" s="11">
        <f t="shared" si="4"/>
        <v>0.9310935085</v>
      </c>
      <c r="V252" s="8">
        <f>0.9*(0.00015*M252*O252*P252+797)+0.1*(43.1*POWER(M252,0.549))</f>
        <v>4970.052382</v>
      </c>
      <c r="W252" s="12">
        <f t="shared" si="5"/>
        <v>4</v>
      </c>
      <c r="X252" s="12">
        <f t="shared" si="6"/>
        <v>24850.26191</v>
      </c>
      <c r="Y252" s="12">
        <f t="shared" si="7"/>
        <v>4.655467543</v>
      </c>
      <c r="Z252" s="8">
        <f t="shared" si="19"/>
        <v>5002.090533</v>
      </c>
      <c r="AA252" s="8">
        <f t="shared" si="51"/>
        <v>4914</v>
      </c>
      <c r="AB252" s="13">
        <f t="shared" si="9"/>
        <v>0.5341304348</v>
      </c>
      <c r="AC252" s="13">
        <f t="shared" si="10"/>
        <v>0.9823892567</v>
      </c>
      <c r="AD252" s="13">
        <f>AA252/vlookup(A252,Max!$A$2:$AP$700,column(Max!$AP$2),false)</f>
        <v>0.6066666667</v>
      </c>
      <c r="AE252" s="8">
        <f t="shared" si="11"/>
        <v>1282.530679</v>
      </c>
      <c r="AF252" s="14">
        <f t="shared" si="12"/>
        <v>2.756344992</v>
      </c>
      <c r="AG252" s="14">
        <f t="shared" si="13"/>
        <v>1.402688799</v>
      </c>
      <c r="AH252" s="14">
        <f t="shared" si="14"/>
        <v>1</v>
      </c>
      <c r="AI252" s="14">
        <f t="shared" si="15"/>
        <v>0.9910500047</v>
      </c>
      <c r="AJ252" s="15">
        <f t="shared" si="16"/>
        <v>0</v>
      </c>
      <c r="AK252" s="15" t="str">
        <f t="shared" si="17"/>
        <v>  @CONFIG[M-1-Spec] {
   %cost = 4914
   @cost -= #$../../cost$
  }</v>
      </c>
    </row>
    <row r="253" ht="15.75" customHeight="1">
      <c r="A253" s="16" t="s">
        <v>405</v>
      </c>
      <c r="B253" s="16" t="s">
        <v>403</v>
      </c>
      <c r="C253" s="8">
        <f t="shared" si="1"/>
        <v>34</v>
      </c>
      <c r="D253" s="16">
        <v>1972.0</v>
      </c>
      <c r="E253" s="16"/>
      <c r="F253" s="16" t="b">
        <v>1</v>
      </c>
      <c r="G253" s="16" t="b">
        <v>0</v>
      </c>
      <c r="H253" s="16" t="b">
        <v>0</v>
      </c>
      <c r="I253" s="16" t="b">
        <v>0</v>
      </c>
      <c r="J253" s="9" t="b">
        <v>0</v>
      </c>
      <c r="K253" s="16">
        <v>350.0</v>
      </c>
      <c r="L253" s="16">
        <v>4.0</v>
      </c>
      <c r="M253" s="16">
        <v>491.55</v>
      </c>
      <c r="N253" s="16">
        <v>555.0</v>
      </c>
      <c r="O253" s="16">
        <v>331.0</v>
      </c>
      <c r="P253" s="16">
        <v>10.58</v>
      </c>
      <c r="Q253" s="16">
        <v>0.980556</v>
      </c>
      <c r="R253" s="16">
        <v>0.980556</v>
      </c>
      <c r="S253" s="19">
        <f t="shared" si="2"/>
        <v>354</v>
      </c>
      <c r="T253" s="19">
        <f t="shared" si="3"/>
        <v>115.1342684</v>
      </c>
      <c r="U253" s="20">
        <f t="shared" si="4"/>
        <v>0.6007998472</v>
      </c>
      <c r="V253" s="17">
        <f>0.2*(8.17*POWER(M253*P253,0.46))+0.8*(0.146*POWER(M253*O253,0.639))</f>
        <v>333.4439152</v>
      </c>
      <c r="W253" s="21">
        <f t="shared" si="5"/>
        <v>4</v>
      </c>
      <c r="X253" s="21">
        <f t="shared" si="6"/>
        <v>1667.219576</v>
      </c>
      <c r="Y253" s="21">
        <f t="shared" si="7"/>
        <v>3.003999236</v>
      </c>
      <c r="Z253" s="8">
        <f t="shared" si="19"/>
        <v>327.2718914</v>
      </c>
      <c r="AA253" s="8">
        <f t="shared" si="51"/>
        <v>435</v>
      </c>
      <c r="AB253" s="13">
        <f t="shared" si="9"/>
        <v>1.228813559</v>
      </c>
      <c r="AC253" s="13">
        <f t="shared" si="10"/>
        <v>1.329170062</v>
      </c>
      <c r="AD253" s="13">
        <f>AA253/vlookup(A253,Max!$A$2:$AP$700,column(Max!$AP$2),false)</f>
        <v>1.553571429</v>
      </c>
      <c r="AE253" s="8">
        <f t="shared" si="11"/>
        <v>200.7760691</v>
      </c>
      <c r="AF253" s="14">
        <f t="shared" si="12"/>
        <v>1.242337337</v>
      </c>
      <c r="AG253" s="14">
        <f t="shared" si="13"/>
        <v>1.785781718</v>
      </c>
      <c r="AH253" s="14">
        <f t="shared" si="14"/>
        <v>1</v>
      </c>
      <c r="AI253" s="14">
        <f t="shared" si="15"/>
        <v>0.9763218686</v>
      </c>
      <c r="AJ253" s="27">
        <f t="shared" si="16"/>
        <v>34</v>
      </c>
      <c r="AK253" s="15" t="str">
        <f t="shared" si="17"/>
        <v>  @CONFIG[NK-9-1972] {
   %cost = 435
   @cost -= #$../../cost$
  }</v>
      </c>
    </row>
    <row r="254" ht="15.75" customHeight="1">
      <c r="A254" s="16" t="s">
        <v>664</v>
      </c>
      <c r="B254" s="16" t="s">
        <v>660</v>
      </c>
      <c r="C254" s="8">
        <f t="shared" si="1"/>
        <v>405</v>
      </c>
      <c r="D254" s="16">
        <v>1972.0</v>
      </c>
      <c r="E254" s="16" t="b">
        <v>1</v>
      </c>
      <c r="F254" s="16" t="b">
        <v>1</v>
      </c>
      <c r="G254" s="16" t="b">
        <v>0</v>
      </c>
      <c r="H254" s="16" t="b">
        <v>1</v>
      </c>
      <c r="I254" s="16" t="b">
        <v>1</v>
      </c>
      <c r="J254" s="9" t="b">
        <v>0</v>
      </c>
      <c r="K254" s="16">
        <v>500.0</v>
      </c>
      <c r="L254" s="16">
        <v>400.0</v>
      </c>
      <c r="M254" s="16">
        <v>205.0</v>
      </c>
      <c r="N254" s="16">
        <v>101.0</v>
      </c>
      <c r="O254" s="16">
        <v>424.0</v>
      </c>
      <c r="P254" s="16">
        <v>2.72</v>
      </c>
      <c r="Q254" s="16">
        <v>0.998128</v>
      </c>
      <c r="R254" s="16">
        <v>0.996316</v>
      </c>
      <c r="S254" s="19">
        <f t="shared" si="2"/>
        <v>900</v>
      </c>
      <c r="T254" s="19">
        <f t="shared" si="3"/>
        <v>50.23967669</v>
      </c>
      <c r="U254" s="20">
        <f t="shared" si="4"/>
        <v>8.211055304</v>
      </c>
      <c r="V254" s="17">
        <f>0.9*(0.00015*M254*O254*P254+797)+0.1*(43.1*POWER(M254,0.549))</f>
        <v>829.3165857</v>
      </c>
      <c r="W254" s="21">
        <f t="shared" si="5"/>
        <v>4</v>
      </c>
      <c r="X254" s="21">
        <f t="shared" si="6"/>
        <v>4146.582929</v>
      </c>
      <c r="Y254" s="21">
        <f t="shared" si="7"/>
        <v>41.05527652</v>
      </c>
      <c r="Z254" s="8">
        <f t="shared" si="19"/>
        <v>1261.951431</v>
      </c>
      <c r="AA254" s="8">
        <f t="shared" si="51"/>
        <v>699</v>
      </c>
      <c r="AB254" s="13">
        <f t="shared" si="9"/>
        <v>0.7766666667</v>
      </c>
      <c r="AC254" s="13">
        <f t="shared" si="10"/>
        <v>0.5539040433</v>
      </c>
      <c r="AD254" s="13">
        <f>AA254/vlookup(A254,Max!$A$2:$AP$700,column(Max!$AP$2),false)</f>
        <v>1.588636364</v>
      </c>
      <c r="AE254" s="8">
        <f t="shared" si="11"/>
        <v>152.3486909</v>
      </c>
      <c r="AF254" s="14">
        <f t="shared" si="12"/>
        <v>2.658835128</v>
      </c>
      <c r="AG254" s="14">
        <f t="shared" si="13"/>
        <v>1.137994092</v>
      </c>
      <c r="AH254" s="14">
        <f t="shared" si="14"/>
        <v>1.5</v>
      </c>
      <c r="AI254" s="14">
        <f t="shared" si="15"/>
        <v>1.011277565</v>
      </c>
      <c r="AJ254" s="27">
        <f t="shared" si="16"/>
        <v>405</v>
      </c>
      <c r="AK254" s="15" t="str">
        <f t="shared" si="17"/>
        <v>  @CONFIG[RL10A-3-9] {
   %cost = 699
   @cost -= #$../../cost$
  }</v>
      </c>
    </row>
    <row r="255" ht="15.75" customHeight="1">
      <c r="A255" s="16" t="s">
        <v>257</v>
      </c>
      <c r="B255" s="16" t="s">
        <v>255</v>
      </c>
      <c r="C255" s="8">
        <f t="shared" si="1"/>
        <v>-72</v>
      </c>
      <c r="D255" s="16">
        <v>1972.0</v>
      </c>
      <c r="E255" s="16"/>
      <c r="F255" s="16" t="b">
        <v>0</v>
      </c>
      <c r="G255" s="16" t="b">
        <v>0</v>
      </c>
      <c r="H255" s="16" t="b">
        <v>1</v>
      </c>
      <c r="I255" s="16" t="b">
        <v>0</v>
      </c>
      <c r="J255" s="9" t="b">
        <v>0</v>
      </c>
      <c r="K255" s="16">
        <v>900.0</v>
      </c>
      <c r="L255" s="16">
        <v>-500.0</v>
      </c>
      <c r="M255" s="16">
        <v>113.0</v>
      </c>
      <c r="N255" s="16">
        <v>43.5</v>
      </c>
      <c r="O255" s="16">
        <v>303.0</v>
      </c>
      <c r="P255" s="16">
        <v>0.71</v>
      </c>
      <c r="Q255" s="16">
        <v>0.99837</v>
      </c>
      <c r="R255" s="16">
        <v>0.994355</v>
      </c>
      <c r="S255" s="19">
        <f t="shared" si="2"/>
        <v>400</v>
      </c>
      <c r="T255" s="19">
        <f t="shared" si="3"/>
        <v>39.25456207</v>
      </c>
      <c r="U255" s="20">
        <f t="shared" si="4"/>
        <v>2.403193133</v>
      </c>
      <c r="V255" s="17">
        <f t="shared" ref="V255:V263" si="53">0.2*(8.17*POWER(M255*P255,0.46))+0.8*(0.146*POWER(M255*O255,0.639))</f>
        <v>104.5389013</v>
      </c>
      <c r="W255" s="21">
        <f t="shared" si="5"/>
        <v>1.75</v>
      </c>
      <c r="X255" s="21">
        <f t="shared" si="6"/>
        <v>287.4819786</v>
      </c>
      <c r="Y255" s="21">
        <f t="shared" si="7"/>
        <v>6.608781116</v>
      </c>
      <c r="Z255" s="8">
        <f t="shared" si="19"/>
        <v>105.8701207</v>
      </c>
      <c r="AA255" s="8">
        <f t="shared" si="51"/>
        <v>70</v>
      </c>
      <c r="AB255" s="13">
        <f t="shared" si="9"/>
        <v>0.175</v>
      </c>
      <c r="AC255" s="13">
        <f t="shared" si="10"/>
        <v>0.6611874958</v>
      </c>
      <c r="AD255" s="13">
        <f>AA255/vlookup(A255,Max!$A$2:$AP$700,column(Max!$AP$2),false)</f>
        <v>1.794871795</v>
      </c>
      <c r="AE255" s="8">
        <f t="shared" si="11"/>
        <v>82.08620133</v>
      </c>
      <c r="AF255" s="14">
        <f t="shared" si="12"/>
        <v>1.011468879</v>
      </c>
      <c r="AG255" s="14">
        <f t="shared" si="13"/>
        <v>0.8411919977</v>
      </c>
      <c r="AH255" s="14">
        <f t="shared" si="14"/>
        <v>1</v>
      </c>
      <c r="AI255" s="14">
        <f t="shared" si="15"/>
        <v>1.006918857</v>
      </c>
      <c r="AJ255" s="27">
        <f t="shared" si="16"/>
        <v>-72</v>
      </c>
      <c r="AK255" s="15" t="str">
        <f t="shared" si="17"/>
        <v>  @CONFIG[TR-201] {
   %cost = 70
   @cost -= #$../../cost$
  }</v>
      </c>
    </row>
    <row r="256" ht="15.75" customHeight="1">
      <c r="A256" s="7" t="s">
        <v>412</v>
      </c>
      <c r="B256" s="7" t="s">
        <v>408</v>
      </c>
      <c r="C256" s="8">
        <f t="shared" si="1"/>
        <v>108</v>
      </c>
      <c r="D256" s="7">
        <v>1973.0</v>
      </c>
      <c r="E256" s="7"/>
      <c r="F256" s="7" t="b">
        <v>1</v>
      </c>
      <c r="G256" s="7" t="b">
        <v>0</v>
      </c>
      <c r="H256" s="7" t="b">
        <v>1</v>
      </c>
      <c r="I256" s="7" t="b">
        <v>0</v>
      </c>
      <c r="J256" s="9" t="b">
        <v>0</v>
      </c>
      <c r="K256" s="7">
        <v>500.0</v>
      </c>
      <c r="L256" s="7">
        <v>40.0</v>
      </c>
      <c r="M256" s="7">
        <v>721.6</v>
      </c>
      <c r="N256" s="7">
        <v>402.1</v>
      </c>
      <c r="O256" s="7">
        <v>353.0</v>
      </c>
      <c r="P256" s="7">
        <v>9.2</v>
      </c>
      <c r="Q256" s="7">
        <v>0.99</v>
      </c>
      <c r="R256" s="7">
        <v>0.985</v>
      </c>
      <c r="S256" s="10">
        <f t="shared" si="2"/>
        <v>540</v>
      </c>
      <c r="T256" s="10">
        <f t="shared" si="3"/>
        <v>56.82204657</v>
      </c>
      <c r="U256" s="11">
        <f t="shared" si="4"/>
        <v>1.060007929</v>
      </c>
      <c r="V256" s="8">
        <f t="shared" si="53"/>
        <v>426.2291883</v>
      </c>
      <c r="W256" s="12">
        <f t="shared" si="5"/>
        <v>4</v>
      </c>
      <c r="X256" s="12">
        <f t="shared" si="6"/>
        <v>2131.145941</v>
      </c>
      <c r="Y256" s="12">
        <f t="shared" si="7"/>
        <v>5.300039646</v>
      </c>
      <c r="Z256" s="8">
        <f t="shared" si="19"/>
        <v>424.1619767</v>
      </c>
      <c r="AA256" s="8">
        <f t="shared" si="51"/>
        <v>537</v>
      </c>
      <c r="AB256" s="13">
        <f t="shared" si="9"/>
        <v>0.9944444444</v>
      </c>
      <c r="AC256" s="13">
        <f t="shared" si="10"/>
        <v>1.266025786</v>
      </c>
      <c r="AD256" s="13">
        <f>AA256/vlookup(A256,Max!$A$2:$AP$700,column(Max!$AP$2),false)</f>
        <v>2.148</v>
      </c>
      <c r="AE256" s="8">
        <f t="shared" si="11"/>
        <v>254.1201592</v>
      </c>
      <c r="AF256" s="14">
        <f t="shared" si="12"/>
        <v>1.466463036</v>
      </c>
      <c r="AG256" s="14">
        <f t="shared" si="13"/>
        <v>1.496974027</v>
      </c>
      <c r="AH256" s="14">
        <f t="shared" si="14"/>
        <v>1</v>
      </c>
      <c r="AI256" s="14">
        <f t="shared" si="15"/>
        <v>0.9629208183</v>
      </c>
      <c r="AJ256" s="27">
        <f t="shared" si="16"/>
        <v>108</v>
      </c>
      <c r="AK256" s="15" t="str">
        <f t="shared" si="17"/>
        <v>  @CONFIG[NK-31] {
   %cost = 537
   @cost -= #$../../cost$
  }</v>
      </c>
    </row>
    <row r="257" ht="15.75" customHeight="1">
      <c r="A257" s="16" t="s">
        <v>411</v>
      </c>
      <c r="B257" s="16" t="s">
        <v>408</v>
      </c>
      <c r="C257" s="8">
        <f t="shared" si="1"/>
        <v>39</v>
      </c>
      <c r="D257" s="16">
        <v>1973.0</v>
      </c>
      <c r="E257" s="16"/>
      <c r="F257" s="16" t="b">
        <v>1</v>
      </c>
      <c r="G257" s="16" t="b">
        <v>0</v>
      </c>
      <c r="H257" s="16" t="b">
        <v>1</v>
      </c>
      <c r="I257" s="16" t="b">
        <v>0</v>
      </c>
      <c r="J257" s="9" t="b">
        <v>0</v>
      </c>
      <c r="K257" s="16">
        <v>500.0</v>
      </c>
      <c r="L257" s="16">
        <v>25.0</v>
      </c>
      <c r="M257" s="16">
        <v>584.0</v>
      </c>
      <c r="N257" s="16">
        <v>407.0</v>
      </c>
      <c r="O257" s="16">
        <v>352.0</v>
      </c>
      <c r="P257" s="16">
        <v>9.2</v>
      </c>
      <c r="Q257" s="16">
        <v>0.99</v>
      </c>
      <c r="R257" s="16">
        <v>0.985</v>
      </c>
      <c r="S257" s="19">
        <f t="shared" si="2"/>
        <v>525</v>
      </c>
      <c r="T257" s="19">
        <f t="shared" si="3"/>
        <v>71.06583861</v>
      </c>
      <c r="U257" s="20">
        <f t="shared" si="4"/>
        <v>0.9212823491</v>
      </c>
      <c r="V257" s="17">
        <f t="shared" si="53"/>
        <v>374.9619161</v>
      </c>
      <c r="W257" s="21">
        <f t="shared" si="5"/>
        <v>4</v>
      </c>
      <c r="X257" s="21">
        <f t="shared" si="6"/>
        <v>1874.80958</v>
      </c>
      <c r="Y257" s="21">
        <f t="shared" si="7"/>
        <v>4.606411745</v>
      </c>
      <c r="Z257" s="8">
        <f t="shared" si="19"/>
        <v>373.1433508</v>
      </c>
      <c r="AA257" s="8">
        <f t="shared" si="51"/>
        <v>468</v>
      </c>
      <c r="AB257" s="13">
        <f t="shared" si="9"/>
        <v>0.8914285714</v>
      </c>
      <c r="AC257" s="13">
        <f t="shared" si="10"/>
        <v>1.254209673</v>
      </c>
      <c r="AD257" s="13">
        <f>AA257/vlookup(A257,Max!$A$2:$AP$700,column(Max!$AP$2),false)</f>
        <v>1.8</v>
      </c>
      <c r="AE257" s="8">
        <f t="shared" si="11"/>
        <v>223.1536597</v>
      </c>
      <c r="AF257" s="14">
        <f t="shared" si="12"/>
        <v>1.455153827</v>
      </c>
      <c r="AG257" s="14">
        <f t="shared" si="13"/>
        <v>1.496974027</v>
      </c>
      <c r="AH257" s="14">
        <f t="shared" si="14"/>
        <v>1</v>
      </c>
      <c r="AI257" s="14">
        <f t="shared" si="15"/>
        <v>0.9629208183</v>
      </c>
      <c r="AJ257" s="27">
        <f t="shared" si="16"/>
        <v>39</v>
      </c>
      <c r="AK257" s="15" t="str">
        <f t="shared" si="17"/>
        <v>  @CONFIG[NK-39] {
   %cost = 468
   @cost -= #$../../cost$
  }</v>
      </c>
    </row>
    <row r="258" ht="15.75" customHeight="1">
      <c r="A258" s="7" t="s">
        <v>506</v>
      </c>
      <c r="B258" s="7" t="s">
        <v>507</v>
      </c>
      <c r="C258" s="8">
        <f t="shared" si="1"/>
        <v>392</v>
      </c>
      <c r="D258" s="7">
        <v>1973.0</v>
      </c>
      <c r="E258" s="7"/>
      <c r="F258" s="7" t="b">
        <v>1</v>
      </c>
      <c r="G258" s="7" t="b">
        <v>0</v>
      </c>
      <c r="H258" s="7" t="b">
        <v>1</v>
      </c>
      <c r="I258" s="7" t="b">
        <v>0</v>
      </c>
      <c r="J258" s="9" t="b">
        <v>0</v>
      </c>
      <c r="K258" s="7">
        <v>300.0</v>
      </c>
      <c r="L258" s="7">
        <v>0.0</v>
      </c>
      <c r="M258" s="7">
        <v>390.0</v>
      </c>
      <c r="N258" s="7">
        <v>515.8</v>
      </c>
      <c r="O258" s="7">
        <v>331.3</v>
      </c>
      <c r="P258" s="7">
        <v>20.1</v>
      </c>
      <c r="Q258" s="7">
        <v>0.997592</v>
      </c>
      <c r="R258" s="7">
        <v>0.997592</v>
      </c>
      <c r="S258" s="10">
        <f t="shared" si="2"/>
        <v>300</v>
      </c>
      <c r="T258" s="10">
        <f t="shared" si="3"/>
        <v>134.8640054</v>
      </c>
      <c r="U258" s="11">
        <f t="shared" si="4"/>
        <v>0.6138442719</v>
      </c>
      <c r="V258" s="8">
        <f t="shared" si="53"/>
        <v>316.6208754</v>
      </c>
      <c r="W258" s="12">
        <f t="shared" si="5"/>
        <v>4</v>
      </c>
      <c r="X258" s="12">
        <f t="shared" si="6"/>
        <v>1583.104377</v>
      </c>
      <c r="Y258" s="12">
        <f t="shared" si="7"/>
        <v>3.069221359</v>
      </c>
      <c r="Z258" s="8">
        <f t="shared" si="19"/>
        <v>321.4302827</v>
      </c>
      <c r="AA258" s="8">
        <f t="shared" si="51"/>
        <v>392</v>
      </c>
      <c r="AB258" s="13">
        <f t="shared" si="9"/>
        <v>1.306666667</v>
      </c>
      <c r="AC258" s="13">
        <f t="shared" si="10"/>
        <v>1.219549063</v>
      </c>
      <c r="AD258" s="13">
        <f>AA258/vlookup(A258,Max!$A$2:$AP$700,column(Max!$AP$2),false)</f>
        <v>1.264516129</v>
      </c>
      <c r="AE258" s="8">
        <f t="shared" si="11"/>
        <v>174.2610011</v>
      </c>
      <c r="AF258" s="14">
        <f t="shared" si="12"/>
        <v>1.245070472</v>
      </c>
      <c r="AG258" s="14">
        <f t="shared" si="13"/>
        <v>1.784765314</v>
      </c>
      <c r="AH258" s="14">
        <f t="shared" si="14"/>
        <v>1</v>
      </c>
      <c r="AI258" s="14">
        <f t="shared" si="15"/>
        <v>1.013157123</v>
      </c>
      <c r="AJ258" s="15">
        <f t="shared" si="16"/>
        <v>0</v>
      </c>
      <c r="AK258" s="15" t="str">
        <f t="shared" si="17"/>
        <v>  @CONFIG[RD-0233-15D95] {
   %cost = 392
   @cost -= #$../../cost$
  }</v>
      </c>
    </row>
    <row r="259" ht="15.75" customHeight="1">
      <c r="A259" s="7" t="s">
        <v>494</v>
      </c>
      <c r="B259" s="7" t="s">
        <v>492</v>
      </c>
      <c r="C259" s="8">
        <f t="shared" si="1"/>
        <v>57</v>
      </c>
      <c r="D259" s="7">
        <v>1973.0</v>
      </c>
      <c r="E259" s="7"/>
      <c r="F259" s="7" t="b">
        <v>1</v>
      </c>
      <c r="G259" s="7" t="b">
        <v>0</v>
      </c>
      <c r="H259" s="7" t="b">
        <v>1</v>
      </c>
      <c r="I259" s="7" t="b">
        <v>0</v>
      </c>
      <c r="J259" s="9" t="b">
        <v>0</v>
      </c>
      <c r="K259" s="7">
        <v>194.0</v>
      </c>
      <c r="L259" s="7">
        <v>20.0</v>
      </c>
      <c r="M259" s="7">
        <v>199.0</v>
      </c>
      <c r="N259" s="7">
        <v>240.0</v>
      </c>
      <c r="O259" s="7">
        <v>322.0</v>
      </c>
      <c r="P259" s="7">
        <v>17.5</v>
      </c>
      <c r="Q259" s="7">
        <v>0.998357</v>
      </c>
      <c r="R259" s="7">
        <v>0.998357</v>
      </c>
      <c r="S259" s="10">
        <f t="shared" si="2"/>
        <v>214</v>
      </c>
      <c r="T259" s="10">
        <f t="shared" si="3"/>
        <v>122.9808494</v>
      </c>
      <c r="U259" s="11">
        <f t="shared" si="4"/>
        <v>0.8636863418</v>
      </c>
      <c r="V259" s="8">
        <f t="shared" si="53"/>
        <v>207.284722</v>
      </c>
      <c r="W259" s="12">
        <f t="shared" si="5"/>
        <v>4</v>
      </c>
      <c r="X259" s="12">
        <f t="shared" si="6"/>
        <v>1036.42361</v>
      </c>
      <c r="Y259" s="12">
        <f t="shared" si="7"/>
        <v>4.318431709</v>
      </c>
      <c r="Z259" s="8">
        <f t="shared" si="19"/>
        <v>210.7498384</v>
      </c>
      <c r="AA259" s="8">
        <f t="shared" si="51"/>
        <v>237</v>
      </c>
      <c r="AB259" s="13">
        <f t="shared" si="9"/>
        <v>1.107476636</v>
      </c>
      <c r="AC259" s="13">
        <f t="shared" si="10"/>
        <v>1.124556022</v>
      </c>
      <c r="AD259" s="13">
        <f>AA259/vlookup(A259,Max!$A$2:$AP$700,column(Max!$AP$2),false)</f>
        <v>1.823076923</v>
      </c>
      <c r="AE259" s="8">
        <f t="shared" si="11"/>
        <v>115.6433045</v>
      </c>
      <c r="AF259" s="14">
        <f t="shared" si="12"/>
        <v>1.16406432</v>
      </c>
      <c r="AG259" s="14">
        <f t="shared" si="13"/>
        <v>1.729997857</v>
      </c>
      <c r="AH259" s="14">
        <f t="shared" si="14"/>
        <v>1</v>
      </c>
      <c r="AI259" s="14">
        <f t="shared" si="15"/>
        <v>1.017047766</v>
      </c>
      <c r="AJ259" s="27">
        <f t="shared" si="16"/>
        <v>57</v>
      </c>
      <c r="AK259" s="15" t="str">
        <f t="shared" si="17"/>
        <v>  @CONFIG[RD-0235] {
   %cost = 237
   @cost -= #$../../cost$
  }</v>
      </c>
    </row>
    <row r="260" ht="15.75" customHeight="1">
      <c r="A260" s="16" t="s">
        <v>508</v>
      </c>
      <c r="B260" s="16" t="s">
        <v>509</v>
      </c>
      <c r="C260" s="8">
        <f t="shared" si="1"/>
        <v>90</v>
      </c>
      <c r="D260" s="16">
        <v>1973.0</v>
      </c>
      <c r="E260" s="16"/>
      <c r="F260" s="16" t="b">
        <v>1</v>
      </c>
      <c r="G260" s="16" t="b">
        <v>0</v>
      </c>
      <c r="H260" s="16" t="b">
        <v>0</v>
      </c>
      <c r="I260" s="16" t="b">
        <v>0</v>
      </c>
      <c r="J260" s="9" t="b">
        <v>0</v>
      </c>
      <c r="K260" s="16">
        <v>4.0</v>
      </c>
      <c r="L260" s="16">
        <v>0.0</v>
      </c>
      <c r="M260" s="16">
        <v>60.0</v>
      </c>
      <c r="N260" s="16">
        <v>15.76</v>
      </c>
      <c r="O260" s="16">
        <v>293.0</v>
      </c>
      <c r="P260" s="16">
        <v>7.35</v>
      </c>
      <c r="Q260" s="16">
        <v>0.999296</v>
      </c>
      <c r="R260" s="16">
        <v>0.999296</v>
      </c>
      <c r="S260" s="19">
        <f t="shared" si="2"/>
        <v>4</v>
      </c>
      <c r="T260" s="19">
        <f t="shared" si="3"/>
        <v>26.78454578</v>
      </c>
      <c r="U260" s="20">
        <f t="shared" si="4"/>
        <v>5.530057778</v>
      </c>
      <c r="V260" s="17">
        <f t="shared" si="53"/>
        <v>87.15371058</v>
      </c>
      <c r="W260" s="21">
        <f t="shared" si="5"/>
        <v>4</v>
      </c>
      <c r="X260" s="21">
        <f t="shared" si="6"/>
        <v>435.7685529</v>
      </c>
      <c r="Y260" s="21">
        <f t="shared" si="7"/>
        <v>27.65028889</v>
      </c>
      <c r="Z260" s="8">
        <f t="shared" si="19"/>
        <v>88.77411557</v>
      </c>
      <c r="AA260" s="8">
        <f t="shared" si="51"/>
        <v>90</v>
      </c>
      <c r="AB260" s="13">
        <f t="shared" si="9"/>
        <v>22.5</v>
      </c>
      <c r="AC260" s="13">
        <f t="shared" si="10"/>
        <v>1.01380903</v>
      </c>
      <c r="AD260" s="13">
        <f>AA260/vlookup(A260,Max!$A$2:$AP$700,column(Max!$AP$2),false)</f>
        <v>6.428571429</v>
      </c>
      <c r="AE260" s="8">
        <f t="shared" si="11"/>
        <v>56.08373075</v>
      </c>
      <c r="AF260" s="14">
        <f t="shared" si="12"/>
        <v>0.9803330393</v>
      </c>
      <c r="AG260" s="14">
        <f t="shared" si="13"/>
        <v>1.600917212</v>
      </c>
      <c r="AH260" s="14">
        <f t="shared" si="14"/>
        <v>1</v>
      </c>
      <c r="AI260" s="14">
        <f t="shared" si="15"/>
        <v>1.023640325</v>
      </c>
      <c r="AJ260" s="15">
        <f t="shared" si="16"/>
        <v>0</v>
      </c>
      <c r="AK260" s="15" t="str">
        <f t="shared" si="17"/>
        <v>  @CONFIG[RD-0236] {
   %cost = 90
   @cost -= #$../../cost$
  }</v>
      </c>
    </row>
    <row r="261" ht="15.75" customHeight="1">
      <c r="A261" s="16" t="s">
        <v>534</v>
      </c>
      <c r="B261" s="16" t="s">
        <v>1008</v>
      </c>
      <c r="C261" s="8">
        <f t="shared" si="1"/>
        <v>-32</v>
      </c>
      <c r="D261" s="16">
        <v>1973.0</v>
      </c>
      <c r="E261" s="16"/>
      <c r="F261" s="16" t="b">
        <v>1</v>
      </c>
      <c r="G261" s="16" t="b">
        <v>0</v>
      </c>
      <c r="H261" s="16" t="b">
        <v>0</v>
      </c>
      <c r="I261" s="16" t="b">
        <v>0</v>
      </c>
      <c r="J261" s="9" t="b">
        <v>0</v>
      </c>
      <c r="K261" s="16">
        <v>470.0</v>
      </c>
      <c r="L261" s="16">
        <v>70.0</v>
      </c>
      <c r="M261" s="16">
        <v>1155.0</v>
      </c>
      <c r="N261" s="16">
        <v>999.3</v>
      </c>
      <c r="O261" s="16">
        <v>314.58</v>
      </c>
      <c r="P261" s="16">
        <v>5.86</v>
      </c>
      <c r="Q261" s="16">
        <v>0.999807</v>
      </c>
      <c r="R261" s="16">
        <v>0.999807</v>
      </c>
      <c r="S261" s="19">
        <f t="shared" si="2"/>
        <v>540</v>
      </c>
      <c r="T261" s="19">
        <f t="shared" si="3"/>
        <v>88.22531677</v>
      </c>
      <c r="U261" s="20">
        <f t="shared" si="4"/>
        <v>0.5121570627</v>
      </c>
      <c r="V261" s="17">
        <f t="shared" si="53"/>
        <v>511.7985528</v>
      </c>
      <c r="W261" s="21">
        <f t="shared" si="5"/>
        <v>4</v>
      </c>
      <c r="X261" s="21">
        <f t="shared" si="6"/>
        <v>2558.992764</v>
      </c>
      <c r="Y261" s="21">
        <f t="shared" si="7"/>
        <v>2.560785313</v>
      </c>
      <c r="Z261" s="8">
        <f t="shared" si="19"/>
        <v>521.8369886</v>
      </c>
      <c r="AA261" s="8">
        <f t="shared" si="51"/>
        <v>574</v>
      </c>
      <c r="AB261" s="13">
        <f t="shared" si="9"/>
        <v>1.062962963</v>
      </c>
      <c r="AC261" s="13">
        <f t="shared" si="10"/>
        <v>1.099960356</v>
      </c>
      <c r="AD261" s="13">
        <f>AA261/vlookup(A261,Max!$A$2:$AP$700,column(Max!$AP$2),false)</f>
        <v>1.4</v>
      </c>
      <c r="AE261" s="8">
        <f t="shared" si="11"/>
        <v>339.5289561</v>
      </c>
      <c r="AF261" s="14">
        <f t="shared" si="12"/>
        <v>1.103125977</v>
      </c>
      <c r="AG261" s="14">
        <f t="shared" si="13"/>
        <v>1.495725704</v>
      </c>
      <c r="AH261" s="14">
        <f t="shared" si="14"/>
        <v>1</v>
      </c>
      <c r="AI261" s="14">
        <f t="shared" si="15"/>
        <v>1.024949449</v>
      </c>
      <c r="AJ261" s="27">
        <f t="shared" si="16"/>
        <v>-32</v>
      </c>
      <c r="AK261" s="15" t="str">
        <f t="shared" si="17"/>
        <v>  @CONFIG[RD-107-11D512] {
   %cost = 574
   @cost -= #$../../cost$
  }</v>
      </c>
    </row>
    <row r="262" ht="15.75" customHeight="1">
      <c r="A262" s="16" t="s">
        <v>545</v>
      </c>
      <c r="B262" s="16" t="s">
        <v>1009</v>
      </c>
      <c r="C262" s="8">
        <f t="shared" si="1"/>
        <v>-11</v>
      </c>
      <c r="D262" s="16">
        <v>1973.0</v>
      </c>
      <c r="E262" s="16"/>
      <c r="F262" s="16" t="b">
        <v>1</v>
      </c>
      <c r="G262" s="16" t="b">
        <v>0</v>
      </c>
      <c r="H262" s="16" t="b">
        <v>0</v>
      </c>
      <c r="I262" s="16" t="b">
        <v>0</v>
      </c>
      <c r="J262" s="9" t="b">
        <v>0</v>
      </c>
      <c r="K262" s="16">
        <v>450.0</v>
      </c>
      <c r="L262" s="16">
        <v>70.0</v>
      </c>
      <c r="M262" s="16">
        <v>1250.0</v>
      </c>
      <c r="N262" s="16">
        <v>977.72</v>
      </c>
      <c r="O262" s="16">
        <v>315.91</v>
      </c>
      <c r="P262" s="16">
        <v>5.86</v>
      </c>
      <c r="Q262" s="16">
        <v>0.999807</v>
      </c>
      <c r="R262" s="16">
        <v>0.999807</v>
      </c>
      <c r="S262" s="19">
        <f t="shared" si="2"/>
        <v>520</v>
      </c>
      <c r="T262" s="19">
        <f t="shared" si="3"/>
        <v>79.75975463</v>
      </c>
      <c r="U262" s="20">
        <f t="shared" si="4"/>
        <v>0.5503639206</v>
      </c>
      <c r="V262" s="17">
        <f t="shared" si="53"/>
        <v>538.1018124</v>
      </c>
      <c r="W262" s="21">
        <f t="shared" si="5"/>
        <v>4</v>
      </c>
      <c r="X262" s="21">
        <f t="shared" si="6"/>
        <v>2690.509062</v>
      </c>
      <c r="Y262" s="21">
        <f t="shared" si="7"/>
        <v>2.751819603</v>
      </c>
      <c r="Z262" s="8">
        <f t="shared" si="19"/>
        <v>548.6561614</v>
      </c>
      <c r="AA262" s="8">
        <f t="shared" si="51"/>
        <v>609</v>
      </c>
      <c r="AB262" s="13">
        <f t="shared" si="9"/>
        <v>1.171153846</v>
      </c>
      <c r="AC262" s="13">
        <f t="shared" si="10"/>
        <v>1.109984801</v>
      </c>
      <c r="AD262" s="13">
        <f>AA262/vlookup(A262,Max!$A$2:$AP$700,column(Max!$AP$2),false)</f>
        <v>1.171153846</v>
      </c>
      <c r="AE262" s="8">
        <f t="shared" si="11"/>
        <v>356.5089642</v>
      </c>
      <c r="AF262" s="14">
        <f t="shared" si="12"/>
        <v>1.114973636</v>
      </c>
      <c r="AG262" s="14">
        <f t="shared" si="13"/>
        <v>1.495725704</v>
      </c>
      <c r="AH262" s="14">
        <f t="shared" si="14"/>
        <v>1</v>
      </c>
      <c r="AI262" s="14">
        <f t="shared" si="15"/>
        <v>1.024949449</v>
      </c>
      <c r="AJ262" s="27">
        <f t="shared" si="16"/>
        <v>-11</v>
      </c>
      <c r="AK262" s="15" t="str">
        <f t="shared" si="17"/>
        <v>  @CONFIG[RD-108-11D511] {
   %cost = 609
   @cost -= #$../../cost$
  }</v>
      </c>
    </row>
    <row r="263" ht="15.75" customHeight="1">
      <c r="A263" s="16" t="s">
        <v>1030</v>
      </c>
      <c r="B263" s="16" t="s">
        <v>605</v>
      </c>
      <c r="C263" s="8">
        <f t="shared" si="1"/>
        <v>10</v>
      </c>
      <c r="D263" s="16">
        <v>1973.0</v>
      </c>
      <c r="E263" s="16"/>
      <c r="F263" s="16" t="b">
        <v>1</v>
      </c>
      <c r="G263" s="16" t="b">
        <v>0</v>
      </c>
      <c r="H263" s="16" t="b">
        <v>1</v>
      </c>
      <c r="I263" s="16" t="b">
        <v>0</v>
      </c>
      <c r="J263" s="9" t="b">
        <v>0</v>
      </c>
      <c r="K263" s="16">
        <v>525.0</v>
      </c>
      <c r="L263" s="16">
        <v>75.0</v>
      </c>
      <c r="M263" s="16">
        <v>1450.0</v>
      </c>
      <c r="N263" s="16">
        <v>1782.0</v>
      </c>
      <c r="O263" s="16">
        <v>327.8</v>
      </c>
      <c r="P263" s="16">
        <v>14.71</v>
      </c>
      <c r="Q263" s="16">
        <v>0.999251</v>
      </c>
      <c r="R263" s="16">
        <v>0.999251</v>
      </c>
      <c r="S263" s="19">
        <f t="shared" si="2"/>
        <v>600</v>
      </c>
      <c r="T263" s="19">
        <f t="shared" si="3"/>
        <v>125.3196059</v>
      </c>
      <c r="U263" s="20">
        <f t="shared" si="4"/>
        <v>0.3679328963</v>
      </c>
      <c r="V263" s="17">
        <f t="shared" si="53"/>
        <v>655.6564212</v>
      </c>
      <c r="W263" s="21">
        <f t="shared" si="5"/>
        <v>4</v>
      </c>
      <c r="X263" s="21">
        <f t="shared" si="6"/>
        <v>3278.282106</v>
      </c>
      <c r="Y263" s="21">
        <f t="shared" si="7"/>
        <v>1.839664481</v>
      </c>
      <c r="Z263" s="8">
        <f t="shared" si="19"/>
        <v>667.7877441</v>
      </c>
      <c r="AA263" s="8">
        <f t="shared" si="51"/>
        <v>806</v>
      </c>
      <c r="AB263" s="13">
        <f t="shared" si="9"/>
        <v>1.343333333</v>
      </c>
      <c r="AC263" s="13">
        <f t="shared" si="10"/>
        <v>1.206970339</v>
      </c>
      <c r="AD263" s="13">
        <f>AA263/vlookup(A263,Max!$A$2:$AP$700,column(Max!$AP$2),false)</f>
        <v>0.8955555556</v>
      </c>
      <c r="AE263" s="8">
        <f t="shared" si="11"/>
        <v>390.7527905</v>
      </c>
      <c r="AF263" s="14">
        <f t="shared" si="12"/>
        <v>1.213691867</v>
      </c>
      <c r="AG263" s="14">
        <f t="shared" si="13"/>
        <v>1.663699383</v>
      </c>
      <c r="AH263" s="14">
        <f t="shared" si="14"/>
        <v>1</v>
      </c>
      <c r="AI263" s="14">
        <f t="shared" si="15"/>
        <v>1.021609614</v>
      </c>
      <c r="AJ263" s="27">
        <f t="shared" si="16"/>
        <v>10</v>
      </c>
      <c r="AK263" s="15" t="str">
        <f t="shared" si="17"/>
        <v>  @CONFIG[RD-254-Mk3] {
   %cost = 806
   @cost -= #$../../cost$
  }</v>
      </c>
    </row>
    <row r="264" ht="15.75" customHeight="1">
      <c r="A264" s="16" t="s">
        <v>625</v>
      </c>
      <c r="B264" s="16" t="s">
        <v>626</v>
      </c>
      <c r="C264" s="8">
        <f t="shared" si="1"/>
        <v>1601</v>
      </c>
      <c r="D264" s="16">
        <v>1973.0</v>
      </c>
      <c r="E264" s="16" t="b">
        <v>1</v>
      </c>
      <c r="F264" s="16" t="b">
        <v>1</v>
      </c>
      <c r="G264" s="16" t="b">
        <v>0</v>
      </c>
      <c r="H264" s="16" t="b">
        <v>1</v>
      </c>
      <c r="I264" s="16" t="b">
        <v>0</v>
      </c>
      <c r="J264" s="9" t="b">
        <v>0</v>
      </c>
      <c r="K264" s="16">
        <v>700.0</v>
      </c>
      <c r="L264" s="16">
        <v>0.0</v>
      </c>
      <c r="M264" s="16">
        <v>840.0</v>
      </c>
      <c r="N264" s="16">
        <v>392.3</v>
      </c>
      <c r="O264" s="16">
        <v>456.5</v>
      </c>
      <c r="P264" s="16">
        <v>10.0</v>
      </c>
      <c r="Q264" s="16">
        <v>0.98125</v>
      </c>
      <c r="R264" s="16">
        <v>0.97</v>
      </c>
      <c r="S264" s="19">
        <f t="shared" si="2"/>
        <v>700</v>
      </c>
      <c r="T264" s="19">
        <f t="shared" si="3"/>
        <v>47.6231749</v>
      </c>
      <c r="U264" s="20">
        <f t="shared" si="4"/>
        <v>3.590909286</v>
      </c>
      <c r="V264" s="17">
        <f>0.9*(0.00015*M264*O264*P264+797)+0.1*(43.1*POWER(M264,0.549))</f>
        <v>1408.713713</v>
      </c>
      <c r="W264" s="21">
        <f t="shared" si="5"/>
        <v>4</v>
      </c>
      <c r="X264" s="21">
        <f t="shared" si="6"/>
        <v>7043.568564</v>
      </c>
      <c r="Y264" s="21">
        <f t="shared" si="7"/>
        <v>17.95454643</v>
      </c>
      <c r="Z264" s="8">
        <f t="shared" si="19"/>
        <v>1369.005595</v>
      </c>
      <c r="AA264" s="8">
        <f t="shared" si="51"/>
        <v>1601</v>
      </c>
      <c r="AB264" s="13">
        <f t="shared" si="9"/>
        <v>2.287142857</v>
      </c>
      <c r="AC264" s="13">
        <f t="shared" si="10"/>
        <v>1.169461985</v>
      </c>
      <c r="AD264" s="13">
        <f>AA264/vlookup(A264,Max!$A$2:$AP$700,column(Max!$AP$2),false)</f>
        <v>1.617171717</v>
      </c>
      <c r="AE264" s="8">
        <f t="shared" si="11"/>
        <v>322.7833828</v>
      </c>
      <c r="AF264" s="14">
        <f t="shared" si="12"/>
        <v>3.588055023</v>
      </c>
      <c r="AG264" s="14">
        <f t="shared" si="13"/>
        <v>1.52532365</v>
      </c>
      <c r="AH264" s="14">
        <f t="shared" si="14"/>
        <v>1</v>
      </c>
      <c r="AI264" s="14">
        <f t="shared" si="15"/>
        <v>0.9063386981</v>
      </c>
      <c r="AJ264" s="15">
        <f t="shared" si="16"/>
        <v>0</v>
      </c>
      <c r="AK264" s="15" t="str">
        <f t="shared" si="17"/>
        <v>  @CONFIG[RD-57] {
   %cost = 1601
   @cost -= #$../../cost$
  }</v>
      </c>
    </row>
    <row r="265" ht="15.75" customHeight="1">
      <c r="A265" s="7" t="s">
        <v>619</v>
      </c>
      <c r="B265" s="7" t="s">
        <v>618</v>
      </c>
      <c r="C265" s="8">
        <f t="shared" si="1"/>
        <v>2185</v>
      </c>
      <c r="D265" s="7">
        <v>1974.0</v>
      </c>
      <c r="E265" s="7"/>
      <c r="F265" s="7" t="b">
        <v>1</v>
      </c>
      <c r="G265" s="7" t="b">
        <v>0</v>
      </c>
      <c r="H265" s="7" t="b">
        <v>0</v>
      </c>
      <c r="I265" s="7" t="b">
        <v>0</v>
      </c>
      <c r="J265" s="9" t="b">
        <v>0</v>
      </c>
      <c r="K265" s="7">
        <v>4500.0</v>
      </c>
      <c r="L265" s="7">
        <v>0.0</v>
      </c>
      <c r="M265" s="7">
        <v>4470.0</v>
      </c>
      <c r="N265" s="7">
        <v>6713.0</v>
      </c>
      <c r="O265" s="7">
        <v>322.0</v>
      </c>
      <c r="P265" s="7">
        <v>26.08</v>
      </c>
      <c r="Q265" s="7">
        <v>0.997966</v>
      </c>
      <c r="R265" s="7">
        <v>0.997966</v>
      </c>
      <c r="S265" s="10">
        <f t="shared" si="2"/>
        <v>4500</v>
      </c>
      <c r="T265" s="10">
        <f t="shared" si="3"/>
        <v>153.139931</v>
      </c>
      <c r="U265" s="11">
        <f t="shared" si="4"/>
        <v>0.2019447434</v>
      </c>
      <c r="V265" s="8">
        <f t="shared" ref="V265:V268" si="54">0.2*(8.17*POWER(M265*P265,0.46))+0.8*(0.146*POWER(M265*O265,0.639))</f>
        <v>1355.655063</v>
      </c>
      <c r="W265" s="12">
        <f t="shared" si="5"/>
        <v>4</v>
      </c>
      <c r="X265" s="12">
        <f t="shared" si="6"/>
        <v>6778.275314</v>
      </c>
      <c r="Y265" s="12">
        <f t="shared" si="7"/>
        <v>1.009723717</v>
      </c>
      <c r="Z265" s="8">
        <f t="shared" si="19"/>
        <v>1377.258968</v>
      </c>
      <c r="AA265" s="8">
        <f t="shared" si="51"/>
        <v>2185</v>
      </c>
      <c r="AB265" s="13">
        <f t="shared" si="9"/>
        <v>0.4855555556</v>
      </c>
      <c r="AC265" s="13">
        <f t="shared" si="10"/>
        <v>1.586484497</v>
      </c>
      <c r="AD265" s="13">
        <f>AA265/vlookup(A265,Max!$A$2:$AP$700,column(Max!$AP$2),false)</f>
        <v>0.7048387097</v>
      </c>
      <c r="AE265" s="8">
        <f t="shared" si="11"/>
        <v>786.1265824</v>
      </c>
      <c r="AF265" s="14">
        <f t="shared" si="12"/>
        <v>1.16406432</v>
      </c>
      <c r="AG265" s="14">
        <f t="shared" si="13"/>
        <v>2.340857346</v>
      </c>
      <c r="AH265" s="14">
        <f t="shared" si="14"/>
        <v>1</v>
      </c>
      <c r="AI265" s="14">
        <f t="shared" si="15"/>
        <v>1.020237722</v>
      </c>
      <c r="AJ265" s="15">
        <f t="shared" si="16"/>
        <v>0</v>
      </c>
      <c r="AK265" s="15" t="str">
        <f t="shared" si="17"/>
        <v>  @CONFIG[RD-270-8D420] {
   %cost = 2185
   @cost -= #$../../cost$
  }</v>
      </c>
    </row>
    <row r="266" ht="15.75" customHeight="1">
      <c r="A266" s="16" t="s">
        <v>617</v>
      </c>
      <c r="B266" s="16" t="s">
        <v>618</v>
      </c>
      <c r="C266" s="8">
        <f t="shared" si="1"/>
        <v>841</v>
      </c>
      <c r="D266" s="16">
        <v>1974.0</v>
      </c>
      <c r="E266" s="16"/>
      <c r="F266" s="16" t="b">
        <v>1</v>
      </c>
      <c r="G266" s="16" t="b">
        <v>0</v>
      </c>
      <c r="H266" s="16" t="b">
        <v>0</v>
      </c>
      <c r="I266" s="16" t="b">
        <v>0</v>
      </c>
      <c r="J266" s="9" t="b">
        <v>0</v>
      </c>
      <c r="K266" s="16">
        <v>4500.0</v>
      </c>
      <c r="L266" s="16">
        <v>500.0</v>
      </c>
      <c r="M266" s="16">
        <v>4470.0</v>
      </c>
      <c r="N266" s="16">
        <v>7159.0</v>
      </c>
      <c r="O266" s="16">
        <v>365.0</v>
      </c>
      <c r="P266" s="16">
        <v>26.08</v>
      </c>
      <c r="Q266" s="16">
        <v>0.997966</v>
      </c>
      <c r="R266" s="16">
        <v>0.997966</v>
      </c>
      <c r="S266" s="19">
        <f t="shared" si="2"/>
        <v>5000</v>
      </c>
      <c r="T266" s="19">
        <f t="shared" si="3"/>
        <v>163.3142807</v>
      </c>
      <c r="U266" s="20">
        <f t="shared" si="4"/>
        <v>0.2010796631</v>
      </c>
      <c r="V266" s="17">
        <f t="shared" si="54"/>
        <v>1439.529308</v>
      </c>
      <c r="W266" s="21">
        <f t="shared" si="5"/>
        <v>4</v>
      </c>
      <c r="X266" s="21">
        <f t="shared" si="6"/>
        <v>7197.646542</v>
      </c>
      <c r="Y266" s="21">
        <f t="shared" si="7"/>
        <v>1.005398316</v>
      </c>
      <c r="Z266" s="8">
        <f t="shared" si="19"/>
        <v>1462.469845</v>
      </c>
      <c r="AA266" s="8">
        <f t="shared" si="51"/>
        <v>3026</v>
      </c>
      <c r="AB266" s="13">
        <f t="shared" si="9"/>
        <v>0.6052</v>
      </c>
      <c r="AC266" s="13">
        <f t="shared" si="10"/>
        <v>2.069102492</v>
      </c>
      <c r="AD266" s="13">
        <f>AA266/vlookup(A266,Max!$A$2:$AP$700,column(Max!$AP$2),false)</f>
        <v>0.530877193</v>
      </c>
      <c r="AE266" s="8">
        <f t="shared" si="11"/>
        <v>786.1265824</v>
      </c>
      <c r="AF266" s="14">
        <f t="shared" si="12"/>
        <v>1.611576467</v>
      </c>
      <c r="AG266" s="14">
        <f t="shared" si="13"/>
        <v>2.340857346</v>
      </c>
      <c r="AH266" s="14">
        <f t="shared" si="14"/>
        <v>1</v>
      </c>
      <c r="AI266" s="14">
        <f t="shared" si="15"/>
        <v>1.020237722</v>
      </c>
      <c r="AJ266" s="27">
        <f t="shared" si="16"/>
        <v>841</v>
      </c>
      <c r="AK266" s="15" t="str">
        <f t="shared" si="17"/>
        <v>  @CONFIG[RD-270M-8D420M] {
   %cost = 3026
   @cost -= #$../../cost$
  }</v>
      </c>
    </row>
    <row r="267" ht="15.75" customHeight="1">
      <c r="A267" s="7" t="s">
        <v>634</v>
      </c>
      <c r="B267" s="7" t="s">
        <v>630</v>
      </c>
      <c r="C267" s="8">
        <f t="shared" si="1"/>
        <v>111</v>
      </c>
      <c r="D267" s="7">
        <v>1974.0</v>
      </c>
      <c r="E267" s="7"/>
      <c r="F267" s="7" t="b">
        <v>1</v>
      </c>
      <c r="G267" s="7" t="b">
        <v>0</v>
      </c>
      <c r="H267" s="7" t="b">
        <v>1</v>
      </c>
      <c r="I267" s="7" t="b">
        <v>0</v>
      </c>
      <c r="J267" s="9" t="b">
        <v>0</v>
      </c>
      <c r="K267" s="7">
        <v>400.0</v>
      </c>
      <c r="L267" s="7">
        <v>120.0</v>
      </c>
      <c r="M267" s="7">
        <v>230.0</v>
      </c>
      <c r="N267" s="7">
        <v>83.36</v>
      </c>
      <c r="O267" s="7">
        <v>356.0</v>
      </c>
      <c r="P267" s="7">
        <v>7.74</v>
      </c>
      <c r="Q267" s="7">
        <v>0.996521</v>
      </c>
      <c r="R267" s="7">
        <v>0.998177</v>
      </c>
      <c r="S267" s="10">
        <f t="shared" si="2"/>
        <v>520</v>
      </c>
      <c r="T267" s="10">
        <f t="shared" si="3"/>
        <v>36.95806229</v>
      </c>
      <c r="U267" s="11">
        <f t="shared" si="4"/>
        <v>2.545063896</v>
      </c>
      <c r="V267" s="8">
        <f t="shared" si="54"/>
        <v>212.1565263</v>
      </c>
      <c r="W267" s="12">
        <f t="shared" si="5"/>
        <v>4</v>
      </c>
      <c r="X267" s="12">
        <f t="shared" si="6"/>
        <v>1060.782632</v>
      </c>
      <c r="Y267" s="12">
        <f t="shared" si="7"/>
        <v>12.72531948</v>
      </c>
      <c r="Z267" s="8">
        <f t="shared" si="19"/>
        <v>215.2761485</v>
      </c>
      <c r="AA267" s="8">
        <f t="shared" si="51"/>
        <v>276</v>
      </c>
      <c r="AB267" s="13">
        <f t="shared" si="9"/>
        <v>0.5307692308</v>
      </c>
      <c r="AC267" s="13">
        <f t="shared" si="10"/>
        <v>1.282074219</v>
      </c>
      <c r="AD267" s="13">
        <f>AA267/vlookup(A267,Max!$A$2:$AP$700,column(Max!$AP$2),false)</f>
        <v>2.4</v>
      </c>
      <c r="AE267" s="8">
        <f t="shared" si="11"/>
        <v>126.2812344</v>
      </c>
      <c r="AF267" s="14">
        <f t="shared" si="12"/>
        <v>1.501090526</v>
      </c>
      <c r="AG267" s="14">
        <f t="shared" si="13"/>
        <v>1.439888026</v>
      </c>
      <c r="AH267" s="14">
        <f t="shared" si="14"/>
        <v>1</v>
      </c>
      <c r="AI267" s="14">
        <f t="shared" si="15"/>
        <v>1.011922023</v>
      </c>
      <c r="AJ267" s="27">
        <f t="shared" si="16"/>
        <v>111</v>
      </c>
      <c r="AK267" s="15" t="str">
        <f t="shared" si="17"/>
        <v>  @CONFIG[RD-58M] {
   %cost = 276
   @cost -= #$../../cost$
  }</v>
      </c>
    </row>
    <row r="268" ht="15.75" customHeight="1">
      <c r="A268" s="7" t="s">
        <v>163</v>
      </c>
      <c r="B268" s="7" t="s">
        <v>158</v>
      </c>
      <c r="C268" s="8">
        <f t="shared" si="1"/>
        <v>67</v>
      </c>
      <c r="D268" s="7">
        <v>1974.0</v>
      </c>
      <c r="E268" s="7"/>
      <c r="F268" s="7" t="b">
        <v>1</v>
      </c>
      <c r="G268" s="7" t="b">
        <v>0</v>
      </c>
      <c r="H268" s="7" t="b">
        <v>0</v>
      </c>
      <c r="I268" s="7" t="b">
        <v>0</v>
      </c>
      <c r="J268" s="9" t="b">
        <v>0</v>
      </c>
      <c r="K268" s="7">
        <v>250.0</v>
      </c>
      <c r="L268" s="7">
        <v>1.0</v>
      </c>
      <c r="M268" s="7">
        <v>1072.0</v>
      </c>
      <c r="N268" s="7">
        <v>1023.0</v>
      </c>
      <c r="O268" s="7">
        <v>295.0</v>
      </c>
      <c r="P268" s="7">
        <v>4.85</v>
      </c>
      <c r="Q268" s="7">
        <v>0.996535</v>
      </c>
      <c r="R268" s="7">
        <v>0.996535</v>
      </c>
      <c r="S268" s="10">
        <f t="shared" si="2"/>
        <v>251</v>
      </c>
      <c r="T268" s="10">
        <f t="shared" si="3"/>
        <v>97.31060474</v>
      </c>
      <c r="U268" s="11">
        <f t="shared" si="4"/>
        <v>0.4551084734</v>
      </c>
      <c r="V268" s="8">
        <f t="shared" si="54"/>
        <v>465.5759683</v>
      </c>
      <c r="W268" s="12">
        <f t="shared" si="5"/>
        <v>4</v>
      </c>
      <c r="X268" s="12">
        <f t="shared" si="6"/>
        <v>2327.879842</v>
      </c>
      <c r="Y268" s="12">
        <f t="shared" si="7"/>
        <v>2.275542367</v>
      </c>
      <c r="Z268" s="8">
        <f t="shared" si="19"/>
        <v>471.666636</v>
      </c>
      <c r="AA268" s="8">
        <f t="shared" si="51"/>
        <v>459</v>
      </c>
      <c r="AB268" s="13">
        <f t="shared" si="9"/>
        <v>1.828685259</v>
      </c>
      <c r="AC268" s="13">
        <f t="shared" si="10"/>
        <v>0.9731449395</v>
      </c>
      <c r="AD268" s="13">
        <f>AA268/vlookup(A268,Max!$A$2:$AP$700,column(Max!$AP$2),false)</f>
        <v>1.119512195</v>
      </c>
      <c r="AE268" s="8">
        <f t="shared" si="11"/>
        <v>324.2603592</v>
      </c>
      <c r="AF268" s="14">
        <f t="shared" si="12"/>
        <v>0.985688335</v>
      </c>
      <c r="AG268" s="14">
        <f t="shared" si="13"/>
        <v>1.413205092</v>
      </c>
      <c r="AH268" s="14">
        <f t="shared" si="14"/>
        <v>1</v>
      </c>
      <c r="AI268" s="14">
        <f t="shared" si="15"/>
        <v>1.016584315</v>
      </c>
      <c r="AJ268" s="27">
        <f t="shared" si="16"/>
        <v>67</v>
      </c>
      <c r="AK268" s="15" t="str">
        <f t="shared" si="17"/>
        <v>  @CONFIG[RS-27] {
   %cost = 459
   @cost -= #$../../cost$
  }</v>
      </c>
    </row>
    <row r="269" ht="15.75" customHeight="1">
      <c r="A269" s="7" t="s">
        <v>273</v>
      </c>
      <c r="B269" s="7" t="s">
        <v>274</v>
      </c>
      <c r="C269" s="8">
        <f t="shared" si="1"/>
        <v>3263</v>
      </c>
      <c r="D269" s="7">
        <v>1974.0</v>
      </c>
      <c r="E269" s="7" t="b">
        <v>1</v>
      </c>
      <c r="F269" s="7" t="b">
        <v>1</v>
      </c>
      <c r="G269" s="7" t="b">
        <v>0</v>
      </c>
      <c r="H269" s="7" t="b">
        <v>0</v>
      </c>
      <c r="I269" s="7" t="b">
        <v>0</v>
      </c>
      <c r="J269" s="9" t="b">
        <v>0</v>
      </c>
      <c r="K269" s="7">
        <v>4300.0</v>
      </c>
      <c r="L269" s="7">
        <v>0.0</v>
      </c>
      <c r="M269" s="7">
        <v>1596.6</v>
      </c>
      <c r="N269" s="7">
        <v>1085.4</v>
      </c>
      <c r="O269" s="7">
        <v>450.0</v>
      </c>
      <c r="P269" s="7">
        <v>18.89</v>
      </c>
      <c r="Q269" s="7">
        <v>0.97381</v>
      </c>
      <c r="R269" s="7">
        <v>0.983333</v>
      </c>
      <c r="S269" s="10">
        <f t="shared" si="2"/>
        <v>4300</v>
      </c>
      <c r="T269" s="10">
        <f t="shared" si="3"/>
        <v>69.3223083</v>
      </c>
      <c r="U269" s="11">
        <f t="shared" si="4"/>
        <v>2.57665088</v>
      </c>
      <c r="V269" s="8">
        <f t="shared" ref="V269:V270" si="55">0.9*(0.00015*M269*O269*P269+797)+0.1*(43.1*POWER(M269,0.549))</f>
        <v>2796.696865</v>
      </c>
      <c r="W269" s="12">
        <f t="shared" si="5"/>
        <v>4</v>
      </c>
      <c r="X269" s="12">
        <f t="shared" si="6"/>
        <v>13983.48433</v>
      </c>
      <c r="Y269" s="12">
        <f t="shared" si="7"/>
        <v>12.8832544</v>
      </c>
      <c r="Z269" s="8">
        <f t="shared" si="19"/>
        <v>2733.993548</v>
      </c>
      <c r="AA269" s="8">
        <f t="shared" si="51"/>
        <v>3263</v>
      </c>
      <c r="AB269" s="13">
        <f t="shared" si="9"/>
        <v>0.7588372093</v>
      </c>
      <c r="AC269" s="13">
        <f t="shared" si="10"/>
        <v>1.193492209</v>
      </c>
      <c r="AD269" s="13">
        <f>AA269/vlookup(A269,Max!$A$2:$AP$700,column(Max!$AP$2),false)</f>
        <v>1.6315</v>
      </c>
      <c r="AE269" s="8">
        <f t="shared" si="11"/>
        <v>462.6803251</v>
      </c>
      <c r="AF269" s="14">
        <f t="shared" si="12"/>
        <v>3.375</v>
      </c>
      <c r="AG269" s="14">
        <f t="shared" si="13"/>
        <v>2.12496734</v>
      </c>
      <c r="AH269" s="14">
        <f t="shared" si="14"/>
        <v>1</v>
      </c>
      <c r="AI269" s="14">
        <f t="shared" si="15"/>
        <v>0.9832490797</v>
      </c>
      <c r="AJ269" s="15">
        <f t="shared" si="16"/>
        <v>0</v>
      </c>
      <c r="AK269" s="15" t="str">
        <f t="shared" si="17"/>
        <v>  @CONFIG[XLR129-P-1] {
   %cost = 3263
   @cost -= #$../../cost$
  }</v>
      </c>
    </row>
    <row r="270" ht="15.75" customHeight="1">
      <c r="A270" s="16" t="s">
        <v>191</v>
      </c>
      <c r="B270" s="16" t="s">
        <v>185</v>
      </c>
      <c r="C270" s="8">
        <f t="shared" si="1"/>
        <v>527</v>
      </c>
      <c r="D270" s="16">
        <v>1975.0</v>
      </c>
      <c r="E270" s="16" t="b">
        <v>1</v>
      </c>
      <c r="F270" s="16" t="b">
        <v>1</v>
      </c>
      <c r="G270" s="16" t="b">
        <v>0</v>
      </c>
      <c r="H270" s="16" t="b">
        <v>1</v>
      </c>
      <c r="I270" s="16" t="b">
        <v>0</v>
      </c>
      <c r="J270" s="9" t="b">
        <v>0</v>
      </c>
      <c r="K270" s="16">
        <v>1355.0</v>
      </c>
      <c r="L270" s="16">
        <v>-339.0</v>
      </c>
      <c r="M270" s="16">
        <v>1467.37</v>
      </c>
      <c r="N270" s="16">
        <v>1178.7783</v>
      </c>
      <c r="O270" s="16">
        <v>436.0</v>
      </c>
      <c r="P270" s="16">
        <v>8.58</v>
      </c>
      <c r="Q270" s="16">
        <v>0.9995</v>
      </c>
      <c r="R270" s="16">
        <v>0.9995</v>
      </c>
      <c r="S270" s="19">
        <f t="shared" si="2"/>
        <v>1016</v>
      </c>
      <c r="T270" s="19">
        <f t="shared" si="3"/>
        <v>81.9165814</v>
      </c>
      <c r="U270" s="20">
        <f t="shared" si="4"/>
        <v>1.437375464</v>
      </c>
      <c r="V270" s="17">
        <f t="shared" si="55"/>
        <v>1694.347006</v>
      </c>
      <c r="W270" s="21">
        <f t="shared" si="5"/>
        <v>4</v>
      </c>
      <c r="X270" s="21">
        <f t="shared" si="6"/>
        <v>8471.73503</v>
      </c>
      <c r="Y270" s="21">
        <f t="shared" si="7"/>
        <v>7.18687732</v>
      </c>
      <c r="Z270" s="8">
        <f t="shared" si="19"/>
        <v>1726.540023</v>
      </c>
      <c r="AA270" s="8">
        <f t="shared" si="51"/>
        <v>1971</v>
      </c>
      <c r="AB270" s="13">
        <f t="shared" si="9"/>
        <v>1.93996063</v>
      </c>
      <c r="AC270" s="13">
        <f t="shared" si="10"/>
        <v>1.141589522</v>
      </c>
      <c r="AD270" s="13">
        <f>AA270/vlookup(A270,Max!$A$2:$AP$700,column(Max!$AP$2),false)</f>
        <v>0.6358064516</v>
      </c>
      <c r="AE270" s="8">
        <f t="shared" si="11"/>
        <v>441.0335983</v>
      </c>
      <c r="AF270" s="14">
        <f t="shared" si="12"/>
        <v>2.964432836</v>
      </c>
      <c r="AG270" s="14">
        <f t="shared" si="13"/>
        <v>1.473657789</v>
      </c>
      <c r="AH270" s="14">
        <f t="shared" si="14"/>
        <v>1</v>
      </c>
      <c r="AI270" s="14">
        <f t="shared" si="15"/>
        <v>1.022883106</v>
      </c>
      <c r="AJ270" s="27">
        <f t="shared" si="16"/>
        <v>527</v>
      </c>
      <c r="AK270" s="15" t="str">
        <f t="shared" si="17"/>
        <v>  @CONFIG[J-2S] {
   %cost = 1971
   @cost -= #$../../cost$
  }</v>
      </c>
    </row>
    <row r="271" ht="15.75" customHeight="1">
      <c r="A271" s="7" t="s">
        <v>394</v>
      </c>
      <c r="B271" s="7" t="s">
        <v>393</v>
      </c>
      <c r="C271" s="8">
        <f t="shared" si="1"/>
        <v>69</v>
      </c>
      <c r="D271" s="7">
        <v>1975.0</v>
      </c>
      <c r="E271" s="7"/>
      <c r="F271" s="7" t="b">
        <v>1</v>
      </c>
      <c r="G271" s="7" t="b">
        <v>0</v>
      </c>
      <c r="H271" s="7" t="b">
        <v>0</v>
      </c>
      <c r="I271" s="7" t="b">
        <v>0</v>
      </c>
      <c r="J271" s="9" t="b">
        <v>0</v>
      </c>
      <c r="K271" s="7">
        <v>670.0</v>
      </c>
      <c r="L271" s="7">
        <v>100.0</v>
      </c>
      <c r="M271" s="7">
        <v>1240.0</v>
      </c>
      <c r="N271" s="7">
        <v>1765.7</v>
      </c>
      <c r="O271" s="7">
        <v>331.0</v>
      </c>
      <c r="P271" s="7">
        <v>14.83</v>
      </c>
      <c r="Q271" s="7">
        <v>0.980556</v>
      </c>
      <c r="R271" s="7">
        <v>0.980556</v>
      </c>
      <c r="S271" s="10">
        <f t="shared" si="2"/>
        <v>770</v>
      </c>
      <c r="T271" s="10">
        <f t="shared" si="3"/>
        <v>145.2026542</v>
      </c>
      <c r="U271" s="11">
        <f t="shared" si="4"/>
        <v>0.3402303036</v>
      </c>
      <c r="V271" s="8">
        <f t="shared" ref="V271:V276" si="56">0.2*(8.17*POWER(M271*P271,0.46))+0.8*(0.146*POWER(M271*O271,0.639))</f>
        <v>600.744647</v>
      </c>
      <c r="W271" s="12">
        <f t="shared" si="5"/>
        <v>4</v>
      </c>
      <c r="X271" s="12">
        <f t="shared" si="6"/>
        <v>3003.723235</v>
      </c>
      <c r="Y271" s="12">
        <f t="shared" si="7"/>
        <v>1.701151518</v>
      </c>
      <c r="Z271" s="8">
        <f t="shared" si="19"/>
        <v>589.6249052</v>
      </c>
      <c r="AA271" s="8">
        <f t="shared" si="51"/>
        <v>850</v>
      </c>
      <c r="AB271" s="13">
        <f t="shared" si="9"/>
        <v>1.103896104</v>
      </c>
      <c r="AC271" s="13">
        <f t="shared" si="10"/>
        <v>1.441594466</v>
      </c>
      <c r="AD271" s="13">
        <f>AA271/vlookup(A271,Max!$A$2:$AP$700,column(Max!$AP$2),false)</f>
        <v>0.988372093</v>
      </c>
      <c r="AE271" s="8">
        <f t="shared" si="11"/>
        <v>354.7449281</v>
      </c>
      <c r="AF271" s="14">
        <f t="shared" si="12"/>
        <v>1.242337337</v>
      </c>
      <c r="AG271" s="14">
        <f t="shared" si="13"/>
        <v>1.976173255</v>
      </c>
      <c r="AH271" s="14">
        <f t="shared" si="14"/>
        <v>1</v>
      </c>
      <c r="AI271" s="14">
        <f t="shared" si="15"/>
        <v>0.9763218686</v>
      </c>
      <c r="AJ271" s="27">
        <f t="shared" si="16"/>
        <v>69</v>
      </c>
      <c r="AK271" s="15" t="str">
        <f t="shared" si="17"/>
        <v>  @CONFIG[NK-33] {
   %cost = 850
   @cost -= #$../../cost$
  }</v>
      </c>
    </row>
    <row r="272" ht="15.75" customHeight="1">
      <c r="A272" s="16" t="s">
        <v>400</v>
      </c>
      <c r="B272" s="16" t="s">
        <v>399</v>
      </c>
      <c r="C272" s="8">
        <f t="shared" si="1"/>
        <v>232</v>
      </c>
      <c r="D272" s="16">
        <v>1975.0</v>
      </c>
      <c r="E272" s="16"/>
      <c r="F272" s="16" t="b">
        <v>1</v>
      </c>
      <c r="G272" s="16" t="b">
        <v>0</v>
      </c>
      <c r="H272" s="16" t="b">
        <v>1</v>
      </c>
      <c r="I272" s="16" t="b">
        <v>0</v>
      </c>
      <c r="J272" s="9" t="b">
        <v>0</v>
      </c>
      <c r="K272" s="16">
        <v>780.0</v>
      </c>
      <c r="L272" s="16">
        <v>100.0</v>
      </c>
      <c r="M272" s="16">
        <v>1396.0</v>
      </c>
      <c r="N272" s="16">
        <v>1757.4</v>
      </c>
      <c r="O272" s="16">
        <v>346.0</v>
      </c>
      <c r="P272" s="16">
        <v>14.57</v>
      </c>
      <c r="Q272" s="16">
        <v>0.996</v>
      </c>
      <c r="R272" s="16">
        <v>0.996</v>
      </c>
      <c r="S272" s="19">
        <f t="shared" si="2"/>
        <v>880</v>
      </c>
      <c r="T272" s="19">
        <f t="shared" si="3"/>
        <v>128.3702914</v>
      </c>
      <c r="U272" s="20">
        <f t="shared" si="4"/>
        <v>0.3740251349</v>
      </c>
      <c r="V272" s="17">
        <f t="shared" si="56"/>
        <v>657.3117721</v>
      </c>
      <c r="W272" s="21">
        <f t="shared" si="5"/>
        <v>4</v>
      </c>
      <c r="X272" s="21">
        <f t="shared" si="6"/>
        <v>3286.558861</v>
      </c>
      <c r="Y272" s="21">
        <f t="shared" si="7"/>
        <v>1.870125675</v>
      </c>
      <c r="Z272" s="8">
        <f t="shared" si="19"/>
        <v>665.2100304</v>
      </c>
      <c r="AA272" s="8">
        <f t="shared" si="51"/>
        <v>885</v>
      </c>
      <c r="AB272" s="13">
        <f t="shared" si="9"/>
        <v>1.005681818</v>
      </c>
      <c r="AC272" s="13">
        <f t="shared" si="10"/>
        <v>1.330406878</v>
      </c>
      <c r="AD272" s="13">
        <f>AA272/vlookup(A272,Max!$A$2:$AP$700,column(Max!$AP$2),false)</f>
        <v>0.7695652174</v>
      </c>
      <c r="AE272" s="8">
        <f t="shared" si="11"/>
        <v>381.6913019</v>
      </c>
      <c r="AF272" s="14">
        <f t="shared" si="12"/>
        <v>1.389661973</v>
      </c>
      <c r="AG272" s="14">
        <f t="shared" si="13"/>
        <v>1.660123523</v>
      </c>
      <c r="AH272" s="14">
        <f t="shared" si="14"/>
        <v>1</v>
      </c>
      <c r="AI272" s="14">
        <f t="shared" si="15"/>
        <v>1.005098687</v>
      </c>
      <c r="AJ272" s="27">
        <f t="shared" si="16"/>
        <v>232</v>
      </c>
      <c r="AK272" s="15" t="str">
        <f t="shared" si="17"/>
        <v>  @CONFIG[NK-43] {
   %cost = 885
   @cost -= #$../../cost$
  }</v>
      </c>
    </row>
    <row r="273" ht="15.75" customHeight="1">
      <c r="A273" s="7" t="s">
        <v>497</v>
      </c>
      <c r="B273" s="7" t="s">
        <v>498</v>
      </c>
      <c r="C273" s="8">
        <f t="shared" si="1"/>
        <v>606</v>
      </c>
      <c r="D273" s="7">
        <v>1975.0</v>
      </c>
      <c r="E273" s="7"/>
      <c r="F273" s="7" t="b">
        <v>1</v>
      </c>
      <c r="G273" s="7" t="b">
        <v>0</v>
      </c>
      <c r="H273" s="7" t="b">
        <v>1</v>
      </c>
      <c r="I273" s="7" t="b">
        <v>0</v>
      </c>
      <c r="J273" s="9" t="b">
        <v>0</v>
      </c>
      <c r="K273" s="7"/>
      <c r="L273" s="7">
        <v>0.0</v>
      </c>
      <c r="M273" s="7">
        <v>770.0</v>
      </c>
      <c r="N273" s="7">
        <v>760.0</v>
      </c>
      <c r="O273" s="7">
        <v>340.0</v>
      </c>
      <c r="P273" s="7">
        <v>16.32</v>
      </c>
      <c r="Q273" s="7">
        <v>0.997651</v>
      </c>
      <c r="R273" s="7">
        <v>0.997635</v>
      </c>
      <c r="S273" s="10">
        <f t="shared" si="2"/>
        <v>0</v>
      </c>
      <c r="T273" s="10">
        <f t="shared" si="3"/>
        <v>100.6473142</v>
      </c>
      <c r="U273" s="11">
        <f t="shared" si="4"/>
        <v>0.6105855474</v>
      </c>
      <c r="V273" s="8">
        <f t="shared" si="56"/>
        <v>464.045016</v>
      </c>
      <c r="W273" s="12">
        <f t="shared" si="5"/>
        <v>4</v>
      </c>
      <c r="X273" s="12">
        <f t="shared" si="6"/>
        <v>2320.22508</v>
      </c>
      <c r="Y273" s="12">
        <f t="shared" si="7"/>
        <v>3.052927737</v>
      </c>
      <c r="Z273" s="8">
        <f t="shared" si="19"/>
        <v>471.1409861</v>
      </c>
      <c r="AA273" s="8">
        <f t="shared" si="51"/>
        <v>606</v>
      </c>
      <c r="AB273" s="13" t="str">
        <f t="shared" si="9"/>
        <v>#N/A</v>
      </c>
      <c r="AC273" s="13">
        <f t="shared" si="10"/>
        <v>1.286239189</v>
      </c>
      <c r="AD273" s="13">
        <f>AA273/vlookup(A273,Max!$A$2:$AP$700,column(Max!$AP$2),false)</f>
        <v>1.782352941</v>
      </c>
      <c r="AE273" s="8">
        <f t="shared" si="11"/>
        <v>264.4702437</v>
      </c>
      <c r="AF273" s="14">
        <f t="shared" si="12"/>
        <v>1.328038609</v>
      </c>
      <c r="AG273" s="14">
        <f t="shared" si="13"/>
        <v>1.703036825</v>
      </c>
      <c r="AH273" s="14">
        <f t="shared" si="14"/>
        <v>1</v>
      </c>
      <c r="AI273" s="14">
        <f t="shared" si="15"/>
        <v>1.013416128</v>
      </c>
      <c r="AJ273" s="15">
        <f t="shared" si="16"/>
        <v>0</v>
      </c>
      <c r="AK273" s="15" t="str">
        <f t="shared" si="17"/>
        <v>  @CONFIG[RD-0228] {
   %cost = 606
   @cost -= #$../../cost$
  }</v>
      </c>
    </row>
    <row r="274" ht="15.75" customHeight="1">
      <c r="A274" s="7" t="s">
        <v>500</v>
      </c>
      <c r="B274" s="7" t="s">
        <v>501</v>
      </c>
      <c r="C274" s="8">
        <f t="shared" si="1"/>
        <v>571</v>
      </c>
      <c r="D274" s="7">
        <v>1975.0</v>
      </c>
      <c r="E274" s="7"/>
      <c r="F274" s="7" t="b">
        <v>1</v>
      </c>
      <c r="G274" s="7" t="b">
        <v>0</v>
      </c>
      <c r="H274" s="7" t="b">
        <v>1</v>
      </c>
      <c r="I274" s="7" t="b">
        <v>0</v>
      </c>
      <c r="J274" s="9" t="b">
        <v>0</v>
      </c>
      <c r="K274" s="7">
        <v>340.0</v>
      </c>
      <c r="L274" s="7">
        <v>0.0</v>
      </c>
      <c r="M274" s="7">
        <v>680.0</v>
      </c>
      <c r="N274" s="7">
        <v>729.02</v>
      </c>
      <c r="O274" s="7">
        <v>341.4</v>
      </c>
      <c r="P274" s="7">
        <v>16.32</v>
      </c>
      <c r="Q274" s="7">
        <v>0.998822</v>
      </c>
      <c r="R274" s="7">
        <v>0.998818</v>
      </c>
      <c r="S274" s="10">
        <f t="shared" si="2"/>
        <v>340</v>
      </c>
      <c r="T274" s="10">
        <f t="shared" si="3"/>
        <v>109.3225752</v>
      </c>
      <c r="U274" s="11">
        <f t="shared" si="4"/>
        <v>0.5926378268</v>
      </c>
      <c r="V274" s="8">
        <f t="shared" si="56"/>
        <v>432.0448285</v>
      </c>
      <c r="W274" s="12">
        <f t="shared" si="5"/>
        <v>4</v>
      </c>
      <c r="X274" s="12">
        <f t="shared" si="6"/>
        <v>2160.224143</v>
      </c>
      <c r="Y274" s="12">
        <f t="shared" si="7"/>
        <v>2.963189134</v>
      </c>
      <c r="Z274" s="8">
        <f t="shared" si="19"/>
        <v>439.6667009</v>
      </c>
      <c r="AA274" s="8">
        <f t="shared" si="51"/>
        <v>571</v>
      </c>
      <c r="AB274" s="13">
        <f t="shared" si="9"/>
        <v>1.679411765</v>
      </c>
      <c r="AC274" s="13">
        <f t="shared" si="10"/>
        <v>1.298711044</v>
      </c>
      <c r="AD274" s="13">
        <f>AA274/vlookup(A274,Max!$A$2:$AP$700,column(Max!$AP$2),false)</f>
        <v>1.586111111</v>
      </c>
      <c r="AE274" s="8">
        <f t="shared" si="11"/>
        <v>245.0133877</v>
      </c>
      <c r="AF274" s="14">
        <f t="shared" si="12"/>
        <v>1.342084277</v>
      </c>
      <c r="AG274" s="14">
        <f t="shared" si="13"/>
        <v>1.703036825</v>
      </c>
      <c r="AH274" s="14">
        <f t="shared" si="14"/>
        <v>1</v>
      </c>
      <c r="AI274" s="14">
        <f t="shared" si="15"/>
        <v>1.019408295</v>
      </c>
      <c r="AJ274" s="15">
        <f t="shared" si="16"/>
        <v>0</v>
      </c>
      <c r="AK274" s="15" t="str">
        <f t="shared" si="17"/>
        <v>  @CONFIG[RD-0229] {
   %cost = 571
   @cost -= #$../../cost$
  }</v>
      </c>
    </row>
    <row r="275" ht="15.75" customHeight="1">
      <c r="A275" s="7" t="s">
        <v>503</v>
      </c>
      <c r="B275" s="7" t="s">
        <v>504</v>
      </c>
      <c r="C275" s="8">
        <f t="shared" si="1"/>
        <v>100</v>
      </c>
      <c r="D275" s="7">
        <v>1975.0</v>
      </c>
      <c r="E275" s="7"/>
      <c r="F275" s="7" t="b">
        <v>1</v>
      </c>
      <c r="G275" s="7" t="b">
        <v>0</v>
      </c>
      <c r="H275" s="7" t="b">
        <v>1</v>
      </c>
      <c r="I275" s="7" t="b">
        <v>0</v>
      </c>
      <c r="J275" s="9" t="b">
        <v>0</v>
      </c>
      <c r="K275" s="7">
        <v>10.0</v>
      </c>
      <c r="L275" s="7">
        <v>0.0</v>
      </c>
      <c r="M275" s="7">
        <v>90.0</v>
      </c>
      <c r="N275" s="7">
        <v>30.98</v>
      </c>
      <c r="O275" s="7">
        <v>307.0</v>
      </c>
      <c r="P275" s="7">
        <v>5.3</v>
      </c>
      <c r="Q275" s="7">
        <v>0.998822</v>
      </c>
      <c r="R275" s="7">
        <v>0.998818</v>
      </c>
      <c r="S275" s="10">
        <f t="shared" si="2"/>
        <v>10</v>
      </c>
      <c r="T275" s="10">
        <f t="shared" si="3"/>
        <v>35.10089798</v>
      </c>
      <c r="U275" s="11">
        <f t="shared" si="4"/>
        <v>3.49668914</v>
      </c>
      <c r="V275" s="8">
        <f t="shared" si="56"/>
        <v>108.3274296</v>
      </c>
      <c r="W275" s="12">
        <f t="shared" si="5"/>
        <v>4</v>
      </c>
      <c r="X275" s="12">
        <f t="shared" si="6"/>
        <v>541.6371478</v>
      </c>
      <c r="Y275" s="12">
        <f t="shared" si="7"/>
        <v>17.4834457</v>
      </c>
      <c r="Z275" s="8">
        <f t="shared" si="19"/>
        <v>110.2384763</v>
      </c>
      <c r="AA275" s="8">
        <f t="shared" si="51"/>
        <v>100</v>
      </c>
      <c r="AB275" s="13">
        <f t="shared" si="9"/>
        <v>10</v>
      </c>
      <c r="AC275" s="13">
        <f t="shared" si="10"/>
        <v>0.9071242945</v>
      </c>
      <c r="AD275" s="13">
        <f>AA275/vlookup(A275,Max!$A$2:$AP$700,column(Max!$AP$2),false)</f>
        <v>5</v>
      </c>
      <c r="AE275" s="8">
        <f t="shared" si="11"/>
        <v>71.55884225</v>
      </c>
      <c r="AF275" s="14">
        <f t="shared" si="12"/>
        <v>1.034533668</v>
      </c>
      <c r="AG275" s="14">
        <f t="shared" si="13"/>
        <v>1.322281966</v>
      </c>
      <c r="AH275" s="14">
        <f t="shared" si="14"/>
        <v>1</v>
      </c>
      <c r="AI275" s="14">
        <f t="shared" si="15"/>
        <v>1.019408295</v>
      </c>
      <c r="AJ275" s="15">
        <f t="shared" si="16"/>
        <v>0</v>
      </c>
      <c r="AK275" s="15" t="str">
        <f t="shared" si="17"/>
        <v>  @CONFIG[RD-0230] {
   %cost = 100
   @cost -= #$../../cost$
  }</v>
      </c>
    </row>
    <row r="276" ht="15.75" customHeight="1">
      <c r="A276" s="16" t="s">
        <v>613</v>
      </c>
      <c r="B276" s="16" t="s">
        <v>614</v>
      </c>
      <c r="C276" s="8">
        <f t="shared" si="1"/>
        <v>721</v>
      </c>
      <c r="D276" s="16">
        <v>1975.0</v>
      </c>
      <c r="E276" s="16"/>
      <c r="F276" s="16" t="b">
        <v>1</v>
      </c>
      <c r="G276" s="16" t="b">
        <v>0</v>
      </c>
      <c r="H276" s="16" t="b">
        <v>0</v>
      </c>
      <c r="I276" s="16" t="b">
        <v>0</v>
      </c>
      <c r="J276" s="9" t="b">
        <v>0</v>
      </c>
      <c r="K276" s="16">
        <v>445.0</v>
      </c>
      <c r="L276" s="16">
        <v>0.0</v>
      </c>
      <c r="M276" s="16">
        <v>870.0</v>
      </c>
      <c r="N276" s="16">
        <v>1130.7</v>
      </c>
      <c r="O276" s="16">
        <v>318.4</v>
      </c>
      <c r="P276" s="16">
        <v>20.59</v>
      </c>
      <c r="Q276" s="16">
        <v>0.998792</v>
      </c>
      <c r="R276" s="16">
        <v>0.998463</v>
      </c>
      <c r="S276" s="19">
        <f t="shared" si="2"/>
        <v>445</v>
      </c>
      <c r="T276" s="19">
        <f t="shared" si="3"/>
        <v>132.5279447</v>
      </c>
      <c r="U276" s="20">
        <f t="shared" si="4"/>
        <v>0.4410743898</v>
      </c>
      <c r="V276" s="17">
        <f t="shared" si="56"/>
        <v>498.7228126</v>
      </c>
      <c r="W276" s="21">
        <f t="shared" si="5"/>
        <v>4</v>
      </c>
      <c r="X276" s="21">
        <f t="shared" si="6"/>
        <v>2493.614063</v>
      </c>
      <c r="Y276" s="21">
        <f t="shared" si="7"/>
        <v>2.205371949</v>
      </c>
      <c r="Z276" s="8">
        <f t="shared" si="19"/>
        <v>507.3292007</v>
      </c>
      <c r="AA276" s="8">
        <f t="shared" si="51"/>
        <v>721</v>
      </c>
      <c r="AB276" s="13">
        <f t="shared" si="9"/>
        <v>1.620224719</v>
      </c>
      <c r="AC276" s="13">
        <f t="shared" si="10"/>
        <v>1.42116795</v>
      </c>
      <c r="AD276" s="13">
        <f>AA276/vlookup(A276,Max!$A$2:$AP$700,column(Max!$AP$2),false)</f>
        <v>1.360377358</v>
      </c>
      <c r="AE276" s="8">
        <f t="shared" si="11"/>
        <v>285.1097702</v>
      </c>
      <c r="AF276" s="14">
        <f t="shared" si="12"/>
        <v>1.134683562</v>
      </c>
      <c r="AG276" s="14">
        <f t="shared" si="13"/>
        <v>2.180617917</v>
      </c>
      <c r="AH276" s="14">
        <f t="shared" si="14"/>
        <v>1</v>
      </c>
      <c r="AI276" s="14">
        <f t="shared" si="15"/>
        <v>1.021508426</v>
      </c>
      <c r="AJ276" s="15">
        <f t="shared" si="16"/>
        <v>0</v>
      </c>
      <c r="AK276" s="15" t="str">
        <f t="shared" si="17"/>
        <v>  @CONFIG[RD-263-15D117] {
   %cost = 721
   @cost -= #$../../cost$
  }</v>
      </c>
    </row>
    <row r="277" ht="15.75" customHeight="1">
      <c r="A277" s="7" t="s">
        <v>228</v>
      </c>
      <c r="B277" s="7" t="s">
        <v>229</v>
      </c>
      <c r="C277" s="8">
        <f t="shared" si="1"/>
        <v>480</v>
      </c>
      <c r="D277" s="7">
        <v>1975.0</v>
      </c>
      <c r="E277" s="7" t="b">
        <v>1</v>
      </c>
      <c r="F277" s="7" t="b">
        <v>1</v>
      </c>
      <c r="G277" s="7" t="b">
        <v>0</v>
      </c>
      <c r="H277" s="7" t="b">
        <v>1</v>
      </c>
      <c r="I277" s="7" t="b">
        <v>0</v>
      </c>
      <c r="J277" s="9" t="b">
        <v>0</v>
      </c>
      <c r="K277" s="7">
        <v>650.0</v>
      </c>
      <c r="L277" s="7">
        <v>0.0</v>
      </c>
      <c r="M277" s="7">
        <v>282.0</v>
      </c>
      <c r="N277" s="7">
        <v>69.6</v>
      </c>
      <c r="O277" s="7">
        <v>447.5</v>
      </c>
      <c r="P277" s="7">
        <v>5.59</v>
      </c>
      <c r="Q277" s="7">
        <v>0.98125</v>
      </c>
      <c r="R277" s="7">
        <v>0.97</v>
      </c>
      <c r="S277" s="10">
        <f t="shared" si="2"/>
        <v>650</v>
      </c>
      <c r="T277" s="10">
        <f t="shared" si="3"/>
        <v>25.16746391</v>
      </c>
      <c r="U277" s="11">
        <f t="shared" si="4"/>
        <v>13.04538026</v>
      </c>
      <c r="V277" s="8">
        <f t="shared" ref="V277:V278" si="57">0.9*(0.00015*M277*O277*P277+797)+0.1*(43.1*POWER(M277,0.549))</f>
        <v>907.9584659</v>
      </c>
      <c r="W277" s="12">
        <f t="shared" si="5"/>
        <v>4</v>
      </c>
      <c r="X277" s="12">
        <f t="shared" si="6"/>
        <v>4539.792329</v>
      </c>
      <c r="Y277" s="12">
        <f t="shared" si="7"/>
        <v>65.22690128</v>
      </c>
      <c r="Z277" s="8">
        <f t="shared" si="19"/>
        <v>882.3653866</v>
      </c>
      <c r="AA277" s="45">
        <v>480.0</v>
      </c>
      <c r="AB277" s="13">
        <f t="shared" si="9"/>
        <v>0.7384615385</v>
      </c>
      <c r="AC277" s="13">
        <f t="shared" si="10"/>
        <v>0.5439923271</v>
      </c>
      <c r="AD277" s="13">
        <f>AA277/vlookup(A277,Max!$A$2:$AP$700,column(Max!$AP$2),false)</f>
        <v>2.285714286</v>
      </c>
      <c r="AE277" s="8">
        <f t="shared" si="11"/>
        <v>179.6405431</v>
      </c>
      <c r="AF277" s="14">
        <f t="shared" si="12"/>
        <v>3.297014256</v>
      </c>
      <c r="AG277" s="14">
        <f t="shared" si="13"/>
        <v>1.338226609</v>
      </c>
      <c r="AH277" s="14">
        <f t="shared" si="14"/>
        <v>1</v>
      </c>
      <c r="AI277" s="14">
        <f t="shared" si="15"/>
        <v>0.9063386981</v>
      </c>
      <c r="AJ277" s="15">
        <f t="shared" si="16"/>
        <v>0</v>
      </c>
      <c r="AK277" s="15" t="str">
        <f t="shared" si="17"/>
        <v>  @CONFIG[RD-56] {
   %cost = 480
   @cost -= #$../../cost$
  }</v>
      </c>
    </row>
    <row r="278" ht="15.75" customHeight="1">
      <c r="A278" s="7" t="s">
        <v>665</v>
      </c>
      <c r="B278" s="7" t="s">
        <v>660</v>
      </c>
      <c r="C278" s="8">
        <f t="shared" si="1"/>
        <v>188</v>
      </c>
      <c r="D278" s="7">
        <v>1975.0</v>
      </c>
      <c r="E278" s="7" t="b">
        <v>1</v>
      </c>
      <c r="F278" s="7" t="b">
        <v>1</v>
      </c>
      <c r="G278" s="7" t="b">
        <v>0</v>
      </c>
      <c r="H278" s="7" t="b">
        <v>1</v>
      </c>
      <c r="I278" s="7" t="b">
        <v>0</v>
      </c>
      <c r="J278" s="9" t="b">
        <v>0</v>
      </c>
      <c r="K278" s="7">
        <v>500.0</v>
      </c>
      <c r="L278" s="7">
        <v>262.0</v>
      </c>
      <c r="M278" s="7">
        <v>141.0</v>
      </c>
      <c r="N278" s="7">
        <v>73.4</v>
      </c>
      <c r="O278" s="7">
        <v>444.4</v>
      </c>
      <c r="P278" s="7">
        <v>3.28</v>
      </c>
      <c r="Q278" s="7">
        <v>0.99486</v>
      </c>
      <c r="R278" s="7">
        <v>0.99717</v>
      </c>
      <c r="S278" s="10">
        <f t="shared" si="2"/>
        <v>762</v>
      </c>
      <c r="T278" s="10">
        <f t="shared" si="3"/>
        <v>53.08309916</v>
      </c>
      <c r="U278" s="11">
        <f t="shared" si="4"/>
        <v>11.03908302</v>
      </c>
      <c r="V278" s="8">
        <f t="shared" si="57"/>
        <v>810.2686936</v>
      </c>
      <c r="W278" s="12">
        <f t="shared" si="5"/>
        <v>4</v>
      </c>
      <c r="X278" s="12">
        <f t="shared" si="6"/>
        <v>4051.343468</v>
      </c>
      <c r="Y278" s="12">
        <f t="shared" si="7"/>
        <v>55.19541509</v>
      </c>
      <c r="Z278" s="8">
        <f t="shared" si="19"/>
        <v>820.0280123</v>
      </c>
      <c r="AA278" s="8">
        <f t="shared" ref="AA278:AA293" si="58">round(AE278*AF278*AG278*AH278*AI278,0)</f>
        <v>482</v>
      </c>
      <c r="AB278" s="13">
        <f t="shared" si="9"/>
        <v>0.6325459318</v>
      </c>
      <c r="AC278" s="13">
        <f t="shared" si="10"/>
        <v>0.5877847986</v>
      </c>
      <c r="AD278" s="13">
        <f>AA278/vlookup(A278,Max!$A$2:$AP$700,column(Max!$AP$2),false)</f>
        <v>1.417647059</v>
      </c>
      <c r="AE278" s="8">
        <f t="shared" si="11"/>
        <v>126.0077508</v>
      </c>
      <c r="AF278" s="14">
        <f t="shared" si="12"/>
        <v>3.203224289</v>
      </c>
      <c r="AG278" s="14">
        <f t="shared" si="13"/>
        <v>1.186953264</v>
      </c>
      <c r="AH278" s="14">
        <f t="shared" si="14"/>
        <v>1</v>
      </c>
      <c r="AI278" s="14">
        <f t="shared" si="15"/>
        <v>1.005170995</v>
      </c>
      <c r="AJ278" s="27">
        <f t="shared" si="16"/>
        <v>188</v>
      </c>
      <c r="AK278" s="15" t="str">
        <f t="shared" si="17"/>
        <v>  @CONFIG[RL10A-3-3A] {
   %cost = 482
   @cost -= #$../../cost$
  }</v>
      </c>
    </row>
    <row r="279" ht="15.75" customHeight="1">
      <c r="A279" s="16" t="s">
        <v>134</v>
      </c>
      <c r="B279" s="16" t="s">
        <v>130</v>
      </c>
      <c r="C279" s="8">
        <f t="shared" si="1"/>
        <v>63</v>
      </c>
      <c r="D279" s="16">
        <v>1976.0</v>
      </c>
      <c r="E279" s="16" t="b">
        <v>0</v>
      </c>
      <c r="F279" s="16" t="b">
        <v>1</v>
      </c>
      <c r="G279" s="16" t="b">
        <v>0</v>
      </c>
      <c r="H279" s="16" t="b">
        <v>0</v>
      </c>
      <c r="I279" s="16" t="b">
        <v>0</v>
      </c>
      <c r="J279" s="9" t="b">
        <v>0</v>
      </c>
      <c r="K279" s="16"/>
      <c r="L279" s="16"/>
      <c r="M279" s="16">
        <v>1814.4</v>
      </c>
      <c r="N279" s="16">
        <v>2828.57</v>
      </c>
      <c r="O279" s="16">
        <v>292.0</v>
      </c>
      <c r="P279" s="16">
        <v>6.45</v>
      </c>
      <c r="Q279" s="16">
        <v>0.996341</v>
      </c>
      <c r="R279" s="16">
        <v>0.996341</v>
      </c>
      <c r="S279" s="19">
        <f t="shared" si="2"/>
        <v>0</v>
      </c>
      <c r="T279" s="19">
        <f t="shared" si="3"/>
        <v>158.9692835</v>
      </c>
      <c r="U279" s="20">
        <f t="shared" si="4"/>
        <v>0.2307161153</v>
      </c>
      <c r="V279" s="17">
        <f t="shared" ref="V279:V282" si="59">0.2*(8.17*POWER(M279*P279,0.46))+0.8*(0.146*POWER(M279*O279,0.639))</f>
        <v>652.5966823</v>
      </c>
      <c r="W279" s="21">
        <f t="shared" si="5"/>
        <v>4</v>
      </c>
      <c r="X279" s="21">
        <f t="shared" si="6"/>
        <v>3262.983411</v>
      </c>
      <c r="Y279" s="21">
        <f t="shared" si="7"/>
        <v>1.153580577</v>
      </c>
      <c r="Z279" s="8">
        <f t="shared" si="19"/>
        <v>660.8816506</v>
      </c>
      <c r="AA279" s="8">
        <f t="shared" si="58"/>
        <v>687</v>
      </c>
      <c r="AB279" s="13" t="str">
        <f t="shared" si="9"/>
        <v>#N/A</v>
      </c>
      <c r="AC279" s="13">
        <f t="shared" si="10"/>
        <v>1.039520464</v>
      </c>
      <c r="AD279" s="13">
        <f>AA279/vlookup(A279,Max!$A$2:$AP$700,column(Max!$AP$2),false)</f>
        <v>0.7231578947</v>
      </c>
      <c r="AE279" s="8">
        <f t="shared" si="11"/>
        <v>448.9070112</v>
      </c>
      <c r="AF279" s="14">
        <f t="shared" si="12"/>
        <v>0.9777307799</v>
      </c>
      <c r="AG279" s="14">
        <f t="shared" si="13"/>
        <v>1.539396825</v>
      </c>
      <c r="AH279" s="14">
        <f t="shared" si="14"/>
        <v>1</v>
      </c>
      <c r="AI279" s="14">
        <f t="shared" si="15"/>
        <v>1.01608963</v>
      </c>
      <c r="AJ279" s="27">
        <f t="shared" si="16"/>
        <v>63</v>
      </c>
      <c r="AK279" s="15" t="str">
        <f t="shared" si="17"/>
        <v>  @CONFIG[E-1-575k] {
   %cost = 687
   @cost -= #$../../cost$
  }</v>
      </c>
    </row>
    <row r="280" ht="15.75" customHeight="1">
      <c r="A280" s="7" t="s">
        <v>135</v>
      </c>
      <c r="B280" s="7" t="s">
        <v>130</v>
      </c>
      <c r="C280" s="8">
        <f t="shared" si="1"/>
        <v>45</v>
      </c>
      <c r="D280" s="7">
        <v>1976.0</v>
      </c>
      <c r="E280" s="7"/>
      <c r="F280" s="7" t="b">
        <v>1</v>
      </c>
      <c r="G280" s="7" t="b">
        <v>0</v>
      </c>
      <c r="H280" s="7" t="b">
        <v>0</v>
      </c>
      <c r="I280" s="7" t="b">
        <v>0</v>
      </c>
      <c r="J280" s="9" t="b">
        <v>0</v>
      </c>
      <c r="K280" s="7">
        <v>600.0</v>
      </c>
      <c r="L280" s="7">
        <v>50.0</v>
      </c>
      <c r="M280" s="7">
        <v>1800.0</v>
      </c>
      <c r="N280" s="7">
        <v>2662.6</v>
      </c>
      <c r="O280" s="7">
        <v>301.0</v>
      </c>
      <c r="P280" s="7">
        <v>5.45</v>
      </c>
      <c r="Q280" s="7">
        <v>0.998</v>
      </c>
      <c r="R280" s="7">
        <v>0.998</v>
      </c>
      <c r="S280" s="10">
        <f t="shared" si="2"/>
        <v>650</v>
      </c>
      <c r="T280" s="10">
        <f t="shared" si="3"/>
        <v>150.8386878</v>
      </c>
      <c r="U280" s="11">
        <f t="shared" si="4"/>
        <v>0.2444135812</v>
      </c>
      <c r="V280" s="8">
        <f t="shared" si="59"/>
        <v>650.7756013</v>
      </c>
      <c r="W280" s="12">
        <f t="shared" si="5"/>
        <v>4</v>
      </c>
      <c r="X280" s="12">
        <f t="shared" si="6"/>
        <v>3253.878007</v>
      </c>
      <c r="Y280" s="12">
        <f t="shared" si="7"/>
        <v>1.222067906</v>
      </c>
      <c r="Z280" s="8">
        <f t="shared" si="19"/>
        <v>661.1906141</v>
      </c>
      <c r="AA280" s="8">
        <f t="shared" si="58"/>
        <v>669</v>
      </c>
      <c r="AB280" s="13">
        <f t="shared" si="9"/>
        <v>1.029230769</v>
      </c>
      <c r="AC280" s="13">
        <f t="shared" si="10"/>
        <v>1.011811096</v>
      </c>
      <c r="AD280" s="13">
        <f>AA280/vlookup(A280,Max!$A$2:$AP$700,column(Max!$AP$2),false)</f>
        <v>0.7964285714</v>
      </c>
      <c r="AE280" s="8">
        <f t="shared" si="11"/>
        <v>446.697021</v>
      </c>
      <c r="AF280" s="14">
        <f t="shared" si="12"/>
        <v>1.003273336</v>
      </c>
      <c r="AG280" s="14">
        <f t="shared" si="13"/>
        <v>1.463529979</v>
      </c>
      <c r="AH280" s="14">
        <f t="shared" si="14"/>
        <v>1</v>
      </c>
      <c r="AI280" s="14">
        <f t="shared" si="15"/>
        <v>1.020324621</v>
      </c>
      <c r="AJ280" s="27">
        <f t="shared" si="16"/>
        <v>45</v>
      </c>
      <c r="AK280" s="15" t="str">
        <f t="shared" si="17"/>
        <v>  @CONFIG[E-1-Upgrade2] {
   %cost = 669
   @cost -= #$../../cost$
  }</v>
      </c>
    </row>
    <row r="281" ht="15.75" customHeight="1">
      <c r="A281" s="16" t="s">
        <v>136</v>
      </c>
      <c r="B281" s="16" t="s">
        <v>130</v>
      </c>
      <c r="C281" s="8">
        <f t="shared" si="1"/>
        <v>113</v>
      </c>
      <c r="D281" s="16">
        <v>1976.0</v>
      </c>
      <c r="E281" s="16"/>
      <c r="F281" s="16" t="b">
        <v>1</v>
      </c>
      <c r="G281" s="16" t="b">
        <v>0</v>
      </c>
      <c r="H281" s="16" t="b">
        <v>0</v>
      </c>
      <c r="I281" s="16" t="b">
        <v>0</v>
      </c>
      <c r="J281" s="9" t="b">
        <v>0</v>
      </c>
      <c r="K281" s="16">
        <v>600.0</v>
      </c>
      <c r="L281" s="16">
        <v>20.0</v>
      </c>
      <c r="M281" s="16">
        <v>1835.0</v>
      </c>
      <c r="N281" s="16">
        <v>2250.0</v>
      </c>
      <c r="O281" s="16">
        <v>310.0</v>
      </c>
      <c r="P281" s="16">
        <v>6.0</v>
      </c>
      <c r="Q281" s="16">
        <v>0.998944</v>
      </c>
      <c r="R281" s="16">
        <v>0.998944</v>
      </c>
      <c r="S281" s="19">
        <f t="shared" si="2"/>
        <v>620</v>
      </c>
      <c r="T281" s="19">
        <f t="shared" si="3"/>
        <v>125.0333228</v>
      </c>
      <c r="U281" s="20">
        <f t="shared" si="4"/>
        <v>0.2995199554</v>
      </c>
      <c r="V281" s="17">
        <f t="shared" si="59"/>
        <v>673.9198996</v>
      </c>
      <c r="W281" s="21">
        <f t="shared" si="5"/>
        <v>4</v>
      </c>
      <c r="X281" s="21">
        <f t="shared" si="6"/>
        <v>3369.599498</v>
      </c>
      <c r="Y281" s="21">
        <f t="shared" si="7"/>
        <v>1.497599777</v>
      </c>
      <c r="Z281" s="8">
        <f t="shared" si="19"/>
        <v>685.9757303</v>
      </c>
      <c r="AA281" s="8">
        <f t="shared" si="58"/>
        <v>737</v>
      </c>
      <c r="AB281" s="13">
        <f t="shared" si="9"/>
        <v>1.188709677</v>
      </c>
      <c r="AC281" s="13">
        <f t="shared" si="10"/>
        <v>1.074382033</v>
      </c>
      <c r="AD281" s="13">
        <f>AA281/vlookup(A281,Max!$A$2:$AP$700,column(Max!$AP$2),false)</f>
        <v>0.7444444444</v>
      </c>
      <c r="AE281" s="8">
        <f t="shared" si="11"/>
        <v>452.0571857</v>
      </c>
      <c r="AF281" s="14">
        <f t="shared" si="12"/>
        <v>1.057751671</v>
      </c>
      <c r="AG281" s="14">
        <f t="shared" si="13"/>
        <v>1.506357476</v>
      </c>
      <c r="AH281" s="14">
        <f t="shared" si="14"/>
        <v>1</v>
      </c>
      <c r="AI281" s="14">
        <f t="shared" si="15"/>
        <v>1.022739125</v>
      </c>
      <c r="AJ281" s="27">
        <f t="shared" si="16"/>
        <v>113</v>
      </c>
      <c r="AK281" s="15" t="str">
        <f t="shared" si="17"/>
        <v>  @CONFIG[E-1A_KS] {
   %cost = 737
   @cost -= #$../../cost$
  }</v>
      </c>
    </row>
    <row r="282" ht="15.75" customHeight="1">
      <c r="A282" s="16" t="s">
        <v>1031</v>
      </c>
      <c r="B282" s="16" t="s">
        <v>158</v>
      </c>
      <c r="C282" s="8">
        <f t="shared" si="1"/>
        <v>46</v>
      </c>
      <c r="D282" s="16">
        <v>1976.0</v>
      </c>
      <c r="E282" s="16"/>
      <c r="F282" s="16" t="b">
        <v>1</v>
      </c>
      <c r="G282" s="16" t="b">
        <v>0</v>
      </c>
      <c r="H282" s="16" t="b">
        <v>0</v>
      </c>
      <c r="I282" s="16" t="b">
        <v>0</v>
      </c>
      <c r="J282" s="9" t="b">
        <v>0</v>
      </c>
      <c r="K282" s="16">
        <v>250.0</v>
      </c>
      <c r="L282" s="16">
        <v>25.0</v>
      </c>
      <c r="M282" s="16">
        <v>911.0</v>
      </c>
      <c r="N282" s="16">
        <v>1224.46</v>
      </c>
      <c r="O282" s="16">
        <v>295.0</v>
      </c>
      <c r="P282" s="16">
        <v>5.78</v>
      </c>
      <c r="Q282" s="16">
        <v>0.996341</v>
      </c>
      <c r="R282" s="16">
        <v>0.996341</v>
      </c>
      <c r="S282" s="19">
        <f t="shared" si="2"/>
        <v>275</v>
      </c>
      <c r="T282" s="19">
        <f t="shared" si="3"/>
        <v>137.0583656</v>
      </c>
      <c r="U282" s="20">
        <f t="shared" si="4"/>
        <v>0.3498250502</v>
      </c>
      <c r="V282" s="17">
        <f t="shared" si="59"/>
        <v>428.346781</v>
      </c>
      <c r="W282" s="21">
        <f t="shared" si="5"/>
        <v>4</v>
      </c>
      <c r="X282" s="21">
        <f t="shared" si="6"/>
        <v>2141.733905</v>
      </c>
      <c r="Y282" s="21">
        <f t="shared" si="7"/>
        <v>1.749125251</v>
      </c>
      <c r="Z282" s="8">
        <f t="shared" si="19"/>
        <v>433.7848097</v>
      </c>
      <c r="AA282" s="8">
        <f t="shared" si="58"/>
        <v>438</v>
      </c>
      <c r="AB282" s="13">
        <f t="shared" si="9"/>
        <v>1.592727273</v>
      </c>
      <c r="AC282" s="13">
        <f t="shared" si="10"/>
        <v>1.009717238</v>
      </c>
      <c r="AD282" s="13">
        <f>AA282/vlookup(A282,Max!$A$2:$AP$700,column(Max!$AP$2),false)</f>
        <v>1.018604651</v>
      </c>
      <c r="AE282" s="8">
        <f t="shared" si="11"/>
        <v>293.3113531</v>
      </c>
      <c r="AF282" s="14">
        <f t="shared" si="12"/>
        <v>0.985688335</v>
      </c>
      <c r="AG282" s="14">
        <f t="shared" si="13"/>
        <v>1.489570366</v>
      </c>
      <c r="AH282" s="14">
        <f t="shared" si="14"/>
        <v>1</v>
      </c>
      <c r="AI282" s="14">
        <f t="shared" si="15"/>
        <v>1.01608963</v>
      </c>
      <c r="AJ282" s="27">
        <f t="shared" si="16"/>
        <v>46</v>
      </c>
      <c r="AK282" s="15" t="str">
        <f t="shared" si="17"/>
        <v>  @CONFIG[H-1-250k] {
   %cost = 438
   @cost -= #$../../cost$
  }</v>
      </c>
    </row>
    <row r="283" ht="15.75" customHeight="1">
      <c r="A283" s="16" t="s">
        <v>169</v>
      </c>
      <c r="B283" s="16" t="s">
        <v>168</v>
      </c>
      <c r="C283" s="8">
        <f t="shared" si="1"/>
        <v>2265</v>
      </c>
      <c r="D283" s="16">
        <v>1976.0</v>
      </c>
      <c r="E283" s="16" t="b">
        <v>1</v>
      </c>
      <c r="F283" s="16" t="b">
        <v>1</v>
      </c>
      <c r="G283" s="16" t="b">
        <v>0</v>
      </c>
      <c r="H283" s="16" t="b">
        <v>1</v>
      </c>
      <c r="I283" s="16" t="b">
        <v>0</v>
      </c>
      <c r="J283" s="9" t="b">
        <v>0</v>
      </c>
      <c r="K283" s="16">
        <v>4200.0</v>
      </c>
      <c r="L283" s="16">
        <v>0.0</v>
      </c>
      <c r="M283" s="16">
        <v>1780.0</v>
      </c>
      <c r="N283" s="16">
        <v>1400.7</v>
      </c>
      <c r="O283" s="16">
        <v>451.0</v>
      </c>
      <c r="P283" s="16">
        <v>11.5</v>
      </c>
      <c r="Q283" s="16">
        <v>0.97</v>
      </c>
      <c r="R283" s="16">
        <v>0.96</v>
      </c>
      <c r="S283" s="19">
        <f t="shared" si="2"/>
        <v>4200</v>
      </c>
      <c r="T283" s="19">
        <f t="shared" si="3"/>
        <v>80.24249974</v>
      </c>
      <c r="U283" s="20">
        <f t="shared" si="4"/>
        <v>1.589214205</v>
      </c>
      <c r="V283" s="17">
        <f t="shared" ref="V283:V288" si="60">0.9*(0.00015*M283*O283*P283+797)+0.1*(43.1*POWER(M283,0.549))</f>
        <v>2226.012337</v>
      </c>
      <c r="W283" s="21">
        <f t="shared" si="5"/>
        <v>4</v>
      </c>
      <c r="X283" s="21">
        <f t="shared" si="6"/>
        <v>11130.06169</v>
      </c>
      <c r="Y283" s="21">
        <f t="shared" si="7"/>
        <v>7.946071026</v>
      </c>
      <c r="Z283" s="8">
        <f t="shared" si="19"/>
        <v>2117.382935</v>
      </c>
      <c r="AA283" s="8">
        <f t="shared" si="58"/>
        <v>2265</v>
      </c>
      <c r="AB283" s="13">
        <f t="shared" si="9"/>
        <v>0.5392857143</v>
      </c>
      <c r="AC283" s="13">
        <f t="shared" si="10"/>
        <v>1.069716754</v>
      </c>
      <c r="AD283" s="13">
        <f>AA283/vlookup(A283,Max!$A$2:$AP$700,column(Max!$AP$2),false)</f>
        <v>1.1325</v>
      </c>
      <c r="AE283" s="8">
        <f t="shared" si="11"/>
        <v>492.2650132</v>
      </c>
      <c r="AF283" s="14">
        <f t="shared" si="12"/>
        <v>3.406796795</v>
      </c>
      <c r="AG283" s="14">
        <f t="shared" si="13"/>
        <v>1.574051792</v>
      </c>
      <c r="AH283" s="14">
        <f t="shared" si="14"/>
        <v>1</v>
      </c>
      <c r="AI283" s="14">
        <f t="shared" si="15"/>
        <v>0.8580635065</v>
      </c>
      <c r="AJ283" s="15">
        <f t="shared" si="16"/>
        <v>0</v>
      </c>
      <c r="AK283" s="15" t="str">
        <f t="shared" si="17"/>
        <v>  @CONFIG[HG-3] {
   %cost = 2265
   @cost -= #$../../cost$
  }</v>
      </c>
    </row>
    <row r="284" ht="15.75" customHeight="1">
      <c r="A284" s="7" t="s">
        <v>167</v>
      </c>
      <c r="B284" s="7" t="s">
        <v>168</v>
      </c>
      <c r="C284" s="8">
        <f t="shared" si="1"/>
        <v>383</v>
      </c>
      <c r="D284" s="7">
        <v>1976.0</v>
      </c>
      <c r="E284" s="7" t="b">
        <v>1</v>
      </c>
      <c r="F284" s="7" t="b">
        <v>1</v>
      </c>
      <c r="G284" s="7" t="b">
        <v>0</v>
      </c>
      <c r="H284" s="7" t="b">
        <v>0</v>
      </c>
      <c r="I284" s="7" t="b">
        <v>0</v>
      </c>
      <c r="J284" s="9" t="b">
        <v>0</v>
      </c>
      <c r="K284" s="7">
        <v>4200.0</v>
      </c>
      <c r="L284" s="7">
        <v>-200.0</v>
      </c>
      <c r="M284" s="7">
        <f>1780*0.973574409</f>
        <v>1732.962448</v>
      </c>
      <c r="N284" s="7">
        <v>1382.07</v>
      </c>
      <c r="O284" s="7">
        <v>445.0</v>
      </c>
      <c r="P284" s="7">
        <v>11.5</v>
      </c>
      <c r="Q284" s="7">
        <v>0.97</v>
      </c>
      <c r="R284" s="7">
        <v>0.96</v>
      </c>
      <c r="S284" s="10">
        <f t="shared" si="2"/>
        <v>4000</v>
      </c>
      <c r="T284" s="10">
        <f t="shared" si="3"/>
        <v>81.32427705</v>
      </c>
      <c r="U284" s="11">
        <f t="shared" si="4"/>
        <v>1.572355541</v>
      </c>
      <c r="V284" s="8">
        <f t="shared" si="60"/>
        <v>2173.105423</v>
      </c>
      <c r="W284" s="12">
        <f t="shared" si="5"/>
        <v>4</v>
      </c>
      <c r="X284" s="12">
        <f t="shared" si="6"/>
        <v>10865.52711</v>
      </c>
      <c r="Y284" s="12">
        <f t="shared" si="7"/>
        <v>7.861777706</v>
      </c>
      <c r="Z284" s="8">
        <f t="shared" si="19"/>
        <v>2067.057878</v>
      </c>
      <c r="AA284" s="8">
        <f t="shared" si="58"/>
        <v>2648</v>
      </c>
      <c r="AB284" s="13">
        <f t="shared" si="9"/>
        <v>0.662</v>
      </c>
      <c r="AC284" s="13">
        <f t="shared" si="10"/>
        <v>1.281047826</v>
      </c>
      <c r="AD284" s="13">
        <f>AA284/vlookup(A284,Max!$A$2:$AP$700,column(Max!$AP$2),false)</f>
        <v>1.471111111</v>
      </c>
      <c r="AE284" s="8">
        <f t="shared" si="11"/>
        <v>484.7948373</v>
      </c>
      <c r="AF284" s="14">
        <f t="shared" si="12"/>
        <v>3.221130427</v>
      </c>
      <c r="AG284" s="14">
        <f t="shared" si="13"/>
        <v>1.831015515</v>
      </c>
      <c r="AH284" s="14">
        <f t="shared" si="14"/>
        <v>1</v>
      </c>
      <c r="AI284" s="14">
        <f t="shared" si="15"/>
        <v>0.9259554583</v>
      </c>
      <c r="AJ284" s="27">
        <f t="shared" si="16"/>
        <v>383</v>
      </c>
      <c r="AK284" s="15" t="str">
        <f t="shared" si="17"/>
        <v>  @CONFIG[HG-3-SL] {
   %cost = 2648
   @cost -= #$../../cost$
  }</v>
      </c>
    </row>
    <row r="285" ht="15.75" customHeight="1">
      <c r="A285" s="16" t="s">
        <v>179</v>
      </c>
      <c r="B285" s="16" t="s">
        <v>177</v>
      </c>
      <c r="C285" s="8">
        <f t="shared" si="1"/>
        <v>117</v>
      </c>
      <c r="D285" s="16">
        <v>1976.0</v>
      </c>
      <c r="E285" s="16" t="b">
        <v>1</v>
      </c>
      <c r="F285" s="16" t="b">
        <v>1</v>
      </c>
      <c r="G285" s="16" t="b">
        <v>0</v>
      </c>
      <c r="H285" s="16" t="b">
        <v>1</v>
      </c>
      <c r="I285" s="16" t="b">
        <v>0</v>
      </c>
      <c r="J285" s="9" t="b">
        <v>0</v>
      </c>
      <c r="K285" s="16">
        <v>500.0</v>
      </c>
      <c r="L285" s="16">
        <v>11.0</v>
      </c>
      <c r="M285" s="16">
        <v>165.0</v>
      </c>
      <c r="N285" s="16">
        <v>64.6</v>
      </c>
      <c r="O285" s="16">
        <v>446.0</v>
      </c>
      <c r="P285" s="16">
        <v>3.7</v>
      </c>
      <c r="Q285" s="16">
        <v>0.997973</v>
      </c>
      <c r="R285" s="16">
        <v>0.99527</v>
      </c>
      <c r="S285" s="19">
        <f t="shared" si="2"/>
        <v>511</v>
      </c>
      <c r="T285" s="19">
        <f t="shared" si="3"/>
        <v>39.92343465</v>
      </c>
      <c r="U285" s="20">
        <f t="shared" si="4"/>
        <v>12.77336293</v>
      </c>
      <c r="V285" s="17">
        <f t="shared" si="60"/>
        <v>825.1592454</v>
      </c>
      <c r="W285" s="21">
        <f t="shared" si="5"/>
        <v>4</v>
      </c>
      <c r="X285" s="21">
        <f t="shared" si="6"/>
        <v>4125.796227</v>
      </c>
      <c r="Y285" s="21">
        <f t="shared" si="7"/>
        <v>63.86681466</v>
      </c>
      <c r="Z285" s="8">
        <f t="shared" si="19"/>
        <v>836.0947407</v>
      </c>
      <c r="AA285" s="8">
        <f t="shared" si="58"/>
        <v>545</v>
      </c>
      <c r="AB285" s="13">
        <f t="shared" si="9"/>
        <v>1.066536204</v>
      </c>
      <c r="AC285" s="13">
        <f t="shared" si="10"/>
        <v>0.6518400051</v>
      </c>
      <c r="AD285" s="13">
        <f>AA285/vlookup(A285,Max!$A$2:$AP$700,column(Max!$AP$2),false)</f>
        <v>2.369565217</v>
      </c>
      <c r="AE285" s="8">
        <f t="shared" si="11"/>
        <v>136.4037756</v>
      </c>
      <c r="AF285" s="14">
        <f t="shared" si="12"/>
        <v>3.251235656</v>
      </c>
      <c r="AG285" s="14">
        <f t="shared" si="13"/>
        <v>1.219571852</v>
      </c>
      <c r="AH285" s="14">
        <f t="shared" si="14"/>
        <v>1</v>
      </c>
      <c r="AI285" s="14">
        <f t="shared" si="15"/>
        <v>1.008233855</v>
      </c>
      <c r="AJ285" s="27">
        <f t="shared" si="16"/>
        <v>117</v>
      </c>
      <c r="AK285" s="15" t="str">
        <f t="shared" si="17"/>
        <v>  @CONFIG[HM-7B+] {
   %cost = 545
   @cost -= #$../../cost$
  }</v>
      </c>
    </row>
    <row r="286" ht="15.75" customHeight="1">
      <c r="A286" s="16" t="s">
        <v>275</v>
      </c>
      <c r="B286" s="16" t="s">
        <v>274</v>
      </c>
      <c r="C286" s="8">
        <f t="shared" si="1"/>
        <v>177</v>
      </c>
      <c r="D286" s="16">
        <v>1976.0</v>
      </c>
      <c r="E286" s="16" t="b">
        <v>1</v>
      </c>
      <c r="F286" s="16" t="b">
        <v>1</v>
      </c>
      <c r="G286" s="16" t="b">
        <v>0</v>
      </c>
      <c r="H286" s="16" t="b">
        <v>0</v>
      </c>
      <c r="I286" s="16" t="b">
        <v>0</v>
      </c>
      <c r="J286" s="9" t="b">
        <v>0</v>
      </c>
      <c r="K286" s="16">
        <v>4300.0</v>
      </c>
      <c r="L286" s="16">
        <v>0.0</v>
      </c>
      <c r="M286" s="16">
        <v>1260.9</v>
      </c>
      <c r="N286" s="16">
        <v>1112.0</v>
      </c>
      <c r="O286" s="16">
        <v>463.0</v>
      </c>
      <c r="P286" s="16">
        <v>20.68</v>
      </c>
      <c r="Q286" s="16">
        <v>0.988281</v>
      </c>
      <c r="R286" s="16">
        <v>0.997656</v>
      </c>
      <c r="S286" s="19">
        <f t="shared" si="2"/>
        <v>4300</v>
      </c>
      <c r="T286" s="19">
        <f t="shared" si="3"/>
        <v>89.92976648</v>
      </c>
      <c r="U286" s="20">
        <f t="shared" si="4"/>
        <v>2.306015452</v>
      </c>
      <c r="V286" s="17">
        <f t="shared" si="60"/>
        <v>2564.289182</v>
      </c>
      <c r="W286" s="21">
        <f t="shared" si="5"/>
        <v>4</v>
      </c>
      <c r="X286" s="21">
        <f t="shared" si="6"/>
        <v>12821.44591</v>
      </c>
      <c r="Y286" s="21">
        <f t="shared" si="7"/>
        <v>11.53007726</v>
      </c>
      <c r="Z286" s="8">
        <f t="shared" si="19"/>
        <v>2579.583806</v>
      </c>
      <c r="AA286" s="8">
        <f t="shared" si="58"/>
        <v>3440</v>
      </c>
      <c r="AB286" s="13">
        <f t="shared" si="9"/>
        <v>0.8</v>
      </c>
      <c r="AC286" s="13">
        <f t="shared" si="10"/>
        <v>1.333548455</v>
      </c>
      <c r="AD286" s="13">
        <f>AA286/vlookup(A286,Max!$A$2:$AP$700,column(Max!$AP$2),false)</f>
        <v>1.011764706</v>
      </c>
      <c r="AE286" s="8">
        <f t="shared" si="11"/>
        <v>404.8330327</v>
      </c>
      <c r="AF286" s="14">
        <f t="shared" si="12"/>
        <v>3.816914098</v>
      </c>
      <c r="AG286" s="14">
        <f t="shared" si="13"/>
        <v>2.183473033</v>
      </c>
      <c r="AH286" s="14">
        <f t="shared" si="14"/>
        <v>1</v>
      </c>
      <c r="AI286" s="14">
        <f t="shared" si="15"/>
        <v>1.019445611</v>
      </c>
      <c r="AJ286" s="27">
        <f t="shared" si="16"/>
        <v>177</v>
      </c>
      <c r="AK286" s="15" t="str">
        <f t="shared" si="17"/>
        <v>  @CONFIG[LR129-P-1] {
   %cost = 3440
   @cost -= #$../../cost$
  }</v>
      </c>
    </row>
    <row r="287" ht="15.75" customHeight="1">
      <c r="A287" s="16" t="s">
        <v>357</v>
      </c>
      <c r="B287" s="16" t="s">
        <v>355</v>
      </c>
      <c r="C287" s="8">
        <f t="shared" si="1"/>
        <v>261</v>
      </c>
      <c r="D287" s="16">
        <v>1976.0</v>
      </c>
      <c r="E287" s="16" t="b">
        <v>1</v>
      </c>
      <c r="F287" s="16" t="b">
        <v>1</v>
      </c>
      <c r="G287" s="16" t="b">
        <v>0</v>
      </c>
      <c r="H287" s="16" t="b">
        <v>1</v>
      </c>
      <c r="I287" s="16" t="b">
        <v>0</v>
      </c>
      <c r="J287" s="9" t="b">
        <v>0</v>
      </c>
      <c r="K287" s="16">
        <v>9200.0</v>
      </c>
      <c r="L287" s="16">
        <v>200.0</v>
      </c>
      <c r="M287" s="16">
        <v>9071.0</v>
      </c>
      <c r="N287" s="16">
        <v>6672.332</v>
      </c>
      <c r="O287" s="16">
        <v>430.0</v>
      </c>
      <c r="P287" s="16">
        <v>6.89</v>
      </c>
      <c r="Q287" s="16">
        <v>0.9999</v>
      </c>
      <c r="R287" s="16">
        <v>0.9999</v>
      </c>
      <c r="S287" s="19">
        <f t="shared" si="2"/>
        <v>9400</v>
      </c>
      <c r="T287" s="19">
        <f t="shared" si="3"/>
        <v>75.00700142</v>
      </c>
      <c r="U287" s="20">
        <f t="shared" si="4"/>
        <v>0.7474039306</v>
      </c>
      <c r="V287" s="17">
        <f t="shared" si="60"/>
        <v>4986.927163</v>
      </c>
      <c r="W287" s="21">
        <f t="shared" si="5"/>
        <v>4</v>
      </c>
      <c r="X287" s="21">
        <f t="shared" si="6"/>
        <v>24934.63582</v>
      </c>
      <c r="Y287" s="21">
        <f t="shared" si="7"/>
        <v>3.737019653</v>
      </c>
      <c r="Z287" s="8">
        <f t="shared" si="19"/>
        <v>5085.668371</v>
      </c>
      <c r="AA287" s="8">
        <f t="shared" si="58"/>
        <v>5175</v>
      </c>
      <c r="AB287" s="13">
        <f t="shared" si="9"/>
        <v>0.5505319149</v>
      </c>
      <c r="AC287" s="13">
        <f t="shared" si="10"/>
        <v>1.017565367</v>
      </c>
      <c r="AD287" s="13">
        <f>AA287/vlookup(A287,Max!$A$2:$AP$700,column(Max!$AP$2),false)</f>
        <v>0.414</v>
      </c>
      <c r="AE287" s="8">
        <f t="shared" si="11"/>
        <v>1282.530679</v>
      </c>
      <c r="AF287" s="14">
        <f t="shared" si="12"/>
        <v>2.80669557</v>
      </c>
      <c r="AG287" s="14">
        <f t="shared" si="13"/>
        <v>1.402688799</v>
      </c>
      <c r="AH287" s="14">
        <f t="shared" si="14"/>
        <v>1</v>
      </c>
      <c r="AI287" s="14">
        <f t="shared" si="15"/>
        <v>1.024931534</v>
      </c>
      <c r="AJ287" s="27">
        <f t="shared" si="16"/>
        <v>261</v>
      </c>
      <c r="AK287" s="15" t="str">
        <f t="shared" si="17"/>
        <v>  @CONFIG[M-1] {
   %cost = 5175
   @cost -= #$../../cost$
  }</v>
      </c>
    </row>
    <row r="288" ht="15.75" customHeight="1">
      <c r="A288" s="7" t="s">
        <v>356</v>
      </c>
      <c r="B288" s="7" t="s">
        <v>355</v>
      </c>
      <c r="C288" s="8">
        <f t="shared" si="1"/>
        <v>108</v>
      </c>
      <c r="D288" s="7">
        <v>1976.0</v>
      </c>
      <c r="E288" s="7" t="b">
        <v>1</v>
      </c>
      <c r="F288" s="7" t="b">
        <v>1</v>
      </c>
      <c r="G288" s="7" t="b">
        <v>0</v>
      </c>
      <c r="H288" s="7" t="b">
        <v>0</v>
      </c>
      <c r="I288" s="7" t="b">
        <v>0</v>
      </c>
      <c r="J288" s="9" t="b">
        <v>0</v>
      </c>
      <c r="K288" s="7">
        <v>9200.0</v>
      </c>
      <c r="L288" s="7">
        <v>500.0</v>
      </c>
      <c r="M288" s="7">
        <v>9071.0</v>
      </c>
      <c r="N288" s="7">
        <v>6948.122</v>
      </c>
      <c r="O288" s="7">
        <v>414.0</v>
      </c>
      <c r="P288" s="7">
        <v>6.89</v>
      </c>
      <c r="Q288" s="7">
        <v>0.9999</v>
      </c>
      <c r="R288" s="7">
        <v>0.9999</v>
      </c>
      <c r="S288" s="10">
        <f t="shared" si="2"/>
        <v>9700</v>
      </c>
      <c r="T288" s="10">
        <f t="shared" si="3"/>
        <v>78.10729393</v>
      </c>
      <c r="U288" s="11">
        <f t="shared" si="4"/>
        <v>0.6983079619</v>
      </c>
      <c r="V288" s="8">
        <f t="shared" si="60"/>
        <v>4851.928913</v>
      </c>
      <c r="W288" s="12">
        <f t="shared" si="5"/>
        <v>4</v>
      </c>
      <c r="X288" s="12">
        <f t="shared" si="6"/>
        <v>24259.64456</v>
      </c>
      <c r="Y288" s="12">
        <f t="shared" si="7"/>
        <v>3.49153981</v>
      </c>
      <c r="Z288" s="8">
        <f t="shared" si="19"/>
        <v>4947.997154</v>
      </c>
      <c r="AA288" s="8">
        <f t="shared" si="58"/>
        <v>5022</v>
      </c>
      <c r="AB288" s="13">
        <f t="shared" si="9"/>
        <v>0.5177319588</v>
      </c>
      <c r="AC288" s="13">
        <f t="shared" si="10"/>
        <v>1.014956121</v>
      </c>
      <c r="AD288" s="13">
        <f>AA288/vlookup(A288,Max!$A$2:$AP$700,column(Max!$AP$2),false)</f>
        <v>0.4185</v>
      </c>
      <c r="AE288" s="8">
        <f t="shared" si="11"/>
        <v>1282.530679</v>
      </c>
      <c r="AF288" s="14">
        <f t="shared" si="12"/>
        <v>2.43257522</v>
      </c>
      <c r="AG288" s="14">
        <f t="shared" si="13"/>
        <v>1.570176375</v>
      </c>
      <c r="AH288" s="14">
        <f t="shared" si="14"/>
        <v>1</v>
      </c>
      <c r="AI288" s="14">
        <f t="shared" si="15"/>
        <v>1.025187812</v>
      </c>
      <c r="AJ288" s="27">
        <f t="shared" si="16"/>
        <v>108</v>
      </c>
      <c r="AK288" s="15" t="str">
        <f t="shared" si="17"/>
        <v>  @CONFIG[M-1SL] {
   %cost = 5022
   @cost -= #$../../cost$
  }</v>
      </c>
    </row>
    <row r="289" ht="15.75" customHeight="1">
      <c r="A289" s="16" t="s">
        <v>64</v>
      </c>
      <c r="B289" s="16" t="s">
        <v>54</v>
      </c>
      <c r="C289" s="8">
        <f t="shared" si="1"/>
        <v>67</v>
      </c>
      <c r="D289" s="16">
        <v>1976.0</v>
      </c>
      <c r="E289" s="16"/>
      <c r="F289" s="16" t="b">
        <v>1</v>
      </c>
      <c r="G289" s="16" t="b">
        <v>0</v>
      </c>
      <c r="H289" s="16" t="b">
        <v>1</v>
      </c>
      <c r="I289" s="16" t="b">
        <v>0</v>
      </c>
      <c r="J289" s="9" t="b">
        <v>0</v>
      </c>
      <c r="K289" s="16">
        <v>150.0</v>
      </c>
      <c r="L289" s="16">
        <v>150.0</v>
      </c>
      <c r="M289" s="16">
        <v>84.3</v>
      </c>
      <c r="N289" s="16">
        <v>53.4</v>
      </c>
      <c r="O289" s="16">
        <v>336.0</v>
      </c>
      <c r="P289" s="16">
        <v>5.17</v>
      </c>
      <c r="Q289" s="16">
        <v>0.9977</v>
      </c>
      <c r="R289" s="16">
        <v>0.9978</v>
      </c>
      <c r="S289" s="19">
        <f t="shared" si="2"/>
        <v>300</v>
      </c>
      <c r="T289" s="19">
        <f t="shared" si="3"/>
        <v>64.59412291</v>
      </c>
      <c r="U289" s="20">
        <f t="shared" si="4"/>
        <v>2.031463285</v>
      </c>
      <c r="V289" s="17">
        <f t="shared" ref="V289:V292" si="61">0.2*(8.17*POWER(M289*P289,0.46))+0.8*(0.146*POWER(M289*O289,0.639))</f>
        <v>108.4801394</v>
      </c>
      <c r="W289" s="21">
        <f t="shared" si="5"/>
        <v>4</v>
      </c>
      <c r="X289" s="21">
        <f t="shared" si="6"/>
        <v>542.4006972</v>
      </c>
      <c r="Y289" s="21">
        <f t="shared" si="7"/>
        <v>10.15731643</v>
      </c>
      <c r="Z289" s="8">
        <f t="shared" si="19"/>
        <v>110.1621305</v>
      </c>
      <c r="AA289" s="8">
        <f t="shared" si="58"/>
        <v>118</v>
      </c>
      <c r="AB289" s="13">
        <f t="shared" si="9"/>
        <v>0.3933333333</v>
      </c>
      <c r="AC289" s="13">
        <f t="shared" si="10"/>
        <v>1.071148492</v>
      </c>
      <c r="AD289" s="13">
        <f>AA289/vlookup(A289,Max!$A$2:$AP$700,column(Max!$AP$2),false)</f>
        <v>1.475</v>
      </c>
      <c r="AE289" s="8">
        <f t="shared" si="11"/>
        <v>68.79455718</v>
      </c>
      <c r="AF289" s="14">
        <f t="shared" si="12"/>
        <v>1.288986506</v>
      </c>
      <c r="AG289" s="14">
        <f t="shared" si="13"/>
        <v>1.314914082</v>
      </c>
      <c r="AH289" s="14">
        <f t="shared" si="14"/>
        <v>1</v>
      </c>
      <c r="AI289" s="14">
        <f t="shared" si="15"/>
        <v>1.013959697</v>
      </c>
      <c r="AJ289" s="27">
        <f t="shared" si="16"/>
        <v>67</v>
      </c>
      <c r="AK289" s="15" t="str">
        <f t="shared" si="17"/>
        <v>  @CONFIG[Model8096C] {
   %cost = 118
   @cost -= #$../../cost$
  }</v>
      </c>
    </row>
    <row r="290" ht="15.75" customHeight="1">
      <c r="A290" s="7" t="s">
        <v>620</v>
      </c>
      <c r="B290" s="7" t="s">
        <v>618</v>
      </c>
      <c r="C290" s="8">
        <f t="shared" si="1"/>
        <v>100</v>
      </c>
      <c r="D290" s="7">
        <v>1976.0</v>
      </c>
      <c r="E290" s="7"/>
      <c r="F290" s="7" t="b">
        <v>1</v>
      </c>
      <c r="G290" s="7" t="b">
        <v>0</v>
      </c>
      <c r="H290" s="7" t="b">
        <v>0</v>
      </c>
      <c r="I290" s="7" t="b">
        <v>0</v>
      </c>
      <c r="J290" s="9" t="b">
        <v>0</v>
      </c>
      <c r="K290" s="7">
        <v>4500.0</v>
      </c>
      <c r="L290" s="7">
        <v>-500.0</v>
      </c>
      <c r="M290" s="7">
        <v>4800.0</v>
      </c>
      <c r="N290" s="7">
        <v>6325.3</v>
      </c>
      <c r="O290" s="7">
        <v>333.0</v>
      </c>
      <c r="P290" s="7">
        <v>20.0</v>
      </c>
      <c r="Q290" s="7">
        <v>0.997966</v>
      </c>
      <c r="R290" s="7">
        <v>0.997966</v>
      </c>
      <c r="S290" s="10">
        <f t="shared" si="2"/>
        <v>4000</v>
      </c>
      <c r="T290" s="10">
        <f t="shared" si="3"/>
        <v>134.375228</v>
      </c>
      <c r="U290" s="11">
        <f t="shared" si="4"/>
        <v>0.220610839</v>
      </c>
      <c r="V290" s="8">
        <f t="shared" si="61"/>
        <v>1395.42974</v>
      </c>
      <c r="W290" s="12">
        <f t="shared" si="5"/>
        <v>4</v>
      </c>
      <c r="X290" s="12">
        <f t="shared" si="6"/>
        <v>6977.148699</v>
      </c>
      <c r="Y290" s="12">
        <f t="shared" si="7"/>
        <v>1.103054195</v>
      </c>
      <c r="Z290" s="8">
        <f t="shared" si="19"/>
        <v>1417.667499</v>
      </c>
      <c r="AA290" s="8">
        <f t="shared" si="58"/>
        <v>2285</v>
      </c>
      <c r="AB290" s="13">
        <f t="shared" si="9"/>
        <v>0.57125</v>
      </c>
      <c r="AC290" s="13">
        <f t="shared" si="10"/>
        <v>1.611802486</v>
      </c>
      <c r="AD290" s="13">
        <f>AA290/vlookup(A290,Max!$A$2:$AP$700,column(Max!$AP$2),false)</f>
        <v>0.7616666667</v>
      </c>
      <c r="AE290" s="8">
        <f t="shared" si="11"/>
        <v>821.8281454</v>
      </c>
      <c r="AF290" s="14">
        <f t="shared" si="12"/>
        <v>1.260715269</v>
      </c>
      <c r="AG290" s="14">
        <f t="shared" si="13"/>
        <v>2.161681326</v>
      </c>
      <c r="AH290" s="14">
        <f t="shared" si="14"/>
        <v>1</v>
      </c>
      <c r="AI290" s="14">
        <f t="shared" si="15"/>
        <v>1.020237722</v>
      </c>
      <c r="AJ290" s="27">
        <f t="shared" si="16"/>
        <v>100</v>
      </c>
      <c r="AK290" s="15" t="str">
        <f t="shared" si="17"/>
        <v>  @CONFIG[RD-116-8D420K] {
   %cost = 2285
   @cost -= #$../../cost$
  }</v>
      </c>
    </row>
    <row r="291" ht="15.75" customHeight="1">
      <c r="A291" s="16" t="s">
        <v>141</v>
      </c>
      <c r="B291" s="16" t="s">
        <v>139</v>
      </c>
      <c r="C291" s="8">
        <f t="shared" si="1"/>
        <v>188</v>
      </c>
      <c r="D291" s="16">
        <v>1977.0</v>
      </c>
      <c r="E291" s="16"/>
      <c r="F291" s="16" t="b">
        <v>1</v>
      </c>
      <c r="G291" s="16" t="b">
        <v>0</v>
      </c>
      <c r="H291" s="16" t="b">
        <v>0</v>
      </c>
      <c r="I291" s="16" t="b">
        <v>0</v>
      </c>
      <c r="J291" s="9" t="b">
        <v>0</v>
      </c>
      <c r="K291" s="16">
        <v>2100.0</v>
      </c>
      <c r="L291" s="16">
        <v>-260.0</v>
      </c>
      <c r="M291" s="16">
        <v>8618.0</v>
      </c>
      <c r="N291" s="16">
        <v>9189.6</v>
      </c>
      <c r="O291" s="16">
        <v>306.2</v>
      </c>
      <c r="P291" s="16">
        <v>8.0</v>
      </c>
      <c r="Q291" s="16">
        <v>0.998</v>
      </c>
      <c r="R291" s="16">
        <v>0.998</v>
      </c>
      <c r="S291" s="19">
        <f t="shared" si="2"/>
        <v>1840</v>
      </c>
      <c r="T291" s="19">
        <f t="shared" si="3"/>
        <v>108.7350207</v>
      </c>
      <c r="U291" s="20">
        <f t="shared" si="4"/>
        <v>0.1911229747</v>
      </c>
      <c r="V291" s="17">
        <f t="shared" si="61"/>
        <v>1756.343688</v>
      </c>
      <c r="W291" s="21">
        <f t="shared" si="5"/>
        <v>4</v>
      </c>
      <c r="X291" s="21">
        <f t="shared" si="6"/>
        <v>8781.71844</v>
      </c>
      <c r="Y291" s="21">
        <f t="shared" si="7"/>
        <v>0.9556148733</v>
      </c>
      <c r="Z291" s="8">
        <f t="shared" si="19"/>
        <v>1784.452212</v>
      </c>
      <c r="AA291" s="8">
        <f t="shared" si="58"/>
        <v>2043</v>
      </c>
      <c r="AB291" s="13">
        <f t="shared" si="9"/>
        <v>1.110326087</v>
      </c>
      <c r="AC291" s="13">
        <f t="shared" si="10"/>
        <v>1.144889163</v>
      </c>
      <c r="AD291" s="13">
        <f>AA291/vlookup(A291,Max!$A$2:$AP$700,column(Max!$AP$2),false)</f>
        <v>0.6008823529</v>
      </c>
      <c r="AE291" s="8">
        <f t="shared" si="11"/>
        <v>1184.681791</v>
      </c>
      <c r="AF291" s="14">
        <f t="shared" si="12"/>
        <v>1.029202987</v>
      </c>
      <c r="AG291" s="14">
        <f t="shared" si="13"/>
        <v>1.642138065</v>
      </c>
      <c r="AH291" s="14">
        <f t="shared" si="14"/>
        <v>1</v>
      </c>
      <c r="AI291" s="14">
        <f t="shared" si="15"/>
        <v>1.020324621</v>
      </c>
      <c r="AJ291" s="27">
        <f t="shared" si="16"/>
        <v>188</v>
      </c>
      <c r="AK291" s="15" t="str">
        <f t="shared" si="17"/>
        <v>  @CONFIG[F-1A] {
   %cost = 2043
   @cost -= #$../../cost$
  }</v>
      </c>
    </row>
    <row r="292" ht="15.75" customHeight="1">
      <c r="A292" s="7" t="s">
        <v>137</v>
      </c>
      <c r="B292" s="7" t="s">
        <v>137</v>
      </c>
      <c r="C292" s="8">
        <f t="shared" si="1"/>
        <v>1969</v>
      </c>
      <c r="D292" s="7">
        <v>1977.0</v>
      </c>
      <c r="E292" s="7"/>
      <c r="F292" s="7" t="b">
        <v>1</v>
      </c>
      <c r="G292" s="7" t="b">
        <v>0</v>
      </c>
      <c r="H292" s="7" t="b">
        <v>0</v>
      </c>
      <c r="I292" s="7" t="b">
        <v>0</v>
      </c>
      <c r="J292" s="9" t="b">
        <v>0</v>
      </c>
      <c r="K292" s="7"/>
      <c r="L292" s="7">
        <v>-800.0</v>
      </c>
      <c r="M292" s="7">
        <v>8390.0</v>
      </c>
      <c r="N292" s="7">
        <v>9189.6</v>
      </c>
      <c r="O292" s="7">
        <v>306.2</v>
      </c>
      <c r="P292" s="7">
        <v>8.0</v>
      </c>
      <c r="Q292" s="7"/>
      <c r="R292" s="7"/>
      <c r="S292" s="10">
        <f t="shared" si="2"/>
        <v>-800</v>
      </c>
      <c r="T292" s="10">
        <f t="shared" si="3"/>
        <v>111.6899176</v>
      </c>
      <c r="U292" s="11">
        <f t="shared" si="4"/>
        <v>0.1880177211</v>
      </c>
      <c r="V292" s="8">
        <f t="shared" si="61"/>
        <v>1727.807649</v>
      </c>
      <c r="W292" s="12">
        <f t="shared" si="5"/>
        <v>4</v>
      </c>
      <c r="X292" s="12">
        <f t="shared" si="6"/>
        <v>8639.038247</v>
      </c>
      <c r="Y292" s="12">
        <f t="shared" si="7"/>
        <v>0.9400886053</v>
      </c>
      <c r="Z292" s="8">
        <f t="shared" si="19"/>
        <v>1727.807649</v>
      </c>
      <c r="AA292" s="8">
        <f t="shared" si="58"/>
        <v>1969</v>
      </c>
      <c r="AB292" s="13">
        <f t="shared" si="9"/>
        <v>-2.46125</v>
      </c>
      <c r="AC292" s="13">
        <f t="shared" si="10"/>
        <v>1.139594445</v>
      </c>
      <c r="AD292" s="13">
        <f>AA292/vlookup(A292,Max!$A$2:$AP$700,column(Max!$AP$2),false)</f>
        <v>0.5048717949</v>
      </c>
      <c r="AE292" s="8">
        <f t="shared" si="11"/>
        <v>1164.964267</v>
      </c>
      <c r="AF292" s="14">
        <f t="shared" si="12"/>
        <v>1.029202987</v>
      </c>
      <c r="AG292" s="14">
        <f t="shared" si="13"/>
        <v>1.642138065</v>
      </c>
      <c r="AH292" s="14">
        <f t="shared" si="14"/>
        <v>1</v>
      </c>
      <c r="AI292" s="14">
        <f t="shared" si="15"/>
        <v>1</v>
      </c>
      <c r="AJ292" s="15">
        <f t="shared" si="16"/>
        <v>0</v>
      </c>
      <c r="AK292" s="15" t="str">
        <f t="shared" si="17"/>
        <v>  @CONFIG[F-1A_ETS] {
   %cost = 1969
   @cost -= #$../../cost$
  }</v>
      </c>
    </row>
    <row r="293" ht="15.75" customHeight="1">
      <c r="A293" s="7" t="s">
        <v>192</v>
      </c>
      <c r="B293" s="7" t="s">
        <v>193</v>
      </c>
      <c r="C293" s="8">
        <f t="shared" si="1"/>
        <v>2020</v>
      </c>
      <c r="D293" s="7">
        <v>1977.0</v>
      </c>
      <c r="E293" s="7" t="b">
        <v>1</v>
      </c>
      <c r="F293" s="7" t="b">
        <v>1</v>
      </c>
      <c r="G293" s="7" t="b">
        <v>0</v>
      </c>
      <c r="H293" s="7" t="b">
        <v>1</v>
      </c>
      <c r="I293" s="7" t="b">
        <v>0</v>
      </c>
      <c r="J293" s="9" t="b">
        <v>0</v>
      </c>
      <c r="K293" s="7">
        <v>2235.0</v>
      </c>
      <c r="L293" s="7">
        <v>0.0</v>
      </c>
      <c r="M293" s="7">
        <v>1511.0</v>
      </c>
      <c r="N293" s="7">
        <v>889.3</v>
      </c>
      <c r="O293" s="7">
        <v>442.0</v>
      </c>
      <c r="P293" s="7">
        <v>6.89</v>
      </c>
      <c r="Q293" s="7">
        <v>0.9999</v>
      </c>
      <c r="R293" s="7">
        <v>0.9999</v>
      </c>
      <c r="S293" s="10">
        <f t="shared" si="2"/>
        <v>2235</v>
      </c>
      <c r="T293" s="10">
        <f t="shared" si="3"/>
        <v>60.01546165</v>
      </c>
      <c r="U293" s="11">
        <f t="shared" si="4"/>
        <v>1.774807479</v>
      </c>
      <c r="V293" s="8">
        <f t="shared" ref="V293:V294" si="62">0.9*(0.00015*M293*O293*P293+797)+0.1*(43.1*POWER(M293,0.549))</f>
        <v>1578.336291</v>
      </c>
      <c r="W293" s="12">
        <f t="shared" si="5"/>
        <v>4</v>
      </c>
      <c r="X293" s="12">
        <f t="shared" si="6"/>
        <v>7891.681457</v>
      </c>
      <c r="Y293" s="12">
        <f t="shared" si="7"/>
        <v>8.874037397</v>
      </c>
      <c r="Z293" s="8">
        <f t="shared" si="19"/>
        <v>1609.587366</v>
      </c>
      <c r="AA293" s="8">
        <f t="shared" si="58"/>
        <v>2020</v>
      </c>
      <c r="AB293" s="13">
        <f t="shared" si="9"/>
        <v>0.903803132</v>
      </c>
      <c r="AC293" s="13">
        <f t="shared" si="10"/>
        <v>1.25498003</v>
      </c>
      <c r="AD293" s="13">
        <f>AA293/vlookup(A293,Max!$A$2:$AP$700,column(Max!$AP$2),false)</f>
        <v>0.7481481481</v>
      </c>
      <c r="AE293" s="8">
        <f t="shared" si="11"/>
        <v>448.4219347</v>
      </c>
      <c r="AF293" s="14">
        <f t="shared" si="12"/>
        <v>3.132759025</v>
      </c>
      <c r="AG293" s="14">
        <f t="shared" si="13"/>
        <v>1.402688799</v>
      </c>
      <c r="AH293" s="14">
        <f t="shared" si="14"/>
        <v>1</v>
      </c>
      <c r="AI293" s="14">
        <f t="shared" si="15"/>
        <v>1.024931534</v>
      </c>
      <c r="AJ293" s="15">
        <f t="shared" si="16"/>
        <v>0</v>
      </c>
      <c r="AK293" s="15" t="str">
        <f t="shared" si="17"/>
        <v>  @CONFIG[J-2T-200k] {
   %cost = 2020
   @cost -= #$../../cost$
  }</v>
      </c>
    </row>
    <row r="294" ht="15.75" customHeight="1">
      <c r="A294" s="16" t="s">
        <v>230</v>
      </c>
      <c r="B294" s="16" t="s">
        <v>229</v>
      </c>
      <c r="C294" s="8">
        <f t="shared" si="1"/>
        <v>60</v>
      </c>
      <c r="D294" s="16">
        <v>1977.0</v>
      </c>
      <c r="E294" s="16" t="b">
        <v>1</v>
      </c>
      <c r="F294" s="16" t="b">
        <v>1</v>
      </c>
      <c r="G294" s="16" t="b">
        <v>0</v>
      </c>
      <c r="H294" s="16" t="b">
        <v>1</v>
      </c>
      <c r="I294" s="16" t="b">
        <v>0</v>
      </c>
      <c r="J294" s="9" t="b">
        <v>0</v>
      </c>
      <c r="K294" s="16">
        <v>650.0</v>
      </c>
      <c r="L294" s="16">
        <v>0.0</v>
      </c>
      <c r="M294" s="16">
        <v>165.0</v>
      </c>
      <c r="N294" s="16">
        <v>73.6</v>
      </c>
      <c r="O294" s="16">
        <v>461.5</v>
      </c>
      <c r="P294" s="16">
        <v>5.88</v>
      </c>
      <c r="Q294" s="16">
        <v>0.98125</v>
      </c>
      <c r="R294" s="16">
        <v>0.97</v>
      </c>
      <c r="S294" s="19">
        <f t="shared" si="2"/>
        <v>650</v>
      </c>
      <c r="T294" s="19">
        <f t="shared" si="3"/>
        <v>45.48552306</v>
      </c>
      <c r="U294" s="20">
        <f t="shared" si="4"/>
        <v>11.53324628</v>
      </c>
      <c r="V294" s="17">
        <f t="shared" si="62"/>
        <v>848.8469259</v>
      </c>
      <c r="W294" s="21">
        <f t="shared" si="5"/>
        <v>4</v>
      </c>
      <c r="X294" s="21">
        <f t="shared" si="6"/>
        <v>4244.234629</v>
      </c>
      <c r="Y294" s="21">
        <f t="shared" si="7"/>
        <v>57.66623138</v>
      </c>
      <c r="Z294" s="8">
        <f t="shared" si="19"/>
        <v>824.9200532</v>
      </c>
      <c r="AA294" s="45">
        <v>540.0</v>
      </c>
      <c r="AB294" s="13">
        <f t="shared" si="9"/>
        <v>0.8307692308</v>
      </c>
      <c r="AC294" s="13">
        <f t="shared" si="10"/>
        <v>0.6546088896</v>
      </c>
      <c r="AD294" s="13">
        <f>AA294/vlookup(A294,Max!$A$2:$AP$700,column(Max!$AP$2),false)</f>
        <v>1.928571429</v>
      </c>
      <c r="AE294" s="8">
        <f t="shared" si="11"/>
        <v>136.4037756</v>
      </c>
      <c r="AF294" s="14">
        <f t="shared" si="12"/>
        <v>3.762633228</v>
      </c>
      <c r="AG294" s="14">
        <f t="shared" si="13"/>
        <v>1.353542518</v>
      </c>
      <c r="AH294" s="14">
        <f t="shared" si="14"/>
        <v>1</v>
      </c>
      <c r="AI294" s="14">
        <f t="shared" si="15"/>
        <v>0.9063386981</v>
      </c>
      <c r="AJ294" s="27">
        <f t="shared" si="16"/>
        <v>60</v>
      </c>
      <c r="AK294" s="15" t="str">
        <f t="shared" si="17"/>
        <v>  @CONFIG[KVD-1] {
   %cost = 540
   @cost -= #$../../cost$
  }</v>
      </c>
    </row>
    <row r="295" ht="15.75" customHeight="1">
      <c r="A295" s="7" t="s">
        <v>476</v>
      </c>
      <c r="B295" s="7" t="s">
        <v>474</v>
      </c>
      <c r="C295" s="8">
        <f t="shared" si="1"/>
        <v>-39</v>
      </c>
      <c r="D295" s="7">
        <v>1977.0</v>
      </c>
      <c r="E295" s="7"/>
      <c r="F295" s="7" t="b">
        <v>1</v>
      </c>
      <c r="G295" s="7" t="b">
        <v>0</v>
      </c>
      <c r="H295" s="7" t="b">
        <v>1</v>
      </c>
      <c r="I295" s="7" t="b">
        <v>0</v>
      </c>
      <c r="J295" s="9" t="b">
        <v>0</v>
      </c>
      <c r="K295" s="7">
        <v>300.0</v>
      </c>
      <c r="L295" s="7">
        <v>15.0</v>
      </c>
      <c r="M295" s="7">
        <v>566.0</v>
      </c>
      <c r="N295" s="7">
        <v>600.0</v>
      </c>
      <c r="O295" s="7">
        <v>327.3</v>
      </c>
      <c r="P295" s="7">
        <v>14.7</v>
      </c>
      <c r="Q295" s="7">
        <v>0.999762</v>
      </c>
      <c r="R295" s="7">
        <v>0.999128</v>
      </c>
      <c r="S295" s="10">
        <f t="shared" si="2"/>
        <v>315</v>
      </c>
      <c r="T295" s="10">
        <f t="shared" si="3"/>
        <v>108.0971247</v>
      </c>
      <c r="U295" s="11">
        <f t="shared" si="4"/>
        <v>0.6253897759</v>
      </c>
      <c r="V295" s="8">
        <f t="shared" ref="V295:V302" si="63">0.2*(8.17*POWER(M295*P295,0.46))+0.8*(0.146*POWER(M295*O295,0.639))</f>
        <v>375.2338656</v>
      </c>
      <c r="W295" s="12">
        <f t="shared" si="5"/>
        <v>4</v>
      </c>
      <c r="X295" s="12">
        <f t="shared" si="6"/>
        <v>1876.169328</v>
      </c>
      <c r="Y295" s="12">
        <f t="shared" si="7"/>
        <v>3.12694888</v>
      </c>
      <c r="Z295" s="8">
        <f t="shared" si="19"/>
        <v>382.3221111</v>
      </c>
      <c r="AA295" s="8">
        <f t="shared" ref="AA295:AA339" si="64">round(AE295*AF295*AG295*AH295*AI295,0)</f>
        <v>450</v>
      </c>
      <c r="AB295" s="13">
        <f t="shared" si="9"/>
        <v>1.428571429</v>
      </c>
      <c r="AC295" s="13">
        <f t="shared" si="10"/>
        <v>1.177017983</v>
      </c>
      <c r="AD295" s="13">
        <f>AA295/vlookup(A295,Max!$A$2:$AP$700,column(Max!$AP$2),false)</f>
        <v>1.451612903</v>
      </c>
      <c r="AE295" s="8">
        <f t="shared" si="11"/>
        <v>218.9081752</v>
      </c>
      <c r="AF295" s="14">
        <f t="shared" si="12"/>
        <v>1.209298755</v>
      </c>
      <c r="AG295" s="14">
        <f t="shared" si="13"/>
        <v>1.663444841</v>
      </c>
      <c r="AH295" s="14">
        <f t="shared" si="14"/>
        <v>1</v>
      </c>
      <c r="AI295" s="14">
        <f t="shared" si="15"/>
        <v>1.022601446</v>
      </c>
      <c r="AJ295" s="27">
        <f t="shared" si="16"/>
        <v>-39</v>
      </c>
      <c r="AK295" s="15" t="str">
        <f t="shared" si="17"/>
        <v>  @CONFIG[RD-0210-Mk2] {
   %cost = 450
   @cost -= #$../../cost$
  }</v>
      </c>
    </row>
    <row r="296" ht="15.75" customHeight="1">
      <c r="A296" s="7" t="s">
        <v>481</v>
      </c>
      <c r="B296" s="7" t="s">
        <v>479</v>
      </c>
      <c r="C296" s="8">
        <f t="shared" si="1"/>
        <v>41</v>
      </c>
      <c r="D296" s="7">
        <v>1977.0</v>
      </c>
      <c r="E296" s="7"/>
      <c r="F296" s="7" t="b">
        <v>1</v>
      </c>
      <c r="G296" s="7" t="b">
        <v>0</v>
      </c>
      <c r="H296" s="7" t="b">
        <v>1</v>
      </c>
      <c r="I296" s="7" t="b">
        <v>0</v>
      </c>
      <c r="J296" s="9" t="b">
        <v>0</v>
      </c>
      <c r="K296" s="7">
        <v>300.0</v>
      </c>
      <c r="L296" s="7">
        <v>15.0</v>
      </c>
      <c r="M296" s="7">
        <f>550+90</f>
        <v>640</v>
      </c>
      <c r="N296" s="7">
        <f>594+30.98</f>
        <v>624.98</v>
      </c>
      <c r="O296" s="7">
        <v>325.3</v>
      </c>
      <c r="P296" s="7">
        <v>14.71</v>
      </c>
      <c r="Q296" s="7">
        <v>0.998951</v>
      </c>
      <c r="R296" s="7">
        <v>0.997552</v>
      </c>
      <c r="S296" s="10">
        <f t="shared" si="2"/>
        <v>315</v>
      </c>
      <c r="T296" s="10">
        <f t="shared" si="3"/>
        <v>99.57847452</v>
      </c>
      <c r="U296" s="11">
        <f t="shared" si="4"/>
        <v>0.6437423962</v>
      </c>
      <c r="V296" s="8">
        <f t="shared" si="63"/>
        <v>402.3261228</v>
      </c>
      <c r="W296" s="12">
        <f t="shared" si="5"/>
        <v>4</v>
      </c>
      <c r="X296" s="12">
        <f t="shared" si="6"/>
        <v>2011.630614</v>
      </c>
      <c r="Y296" s="12">
        <f t="shared" si="7"/>
        <v>3.218711981</v>
      </c>
      <c r="Z296" s="8">
        <f t="shared" si="19"/>
        <v>408.9667439</v>
      </c>
      <c r="AA296" s="8">
        <f t="shared" si="64"/>
        <v>476</v>
      </c>
      <c r="AB296" s="13">
        <f t="shared" si="9"/>
        <v>1.511111111</v>
      </c>
      <c r="AC296" s="13">
        <f t="shared" si="10"/>
        <v>1.163908819</v>
      </c>
      <c r="AD296" s="13">
        <f>AA296/vlookup(A296,Max!$A$2:$AP$700,column(Max!$AP$2),false)</f>
        <v>1.64137931</v>
      </c>
      <c r="AE296" s="8">
        <f t="shared" si="11"/>
        <v>236.0566489</v>
      </c>
      <c r="AF296" s="14">
        <f t="shared" si="12"/>
        <v>1.191945534</v>
      </c>
      <c r="AG296" s="14">
        <f t="shared" si="13"/>
        <v>1.663699383</v>
      </c>
      <c r="AH296" s="14">
        <f t="shared" si="14"/>
        <v>1</v>
      </c>
      <c r="AI296" s="14">
        <f t="shared" si="15"/>
        <v>1.016509256</v>
      </c>
      <c r="AJ296" s="27">
        <f t="shared" si="16"/>
        <v>41</v>
      </c>
      <c r="AK296" s="15" t="str">
        <f t="shared" si="17"/>
        <v>  @CONFIG[RD-0212-Mk2] {
   %cost = 476
   @cost -= #$../../cost$
  }</v>
      </c>
    </row>
    <row r="297" ht="15.75" customHeight="1">
      <c r="A297" s="7" t="s">
        <v>486</v>
      </c>
      <c r="B297" s="7" t="s">
        <v>484</v>
      </c>
      <c r="C297" s="8">
        <f t="shared" si="1"/>
        <v>22</v>
      </c>
      <c r="D297" s="7">
        <v>1977.0</v>
      </c>
      <c r="E297" s="7"/>
      <c r="F297" s="7" t="b">
        <v>1</v>
      </c>
      <c r="G297" s="7" t="b">
        <v>0</v>
      </c>
      <c r="H297" s="7" t="b">
        <v>1</v>
      </c>
      <c r="I297" s="7" t="b">
        <v>0</v>
      </c>
      <c r="J297" s="9" t="b">
        <v>0</v>
      </c>
      <c r="K297" s="7">
        <v>260.0</v>
      </c>
      <c r="L297" s="7">
        <v>15.0</v>
      </c>
      <c r="M297" s="7">
        <v>550.0</v>
      </c>
      <c r="N297" s="7">
        <v>594.0</v>
      </c>
      <c r="O297" s="7">
        <v>327.0</v>
      </c>
      <c r="P297" s="7">
        <v>14.71</v>
      </c>
      <c r="Q297" s="7">
        <v>0.999474</v>
      </c>
      <c r="R297" s="7">
        <v>0.998772</v>
      </c>
      <c r="S297" s="10">
        <f t="shared" si="2"/>
        <v>275</v>
      </c>
      <c r="T297" s="10">
        <f t="shared" si="3"/>
        <v>110.1293507</v>
      </c>
      <c r="U297" s="11">
        <f t="shared" si="4"/>
        <v>0.6209117963</v>
      </c>
      <c r="V297" s="8">
        <f t="shared" si="63"/>
        <v>368.821607</v>
      </c>
      <c r="W297" s="12">
        <f t="shared" si="5"/>
        <v>4</v>
      </c>
      <c r="X297" s="12">
        <f t="shared" si="6"/>
        <v>1844.108035</v>
      </c>
      <c r="Y297" s="12">
        <f t="shared" si="7"/>
        <v>3.104558981</v>
      </c>
      <c r="Z297" s="8">
        <f t="shared" si="19"/>
        <v>375.5513642</v>
      </c>
      <c r="AA297" s="8">
        <f t="shared" si="64"/>
        <v>441</v>
      </c>
      <c r="AB297" s="13">
        <f t="shared" si="9"/>
        <v>1.603636364</v>
      </c>
      <c r="AC297" s="13">
        <f t="shared" si="10"/>
        <v>1.17427346</v>
      </c>
      <c r="AD297" s="13">
        <f>AA297/vlookup(A297,Max!$A$2:$AP$700,column(Max!$AP$2),false)</f>
        <v>1.47</v>
      </c>
      <c r="AE297" s="8">
        <f t="shared" si="11"/>
        <v>215.091411</v>
      </c>
      <c r="AF297" s="14">
        <f t="shared" si="12"/>
        <v>1.206673473</v>
      </c>
      <c r="AG297" s="14">
        <f t="shared" si="13"/>
        <v>1.663699383</v>
      </c>
      <c r="AH297" s="14">
        <f t="shared" si="14"/>
        <v>1</v>
      </c>
      <c r="AI297" s="14">
        <f t="shared" si="15"/>
        <v>1.020955146</v>
      </c>
      <c r="AJ297" s="27">
        <f t="shared" si="16"/>
        <v>22</v>
      </c>
      <c r="AK297" s="15" t="str">
        <f t="shared" si="17"/>
        <v>  @CONFIG[RD-0213-Mk2] {
   %cost = 441
   @cost -= #$../../cost$
  }</v>
      </c>
    </row>
    <row r="298" ht="15.75" customHeight="1">
      <c r="A298" s="16" t="s">
        <v>598</v>
      </c>
      <c r="B298" s="16" t="s">
        <v>596</v>
      </c>
      <c r="C298" s="8">
        <f t="shared" si="1"/>
        <v>5</v>
      </c>
      <c r="D298" s="16">
        <v>1977.0</v>
      </c>
      <c r="E298" s="16"/>
      <c r="F298" s="16" t="b">
        <v>1</v>
      </c>
      <c r="G298" s="16" t="b">
        <v>0</v>
      </c>
      <c r="H298" s="16" t="b">
        <v>0</v>
      </c>
      <c r="I298" s="16" t="b">
        <v>0</v>
      </c>
      <c r="J298" s="9" t="b">
        <v>0</v>
      </c>
      <c r="K298" s="16">
        <v>515.0</v>
      </c>
      <c r="L298" s="16">
        <v>75.0</v>
      </c>
      <c r="M298" s="16">
        <v>1080.0</v>
      </c>
      <c r="N298" s="16">
        <v>1698.0</v>
      </c>
      <c r="O298" s="16">
        <v>316.0</v>
      </c>
      <c r="P298" s="16">
        <v>14.71</v>
      </c>
      <c r="Q298" s="16">
        <v>0.999251</v>
      </c>
      <c r="R298" s="16">
        <v>0.999251</v>
      </c>
      <c r="S298" s="19">
        <f t="shared" si="2"/>
        <v>590</v>
      </c>
      <c r="T298" s="19">
        <f t="shared" si="3"/>
        <v>160.3220486</v>
      </c>
      <c r="U298" s="20">
        <f t="shared" si="4"/>
        <v>0.3185106078</v>
      </c>
      <c r="V298" s="17">
        <f t="shared" si="63"/>
        <v>540.831012</v>
      </c>
      <c r="W298" s="21">
        <f t="shared" si="5"/>
        <v>4</v>
      </c>
      <c r="X298" s="21">
        <f t="shared" si="6"/>
        <v>2704.15506</v>
      </c>
      <c r="Y298" s="21">
        <f t="shared" si="7"/>
        <v>1.592553039</v>
      </c>
      <c r="Z298" s="8">
        <f t="shared" si="19"/>
        <v>550.8377708</v>
      </c>
      <c r="AA298" s="8">
        <f t="shared" si="64"/>
        <v>733</v>
      </c>
      <c r="AB298" s="13">
        <f t="shared" si="9"/>
        <v>1.242372881</v>
      </c>
      <c r="AC298" s="13">
        <f t="shared" si="10"/>
        <v>1.330700324</v>
      </c>
      <c r="AD298" s="13">
        <f>AA298/vlookup(A298,Max!$A$2:$AP$700,column(Max!$AP$2),false)</f>
        <v>0.9278481013</v>
      </c>
      <c r="AE298" s="8">
        <f t="shared" si="11"/>
        <v>325.7508777</v>
      </c>
      <c r="AF298" s="14">
        <f t="shared" si="12"/>
        <v>1.115677507</v>
      </c>
      <c r="AG298" s="14">
        <f t="shared" si="13"/>
        <v>1.971362423</v>
      </c>
      <c r="AH298" s="14">
        <f t="shared" si="14"/>
        <v>1</v>
      </c>
      <c r="AI298" s="14">
        <f t="shared" si="15"/>
        <v>1.023525088</v>
      </c>
      <c r="AJ298" s="27">
        <f t="shared" si="16"/>
        <v>5</v>
      </c>
      <c r="AK298" s="15" t="str">
        <f t="shared" si="17"/>
        <v>  @CONFIG[RD-253-Mk3] {
   %cost = 733
   @cost -= #$../../cost$
  }</v>
      </c>
    </row>
    <row r="299" ht="15.75" customHeight="1">
      <c r="A299" s="7" t="s">
        <v>656</v>
      </c>
      <c r="B299" s="7" t="s">
        <v>657</v>
      </c>
      <c r="C299" s="8">
        <f t="shared" si="1"/>
        <v>163</v>
      </c>
      <c r="D299" s="7">
        <v>1977.0</v>
      </c>
      <c r="E299" s="7"/>
      <c r="F299" s="7" t="b">
        <v>1</v>
      </c>
      <c r="G299" s="7" t="b">
        <v>0</v>
      </c>
      <c r="H299" s="7" t="b">
        <v>1</v>
      </c>
      <c r="I299" s="7" t="b">
        <v>0</v>
      </c>
      <c r="J299" s="9" t="b">
        <v>0</v>
      </c>
      <c r="K299" s="7">
        <v>50.0</v>
      </c>
      <c r="L299" s="7">
        <v>0.0</v>
      </c>
      <c r="M299" s="7">
        <v>199.0</v>
      </c>
      <c r="N299" s="7">
        <v>20.2</v>
      </c>
      <c r="O299" s="7">
        <v>316.0</v>
      </c>
      <c r="P299" s="7">
        <v>4.1</v>
      </c>
      <c r="Q299" s="7">
        <v>0.999694</v>
      </c>
      <c r="R299" s="7">
        <v>0.994262</v>
      </c>
      <c r="S299" s="10">
        <f t="shared" si="2"/>
        <v>50</v>
      </c>
      <c r="T299" s="10">
        <f t="shared" si="3"/>
        <v>10.35088816</v>
      </c>
      <c r="U299" s="11">
        <f t="shared" si="4"/>
        <v>8.502395882</v>
      </c>
      <c r="V299" s="8">
        <f t="shared" si="63"/>
        <v>171.7483968</v>
      </c>
      <c r="W299" s="12">
        <f t="shared" si="5"/>
        <v>4</v>
      </c>
      <c r="X299" s="12">
        <f t="shared" si="6"/>
        <v>858.7419841</v>
      </c>
      <c r="Y299" s="12">
        <f t="shared" si="7"/>
        <v>42.51197941</v>
      </c>
      <c r="Z299" s="8">
        <f t="shared" si="19"/>
        <v>174.145619</v>
      </c>
      <c r="AA299" s="8">
        <f t="shared" si="64"/>
        <v>163</v>
      </c>
      <c r="AB299" s="13">
        <f t="shared" si="9"/>
        <v>3.26</v>
      </c>
      <c r="AC299" s="13">
        <f t="shared" si="10"/>
        <v>0.9359982808</v>
      </c>
      <c r="AD299" s="13">
        <f>AA299/vlookup(A299,Max!$A$2:$AP$700,column(Max!$AP$2),false)</f>
        <v>6.791666667</v>
      </c>
      <c r="AE299" s="8">
        <f t="shared" si="11"/>
        <v>115.6433045</v>
      </c>
      <c r="AF299" s="14">
        <f t="shared" si="12"/>
        <v>1.115677507</v>
      </c>
      <c r="AG299" s="14">
        <f t="shared" si="13"/>
        <v>1.248068355</v>
      </c>
      <c r="AH299" s="14">
        <f t="shared" si="14"/>
        <v>1</v>
      </c>
      <c r="AI299" s="14">
        <f t="shared" si="15"/>
        <v>1.010024319</v>
      </c>
      <c r="AJ299" s="15">
        <f t="shared" si="16"/>
        <v>0</v>
      </c>
      <c r="AK299" s="15" t="str">
        <f t="shared" si="17"/>
        <v>  @CONFIG[RD-864-15D177] {
   %cost = 163
   @cost -= #$../../cost$
  }</v>
      </c>
    </row>
    <row r="300" ht="15.75" customHeight="1">
      <c r="A300" s="7" t="s">
        <v>1032</v>
      </c>
      <c r="B300" s="7" t="s">
        <v>430</v>
      </c>
      <c r="C300" s="8">
        <f t="shared" si="1"/>
        <v>14</v>
      </c>
      <c r="D300" s="7">
        <v>1978.0</v>
      </c>
      <c r="E300" s="7"/>
      <c r="F300" s="7" t="b">
        <v>0</v>
      </c>
      <c r="G300" s="7" t="b">
        <v>0</v>
      </c>
      <c r="H300" s="7" t="b">
        <v>1</v>
      </c>
      <c r="I300" s="7" t="b">
        <v>0</v>
      </c>
      <c r="J300" s="9" t="b">
        <v>0</v>
      </c>
      <c r="K300" s="7"/>
      <c r="L300" s="7">
        <v>0.0</v>
      </c>
      <c r="M300" s="7">
        <v>5.2</v>
      </c>
      <c r="N300" s="7">
        <v>0.445</v>
      </c>
      <c r="O300" s="7">
        <v>320.6</v>
      </c>
      <c r="P300" s="7">
        <v>0.94</v>
      </c>
      <c r="Q300" s="7">
        <v>0.999758</v>
      </c>
      <c r="R300" s="7">
        <v>0.99967</v>
      </c>
      <c r="S300" s="10">
        <f t="shared" si="2"/>
        <v>0</v>
      </c>
      <c r="T300" s="10">
        <f t="shared" si="3"/>
        <v>8.726417566</v>
      </c>
      <c r="U300" s="11">
        <f t="shared" si="4"/>
        <v>37.67410444</v>
      </c>
      <c r="V300" s="8">
        <f t="shared" si="63"/>
        <v>16.76497648</v>
      </c>
      <c r="W300" s="12">
        <f t="shared" si="5"/>
        <v>1.75</v>
      </c>
      <c r="X300" s="12">
        <f t="shared" si="6"/>
        <v>46.10368531</v>
      </c>
      <c r="Y300" s="12">
        <f t="shared" si="7"/>
        <v>103.6037872</v>
      </c>
      <c r="Z300" s="8">
        <f t="shared" si="19"/>
        <v>17.09068778</v>
      </c>
      <c r="AA300" s="8">
        <f t="shared" si="64"/>
        <v>14</v>
      </c>
      <c r="AB300" s="13" t="str">
        <f t="shared" si="9"/>
        <v>#N/A</v>
      </c>
      <c r="AC300" s="13">
        <f t="shared" si="10"/>
        <v>0.8191595436</v>
      </c>
      <c r="AD300" s="13">
        <f>AA300/vlookup(A300,Max!$A$2:$AP$700,column(Max!$AP$2),false)</f>
        <v>1.217391304</v>
      </c>
      <c r="AE300" s="8">
        <f t="shared" si="11"/>
        <v>13.23004526</v>
      </c>
      <c r="AF300" s="14">
        <f t="shared" si="12"/>
        <v>1.152512198</v>
      </c>
      <c r="AG300" s="14">
        <f t="shared" si="13"/>
        <v>0.896016013</v>
      </c>
      <c r="AH300" s="14">
        <f t="shared" si="14"/>
        <v>1</v>
      </c>
      <c r="AI300" s="14">
        <f t="shared" si="15"/>
        <v>1.023978602</v>
      </c>
      <c r="AJ300" s="15">
        <f t="shared" si="16"/>
        <v>0</v>
      </c>
      <c r="AK300" s="15" t="str">
        <f t="shared" si="17"/>
        <v>  @CONFIG[R-4D-15-300] {
   %cost = 14
   @cost -= #$../../cost$
  }</v>
      </c>
    </row>
    <row r="301" ht="15.75" customHeight="1">
      <c r="A301" s="16" t="s">
        <v>1033</v>
      </c>
      <c r="B301" s="16" t="s">
        <v>430</v>
      </c>
      <c r="C301" s="8">
        <f t="shared" si="1"/>
        <v>1</v>
      </c>
      <c r="D301" s="16">
        <v>1978.0</v>
      </c>
      <c r="E301" s="16"/>
      <c r="F301" s="16" t="b">
        <v>0</v>
      </c>
      <c r="G301" s="16" t="b">
        <v>0</v>
      </c>
      <c r="H301" s="16" t="b">
        <v>1</v>
      </c>
      <c r="I301" s="16" t="b">
        <v>0</v>
      </c>
      <c r="J301" s="9" t="b">
        <v>0</v>
      </c>
      <c r="K301" s="16"/>
      <c r="L301" s="16">
        <v>0.0</v>
      </c>
      <c r="M301" s="16">
        <v>5.2</v>
      </c>
      <c r="N301" s="16">
        <v>0.445</v>
      </c>
      <c r="O301" s="16">
        <v>326.0</v>
      </c>
      <c r="P301" s="16">
        <v>0.94</v>
      </c>
      <c r="Q301" s="16">
        <v>0.999758</v>
      </c>
      <c r="R301" s="16">
        <v>0.99967</v>
      </c>
      <c r="S301" s="19">
        <f t="shared" si="2"/>
        <v>0</v>
      </c>
      <c r="T301" s="19">
        <f t="shared" si="3"/>
        <v>8.726417566</v>
      </c>
      <c r="U301" s="20">
        <f t="shared" si="4"/>
        <v>37.99661089</v>
      </c>
      <c r="V301" s="17">
        <f t="shared" si="63"/>
        <v>16.90849185</v>
      </c>
      <c r="W301" s="21">
        <f t="shared" si="5"/>
        <v>1.75</v>
      </c>
      <c r="X301" s="21">
        <f t="shared" si="6"/>
        <v>46.49835258</v>
      </c>
      <c r="Y301" s="21">
        <f t="shared" si="7"/>
        <v>104.49068</v>
      </c>
      <c r="Z301" s="8">
        <f t="shared" si="19"/>
        <v>17.23699138</v>
      </c>
      <c r="AA301" s="8">
        <f t="shared" si="64"/>
        <v>15</v>
      </c>
      <c r="AB301" s="13" t="str">
        <f t="shared" si="9"/>
        <v>#N/A</v>
      </c>
      <c r="AC301" s="13">
        <f t="shared" si="10"/>
        <v>0.8702214715</v>
      </c>
      <c r="AD301" s="13">
        <f>AA301/vlookup(A301,Max!$A$2:$AP$700,column(Max!$AP$2),false)</f>
        <v>1.363636364</v>
      </c>
      <c r="AE301" s="8">
        <f t="shared" si="11"/>
        <v>13.23004526</v>
      </c>
      <c r="AF301" s="14">
        <f t="shared" si="12"/>
        <v>1.197979511</v>
      </c>
      <c r="AG301" s="14">
        <f t="shared" si="13"/>
        <v>0.896016013</v>
      </c>
      <c r="AH301" s="14">
        <f t="shared" si="14"/>
        <v>1</v>
      </c>
      <c r="AI301" s="14">
        <f t="shared" si="15"/>
        <v>1.023978602</v>
      </c>
      <c r="AJ301" s="27">
        <f t="shared" si="16"/>
        <v>1</v>
      </c>
      <c r="AK301" s="15" t="str">
        <f t="shared" si="17"/>
        <v>  @CONFIG[R-4D-15DM-300] {
   %cost = 15
   @cost -= #$../../cost$
  }</v>
      </c>
    </row>
    <row r="302" ht="15.75" customHeight="1">
      <c r="A302" s="7" t="s">
        <v>615</v>
      </c>
      <c r="B302" s="7" t="s">
        <v>614</v>
      </c>
      <c r="C302" s="8">
        <f t="shared" si="1"/>
        <v>-39</v>
      </c>
      <c r="D302" s="7">
        <v>1978.0</v>
      </c>
      <c r="E302" s="7"/>
      <c r="F302" s="7" t="b">
        <v>1</v>
      </c>
      <c r="G302" s="7" t="b">
        <v>0</v>
      </c>
      <c r="H302" s="7" t="b">
        <v>0</v>
      </c>
      <c r="I302" s="7" t="b">
        <v>0</v>
      </c>
      <c r="J302" s="9" t="b">
        <v>0</v>
      </c>
      <c r="K302" s="7">
        <v>445.0</v>
      </c>
      <c r="L302" s="7">
        <v>0.0</v>
      </c>
      <c r="M302" s="7">
        <v>770.0</v>
      </c>
      <c r="N302" s="7">
        <v>1235.7</v>
      </c>
      <c r="O302" s="7">
        <v>318.5</v>
      </c>
      <c r="P302" s="7">
        <v>22.55</v>
      </c>
      <c r="Q302" s="7">
        <v>0.996957</v>
      </c>
      <c r="R302" s="7">
        <v>0.995175</v>
      </c>
      <c r="S302" s="10">
        <f t="shared" si="2"/>
        <v>445</v>
      </c>
      <c r="T302" s="10">
        <f t="shared" si="3"/>
        <v>163.6445871</v>
      </c>
      <c r="U302" s="11">
        <f t="shared" si="4"/>
        <v>0.3806304952</v>
      </c>
      <c r="V302" s="8">
        <f t="shared" si="63"/>
        <v>470.345103</v>
      </c>
      <c r="W302" s="12">
        <f t="shared" si="5"/>
        <v>4</v>
      </c>
      <c r="X302" s="12">
        <f t="shared" si="6"/>
        <v>2351.725515</v>
      </c>
      <c r="Y302" s="12">
        <f t="shared" si="7"/>
        <v>1.903152476</v>
      </c>
      <c r="Z302" s="8">
        <f t="shared" si="19"/>
        <v>476.0582356</v>
      </c>
      <c r="AA302" s="8">
        <f t="shared" si="64"/>
        <v>682</v>
      </c>
      <c r="AB302" s="13">
        <f t="shared" si="9"/>
        <v>1.53258427</v>
      </c>
      <c r="AC302" s="13">
        <f t="shared" si="10"/>
        <v>1.43259784</v>
      </c>
      <c r="AD302" s="13">
        <f>AA302/vlookup(A302,Max!$A$2:$AP$700,column(Max!$AP$2),false)</f>
        <v>1.337254902</v>
      </c>
      <c r="AE302" s="8">
        <f t="shared" si="11"/>
        <v>264.4702437</v>
      </c>
      <c r="AF302" s="14">
        <f t="shared" si="12"/>
        <v>1.135485449</v>
      </c>
      <c r="AG302" s="14">
        <f t="shared" si="13"/>
        <v>2.240921462</v>
      </c>
      <c r="AH302" s="14">
        <f t="shared" si="14"/>
        <v>1</v>
      </c>
      <c r="AI302" s="14">
        <f t="shared" si="15"/>
        <v>1.01311946</v>
      </c>
      <c r="AJ302" s="27">
        <f t="shared" si="16"/>
        <v>-39</v>
      </c>
      <c r="AK302" s="15" t="str">
        <f t="shared" si="17"/>
        <v>  @CONFIG[RD-268-15D168] {
   %cost = 682
   @cost -= #$../../cost$
  }</v>
      </c>
    </row>
    <row r="303" ht="15.75" customHeight="1">
      <c r="A303" s="16" t="s">
        <v>621</v>
      </c>
      <c r="B303" s="16" t="s">
        <v>622</v>
      </c>
      <c r="C303" s="8">
        <f t="shared" si="1"/>
        <v>477</v>
      </c>
      <c r="D303" s="16">
        <v>1978.0</v>
      </c>
      <c r="E303" s="16" t="b">
        <v>1</v>
      </c>
      <c r="F303" s="16" t="b">
        <v>1</v>
      </c>
      <c r="G303" s="16" t="b">
        <v>0</v>
      </c>
      <c r="H303" s="16" t="b">
        <v>1</v>
      </c>
      <c r="I303" s="16" t="b">
        <v>0</v>
      </c>
      <c r="J303" s="9" t="b">
        <v>0</v>
      </c>
      <c r="K303" s="16">
        <v>800.0</v>
      </c>
      <c r="L303" s="16">
        <v>0.0</v>
      </c>
      <c r="M303" s="16">
        <v>183.0</v>
      </c>
      <c r="N303" s="16">
        <v>96.67</v>
      </c>
      <c r="O303" s="16">
        <v>400.0</v>
      </c>
      <c r="P303" s="16">
        <v>11.76</v>
      </c>
      <c r="Q303" s="16">
        <v>0.990909</v>
      </c>
      <c r="R303" s="16">
        <v>0.988235</v>
      </c>
      <c r="S303" s="19">
        <f t="shared" si="2"/>
        <v>800</v>
      </c>
      <c r="T303" s="19">
        <f t="shared" si="3"/>
        <v>53.8666481</v>
      </c>
      <c r="U303" s="20">
        <f t="shared" si="4"/>
        <v>9.400766479</v>
      </c>
      <c r="V303" s="17">
        <f t="shared" ref="V303:V304" si="65">0.9*(0.00015*M303*O303*P303+797)+0.1*(43.1*POWER(M303,0.549))</f>
        <v>908.7720955</v>
      </c>
      <c r="W303" s="21">
        <f t="shared" si="5"/>
        <v>4</v>
      </c>
      <c r="X303" s="21">
        <f t="shared" si="6"/>
        <v>4543.860477</v>
      </c>
      <c r="Y303" s="21">
        <f t="shared" si="7"/>
        <v>47.00383239</v>
      </c>
      <c r="Z303" s="8">
        <f t="shared" si="19"/>
        <v>908.0913849</v>
      </c>
      <c r="AA303" s="8">
        <f t="shared" si="64"/>
        <v>477</v>
      </c>
      <c r="AB303" s="13">
        <f t="shared" si="9"/>
        <v>0.59625</v>
      </c>
      <c r="AC303" s="13">
        <f t="shared" si="10"/>
        <v>0.5252775304</v>
      </c>
      <c r="AD303" s="13">
        <f>AA303/vlookup(A303,Max!$A$2:$AP$700,column(Max!$AP$2),false)</f>
        <v>2.65</v>
      </c>
      <c r="AE303" s="8">
        <f t="shared" si="11"/>
        <v>143.7670663</v>
      </c>
      <c r="AF303" s="14">
        <f t="shared" si="12"/>
        <v>2.153624406</v>
      </c>
      <c r="AG303" s="14">
        <f t="shared" si="13"/>
        <v>1.5819897</v>
      </c>
      <c r="AH303" s="14">
        <f t="shared" si="14"/>
        <v>1</v>
      </c>
      <c r="AI303" s="14">
        <f t="shared" si="15"/>
        <v>0.9730765878</v>
      </c>
      <c r="AJ303" s="15">
        <f t="shared" si="16"/>
        <v>0</v>
      </c>
      <c r="AK303" s="15" t="str">
        <f t="shared" si="17"/>
        <v>  @CONFIG[RD-301] {
   %cost = 477
   @cost -= #$../../cost$
  }</v>
      </c>
    </row>
    <row r="304" ht="15.75" customHeight="1">
      <c r="A304" s="16" t="s">
        <v>695</v>
      </c>
      <c r="B304" s="16" t="s">
        <v>696</v>
      </c>
      <c r="C304" s="8">
        <f t="shared" si="1"/>
        <v>994</v>
      </c>
      <c r="D304" s="16">
        <v>1979.0</v>
      </c>
      <c r="E304" s="16" t="b">
        <v>1</v>
      </c>
      <c r="F304" s="16" t="b">
        <v>1</v>
      </c>
      <c r="G304" s="16" t="b">
        <v>0</v>
      </c>
      <c r="H304" s="16" t="b">
        <v>1</v>
      </c>
      <c r="I304" s="16" t="b">
        <v>0</v>
      </c>
      <c r="J304" s="9" t="b">
        <v>0</v>
      </c>
      <c r="K304" s="16">
        <v>666.0</v>
      </c>
      <c r="L304" s="16">
        <v>0.0</v>
      </c>
      <c r="M304" s="16">
        <v>174.0</v>
      </c>
      <c r="N304" s="16">
        <v>88.964</v>
      </c>
      <c r="O304" s="16">
        <v>473.4</v>
      </c>
      <c r="P304" s="16">
        <v>15.4</v>
      </c>
      <c r="Q304" s="16">
        <v>0.993333</v>
      </c>
      <c r="R304" s="16">
        <v>0.996667</v>
      </c>
      <c r="S304" s="19">
        <f t="shared" si="2"/>
        <v>666</v>
      </c>
      <c r="T304" s="19">
        <f t="shared" si="3"/>
        <v>52.13680052</v>
      </c>
      <c r="U304" s="20">
        <f t="shared" si="4"/>
        <v>10.81061137</v>
      </c>
      <c r="V304" s="17">
        <f t="shared" si="65"/>
        <v>961.7552298</v>
      </c>
      <c r="W304" s="21">
        <f t="shared" si="5"/>
        <v>4</v>
      </c>
      <c r="X304" s="21">
        <f t="shared" si="6"/>
        <v>4808.776149</v>
      </c>
      <c r="Y304" s="21">
        <f t="shared" si="7"/>
        <v>54.05305684</v>
      </c>
      <c r="Z304" s="8">
        <f t="shared" si="19"/>
        <v>971.3941534</v>
      </c>
      <c r="AA304" s="8">
        <f t="shared" si="64"/>
        <v>994</v>
      </c>
      <c r="AB304" s="13">
        <f t="shared" si="9"/>
        <v>1.492492492</v>
      </c>
      <c r="AC304" s="13">
        <f t="shared" si="10"/>
        <v>1.023271549</v>
      </c>
      <c r="AD304" s="13">
        <f>AA304/vlookup(A304,Max!$A$2:$AP$700,column(Max!$AP$2),false)</f>
        <v>1.461764706</v>
      </c>
      <c r="AE304" s="8">
        <f t="shared" si="11"/>
        <v>140.1272934</v>
      </c>
      <c r="AF304" s="14">
        <f t="shared" si="12"/>
        <v>4.219157021</v>
      </c>
      <c r="AG304" s="14">
        <f t="shared" si="13"/>
        <v>1.680947565</v>
      </c>
      <c r="AH304" s="14">
        <f t="shared" si="14"/>
        <v>1</v>
      </c>
      <c r="AI304" s="14">
        <f t="shared" si="15"/>
        <v>1.000056115</v>
      </c>
      <c r="AJ304" s="15">
        <f t="shared" si="16"/>
        <v>0</v>
      </c>
      <c r="AK304" s="15" t="str">
        <f t="shared" si="17"/>
        <v>  @CONFIG[RS-30] {
   %cost = 994
   @cost -= #$../../cost$
  }</v>
      </c>
    </row>
    <row r="305" ht="15.75" customHeight="1">
      <c r="A305" s="16" t="s">
        <v>635</v>
      </c>
      <c r="B305" s="16" t="s">
        <v>630</v>
      </c>
      <c r="C305" s="8">
        <f t="shared" si="1"/>
        <v>127</v>
      </c>
      <c r="D305" s="16">
        <v>1981.0</v>
      </c>
      <c r="E305" s="16"/>
      <c r="F305" s="16" t="b">
        <v>1</v>
      </c>
      <c r="G305" s="16" t="b">
        <v>0</v>
      </c>
      <c r="H305" s="16" t="b">
        <v>1</v>
      </c>
      <c r="I305" s="16" t="b">
        <v>0</v>
      </c>
      <c r="J305" s="9" t="b">
        <v>0</v>
      </c>
      <c r="K305" s="16">
        <v>400.0</v>
      </c>
      <c r="L305" s="16">
        <v>200.0</v>
      </c>
      <c r="M305" s="16">
        <v>230.0</v>
      </c>
      <c r="N305" s="16">
        <v>86.24</v>
      </c>
      <c r="O305" s="16">
        <v>362.0</v>
      </c>
      <c r="P305" s="16">
        <v>7.94</v>
      </c>
      <c r="Q305" s="16">
        <v>0.998</v>
      </c>
      <c r="R305" s="16">
        <v>0.998</v>
      </c>
      <c r="S305" s="19">
        <f t="shared" si="2"/>
        <v>600</v>
      </c>
      <c r="T305" s="19">
        <f t="shared" si="3"/>
        <v>38.23492433</v>
      </c>
      <c r="U305" s="20">
        <f t="shared" si="4"/>
        <v>2.48711767</v>
      </c>
      <c r="V305" s="17">
        <f t="shared" ref="V305:V306" si="66">0.2*(8.17*POWER(M305*P305,0.46))+0.8*(0.146*POWER(M305*O305,0.639))</f>
        <v>214.4890279</v>
      </c>
      <c r="W305" s="21">
        <f t="shared" si="5"/>
        <v>4</v>
      </c>
      <c r="X305" s="21">
        <f t="shared" si="6"/>
        <v>1072.445139</v>
      </c>
      <c r="Y305" s="21">
        <f t="shared" si="7"/>
        <v>12.43558835</v>
      </c>
      <c r="Z305" s="8">
        <f t="shared" si="19"/>
        <v>217.9217103</v>
      </c>
      <c r="AA305" s="8">
        <f t="shared" si="64"/>
        <v>292</v>
      </c>
      <c r="AB305" s="13">
        <f t="shared" si="9"/>
        <v>0.4866666667</v>
      </c>
      <c r="AC305" s="13">
        <f t="shared" si="10"/>
        <v>1.339930747</v>
      </c>
      <c r="AD305" s="13">
        <f>AA305/vlookup(A305,Max!$A$2:$AP$700,column(Max!$AP$2),false)</f>
        <v>2.539130435</v>
      </c>
      <c r="AE305" s="8">
        <f t="shared" si="11"/>
        <v>126.2812344</v>
      </c>
      <c r="AF305" s="14">
        <f t="shared" si="12"/>
        <v>1.573611022</v>
      </c>
      <c r="AG305" s="14">
        <f t="shared" si="13"/>
        <v>1.448176905</v>
      </c>
      <c r="AH305" s="14">
        <f t="shared" si="14"/>
        <v>1</v>
      </c>
      <c r="AI305" s="14">
        <f t="shared" si="15"/>
        <v>1.015230648</v>
      </c>
      <c r="AJ305" s="27">
        <f t="shared" si="16"/>
        <v>127</v>
      </c>
      <c r="AK305" s="15" t="str">
        <f t="shared" si="17"/>
        <v>  @CONFIG[17D12] {
   %cost = 292
   @cost -= #$../../cost$
  }</v>
      </c>
    </row>
    <row r="306" ht="15.75" customHeight="1">
      <c r="A306" s="7" t="s">
        <v>73</v>
      </c>
      <c r="B306" s="7" t="s">
        <v>74</v>
      </c>
      <c r="C306" s="8">
        <f t="shared" si="1"/>
        <v>88</v>
      </c>
      <c r="D306" s="7">
        <v>1981.0</v>
      </c>
      <c r="E306" s="7"/>
      <c r="F306" s="7" t="b">
        <v>0</v>
      </c>
      <c r="G306" s="7" t="b">
        <v>0</v>
      </c>
      <c r="H306" s="7" t="b">
        <v>1</v>
      </c>
      <c r="I306" s="7" t="b">
        <v>0</v>
      </c>
      <c r="J306" s="9" t="b">
        <v>0</v>
      </c>
      <c r="K306" s="7">
        <v>300.0</v>
      </c>
      <c r="L306" s="7">
        <v>0.0</v>
      </c>
      <c r="M306" s="7">
        <v>125.0</v>
      </c>
      <c r="N306" s="7">
        <v>26.7</v>
      </c>
      <c r="O306" s="7">
        <v>316.0</v>
      </c>
      <c r="P306" s="7">
        <v>0.86</v>
      </c>
      <c r="Q306" s="7">
        <v>0.999814</v>
      </c>
      <c r="R306" s="7">
        <v>0.999442</v>
      </c>
      <c r="S306" s="10">
        <f t="shared" si="2"/>
        <v>300</v>
      </c>
      <c r="T306" s="10">
        <f t="shared" si="3"/>
        <v>21.78113825</v>
      </c>
      <c r="U306" s="11">
        <f t="shared" si="4"/>
        <v>4.312041131</v>
      </c>
      <c r="V306" s="8">
        <f t="shared" si="66"/>
        <v>115.1314982</v>
      </c>
      <c r="W306" s="12">
        <f t="shared" si="5"/>
        <v>1.75</v>
      </c>
      <c r="X306" s="12">
        <f t="shared" si="6"/>
        <v>316.6116201</v>
      </c>
      <c r="Y306" s="12">
        <f t="shared" si="7"/>
        <v>11.85811311</v>
      </c>
      <c r="Z306" s="8">
        <f t="shared" si="19"/>
        <v>117.3484823</v>
      </c>
      <c r="AA306" s="8">
        <f t="shared" si="64"/>
        <v>88</v>
      </c>
      <c r="AB306" s="13">
        <f t="shared" si="9"/>
        <v>0.2933333333</v>
      </c>
      <c r="AC306" s="13">
        <f t="shared" si="10"/>
        <v>0.7499031797</v>
      </c>
      <c r="AD306" s="13">
        <f>AA306/vlookup(A306,Max!$A$2:$AP$700,column(Max!$AP$2),false)</f>
        <v>2.2</v>
      </c>
      <c r="AE306" s="8">
        <f t="shared" si="11"/>
        <v>87.24719147</v>
      </c>
      <c r="AF306" s="14">
        <f t="shared" si="12"/>
        <v>1.115677507</v>
      </c>
      <c r="AG306" s="14">
        <f t="shared" si="13"/>
        <v>0.8782621278</v>
      </c>
      <c r="AH306" s="14">
        <f t="shared" si="14"/>
        <v>1</v>
      </c>
      <c r="AI306" s="14">
        <f t="shared" si="15"/>
        <v>1.023538158</v>
      </c>
      <c r="AJ306" s="15">
        <f t="shared" si="16"/>
        <v>0</v>
      </c>
      <c r="AK306" s="15" t="str">
        <f t="shared" si="17"/>
        <v>  @CONFIG[AJ10-190] {
   %cost = 88
   @cost -= #$../../cost$
  }</v>
      </c>
    </row>
    <row r="307" ht="15.75" customHeight="1">
      <c r="A307" s="16" t="s">
        <v>171</v>
      </c>
      <c r="B307" s="16" t="s">
        <v>168</v>
      </c>
      <c r="C307" s="8">
        <f t="shared" si="1"/>
        <v>120</v>
      </c>
      <c r="D307" s="16">
        <v>1981.0</v>
      </c>
      <c r="E307" s="16" t="b">
        <v>1</v>
      </c>
      <c r="F307" s="16" t="b">
        <v>1</v>
      </c>
      <c r="G307" s="16" t="b">
        <v>0</v>
      </c>
      <c r="H307" s="16" t="b">
        <v>1</v>
      </c>
      <c r="I307" s="16" t="b">
        <v>0</v>
      </c>
      <c r="J307" s="9" t="b">
        <v>0</v>
      </c>
      <c r="K307" s="16">
        <v>4200.0</v>
      </c>
      <c r="L307" s="16">
        <v>500.0</v>
      </c>
      <c r="M307" s="16">
        <v>1780.0</v>
      </c>
      <c r="N307" s="16">
        <v>1400.7</v>
      </c>
      <c r="O307" s="16">
        <v>451.0</v>
      </c>
      <c r="P307" s="16">
        <v>11.5</v>
      </c>
      <c r="Q307" s="16">
        <v>0.97</v>
      </c>
      <c r="R307" s="16">
        <v>0.98</v>
      </c>
      <c r="S307" s="19">
        <f t="shared" si="2"/>
        <v>4700</v>
      </c>
      <c r="T307" s="19">
        <f t="shared" si="3"/>
        <v>80.24249974</v>
      </c>
      <c r="U307" s="20">
        <f t="shared" si="4"/>
        <v>1.589214205</v>
      </c>
      <c r="V307" s="17">
        <f t="shared" ref="V307:V310" si="67">0.9*(0.00015*M307*O307*P307+797)+0.1*(43.1*POWER(M307,0.549))</f>
        <v>2226.012337</v>
      </c>
      <c r="W307" s="21">
        <f t="shared" si="5"/>
        <v>4</v>
      </c>
      <c r="X307" s="21">
        <f t="shared" si="6"/>
        <v>11130.06169</v>
      </c>
      <c r="Y307" s="21">
        <f t="shared" si="7"/>
        <v>7.946071026</v>
      </c>
      <c r="Z307" s="8">
        <f t="shared" si="19"/>
        <v>2160.567575</v>
      </c>
      <c r="AA307" s="8">
        <f t="shared" si="64"/>
        <v>2385</v>
      </c>
      <c r="AB307" s="13">
        <f t="shared" si="9"/>
        <v>0.5074468085</v>
      </c>
      <c r="AC307" s="13">
        <f t="shared" si="10"/>
        <v>1.103876605</v>
      </c>
      <c r="AD307" s="13">
        <f>AA307/vlookup(A307,Max!$A$2:$AP$700,column(Max!$AP$2),false)</f>
        <v>1.135714286</v>
      </c>
      <c r="AE307" s="8">
        <f t="shared" si="11"/>
        <v>492.2650132</v>
      </c>
      <c r="AF307" s="14">
        <f t="shared" si="12"/>
        <v>3.406796795</v>
      </c>
      <c r="AG307" s="14">
        <f t="shared" si="13"/>
        <v>1.574051792</v>
      </c>
      <c r="AH307" s="14">
        <f t="shared" si="14"/>
        <v>1</v>
      </c>
      <c r="AI307" s="14">
        <f t="shared" si="15"/>
        <v>0.9034550263</v>
      </c>
      <c r="AJ307" s="27">
        <f t="shared" si="16"/>
        <v>120</v>
      </c>
      <c r="AK307" s="15" t="str">
        <f t="shared" si="17"/>
        <v>  @CONFIG[HG-3A] {
   %cost = 2385
   @cost -= #$../../cost$
  }</v>
      </c>
    </row>
    <row r="308" ht="15.75" customHeight="1">
      <c r="A308" s="7" t="s">
        <v>170</v>
      </c>
      <c r="B308" s="7" t="s">
        <v>168</v>
      </c>
      <c r="C308" s="8">
        <f t="shared" si="1"/>
        <v>523</v>
      </c>
      <c r="D308" s="7">
        <v>1981.0</v>
      </c>
      <c r="E308" s="7" t="b">
        <v>1</v>
      </c>
      <c r="F308" s="7" t="b">
        <v>1</v>
      </c>
      <c r="G308" s="7" t="b">
        <v>0</v>
      </c>
      <c r="H308" s="7" t="b">
        <v>0</v>
      </c>
      <c r="I308" s="7" t="b">
        <v>0</v>
      </c>
      <c r="J308" s="9" t="b">
        <v>0</v>
      </c>
      <c r="K308" s="7">
        <v>4200.0</v>
      </c>
      <c r="L308" s="7">
        <v>300.0</v>
      </c>
      <c r="M308" s="7">
        <f>1780*0.973574409</f>
        <v>1732.962448</v>
      </c>
      <c r="N308" s="7">
        <v>1382.07</v>
      </c>
      <c r="O308" s="7">
        <v>445.0</v>
      </c>
      <c r="P308" s="7">
        <v>11.5</v>
      </c>
      <c r="Q308" s="7">
        <v>0.97</v>
      </c>
      <c r="R308" s="7">
        <v>0.98</v>
      </c>
      <c r="S308" s="10">
        <f t="shared" si="2"/>
        <v>4500</v>
      </c>
      <c r="T308" s="10">
        <f t="shared" si="3"/>
        <v>81.32427705</v>
      </c>
      <c r="U308" s="11">
        <f t="shared" si="4"/>
        <v>1.572355541</v>
      </c>
      <c r="V308" s="8">
        <f t="shared" si="67"/>
        <v>2173.105423</v>
      </c>
      <c r="W308" s="12">
        <f t="shared" si="5"/>
        <v>4</v>
      </c>
      <c r="X308" s="12">
        <f t="shared" si="6"/>
        <v>10865.52711</v>
      </c>
      <c r="Y308" s="12">
        <f t="shared" si="7"/>
        <v>7.861777706</v>
      </c>
      <c r="Z308" s="8">
        <f t="shared" si="19"/>
        <v>2109.216123</v>
      </c>
      <c r="AA308" s="8">
        <f t="shared" si="64"/>
        <v>2788</v>
      </c>
      <c r="AB308" s="13">
        <f t="shared" si="9"/>
        <v>0.6195555556</v>
      </c>
      <c r="AC308" s="13">
        <f t="shared" si="10"/>
        <v>1.321818077</v>
      </c>
      <c r="AD308" s="13">
        <f>AA308/vlookup(A308,Max!$A$2:$AP$700,column(Max!$AP$2),false)</f>
        <v>1.467368421</v>
      </c>
      <c r="AE308" s="8">
        <f t="shared" si="11"/>
        <v>484.7948373</v>
      </c>
      <c r="AF308" s="14">
        <f t="shared" si="12"/>
        <v>3.221130427</v>
      </c>
      <c r="AG308" s="14">
        <f t="shared" si="13"/>
        <v>1.831015515</v>
      </c>
      <c r="AH308" s="14">
        <f t="shared" si="14"/>
        <v>1</v>
      </c>
      <c r="AI308" s="14">
        <f t="shared" si="15"/>
        <v>0.9749384593</v>
      </c>
      <c r="AJ308" s="27">
        <f t="shared" si="16"/>
        <v>523</v>
      </c>
      <c r="AK308" s="15" t="str">
        <f t="shared" si="17"/>
        <v>  @CONFIG[HG-3A-SL] {
   %cost = 2788
   @cost -= #$../../cost$
  }</v>
      </c>
    </row>
    <row r="309" ht="15.75" customHeight="1">
      <c r="A309" s="16" t="s">
        <v>1034</v>
      </c>
      <c r="B309" s="16" t="s">
        <v>193</v>
      </c>
      <c r="C309" s="8">
        <f t="shared" si="1"/>
        <v>83</v>
      </c>
      <c r="D309" s="16">
        <v>1981.0</v>
      </c>
      <c r="E309" s="16" t="b">
        <v>1</v>
      </c>
      <c r="F309" s="16" t="b">
        <v>1</v>
      </c>
      <c r="G309" s="16" t="b">
        <v>0</v>
      </c>
      <c r="H309" s="16" t="b">
        <v>1</v>
      </c>
      <c r="I309" s="16" t="b">
        <v>0</v>
      </c>
      <c r="J309" s="9" t="b">
        <v>0</v>
      </c>
      <c r="K309" s="16">
        <v>2235.0</v>
      </c>
      <c r="L309" s="16">
        <v>1000.0</v>
      </c>
      <c r="M309" s="16">
        <v>1511.0</v>
      </c>
      <c r="N309" s="16">
        <v>1111.6</v>
      </c>
      <c r="O309" s="16">
        <v>440.0</v>
      </c>
      <c r="P309" s="16">
        <v>8.96</v>
      </c>
      <c r="Q309" s="16">
        <v>0.9999</v>
      </c>
      <c r="R309" s="16">
        <v>0.9999</v>
      </c>
      <c r="S309" s="19">
        <f t="shared" si="2"/>
        <v>3235</v>
      </c>
      <c r="T309" s="19">
        <f t="shared" si="3"/>
        <v>75.01763991</v>
      </c>
      <c r="U309" s="20">
        <f t="shared" si="4"/>
        <v>1.584486251</v>
      </c>
      <c r="V309" s="17">
        <f t="shared" si="67"/>
        <v>1761.314916</v>
      </c>
      <c r="W309" s="21">
        <f t="shared" si="5"/>
        <v>4</v>
      </c>
      <c r="X309" s="21">
        <f t="shared" si="6"/>
        <v>8806.574581</v>
      </c>
      <c r="Y309" s="21">
        <f t="shared" si="7"/>
        <v>7.922431253</v>
      </c>
      <c r="Z309" s="8">
        <f t="shared" si="19"/>
        <v>1796.188969</v>
      </c>
      <c r="AA309" s="8">
        <f t="shared" si="64"/>
        <v>2103</v>
      </c>
      <c r="AB309" s="13">
        <f t="shared" si="9"/>
        <v>0.6500772798</v>
      </c>
      <c r="AC309" s="13">
        <f t="shared" si="10"/>
        <v>1.170812223</v>
      </c>
      <c r="AD309" s="13">
        <f>AA309/vlookup(A309,Max!$A$2:$AP$700,column(Max!$AP$2),false)</f>
        <v>0.6571875</v>
      </c>
      <c r="AE309" s="8">
        <f t="shared" si="11"/>
        <v>448.4219347</v>
      </c>
      <c r="AF309" s="14">
        <f t="shared" si="12"/>
        <v>3.075427574</v>
      </c>
      <c r="AG309" s="14">
        <f t="shared" si="13"/>
        <v>1.488097223</v>
      </c>
      <c r="AH309" s="14">
        <f t="shared" si="14"/>
        <v>1</v>
      </c>
      <c r="AI309" s="14">
        <f t="shared" si="15"/>
        <v>1.024931534</v>
      </c>
      <c r="AJ309" s="27">
        <f t="shared" si="16"/>
        <v>83</v>
      </c>
      <c r="AK309" s="15" t="str">
        <f t="shared" si="17"/>
        <v>  @CONFIG[J-2T-250k] {
   %cost = 2103
   @cost -= #$../../cost$
  }</v>
      </c>
    </row>
    <row r="310" ht="15.75" customHeight="1">
      <c r="A310" s="7" t="s">
        <v>276</v>
      </c>
      <c r="B310" s="7" t="s">
        <v>274</v>
      </c>
      <c r="C310" s="8">
        <f t="shared" si="1"/>
        <v>649</v>
      </c>
      <c r="D310" s="7">
        <v>1981.0</v>
      </c>
      <c r="E310" s="7" t="b">
        <v>1</v>
      </c>
      <c r="F310" s="7" t="b">
        <v>1</v>
      </c>
      <c r="G310" s="7" t="b">
        <v>0</v>
      </c>
      <c r="H310" s="7" t="b">
        <v>0</v>
      </c>
      <c r="I310" s="7" t="b">
        <v>0</v>
      </c>
      <c r="J310" s="9" t="b">
        <v>0</v>
      </c>
      <c r="K310" s="7">
        <v>4300.0</v>
      </c>
      <c r="L310" s="7">
        <v>1200.0</v>
      </c>
      <c r="M310" s="7">
        <v>1632.9</v>
      </c>
      <c r="N310" s="7">
        <v>1556.9</v>
      </c>
      <c r="O310" s="7">
        <v>463.0</v>
      </c>
      <c r="P310" s="7">
        <v>22.75</v>
      </c>
      <c r="Q310" s="7">
        <v>0.991176</v>
      </c>
      <c r="R310" s="7">
        <v>0.979412</v>
      </c>
      <c r="S310" s="10">
        <f t="shared" si="2"/>
        <v>5500</v>
      </c>
      <c r="T310" s="10">
        <f t="shared" si="3"/>
        <v>97.22555988</v>
      </c>
      <c r="U310" s="11">
        <f t="shared" si="4"/>
        <v>2.112869035</v>
      </c>
      <c r="V310" s="8">
        <f t="shared" si="67"/>
        <v>3289.525801</v>
      </c>
      <c r="W310" s="12">
        <f t="shared" si="5"/>
        <v>4</v>
      </c>
      <c r="X310" s="12">
        <f t="shared" si="6"/>
        <v>16447.62901</v>
      </c>
      <c r="Y310" s="12">
        <f t="shared" si="7"/>
        <v>10.56434518</v>
      </c>
      <c r="Z310" s="8">
        <f t="shared" si="19"/>
        <v>3259.162388</v>
      </c>
      <c r="AA310" s="8">
        <f t="shared" si="64"/>
        <v>3912</v>
      </c>
      <c r="AB310" s="13">
        <f t="shared" si="9"/>
        <v>0.7112727273</v>
      </c>
      <c r="AC310" s="13">
        <f t="shared" si="10"/>
        <v>1.200308403</v>
      </c>
      <c r="AD310" s="13">
        <f>AA310/vlookup(A310,Max!$A$2:$AP$700,column(Max!$AP$2),false)</f>
        <v>1.086666667</v>
      </c>
      <c r="AE310" s="8">
        <f t="shared" si="11"/>
        <v>468.6366293</v>
      </c>
      <c r="AF310" s="14">
        <f t="shared" si="12"/>
        <v>3.816914098</v>
      </c>
      <c r="AG310" s="14">
        <f t="shared" si="13"/>
        <v>2.246865586</v>
      </c>
      <c r="AH310" s="14">
        <f t="shared" si="14"/>
        <v>1</v>
      </c>
      <c r="AI310" s="14">
        <f t="shared" si="15"/>
        <v>0.9734767096</v>
      </c>
      <c r="AJ310" s="27">
        <f t="shared" si="16"/>
        <v>649</v>
      </c>
      <c r="AK310" s="15" t="str">
        <f t="shared" si="17"/>
        <v>  @CONFIG[LR129-P-2] {
   %cost = 3912
   @cost -= #$../../cost$
  }</v>
      </c>
    </row>
    <row r="311" ht="15.75" customHeight="1">
      <c r="A311" s="16" t="s">
        <v>425</v>
      </c>
      <c r="B311" s="16" t="s">
        <v>424</v>
      </c>
      <c r="C311" s="8">
        <f t="shared" si="1"/>
        <v>18</v>
      </c>
      <c r="D311" s="16">
        <v>1981.0</v>
      </c>
      <c r="E311" s="16"/>
      <c r="F311" s="16" t="b">
        <v>0</v>
      </c>
      <c r="G311" s="16" t="b">
        <v>0</v>
      </c>
      <c r="H311" s="16" t="b">
        <v>1</v>
      </c>
      <c r="I311" s="16" t="b">
        <v>0</v>
      </c>
      <c r="J311" s="9" t="b">
        <v>0</v>
      </c>
      <c r="K311" s="16">
        <v>150.0</v>
      </c>
      <c r="L311" s="16">
        <v>0.0</v>
      </c>
      <c r="M311" s="16">
        <v>10.5</v>
      </c>
      <c r="N311" s="16">
        <v>3.87</v>
      </c>
      <c r="O311" s="16">
        <v>281.0</v>
      </c>
      <c r="P311" s="16">
        <v>0.99</v>
      </c>
      <c r="Q311" s="16">
        <v>0.999814</v>
      </c>
      <c r="R311" s="16">
        <v>0.999442</v>
      </c>
      <c r="S311" s="19">
        <f t="shared" si="2"/>
        <v>150</v>
      </c>
      <c r="T311" s="19">
        <f t="shared" si="3"/>
        <v>37.58382603</v>
      </c>
      <c r="U311" s="20">
        <f t="shared" si="4"/>
        <v>6.216912126</v>
      </c>
      <c r="V311" s="17">
        <f t="shared" ref="V311:V313" si="68">0.2*(8.17*POWER(M311*P311,0.46))+0.8*(0.146*POWER(M311*O311,0.639))</f>
        <v>24.05944993</v>
      </c>
      <c r="W311" s="21">
        <f t="shared" si="5"/>
        <v>1.75</v>
      </c>
      <c r="X311" s="21">
        <f t="shared" si="6"/>
        <v>66.1634873</v>
      </c>
      <c r="Y311" s="21">
        <f t="shared" si="7"/>
        <v>17.09650835</v>
      </c>
      <c r="Z311" s="8">
        <f t="shared" si="19"/>
        <v>24.52274119</v>
      </c>
      <c r="AA311" s="8">
        <f t="shared" si="64"/>
        <v>18</v>
      </c>
      <c r="AB311" s="13">
        <f t="shared" si="9"/>
        <v>0.12</v>
      </c>
      <c r="AC311" s="13">
        <f t="shared" si="10"/>
        <v>0.7340125583</v>
      </c>
      <c r="AD311" s="13">
        <f>AA311/vlookup(A311,Max!$A$2:$AP$700,column(Max!$AP$2),false)</f>
        <v>1.161290323</v>
      </c>
      <c r="AE311" s="8">
        <f t="shared" si="11"/>
        <v>19.94100629</v>
      </c>
      <c r="AF311" s="14">
        <f t="shared" si="12"/>
        <v>0.9521631698</v>
      </c>
      <c r="AG311" s="14">
        <f t="shared" si="13"/>
        <v>0.9065252868</v>
      </c>
      <c r="AH311" s="14">
        <f t="shared" si="14"/>
        <v>1</v>
      </c>
      <c r="AI311" s="14">
        <f t="shared" si="15"/>
        <v>1.023538158</v>
      </c>
      <c r="AJ311" s="15">
        <f t="shared" si="16"/>
        <v>0</v>
      </c>
      <c r="AK311" s="15" t="str">
        <f t="shared" si="17"/>
        <v>  @CONFIG[R-40A] {
   %cost = 18
   @cost -= #$../../cost$
  }</v>
      </c>
    </row>
    <row r="312" ht="15.75" customHeight="1">
      <c r="A312" s="7" t="s">
        <v>423</v>
      </c>
      <c r="B312" s="7" t="s">
        <v>424</v>
      </c>
      <c r="C312" s="8">
        <f t="shared" si="1"/>
        <v>0</v>
      </c>
      <c r="D312" s="7">
        <v>1981.0</v>
      </c>
      <c r="E312" s="7"/>
      <c r="F312" s="7" t="b">
        <v>0</v>
      </c>
      <c r="G312" s="7" t="b">
        <v>0</v>
      </c>
      <c r="H312" s="7" t="b">
        <v>1</v>
      </c>
      <c r="I312" s="7" t="b">
        <v>0</v>
      </c>
      <c r="J312" s="9" t="b">
        <v>0</v>
      </c>
      <c r="K312" s="7">
        <v>150.0</v>
      </c>
      <c r="L312" s="7">
        <v>0.0</v>
      </c>
      <c r="M312" s="7">
        <v>10.5</v>
      </c>
      <c r="N312" s="7">
        <v>4.0</v>
      </c>
      <c r="O312" s="7">
        <v>293.0</v>
      </c>
      <c r="P312" s="7">
        <v>1.034</v>
      </c>
      <c r="Q312" s="7">
        <v>0.999814</v>
      </c>
      <c r="R312" s="7">
        <v>0.999442</v>
      </c>
      <c r="S312" s="10">
        <f t="shared" si="2"/>
        <v>150</v>
      </c>
      <c r="T312" s="10">
        <f t="shared" si="3"/>
        <v>38.84633181</v>
      </c>
      <c r="U312" s="11">
        <f t="shared" si="4"/>
        <v>6.169508265</v>
      </c>
      <c r="V312" s="8">
        <f t="shared" si="68"/>
        <v>24.67803306</v>
      </c>
      <c r="W312" s="12">
        <f t="shared" si="5"/>
        <v>1.75</v>
      </c>
      <c r="X312" s="12">
        <f t="shared" si="6"/>
        <v>67.86459092</v>
      </c>
      <c r="Y312" s="12">
        <f t="shared" si="7"/>
        <v>16.96614773</v>
      </c>
      <c r="Z312" s="8">
        <f t="shared" si="19"/>
        <v>25.15323583</v>
      </c>
      <c r="AA312" s="8">
        <f t="shared" si="64"/>
        <v>18</v>
      </c>
      <c r="AB312" s="13">
        <f t="shared" si="9"/>
        <v>0.12</v>
      </c>
      <c r="AC312" s="13">
        <f t="shared" si="10"/>
        <v>0.7156136938</v>
      </c>
      <c r="AD312" s="13">
        <f>AA312/vlookup(A312,Max!$A$2:$AP$700,column(Max!$AP$2),false)</f>
        <v>1.058823529</v>
      </c>
      <c r="AE312" s="8">
        <f t="shared" si="11"/>
        <v>19.94100629</v>
      </c>
      <c r="AF312" s="14">
        <f t="shared" si="12"/>
        <v>0.9803330393</v>
      </c>
      <c r="AG312" s="14">
        <f t="shared" si="13"/>
        <v>0.9154383989</v>
      </c>
      <c r="AH312" s="14">
        <f t="shared" si="14"/>
        <v>1</v>
      </c>
      <c r="AI312" s="14">
        <f t="shared" si="15"/>
        <v>1.023538158</v>
      </c>
      <c r="AJ312" s="27">
        <f t="shared" si="16"/>
        <v>0</v>
      </c>
      <c r="AK312" s="15" t="str">
        <f t="shared" si="17"/>
        <v>  @CONFIG[R-40B] {
   %cost = 18
   @cost -= #$../../cost$
  }</v>
      </c>
    </row>
    <row r="313" ht="15.75" customHeight="1">
      <c r="A313" s="16" t="s">
        <v>1035</v>
      </c>
      <c r="B313" s="16" t="s">
        <v>430</v>
      </c>
      <c r="C313" s="8">
        <f t="shared" si="1"/>
        <v>-4</v>
      </c>
      <c r="D313" s="16">
        <v>1981.0</v>
      </c>
      <c r="E313" s="16"/>
      <c r="F313" s="16" t="b">
        <v>0</v>
      </c>
      <c r="G313" s="16" t="b">
        <v>0</v>
      </c>
      <c r="H313" s="16" t="b">
        <v>1</v>
      </c>
      <c r="I313" s="16" t="b">
        <v>0</v>
      </c>
      <c r="J313" s="9" t="b">
        <v>0</v>
      </c>
      <c r="K313" s="16"/>
      <c r="L313" s="16">
        <v>0.0</v>
      </c>
      <c r="M313" s="16">
        <v>3.76</v>
      </c>
      <c r="N313" s="16">
        <v>0.49</v>
      </c>
      <c r="O313" s="16">
        <v>311.0</v>
      </c>
      <c r="P313" s="16">
        <v>0.745</v>
      </c>
      <c r="Q313" s="16">
        <v>0.999758</v>
      </c>
      <c r="R313" s="16">
        <v>0.99967</v>
      </c>
      <c r="S313" s="19">
        <f t="shared" si="2"/>
        <v>0</v>
      </c>
      <c r="T313" s="19">
        <f t="shared" si="3"/>
        <v>13.28885486</v>
      </c>
      <c r="U313" s="20">
        <f t="shared" si="4"/>
        <v>27.11626265</v>
      </c>
      <c r="V313" s="17">
        <f t="shared" si="68"/>
        <v>13.2869687</v>
      </c>
      <c r="W313" s="21">
        <f t="shared" si="5"/>
        <v>1.75</v>
      </c>
      <c r="X313" s="21">
        <f t="shared" si="6"/>
        <v>36.53916392</v>
      </c>
      <c r="Y313" s="21">
        <f t="shared" si="7"/>
        <v>74.56972229</v>
      </c>
      <c r="Z313" s="8">
        <f t="shared" si="19"/>
        <v>13.54510899</v>
      </c>
      <c r="AA313" s="8">
        <f t="shared" si="64"/>
        <v>10</v>
      </c>
      <c r="AB313" s="13" t="str">
        <f t="shared" si="9"/>
        <v>#N/A</v>
      </c>
      <c r="AC313" s="13">
        <f t="shared" si="10"/>
        <v>0.7382738676</v>
      </c>
      <c r="AD313" s="13">
        <f>AA313/vlookup(A313,Max!$A$2:$AP$700,column(Max!$AP$2),false)</f>
        <v>0.9523809524</v>
      </c>
      <c r="AE313" s="8">
        <f t="shared" si="11"/>
        <v>10.96315461</v>
      </c>
      <c r="AF313" s="14">
        <f t="shared" si="12"/>
        <v>1.066630493</v>
      </c>
      <c r="AG313" s="14">
        <f t="shared" si="13"/>
        <v>0.850348922</v>
      </c>
      <c r="AH313" s="14">
        <f t="shared" si="14"/>
        <v>1</v>
      </c>
      <c r="AI313" s="14">
        <f t="shared" si="15"/>
        <v>1.023978602</v>
      </c>
      <c r="AJ313" s="27">
        <f t="shared" si="16"/>
        <v>-4</v>
      </c>
      <c r="AK313" s="15" t="str">
        <f t="shared" si="17"/>
        <v>  @CONFIG[R-4D-11-164] {
   %cost = 10
   @cost -= #$../../cost$
  }</v>
      </c>
    </row>
    <row r="314" ht="15.75" customHeight="1">
      <c r="A314" s="16" t="s">
        <v>754</v>
      </c>
      <c r="B314" s="16" t="s">
        <v>752</v>
      </c>
      <c r="C314" s="8">
        <f t="shared" si="1"/>
        <v>5704</v>
      </c>
      <c r="D314" s="16">
        <v>1981.0</v>
      </c>
      <c r="E314" s="16" t="b">
        <v>1</v>
      </c>
      <c r="F314" s="16" t="b">
        <v>1</v>
      </c>
      <c r="G314" s="16" t="b">
        <v>0</v>
      </c>
      <c r="H314" s="16" t="b">
        <v>0</v>
      </c>
      <c r="I314" s="16" t="b">
        <v>0</v>
      </c>
      <c r="J314" s="9" t="b">
        <v>0</v>
      </c>
      <c r="K314" s="16">
        <v>6077.0</v>
      </c>
      <c r="L314" s="16">
        <v>1000.0</v>
      </c>
      <c r="M314" s="16">
        <v>3527.0</v>
      </c>
      <c r="N314" s="16">
        <v>2090.0</v>
      </c>
      <c r="O314" s="16">
        <v>455.2</v>
      </c>
      <c r="P314" s="16">
        <v>20.48</v>
      </c>
      <c r="Q314" s="16">
        <v>0.990984</v>
      </c>
      <c r="R314" s="16">
        <v>0.994262</v>
      </c>
      <c r="S314" s="19">
        <f t="shared" si="2"/>
        <v>7077</v>
      </c>
      <c r="T314" s="19">
        <f t="shared" si="3"/>
        <v>60.42548565</v>
      </c>
      <c r="U314" s="20">
        <f t="shared" si="4"/>
        <v>2.649811795</v>
      </c>
      <c r="V314" s="17">
        <f t="shared" ref="V314:V317" si="69">0.9*(0.00015*M314*O314*P314+797)+0.1*(43.1*POWER(M314,0.549))</f>
        <v>5538.106651</v>
      </c>
      <c r="W314" s="21">
        <f t="shared" si="5"/>
        <v>4</v>
      </c>
      <c r="X314" s="21">
        <f t="shared" si="6"/>
        <v>27690.53325</v>
      </c>
      <c r="Y314" s="21">
        <f t="shared" si="7"/>
        <v>13.24905897</v>
      </c>
      <c r="Z314" s="8">
        <f t="shared" si="19"/>
        <v>5567.446065</v>
      </c>
      <c r="AA314" s="8">
        <f t="shared" si="64"/>
        <v>5704</v>
      </c>
      <c r="AB314" s="13">
        <f t="shared" si="9"/>
        <v>0.8059912392</v>
      </c>
      <c r="AC314" s="13">
        <f t="shared" si="10"/>
        <v>1.024527213</v>
      </c>
      <c r="AD314" s="13">
        <f>AA314/vlookup(A314,Max!$A$2:$AP$700,column(Max!$AP$2),false)</f>
        <v>1.541621622</v>
      </c>
      <c r="AE314" s="8">
        <f t="shared" si="11"/>
        <v>731.3520152</v>
      </c>
      <c r="AF314" s="14">
        <f t="shared" si="12"/>
        <v>3.544218357</v>
      </c>
      <c r="AG314" s="14">
        <f t="shared" si="13"/>
        <v>2.177116443</v>
      </c>
      <c r="AH314" s="14">
        <f t="shared" si="14"/>
        <v>1</v>
      </c>
      <c r="AI314" s="14">
        <f t="shared" si="15"/>
        <v>1.010797401</v>
      </c>
      <c r="AJ314" s="15">
        <f t="shared" si="16"/>
        <v>0</v>
      </c>
      <c r="AK314" s="15" t="str">
        <f t="shared" si="17"/>
        <v>  @CONFIG[RS-25] {
   %cost = 5704
   @cost -= #$../../cost$
  }</v>
      </c>
    </row>
    <row r="315" ht="15.75" customHeight="1">
      <c r="A315" s="7" t="s">
        <v>1036</v>
      </c>
      <c r="B315" s="7" t="s">
        <v>752</v>
      </c>
      <c r="C315" s="8">
        <f t="shared" si="1"/>
        <v>1360</v>
      </c>
      <c r="D315" s="7">
        <v>1981.0</v>
      </c>
      <c r="E315" s="7" t="b">
        <v>1</v>
      </c>
      <c r="F315" s="7" t="b">
        <v>1</v>
      </c>
      <c r="G315" s="7" t="b">
        <v>0</v>
      </c>
      <c r="H315" s="7" t="b">
        <v>0</v>
      </c>
      <c r="I315" s="7" t="b">
        <v>0</v>
      </c>
      <c r="J315" s="9" t="b">
        <v>0</v>
      </c>
      <c r="K315" s="7">
        <v>6077.0</v>
      </c>
      <c r="L315" s="7">
        <v>1000.0</v>
      </c>
      <c r="M315" s="7">
        <v>4400.0</v>
      </c>
      <c r="N315" s="7">
        <v>2130.0</v>
      </c>
      <c r="O315" s="7">
        <v>464.0</v>
      </c>
      <c r="P315" s="7">
        <v>20.48</v>
      </c>
      <c r="Q315" s="7">
        <v>0.990984</v>
      </c>
      <c r="R315" s="7">
        <v>0.994262</v>
      </c>
      <c r="S315" s="10">
        <f t="shared" si="2"/>
        <v>7077</v>
      </c>
      <c r="T315" s="10">
        <f t="shared" si="3"/>
        <v>49.36353471</v>
      </c>
      <c r="U315" s="11">
        <f t="shared" si="4"/>
        <v>3.189281378</v>
      </c>
      <c r="V315" s="8">
        <f t="shared" si="69"/>
        <v>6793.169336</v>
      </c>
      <c r="W315" s="12">
        <f t="shared" si="5"/>
        <v>4</v>
      </c>
      <c r="X315" s="12">
        <f t="shared" si="6"/>
        <v>33965.84668</v>
      </c>
      <c r="Y315" s="12">
        <f t="shared" si="7"/>
        <v>15.94640689</v>
      </c>
      <c r="Z315" s="8">
        <f t="shared" si="19"/>
        <v>6829.157739</v>
      </c>
      <c r="AA315" s="8">
        <f t="shared" si="64"/>
        <v>7064</v>
      </c>
      <c r="AB315" s="13">
        <f t="shared" si="9"/>
        <v>0.9981630634</v>
      </c>
      <c r="AC315" s="13">
        <f t="shared" si="10"/>
        <v>1.034388174</v>
      </c>
      <c r="AD315" s="13">
        <f>AA315/vlookup(A315,Max!$A$2:$AP$700,column(Max!$AP$2),false)</f>
        <v>1.535652174</v>
      </c>
      <c r="AE315" s="8">
        <f t="shared" si="11"/>
        <v>832.9605947</v>
      </c>
      <c r="AF315" s="14">
        <f t="shared" si="12"/>
        <v>3.853605075</v>
      </c>
      <c r="AG315" s="14">
        <f t="shared" si="13"/>
        <v>2.177116443</v>
      </c>
      <c r="AH315" s="14">
        <f t="shared" si="14"/>
        <v>1</v>
      </c>
      <c r="AI315" s="14">
        <f t="shared" si="15"/>
        <v>1.010797401</v>
      </c>
      <c r="AJ315" s="27">
        <f t="shared" si="16"/>
        <v>1360</v>
      </c>
      <c r="AK315" s="15" t="str">
        <f t="shared" si="17"/>
        <v>  @CONFIG[RS-25-150] {
   %cost = 7064
   @cost -= #$../../cost$
  }</v>
      </c>
    </row>
    <row r="316" ht="15.75" customHeight="1">
      <c r="A316" s="16" t="s">
        <v>1037</v>
      </c>
      <c r="B316" s="16" t="s">
        <v>752</v>
      </c>
      <c r="C316" s="8">
        <f t="shared" si="1"/>
        <v>-654</v>
      </c>
      <c r="D316" s="16">
        <v>1981.0</v>
      </c>
      <c r="E316" s="16" t="b">
        <v>1</v>
      </c>
      <c r="F316" s="16" t="b">
        <v>1</v>
      </c>
      <c r="G316" s="16" t="b">
        <v>0</v>
      </c>
      <c r="H316" s="16" t="b">
        <v>0</v>
      </c>
      <c r="I316" s="16" t="b">
        <v>0</v>
      </c>
      <c r="J316" s="9" t="b">
        <v>0</v>
      </c>
      <c r="K316" s="16">
        <v>6077.0</v>
      </c>
      <c r="L316" s="16">
        <v>1000.0</v>
      </c>
      <c r="M316" s="16">
        <v>3372.0</v>
      </c>
      <c r="N316" s="16">
        <v>2043.0</v>
      </c>
      <c r="O316" s="16">
        <v>445.0</v>
      </c>
      <c r="P316" s="16">
        <v>20.48</v>
      </c>
      <c r="Q316" s="16">
        <v>0.990984</v>
      </c>
      <c r="R316" s="16">
        <v>0.994262</v>
      </c>
      <c r="S316" s="19">
        <f t="shared" si="2"/>
        <v>7077</v>
      </c>
      <c r="T316" s="19">
        <f t="shared" si="3"/>
        <v>61.78173835</v>
      </c>
      <c r="U316" s="20">
        <f t="shared" si="4"/>
        <v>2.564185677</v>
      </c>
      <c r="V316" s="17">
        <f t="shared" si="69"/>
        <v>5238.631338</v>
      </c>
      <c r="W316" s="21">
        <f t="shared" si="5"/>
        <v>4</v>
      </c>
      <c r="X316" s="21">
        <f t="shared" si="6"/>
        <v>26193.15669</v>
      </c>
      <c r="Y316" s="21">
        <f t="shared" si="7"/>
        <v>12.82092839</v>
      </c>
      <c r="Z316" s="8">
        <f t="shared" si="19"/>
        <v>5266.384213</v>
      </c>
      <c r="AA316" s="8">
        <f t="shared" si="64"/>
        <v>5050</v>
      </c>
      <c r="AB316" s="13">
        <f t="shared" si="9"/>
        <v>0.7135792002</v>
      </c>
      <c r="AC316" s="13">
        <f t="shared" si="10"/>
        <v>0.9589121864</v>
      </c>
      <c r="AD316" s="13">
        <f>AA316/vlookup(A316,Max!$A$2:$AP$700,column(Max!$AP$2),false)</f>
        <v>4.590909091</v>
      </c>
      <c r="AE316" s="8">
        <f t="shared" si="11"/>
        <v>712.3540018</v>
      </c>
      <c r="AF316" s="14">
        <f t="shared" si="12"/>
        <v>3.221130427</v>
      </c>
      <c r="AG316" s="14">
        <f t="shared" si="13"/>
        <v>2.177116443</v>
      </c>
      <c r="AH316" s="14">
        <f t="shared" si="14"/>
        <v>1</v>
      </c>
      <c r="AI316" s="14">
        <f t="shared" si="15"/>
        <v>1.010797401</v>
      </c>
      <c r="AJ316" s="27">
        <f t="shared" si="16"/>
        <v>-654</v>
      </c>
      <c r="AK316" s="15" t="str">
        <f t="shared" si="17"/>
        <v>  @CONFIG[RS-25-35] {
   %cost = 5050
   @cost -= #$../../cost$
  }</v>
      </c>
    </row>
    <row r="317" ht="15.75" customHeight="1">
      <c r="A317" s="7" t="s">
        <v>1038</v>
      </c>
      <c r="B317" s="7" t="s">
        <v>752</v>
      </c>
      <c r="C317" s="8">
        <f t="shared" si="1"/>
        <v>-351</v>
      </c>
      <c r="D317" s="7">
        <v>1981.0</v>
      </c>
      <c r="E317" s="7" t="b">
        <v>1</v>
      </c>
      <c r="F317" s="7" t="b">
        <v>1</v>
      </c>
      <c r="G317" s="7" t="b">
        <v>0</v>
      </c>
      <c r="H317" s="7" t="b">
        <v>0</v>
      </c>
      <c r="I317" s="7" t="b">
        <v>0</v>
      </c>
      <c r="J317" s="9" t="b">
        <v>0</v>
      </c>
      <c r="K317" s="7">
        <v>6077.0</v>
      </c>
      <c r="L317" s="7">
        <v>1000.0</v>
      </c>
      <c r="M317" s="7">
        <v>3440.0</v>
      </c>
      <c r="N317" s="7">
        <v>2066.0</v>
      </c>
      <c r="O317" s="7">
        <v>450.0</v>
      </c>
      <c r="P317" s="7">
        <v>20.48</v>
      </c>
      <c r="Q317" s="7">
        <v>0.990984</v>
      </c>
      <c r="R317" s="7">
        <v>0.994262</v>
      </c>
      <c r="S317" s="10">
        <f t="shared" si="2"/>
        <v>7077</v>
      </c>
      <c r="T317" s="10">
        <f t="shared" si="3"/>
        <v>61.24225843</v>
      </c>
      <c r="U317" s="11">
        <f t="shared" si="4"/>
        <v>2.601140228</v>
      </c>
      <c r="V317" s="8">
        <f t="shared" si="69"/>
        <v>5373.95571</v>
      </c>
      <c r="W317" s="12">
        <f t="shared" si="5"/>
        <v>4</v>
      </c>
      <c r="X317" s="12">
        <f t="shared" si="6"/>
        <v>26869.77855</v>
      </c>
      <c r="Y317" s="12">
        <f t="shared" si="7"/>
        <v>13.00570114</v>
      </c>
      <c r="Z317" s="8">
        <f t="shared" si="19"/>
        <v>5402.425497</v>
      </c>
      <c r="AA317" s="8">
        <f t="shared" si="64"/>
        <v>5353</v>
      </c>
      <c r="AB317" s="13">
        <f t="shared" si="9"/>
        <v>0.7563939522</v>
      </c>
      <c r="AC317" s="13">
        <f t="shared" si="10"/>
        <v>0.9908512394</v>
      </c>
      <c r="AD317" s="13">
        <f>AA317/vlookup(A317,Max!$A$2:$AP$700,column(Max!$AP$2),false)</f>
        <v>1.408684211</v>
      </c>
      <c r="AE317" s="8">
        <f t="shared" si="11"/>
        <v>720.728653</v>
      </c>
      <c r="AF317" s="14">
        <f t="shared" si="12"/>
        <v>3.375</v>
      </c>
      <c r="AG317" s="14">
        <f t="shared" si="13"/>
        <v>2.177116443</v>
      </c>
      <c r="AH317" s="14">
        <f t="shared" si="14"/>
        <v>1</v>
      </c>
      <c r="AI317" s="14">
        <f t="shared" si="15"/>
        <v>1.010797401</v>
      </c>
      <c r="AJ317" s="27">
        <f t="shared" si="16"/>
        <v>-351</v>
      </c>
      <c r="AK317" s="15" t="str">
        <f t="shared" si="17"/>
        <v>  @CONFIG[RS-25-50] {
   %cost = 5353
   @cost -= #$../../cost$
  }</v>
      </c>
    </row>
    <row r="318" ht="15.75" customHeight="1">
      <c r="A318" s="7" t="s">
        <v>535</v>
      </c>
      <c r="B318" s="7" t="s">
        <v>1008</v>
      </c>
      <c r="C318" s="8">
        <f t="shared" si="1"/>
        <v>-19</v>
      </c>
      <c r="D318" s="7">
        <v>1982.0</v>
      </c>
      <c r="E318" s="7"/>
      <c r="F318" s="7" t="b">
        <v>1</v>
      </c>
      <c r="G318" s="7" t="b">
        <v>0</v>
      </c>
      <c r="H318" s="7" t="b">
        <v>0</v>
      </c>
      <c r="I318" s="7" t="b">
        <v>0</v>
      </c>
      <c r="J318" s="9" t="b">
        <v>0</v>
      </c>
      <c r="K318" s="7">
        <v>470.0</v>
      </c>
      <c r="L318" s="7">
        <v>80.0</v>
      </c>
      <c r="M318" s="7">
        <v>1155.0</v>
      </c>
      <c r="N318" s="7">
        <v>1033.3</v>
      </c>
      <c r="O318" s="7">
        <v>317.6</v>
      </c>
      <c r="P318" s="7">
        <v>5.86</v>
      </c>
      <c r="Q318" s="7">
        <v>0.999584</v>
      </c>
      <c r="R318" s="7">
        <v>0.999584</v>
      </c>
      <c r="S318" s="10">
        <f t="shared" si="2"/>
        <v>550</v>
      </c>
      <c r="T318" s="10">
        <f t="shared" si="3"/>
        <v>91.22707877</v>
      </c>
      <c r="U318" s="11">
        <f t="shared" si="4"/>
        <v>0.4977782362</v>
      </c>
      <c r="V318" s="8">
        <f t="shared" ref="V318:V324" si="70">0.2*(8.17*POWER(M318*P318,0.46))+0.8*(0.146*POWER(M318*O318,0.639))</f>
        <v>514.3542515</v>
      </c>
      <c r="W318" s="12">
        <f t="shared" si="5"/>
        <v>4</v>
      </c>
      <c r="X318" s="12">
        <f t="shared" si="6"/>
        <v>2571.771258</v>
      </c>
      <c r="Y318" s="12">
        <f t="shared" si="7"/>
        <v>2.488891181</v>
      </c>
      <c r="Z318" s="8">
        <f t="shared" si="19"/>
        <v>524.2134828</v>
      </c>
      <c r="AA318" s="8">
        <f t="shared" si="64"/>
        <v>587</v>
      </c>
      <c r="AB318" s="13">
        <f t="shared" si="9"/>
        <v>1.067272727</v>
      </c>
      <c r="AC318" s="13">
        <f t="shared" si="10"/>
        <v>1.119772801</v>
      </c>
      <c r="AD318" s="13">
        <f>AA318/vlookup(A318,Max!$A$2:$AP$700,column(Max!$AP$2),false)</f>
        <v>1.677142857</v>
      </c>
      <c r="AE318" s="8">
        <f t="shared" si="11"/>
        <v>339.5289561</v>
      </c>
      <c r="AF318" s="14">
        <f t="shared" si="12"/>
        <v>1.128297334</v>
      </c>
      <c r="AG318" s="14">
        <f t="shared" si="13"/>
        <v>1.495725704</v>
      </c>
      <c r="AH318" s="14">
        <f t="shared" si="14"/>
        <v>1</v>
      </c>
      <c r="AI318" s="14">
        <f t="shared" si="15"/>
        <v>1.024378025</v>
      </c>
      <c r="AJ318" s="27">
        <f t="shared" si="16"/>
        <v>-19</v>
      </c>
      <c r="AK318" s="15" t="str">
        <f t="shared" si="17"/>
        <v>  @CONFIG[RD-107-11D512P] {
   %cost = 587
   @cost -= #$../../cost$
  }</v>
      </c>
    </row>
    <row r="319" ht="15.75" customHeight="1">
      <c r="A319" s="7" t="s">
        <v>546</v>
      </c>
      <c r="B319" s="7" t="s">
        <v>1009</v>
      </c>
      <c r="C319" s="8">
        <f t="shared" si="1"/>
        <v>2</v>
      </c>
      <c r="D319" s="7">
        <v>1982.0</v>
      </c>
      <c r="E319" s="7"/>
      <c r="F319" s="7" t="b">
        <v>1</v>
      </c>
      <c r="G319" s="7" t="b">
        <v>0</v>
      </c>
      <c r="H319" s="7" t="b">
        <v>0</v>
      </c>
      <c r="I319" s="7" t="b">
        <v>0</v>
      </c>
      <c r="J319" s="9" t="b">
        <v>0</v>
      </c>
      <c r="K319" s="7">
        <v>450.0</v>
      </c>
      <c r="L319" s="7">
        <v>80.0</v>
      </c>
      <c r="M319" s="7">
        <v>1250.0</v>
      </c>
      <c r="N319" s="7">
        <v>1011.0</v>
      </c>
      <c r="O319" s="7">
        <v>319.0</v>
      </c>
      <c r="P319" s="7">
        <v>5.86</v>
      </c>
      <c r="Q319" s="7">
        <v>0.999584</v>
      </c>
      <c r="R319" s="7">
        <v>0.999584</v>
      </c>
      <c r="S319" s="10">
        <f t="shared" si="2"/>
        <v>530</v>
      </c>
      <c r="T319" s="10">
        <f t="shared" si="3"/>
        <v>82.47464706</v>
      </c>
      <c r="U319" s="11">
        <f t="shared" si="4"/>
        <v>0.5349633467</v>
      </c>
      <c r="V319" s="8">
        <f t="shared" si="70"/>
        <v>540.8479435</v>
      </c>
      <c r="W319" s="12">
        <f t="shared" si="5"/>
        <v>4</v>
      </c>
      <c r="X319" s="12">
        <f t="shared" si="6"/>
        <v>2704.239717</v>
      </c>
      <c r="Y319" s="12">
        <f t="shared" si="7"/>
        <v>2.674816733</v>
      </c>
      <c r="Z319" s="8">
        <f t="shared" si="19"/>
        <v>551.2150105</v>
      </c>
      <c r="AA319" s="8">
        <f t="shared" si="64"/>
        <v>622</v>
      </c>
      <c r="AB319" s="13">
        <f t="shared" si="9"/>
        <v>1.173584906</v>
      </c>
      <c r="AC319" s="13">
        <f t="shared" si="10"/>
        <v>1.128416295</v>
      </c>
      <c r="AD319" s="13">
        <f>AA319/vlookup(A319,Max!$A$2:$AP$700,column(Max!$AP$2),false)</f>
        <v>1.413636364</v>
      </c>
      <c r="AE319" s="8">
        <f t="shared" si="11"/>
        <v>356.5089642</v>
      </c>
      <c r="AF319" s="14">
        <f t="shared" si="12"/>
        <v>1.139506966</v>
      </c>
      <c r="AG319" s="14">
        <f t="shared" si="13"/>
        <v>1.495725704</v>
      </c>
      <c r="AH319" s="14">
        <f t="shared" si="14"/>
        <v>1</v>
      </c>
      <c r="AI319" s="14">
        <f t="shared" si="15"/>
        <v>1.024378025</v>
      </c>
      <c r="AJ319" s="27">
        <f t="shared" si="16"/>
        <v>2</v>
      </c>
      <c r="AK319" s="15" t="str">
        <f t="shared" si="17"/>
        <v>  @CONFIG[RD-108-11D511P] {
   %cost = 622
   @cost -= #$../../cost$
  }</v>
      </c>
    </row>
    <row r="320" ht="15.75" customHeight="1">
      <c r="A320" s="7" t="s">
        <v>349</v>
      </c>
      <c r="B320" s="7" t="s">
        <v>339</v>
      </c>
      <c r="C320" s="8">
        <f t="shared" si="1"/>
        <v>42</v>
      </c>
      <c r="D320" s="7">
        <v>1983.0</v>
      </c>
      <c r="E320" s="7"/>
      <c r="F320" s="7" t="b">
        <v>1</v>
      </c>
      <c r="G320" s="7" t="b">
        <v>0</v>
      </c>
      <c r="H320" s="7" t="b">
        <v>1</v>
      </c>
      <c r="I320" s="7" t="b">
        <v>0</v>
      </c>
      <c r="J320" s="9" t="b">
        <v>0</v>
      </c>
      <c r="K320" s="7">
        <v>250.0</v>
      </c>
      <c r="L320" s="7">
        <v>110.0</v>
      </c>
      <c r="M320" s="7">
        <f>500*1.178</f>
        <v>589</v>
      </c>
      <c r="N320" s="7">
        <v>474.6</v>
      </c>
      <c r="O320" s="7">
        <v>325.5</v>
      </c>
      <c r="P320" s="7">
        <v>6.06</v>
      </c>
      <c r="Q320" s="7">
        <v>0.996341</v>
      </c>
      <c r="R320" s="7">
        <v>0.996341</v>
      </c>
      <c r="S320" s="10">
        <f t="shared" si="2"/>
        <v>360</v>
      </c>
      <c r="T320" s="10">
        <f t="shared" si="3"/>
        <v>82.16592755</v>
      </c>
      <c r="U320" s="11">
        <f t="shared" si="4"/>
        <v>0.7327295551</v>
      </c>
      <c r="V320" s="8">
        <f t="shared" si="70"/>
        <v>347.7534469</v>
      </c>
      <c r="W320" s="12">
        <f t="shared" si="5"/>
        <v>4</v>
      </c>
      <c r="X320" s="12">
        <f t="shared" si="6"/>
        <v>1738.767234</v>
      </c>
      <c r="Y320" s="12">
        <f t="shared" si="7"/>
        <v>3.663647776</v>
      </c>
      <c r="Z320" s="8">
        <f t="shared" si="19"/>
        <v>352.1683119</v>
      </c>
      <c r="AA320" s="8">
        <f t="shared" si="64"/>
        <v>367</v>
      </c>
      <c r="AB320" s="13">
        <f t="shared" si="9"/>
        <v>1.019444444</v>
      </c>
      <c r="AC320" s="13">
        <f t="shared" si="10"/>
        <v>1.04211534</v>
      </c>
      <c r="AD320" s="13">
        <f>AA320/vlookup(A320,Max!$A$2:$AP$700,column(Max!$AP$2),false)</f>
        <v>2.446666667</v>
      </c>
      <c r="AE320" s="8">
        <f t="shared" si="11"/>
        <v>224.3241539</v>
      </c>
      <c r="AF320" s="14">
        <f t="shared" si="12"/>
        <v>1.193665198</v>
      </c>
      <c r="AG320" s="14">
        <f t="shared" si="13"/>
        <v>1.362756758</v>
      </c>
      <c r="AH320" s="14">
        <f t="shared" si="14"/>
        <v>1</v>
      </c>
      <c r="AI320" s="14">
        <f t="shared" si="15"/>
        <v>1.006820441</v>
      </c>
      <c r="AJ320" s="27">
        <f t="shared" si="16"/>
        <v>42</v>
      </c>
      <c r="AK320" s="15" t="str">
        <f t="shared" si="17"/>
        <v>  @CONFIG[LR91-AJ-11A] {
   %cost = 367
   @cost -= #$../../cost$
  }</v>
      </c>
    </row>
    <row r="321" ht="15.75" customHeight="1">
      <c r="A321" s="16" t="s">
        <v>232</v>
      </c>
      <c r="B321" s="16" t="s">
        <v>233</v>
      </c>
      <c r="C321" s="8">
        <f t="shared" si="1"/>
        <v>66</v>
      </c>
      <c r="D321" s="16">
        <v>1984.0</v>
      </c>
      <c r="E321" s="16"/>
      <c r="F321" s="16" t="b">
        <v>0</v>
      </c>
      <c r="G321" s="16" t="b">
        <v>0</v>
      </c>
      <c r="H321" s="16" t="b">
        <v>1</v>
      </c>
      <c r="I321" s="16" t="b">
        <v>0</v>
      </c>
      <c r="J321" s="9" t="b">
        <v>0</v>
      </c>
      <c r="K321" s="16"/>
      <c r="L321" s="16">
        <v>0.0</v>
      </c>
      <c r="M321" s="16">
        <v>110.0</v>
      </c>
      <c r="N321" s="16">
        <v>52.95</v>
      </c>
      <c r="O321" s="16">
        <v>290.2</v>
      </c>
      <c r="P321" s="16">
        <v>1.14</v>
      </c>
      <c r="Q321" s="16">
        <v>0.965</v>
      </c>
      <c r="R321" s="16">
        <v>0.983333</v>
      </c>
      <c r="S321" s="19">
        <f t="shared" si="2"/>
        <v>0</v>
      </c>
      <c r="T321" s="19">
        <f t="shared" si="3"/>
        <v>49.08543029</v>
      </c>
      <c r="U321" s="20">
        <f t="shared" si="4"/>
        <v>1.950900569</v>
      </c>
      <c r="V321" s="17">
        <f t="shared" si="70"/>
        <v>103.3001851</v>
      </c>
      <c r="W321" s="21">
        <f t="shared" si="5"/>
        <v>1.75</v>
      </c>
      <c r="X321" s="21">
        <f t="shared" si="6"/>
        <v>284.0755091</v>
      </c>
      <c r="Y321" s="21">
        <f t="shared" si="7"/>
        <v>5.364976565</v>
      </c>
      <c r="Z321" s="8">
        <f t="shared" si="19"/>
        <v>100.0892378</v>
      </c>
      <c r="AA321" s="8">
        <f t="shared" si="64"/>
        <v>66</v>
      </c>
      <c r="AB321" s="13" t="str">
        <f t="shared" si="9"/>
        <v>#N/A</v>
      </c>
      <c r="AC321" s="13">
        <f t="shared" si="10"/>
        <v>0.6594115555</v>
      </c>
      <c r="AD321" s="13">
        <f>AA321/vlookup(A321,Max!$A$2:$AP$700,column(Max!$AP$2),false)</f>
        <v>5.076923077</v>
      </c>
      <c r="AE321" s="8">
        <f t="shared" si="11"/>
        <v>80.76346196</v>
      </c>
      <c r="AF321" s="14">
        <f t="shared" si="12"/>
        <v>0.9731697843</v>
      </c>
      <c r="AG321" s="14">
        <f t="shared" si="13"/>
        <v>0.9357624106</v>
      </c>
      <c r="AH321" s="14">
        <f t="shared" si="14"/>
        <v>1</v>
      </c>
      <c r="AI321" s="14">
        <f t="shared" si="15"/>
        <v>0.8994599532</v>
      </c>
      <c r="AJ321" s="15">
        <f t="shared" si="16"/>
        <v>0</v>
      </c>
      <c r="AK321" s="15" t="str">
        <f t="shared" si="17"/>
        <v>  @CONFIG[LE-3] {
   %cost = 66
   @cost -= #$../../cost$
  }</v>
      </c>
    </row>
    <row r="322" ht="15.75" customHeight="1">
      <c r="A322" s="7" t="s">
        <v>554</v>
      </c>
      <c r="B322" s="7" t="s">
        <v>555</v>
      </c>
      <c r="C322" s="8">
        <f t="shared" si="1"/>
        <v>789</v>
      </c>
      <c r="D322" s="7">
        <v>1985.0</v>
      </c>
      <c r="E322" s="7"/>
      <c r="F322" s="7" t="b">
        <v>1</v>
      </c>
      <c r="G322" s="7" t="b">
        <v>0</v>
      </c>
      <c r="H322" s="7" t="b">
        <v>1</v>
      </c>
      <c r="I322" s="7" t="b">
        <v>0</v>
      </c>
      <c r="J322" s="9" t="b">
        <v>0</v>
      </c>
      <c r="K322" s="7">
        <v>750.0</v>
      </c>
      <c r="L322" s="7">
        <v>0.0</v>
      </c>
      <c r="M322" s="7">
        <v>1125.0</v>
      </c>
      <c r="N322" s="7">
        <v>833.56</v>
      </c>
      <c r="O322" s="7">
        <v>350.0</v>
      </c>
      <c r="P322" s="7">
        <v>16.28</v>
      </c>
      <c r="Q322" s="7">
        <v>0.992254</v>
      </c>
      <c r="R322" s="7">
        <v>0.985135</v>
      </c>
      <c r="S322" s="10">
        <f t="shared" si="2"/>
        <v>750</v>
      </c>
      <c r="T322" s="10">
        <f t="shared" si="3"/>
        <v>75.55507947</v>
      </c>
      <c r="U322" s="11">
        <f t="shared" si="4"/>
        <v>0.7061958157</v>
      </c>
      <c r="V322" s="8">
        <f t="shared" si="70"/>
        <v>588.6565841</v>
      </c>
      <c r="W322" s="12">
        <f t="shared" si="5"/>
        <v>4</v>
      </c>
      <c r="X322" s="12">
        <f t="shared" si="6"/>
        <v>2943.282921</v>
      </c>
      <c r="Y322" s="12">
        <f t="shared" si="7"/>
        <v>3.530979078</v>
      </c>
      <c r="Z322" s="8">
        <f t="shared" si="19"/>
        <v>587.1873822</v>
      </c>
      <c r="AA322" s="8">
        <f t="shared" si="64"/>
        <v>789</v>
      </c>
      <c r="AB322" s="13">
        <f t="shared" si="9"/>
        <v>1.052</v>
      </c>
      <c r="AC322" s="13">
        <f t="shared" si="10"/>
        <v>1.343693723</v>
      </c>
      <c r="AD322" s="13">
        <f>AA322/vlookup(A322,Max!$A$2:$AP$700,column(Max!$AP$2),false)</f>
        <v>2.132432432</v>
      </c>
      <c r="AE322" s="8">
        <f t="shared" si="11"/>
        <v>334.0591989</v>
      </c>
      <c r="AF322" s="14">
        <f t="shared" si="12"/>
        <v>1.432877872</v>
      </c>
      <c r="AG322" s="14">
        <f t="shared" si="13"/>
        <v>1.702096757</v>
      </c>
      <c r="AH322" s="14">
        <f t="shared" si="14"/>
        <v>1</v>
      </c>
      <c r="AI322" s="14">
        <f t="shared" si="15"/>
        <v>0.9687428984</v>
      </c>
      <c r="AJ322" s="15">
        <f t="shared" si="16"/>
        <v>0</v>
      </c>
      <c r="AK322" s="15" t="str">
        <f t="shared" si="17"/>
        <v>  @CONFIG[RD-120] {
   %cost = 789
   @cost -= #$../../cost$
  }</v>
      </c>
    </row>
    <row r="323" ht="15.75" customHeight="1">
      <c r="A323" s="7" t="s">
        <v>642</v>
      </c>
      <c r="B323" s="7" t="s">
        <v>643</v>
      </c>
      <c r="C323" s="8">
        <f t="shared" si="1"/>
        <v>194</v>
      </c>
      <c r="D323" s="7">
        <v>1985.0</v>
      </c>
      <c r="E323" s="7"/>
      <c r="F323" s="7" t="b">
        <v>1</v>
      </c>
      <c r="G323" s="7" t="b">
        <v>0</v>
      </c>
      <c r="H323" s="7" t="b">
        <v>1</v>
      </c>
      <c r="I323" s="7" t="b">
        <v>0</v>
      </c>
      <c r="J323" s="9" t="b">
        <v>0</v>
      </c>
      <c r="K323" s="7">
        <v>0.0</v>
      </c>
      <c r="L323" s="7">
        <v>600.0</v>
      </c>
      <c r="M323" s="7">
        <v>380.0</v>
      </c>
      <c r="N323" s="7">
        <v>78.4</v>
      </c>
      <c r="O323" s="7">
        <v>342.0</v>
      </c>
      <c r="P323" s="7">
        <v>0.7</v>
      </c>
      <c r="Q323" s="7">
        <v>0.996541</v>
      </c>
      <c r="R323" s="7">
        <v>0.99321</v>
      </c>
      <c r="S323" s="10">
        <f t="shared" si="2"/>
        <v>600</v>
      </c>
      <c r="T323" s="10">
        <f t="shared" si="3"/>
        <v>21.03835549</v>
      </c>
      <c r="U323" s="11">
        <f t="shared" si="4"/>
        <v>3.03151473</v>
      </c>
      <c r="V323" s="8">
        <f t="shared" si="70"/>
        <v>237.6707548</v>
      </c>
      <c r="W323" s="12">
        <f t="shared" si="5"/>
        <v>4</v>
      </c>
      <c r="X323" s="12">
        <f t="shared" si="6"/>
        <v>1188.353774</v>
      </c>
      <c r="Y323" s="12">
        <f t="shared" si="7"/>
        <v>15.15757365</v>
      </c>
      <c r="Z323" s="8">
        <f t="shared" si="19"/>
        <v>239.9938644</v>
      </c>
      <c r="AA323" s="8">
        <f t="shared" si="64"/>
        <v>194</v>
      </c>
      <c r="AB323" s="13">
        <f t="shared" si="9"/>
        <v>0.3233333333</v>
      </c>
      <c r="AC323" s="13">
        <f t="shared" si="10"/>
        <v>0.8083539988</v>
      </c>
      <c r="AD323" s="13">
        <f>AA323/vlookup(A323,Max!$A$2:$AP$700,column(Max!$AP$2),false)</f>
        <v>3.660377358</v>
      </c>
      <c r="AE323" s="8">
        <f t="shared" si="11"/>
        <v>171.5157461</v>
      </c>
      <c r="AF323" s="14">
        <f t="shared" si="12"/>
        <v>1.34816504</v>
      </c>
      <c r="AG323" s="14">
        <f t="shared" si="13"/>
        <v>0.838511577</v>
      </c>
      <c r="AH323" s="14">
        <f t="shared" si="14"/>
        <v>1</v>
      </c>
      <c r="AI323" s="14">
        <f t="shared" si="15"/>
        <v>0.999430619</v>
      </c>
      <c r="AJ323" s="15">
        <f t="shared" si="16"/>
        <v>0</v>
      </c>
      <c r="AK323" s="15" t="str">
        <f t="shared" si="17"/>
        <v>  @CONFIG[RD-8] {
   %cost = 194
   @cost -= #$../../cost$
  }</v>
      </c>
    </row>
    <row r="324" ht="15.75" customHeight="1">
      <c r="A324" s="16" t="s">
        <v>644</v>
      </c>
      <c r="B324" s="16" t="s">
        <v>645</v>
      </c>
      <c r="C324" s="8">
        <f t="shared" si="1"/>
        <v>88</v>
      </c>
      <c r="D324" s="16">
        <v>1985.0</v>
      </c>
      <c r="E324" s="16"/>
      <c r="F324" s="16" t="b">
        <v>1</v>
      </c>
      <c r="G324" s="16" t="b">
        <v>0</v>
      </c>
      <c r="H324" s="16" t="b">
        <v>1</v>
      </c>
      <c r="I324" s="16" t="b">
        <v>0</v>
      </c>
      <c r="J324" s="9" t="b">
        <v>0</v>
      </c>
      <c r="K324" s="16">
        <v>120.0</v>
      </c>
      <c r="L324" s="16">
        <v>0.0</v>
      </c>
      <c r="M324" s="16">
        <v>40.0</v>
      </c>
      <c r="N324" s="16">
        <v>19.6</v>
      </c>
      <c r="O324" s="16">
        <v>344.0</v>
      </c>
      <c r="P324" s="16">
        <v>7.8</v>
      </c>
      <c r="Q324" s="16">
        <v>0.997</v>
      </c>
      <c r="R324" s="16">
        <v>0.997</v>
      </c>
      <c r="S324" s="19">
        <f t="shared" si="2"/>
        <v>120</v>
      </c>
      <c r="T324" s="19">
        <f t="shared" si="3"/>
        <v>49.96609429</v>
      </c>
      <c r="U324" s="20">
        <f t="shared" si="4"/>
        <v>3.799165416</v>
      </c>
      <c r="V324" s="17">
        <f t="shared" si="70"/>
        <v>74.46364215</v>
      </c>
      <c r="W324" s="21">
        <f t="shared" si="5"/>
        <v>4</v>
      </c>
      <c r="X324" s="21">
        <f t="shared" si="6"/>
        <v>372.3182108</v>
      </c>
      <c r="Y324" s="21">
        <f t="shared" si="7"/>
        <v>18.99582708</v>
      </c>
      <c r="Z324" s="8">
        <f t="shared" si="19"/>
        <v>75.50680332</v>
      </c>
      <c r="AA324" s="8">
        <f t="shared" si="64"/>
        <v>88</v>
      </c>
      <c r="AB324" s="13">
        <f t="shared" si="9"/>
        <v>0.7333333333</v>
      </c>
      <c r="AC324" s="13">
        <f t="shared" si="10"/>
        <v>1.165457894</v>
      </c>
      <c r="AD324" s="13">
        <f>AA324/vlookup(A324,Max!$A$2:$AP$700,column(Max!$AP$2),false)</f>
        <v>2.666666667</v>
      </c>
      <c r="AE324" s="8">
        <f t="shared" si="11"/>
        <v>44.00508574</v>
      </c>
      <c r="AF324" s="14">
        <f t="shared" si="12"/>
        <v>1.368703205</v>
      </c>
      <c r="AG324" s="14">
        <f t="shared" si="13"/>
        <v>1.442391949</v>
      </c>
      <c r="AH324" s="14">
        <f t="shared" si="14"/>
        <v>1</v>
      </c>
      <c r="AI324" s="14">
        <f t="shared" si="15"/>
        <v>1.010154505</v>
      </c>
      <c r="AJ324" s="15">
        <f t="shared" si="16"/>
        <v>0</v>
      </c>
      <c r="AK324" s="15" t="str">
        <f t="shared" si="17"/>
        <v>  @CONFIG[RD-805] {
   %cost = 88
   @cost -= #$../../cost$
  }</v>
      </c>
    </row>
    <row r="325" ht="15.75" customHeight="1">
      <c r="A325" s="16" t="s">
        <v>666</v>
      </c>
      <c r="B325" s="16" t="s">
        <v>660</v>
      </c>
      <c r="C325" s="8">
        <f t="shared" si="1"/>
        <v>154</v>
      </c>
      <c r="D325" s="16">
        <v>1985.0</v>
      </c>
      <c r="E325" s="16" t="b">
        <v>1</v>
      </c>
      <c r="F325" s="16" t="b">
        <v>1</v>
      </c>
      <c r="G325" s="16" t="b">
        <v>0</v>
      </c>
      <c r="H325" s="16" t="b">
        <v>1</v>
      </c>
      <c r="I325" s="16" t="b">
        <v>0</v>
      </c>
      <c r="J325" s="9" t="b">
        <v>0</v>
      </c>
      <c r="K325" s="16">
        <v>500.0</v>
      </c>
      <c r="L325" s="16">
        <v>262.0</v>
      </c>
      <c r="M325" s="16">
        <v>141.0</v>
      </c>
      <c r="N325" s="16">
        <v>66.7</v>
      </c>
      <c r="O325" s="16">
        <v>440.0</v>
      </c>
      <c r="P325" s="16">
        <v>2.86</v>
      </c>
      <c r="Q325" s="16">
        <v>0.99486</v>
      </c>
      <c r="R325" s="16">
        <v>0.99717</v>
      </c>
      <c r="S325" s="19">
        <f t="shared" si="2"/>
        <v>762</v>
      </c>
      <c r="T325" s="19">
        <f t="shared" si="3"/>
        <v>48.23763915</v>
      </c>
      <c r="U325" s="20">
        <f t="shared" si="4"/>
        <v>12.09109914</v>
      </c>
      <c r="V325" s="17">
        <f t="shared" ref="V325:V328" si="71">0.9*(0.00015*M325*O325*P325+797)+0.1*(43.1*POWER(M325,0.549))</f>
        <v>806.4763124</v>
      </c>
      <c r="W325" s="21">
        <f t="shared" si="5"/>
        <v>4</v>
      </c>
      <c r="X325" s="21">
        <f t="shared" si="6"/>
        <v>4032.381562</v>
      </c>
      <c r="Y325" s="21">
        <f t="shared" si="7"/>
        <v>60.45549568</v>
      </c>
      <c r="Z325" s="8">
        <f t="shared" si="19"/>
        <v>816.1899536</v>
      </c>
      <c r="AA325" s="8">
        <f t="shared" si="64"/>
        <v>448</v>
      </c>
      <c r="AB325" s="13">
        <f t="shared" si="9"/>
        <v>0.5879265092</v>
      </c>
      <c r="AC325" s="13">
        <f t="shared" si="10"/>
        <v>0.5488918333</v>
      </c>
      <c r="AD325" s="13">
        <f>AA325/vlookup(A325,Max!$A$2:$AP$700,column(Max!$AP$2),false)</f>
        <v>1.947826087</v>
      </c>
      <c r="AE325" s="8">
        <f t="shared" si="11"/>
        <v>126.0077508</v>
      </c>
      <c r="AF325" s="14">
        <f t="shared" si="12"/>
        <v>3.075427574</v>
      </c>
      <c r="AG325" s="14">
        <f t="shared" si="13"/>
        <v>1.150917945</v>
      </c>
      <c r="AH325" s="14">
        <f t="shared" si="14"/>
        <v>1</v>
      </c>
      <c r="AI325" s="14">
        <f t="shared" si="15"/>
        <v>1.005170995</v>
      </c>
      <c r="AJ325" s="27">
        <f t="shared" si="16"/>
        <v>154</v>
      </c>
      <c r="AK325" s="15" t="str">
        <f t="shared" si="17"/>
        <v>  @CONFIG[RL10A-3-3B] {
   %cost = 448
   @cost -= #$../../cost$
  }</v>
      </c>
    </row>
    <row r="326" ht="15.75" customHeight="1">
      <c r="A326" s="7" t="s">
        <v>234</v>
      </c>
      <c r="B326" s="7" t="s">
        <v>235</v>
      </c>
      <c r="C326" s="8">
        <f t="shared" si="1"/>
        <v>652</v>
      </c>
      <c r="D326" s="7">
        <v>1986.0</v>
      </c>
      <c r="E326" s="7" t="b">
        <v>1</v>
      </c>
      <c r="F326" s="7" t="b">
        <v>1</v>
      </c>
      <c r="G326" s="7" t="b">
        <v>0</v>
      </c>
      <c r="H326" s="7" t="b">
        <v>1</v>
      </c>
      <c r="I326" s="7" t="b">
        <v>0</v>
      </c>
      <c r="J326" s="9" t="b">
        <v>0</v>
      </c>
      <c r="K326" s="7">
        <v>2650.0</v>
      </c>
      <c r="L326" s="7">
        <v>0.0</v>
      </c>
      <c r="M326" s="7">
        <v>245.0</v>
      </c>
      <c r="N326" s="7">
        <v>102.9</v>
      </c>
      <c r="O326" s="7">
        <v>450.0</v>
      </c>
      <c r="P326" s="7">
        <v>3.65</v>
      </c>
      <c r="Q326" s="7">
        <v>0.985</v>
      </c>
      <c r="R326" s="7">
        <v>0.985</v>
      </c>
      <c r="S326" s="10">
        <f t="shared" si="2"/>
        <v>2650</v>
      </c>
      <c r="T326" s="10">
        <f t="shared" si="3"/>
        <v>42.82808082</v>
      </c>
      <c r="U326" s="11">
        <f t="shared" si="4"/>
        <v>8.357240073</v>
      </c>
      <c r="V326" s="8">
        <f t="shared" si="71"/>
        <v>859.9600035</v>
      </c>
      <c r="W326" s="12">
        <f t="shared" si="5"/>
        <v>4</v>
      </c>
      <c r="X326" s="12">
        <f t="shared" si="6"/>
        <v>4299.800017</v>
      </c>
      <c r="Y326" s="12">
        <f t="shared" si="7"/>
        <v>41.78620036</v>
      </c>
      <c r="Z326" s="8">
        <f t="shared" si="19"/>
        <v>851.5538945</v>
      </c>
      <c r="AA326" s="8">
        <f t="shared" si="64"/>
        <v>652</v>
      </c>
      <c r="AB326" s="13">
        <f t="shared" si="9"/>
        <v>0.2460377358</v>
      </c>
      <c r="AC326" s="13">
        <f t="shared" si="10"/>
        <v>0.7656591136</v>
      </c>
      <c r="AD326" s="13">
        <f>AA326/vlookup(A326,Max!$A$2:$AP$700,column(Max!$AP$2),false)</f>
        <v>2.834782609</v>
      </c>
      <c r="AE326" s="8">
        <f t="shared" si="11"/>
        <v>166.9885592</v>
      </c>
      <c r="AF326" s="14">
        <f t="shared" si="12"/>
        <v>3.375</v>
      </c>
      <c r="AG326" s="14">
        <f t="shared" si="13"/>
        <v>1.215844119</v>
      </c>
      <c r="AH326" s="14">
        <f t="shared" si="14"/>
        <v>1</v>
      </c>
      <c r="AI326" s="14">
        <f t="shared" si="15"/>
        <v>0.9508087418</v>
      </c>
      <c r="AJ326" s="15">
        <f t="shared" si="16"/>
        <v>0</v>
      </c>
      <c r="AK326" s="15" t="str">
        <f t="shared" si="17"/>
        <v>  @CONFIG[LE-5] {
   %cost = 652
   @cost -= #$../../cost$
  }</v>
      </c>
    </row>
    <row r="327" ht="15.75" customHeight="1">
      <c r="A327" s="16" t="s">
        <v>358</v>
      </c>
      <c r="B327" s="16" t="s">
        <v>355</v>
      </c>
      <c r="C327" s="8">
        <f t="shared" si="1"/>
        <v>478</v>
      </c>
      <c r="D327" s="16">
        <v>1986.0</v>
      </c>
      <c r="E327" s="16" t="b">
        <v>1</v>
      </c>
      <c r="F327" s="16" t="b">
        <v>1</v>
      </c>
      <c r="G327" s="16" t="b">
        <v>0</v>
      </c>
      <c r="H327" s="16" t="b">
        <v>1</v>
      </c>
      <c r="I327" s="16" t="b">
        <v>0</v>
      </c>
      <c r="J327" s="9" t="b">
        <v>0</v>
      </c>
      <c r="K327" s="16">
        <v>9200.0</v>
      </c>
      <c r="L327" s="16">
        <v>1000.0</v>
      </c>
      <c r="M327" s="16">
        <v>9071.0</v>
      </c>
      <c r="N327" s="16">
        <v>8006.799</v>
      </c>
      <c r="O327" s="16">
        <v>430.0</v>
      </c>
      <c r="P327" s="16">
        <v>8.27</v>
      </c>
      <c r="Q327" s="16">
        <v>0.9999</v>
      </c>
      <c r="R327" s="16">
        <v>0.9999</v>
      </c>
      <c r="S327" s="19">
        <f t="shared" si="2"/>
        <v>10200</v>
      </c>
      <c r="T327" s="19">
        <f t="shared" si="3"/>
        <v>90.00840845</v>
      </c>
      <c r="U327" s="20">
        <f t="shared" si="4"/>
        <v>0.7135930229</v>
      </c>
      <c r="V327" s="17">
        <f t="shared" si="71"/>
        <v>5713.595902</v>
      </c>
      <c r="W327" s="21">
        <f t="shared" si="5"/>
        <v>4</v>
      </c>
      <c r="X327" s="21">
        <f t="shared" si="6"/>
        <v>28567.97951</v>
      </c>
      <c r="Y327" s="21">
        <f t="shared" si="7"/>
        <v>3.567965115</v>
      </c>
      <c r="Z327" s="8">
        <f t="shared" si="19"/>
        <v>5826.725158</v>
      </c>
      <c r="AA327" s="8">
        <f t="shared" si="64"/>
        <v>5392</v>
      </c>
      <c r="AB327" s="13">
        <f t="shared" si="9"/>
        <v>0.528627451</v>
      </c>
      <c r="AC327" s="13">
        <f t="shared" si="10"/>
        <v>0.925391168</v>
      </c>
      <c r="AD327" s="13">
        <f>AA327/vlookup(A327,Max!$A$2:$AP$700,column(Max!$AP$2),false)</f>
        <v>0.43136</v>
      </c>
      <c r="AE327" s="8">
        <f t="shared" si="11"/>
        <v>1282.530679</v>
      </c>
      <c r="AF327" s="14">
        <f t="shared" si="12"/>
        <v>2.80669557</v>
      </c>
      <c r="AG327" s="14">
        <f t="shared" si="13"/>
        <v>1.461506475</v>
      </c>
      <c r="AH327" s="14">
        <f t="shared" si="14"/>
        <v>1</v>
      </c>
      <c r="AI327" s="14">
        <f t="shared" si="15"/>
        <v>1.024931534</v>
      </c>
      <c r="AJ327" s="27">
        <f t="shared" si="16"/>
        <v>478</v>
      </c>
      <c r="AK327" s="15" t="str">
        <f t="shared" si="17"/>
        <v>  @CONFIG[M-1U] {
   %cost = 5392
   @cost -= #$../../cost$
  }</v>
      </c>
    </row>
    <row r="328" ht="15.75" customHeight="1">
      <c r="A328" s="7" t="s">
        <v>359</v>
      </c>
      <c r="B328" s="7" t="s">
        <v>355</v>
      </c>
      <c r="C328" s="8">
        <f t="shared" si="1"/>
        <v>391</v>
      </c>
      <c r="D328" s="7">
        <v>1986.0</v>
      </c>
      <c r="E328" s="7" t="b">
        <v>1</v>
      </c>
      <c r="F328" s="7" t="b">
        <v>1</v>
      </c>
      <c r="G328" s="7" t="b">
        <v>0</v>
      </c>
      <c r="H328" s="7" t="b">
        <v>0</v>
      </c>
      <c r="I328" s="7" t="b">
        <v>0</v>
      </c>
      <c r="J328" s="9" t="b">
        <v>0</v>
      </c>
      <c r="K328" s="7">
        <v>9200.0</v>
      </c>
      <c r="L328" s="7">
        <v>1500.0</v>
      </c>
      <c r="M328" s="7">
        <v>9071.0</v>
      </c>
      <c r="N328" s="7">
        <v>7708.87</v>
      </c>
      <c r="O328" s="7">
        <v>414.0</v>
      </c>
      <c r="P328" s="7">
        <v>8.27</v>
      </c>
      <c r="Q328" s="7">
        <v>0.9999</v>
      </c>
      <c r="R328" s="7">
        <v>0.9999</v>
      </c>
      <c r="S328" s="10">
        <f t="shared" si="2"/>
        <v>10700</v>
      </c>
      <c r="T328" s="10">
        <f t="shared" si="3"/>
        <v>86.65924043</v>
      </c>
      <c r="U328" s="11">
        <f t="shared" si="4"/>
        <v>0.7201520865</v>
      </c>
      <c r="V328" s="8">
        <f t="shared" si="71"/>
        <v>5551.558815</v>
      </c>
      <c r="W328" s="12">
        <f t="shared" si="5"/>
        <v>4</v>
      </c>
      <c r="X328" s="12">
        <f t="shared" si="6"/>
        <v>27757.79408</v>
      </c>
      <c r="Y328" s="12">
        <f t="shared" si="7"/>
        <v>3.600760433</v>
      </c>
      <c r="Z328" s="8">
        <f t="shared" si="19"/>
        <v>5661.479735</v>
      </c>
      <c r="AA328" s="8">
        <f t="shared" si="64"/>
        <v>5305</v>
      </c>
      <c r="AB328" s="13">
        <f t="shared" si="9"/>
        <v>0.4957943925</v>
      </c>
      <c r="AC328" s="13">
        <f t="shared" si="10"/>
        <v>0.9370341762</v>
      </c>
      <c r="AD328" s="13">
        <f>AA328/vlookup(A328,Max!$A$2:$AP$700,column(Max!$AP$2),false)</f>
        <v>0.4822727273</v>
      </c>
      <c r="AE328" s="8">
        <f t="shared" si="11"/>
        <v>1282.530679</v>
      </c>
      <c r="AF328" s="14">
        <f t="shared" si="12"/>
        <v>2.43257522</v>
      </c>
      <c r="AG328" s="14">
        <f t="shared" si="13"/>
        <v>1.658571983</v>
      </c>
      <c r="AH328" s="14">
        <f t="shared" si="14"/>
        <v>1</v>
      </c>
      <c r="AI328" s="14">
        <f t="shared" si="15"/>
        <v>1.025187812</v>
      </c>
      <c r="AJ328" s="27">
        <f t="shared" si="16"/>
        <v>391</v>
      </c>
      <c r="AK328" s="15" t="str">
        <f t="shared" si="17"/>
        <v>  @CONFIG[M-1U-SL] {
   %cost = 5305
   @cost -= #$../../cost$
  }</v>
      </c>
    </row>
    <row r="329" ht="15.75" customHeight="1">
      <c r="A329" s="16" t="s">
        <v>512</v>
      </c>
      <c r="B329" s="16" t="s">
        <v>513</v>
      </c>
      <c r="C329" s="8">
        <f t="shared" si="1"/>
        <v>584</v>
      </c>
      <c r="D329" s="16">
        <v>1986.0</v>
      </c>
      <c r="E329" s="16"/>
      <c r="F329" s="16" t="b">
        <v>1</v>
      </c>
      <c r="G329" s="16" t="b">
        <v>0</v>
      </c>
      <c r="H329" s="16" t="b">
        <v>1</v>
      </c>
      <c r="I329" s="16" t="b">
        <v>0</v>
      </c>
      <c r="J329" s="9" t="b">
        <v>0</v>
      </c>
      <c r="K329" s="16"/>
      <c r="L329" s="16">
        <v>0.0</v>
      </c>
      <c r="M329" s="16">
        <v>853.0</v>
      </c>
      <c r="N329" s="16">
        <v>896.3</v>
      </c>
      <c r="O329" s="16">
        <v>313.6</v>
      </c>
      <c r="P329" s="16">
        <v>26.97</v>
      </c>
      <c r="Q329" s="16">
        <v>0.993966</v>
      </c>
      <c r="R329" s="16">
        <v>0.99386</v>
      </c>
      <c r="S329" s="19">
        <f t="shared" si="2"/>
        <v>0</v>
      </c>
      <c r="T329" s="19">
        <f t="shared" si="3"/>
        <v>107.1479061</v>
      </c>
      <c r="U329" s="20">
        <f t="shared" si="4"/>
        <v>0.5678982494</v>
      </c>
      <c r="V329" s="17">
        <f t="shared" ref="V329:V332" si="72">0.2*(8.17*POWER(M329*P329,0.46))+0.8*(0.146*POWER(M329*O329,0.639))</f>
        <v>509.007201</v>
      </c>
      <c r="W329" s="21">
        <f t="shared" si="5"/>
        <v>4</v>
      </c>
      <c r="X329" s="21">
        <f t="shared" si="6"/>
        <v>2545.036005</v>
      </c>
      <c r="Y329" s="21">
        <f t="shared" si="7"/>
        <v>2.839491247</v>
      </c>
      <c r="Z329" s="8">
        <f t="shared" si="19"/>
        <v>513.0095494</v>
      </c>
      <c r="AA329" s="8">
        <f t="shared" si="64"/>
        <v>584</v>
      </c>
      <c r="AB329" s="13" t="str">
        <f t="shared" si="9"/>
        <v>#N/A</v>
      </c>
      <c r="AC329" s="13">
        <f t="shared" si="10"/>
        <v>1.138380369</v>
      </c>
      <c r="AD329" s="13">
        <f>AA329/vlookup(A329,Max!$A$2:$AP$700,column(Max!$AP$2),false)</f>
        <v>3.073684211</v>
      </c>
      <c r="AE329" s="8">
        <f t="shared" si="11"/>
        <v>281.6666663</v>
      </c>
      <c r="AF329" s="14">
        <f t="shared" si="12"/>
        <v>1.092401314</v>
      </c>
      <c r="AG329" s="14">
        <f t="shared" si="13"/>
        <v>1.906822277</v>
      </c>
      <c r="AH329" s="14">
        <f t="shared" si="14"/>
        <v>1</v>
      </c>
      <c r="AI329" s="14">
        <f t="shared" si="15"/>
        <v>0.9946123915</v>
      </c>
      <c r="AJ329" s="15">
        <f t="shared" si="16"/>
        <v>0</v>
      </c>
      <c r="AK329" s="15" t="str">
        <f t="shared" si="17"/>
        <v>  @CONFIG[RD-0243] {
   %cost = 584
   @cost -= #$../../cost$
  }</v>
      </c>
    </row>
    <row r="330" ht="15.75" customHeight="1">
      <c r="A330" s="16" t="s">
        <v>499</v>
      </c>
      <c r="B330" s="16" t="s">
        <v>498</v>
      </c>
      <c r="C330" s="8">
        <f t="shared" si="1"/>
        <v>-11</v>
      </c>
      <c r="D330" s="16">
        <v>1986.0</v>
      </c>
      <c r="E330" s="16"/>
      <c r="F330" s="16" t="b">
        <v>1</v>
      </c>
      <c r="G330" s="16" t="b">
        <v>0</v>
      </c>
      <c r="H330" s="16" t="b">
        <v>1</v>
      </c>
      <c r="I330" s="16" t="b">
        <v>0</v>
      </c>
      <c r="J330" s="9" t="b">
        <v>0</v>
      </c>
      <c r="K330" s="16">
        <v>340.0</v>
      </c>
      <c r="L330" s="16">
        <v>15.0</v>
      </c>
      <c r="M330" s="16">
        <v>770.0</v>
      </c>
      <c r="N330" s="16">
        <v>836.5</v>
      </c>
      <c r="O330" s="16">
        <v>340.0</v>
      </c>
      <c r="P330" s="16">
        <v>16.32</v>
      </c>
      <c r="Q330" s="16">
        <v>0.993966</v>
      </c>
      <c r="R330" s="16">
        <v>0.99386</v>
      </c>
      <c r="S330" s="19">
        <f t="shared" si="2"/>
        <v>355</v>
      </c>
      <c r="T330" s="19">
        <f t="shared" si="3"/>
        <v>110.778261</v>
      </c>
      <c r="U330" s="20">
        <f t="shared" si="4"/>
        <v>0.5547459844</v>
      </c>
      <c r="V330" s="17">
        <f t="shared" si="72"/>
        <v>464.045016</v>
      </c>
      <c r="W330" s="21">
        <f t="shared" si="5"/>
        <v>4</v>
      </c>
      <c r="X330" s="21">
        <f t="shared" si="6"/>
        <v>2320.22508</v>
      </c>
      <c r="Y330" s="21">
        <f t="shared" si="7"/>
        <v>2.773729922</v>
      </c>
      <c r="Z330" s="8">
        <f t="shared" si="19"/>
        <v>467.6938246</v>
      </c>
      <c r="AA330" s="8">
        <f t="shared" si="64"/>
        <v>595</v>
      </c>
      <c r="AB330" s="13">
        <f t="shared" si="9"/>
        <v>1.676056338</v>
      </c>
      <c r="AC330" s="13">
        <f t="shared" si="10"/>
        <v>1.272199821</v>
      </c>
      <c r="AD330" s="13">
        <f>AA330/vlookup(A330,Max!$A$2:$AP$700,column(Max!$AP$2),false)</f>
        <v>2.203703704</v>
      </c>
      <c r="AE330" s="8">
        <f t="shared" si="11"/>
        <v>264.4702437</v>
      </c>
      <c r="AF330" s="14">
        <f t="shared" si="12"/>
        <v>1.328038609</v>
      </c>
      <c r="AG330" s="14">
        <f t="shared" si="13"/>
        <v>1.703036825</v>
      </c>
      <c r="AH330" s="14">
        <f t="shared" si="14"/>
        <v>1</v>
      </c>
      <c r="AI330" s="14">
        <f t="shared" si="15"/>
        <v>0.9946123915</v>
      </c>
      <c r="AJ330" s="27">
        <f t="shared" si="16"/>
        <v>-11</v>
      </c>
      <c r="AK330" s="15" t="str">
        <f t="shared" si="17"/>
        <v>  @CONFIG[RD-0255] {
   %cost = 595
   @cost -= #$../../cost$
  }</v>
      </c>
    </row>
    <row r="331" ht="15.75" customHeight="1">
      <c r="A331" s="16" t="s">
        <v>502</v>
      </c>
      <c r="B331" s="16" t="s">
        <v>501</v>
      </c>
      <c r="C331" s="8">
        <f t="shared" si="1"/>
        <v>-6</v>
      </c>
      <c r="D331" s="16">
        <v>1986.0</v>
      </c>
      <c r="E331" s="16"/>
      <c r="F331" s="16" t="b">
        <v>1</v>
      </c>
      <c r="G331" s="16" t="b">
        <v>0</v>
      </c>
      <c r="H331" s="16" t="b">
        <v>1</v>
      </c>
      <c r="I331" s="16" t="b">
        <v>0</v>
      </c>
      <c r="J331" s="9" t="b">
        <v>0</v>
      </c>
      <c r="K331" s="16">
        <v>340.0</v>
      </c>
      <c r="L331" s="16">
        <v>15.0</v>
      </c>
      <c r="M331" s="16">
        <v>680.0</v>
      </c>
      <c r="N331" s="16">
        <v>805.52</v>
      </c>
      <c r="O331" s="16">
        <v>341.3</v>
      </c>
      <c r="P331" s="16">
        <v>16.32</v>
      </c>
      <c r="Q331" s="16">
        <v>0.996957</v>
      </c>
      <c r="R331" s="16">
        <v>0.99693</v>
      </c>
      <c r="S331" s="19">
        <f t="shared" si="2"/>
        <v>355</v>
      </c>
      <c r="T331" s="19">
        <f t="shared" si="3"/>
        <v>120.7943826</v>
      </c>
      <c r="U331" s="20">
        <f t="shared" si="4"/>
        <v>0.5362823473</v>
      </c>
      <c r="V331" s="17">
        <f t="shared" si="72"/>
        <v>431.9861564</v>
      </c>
      <c r="W331" s="21">
        <f t="shared" si="5"/>
        <v>4</v>
      </c>
      <c r="X331" s="21">
        <f t="shared" si="6"/>
        <v>2159.930782</v>
      </c>
      <c r="Y331" s="21">
        <f t="shared" si="7"/>
        <v>2.681411737</v>
      </c>
      <c r="Z331" s="8">
        <f t="shared" si="19"/>
        <v>437.9891838</v>
      </c>
      <c r="AA331" s="8">
        <f t="shared" si="64"/>
        <v>565</v>
      </c>
      <c r="AB331" s="13">
        <f t="shared" si="9"/>
        <v>1.591549296</v>
      </c>
      <c r="AC331" s="13">
        <f t="shared" si="10"/>
        <v>1.289986194</v>
      </c>
      <c r="AD331" s="13">
        <f>AA331/vlookup(A331,Max!$A$2:$AP$700,column(Max!$AP$2),false)</f>
        <v>1.883333333</v>
      </c>
      <c r="AE331" s="8">
        <f t="shared" si="11"/>
        <v>245.0133877</v>
      </c>
      <c r="AF331" s="14">
        <f t="shared" si="12"/>
        <v>1.341074402</v>
      </c>
      <c r="AG331" s="14">
        <f t="shared" si="13"/>
        <v>1.703036825</v>
      </c>
      <c r="AH331" s="14">
        <f t="shared" si="14"/>
        <v>1</v>
      </c>
      <c r="AI331" s="14">
        <f t="shared" si="15"/>
        <v>1.00986831</v>
      </c>
      <c r="AJ331" s="27">
        <f t="shared" si="16"/>
        <v>-6</v>
      </c>
      <c r="AK331" s="15" t="str">
        <f t="shared" si="17"/>
        <v>  @CONFIG[RD-0256] {
   %cost = 565
   @cost -= #$../../cost$
  }</v>
      </c>
    </row>
    <row r="332" ht="15.75" customHeight="1">
      <c r="A332" s="16" t="s">
        <v>505</v>
      </c>
      <c r="B332" s="16" t="s">
        <v>504</v>
      </c>
      <c r="C332" s="8">
        <f t="shared" si="1"/>
        <v>-1</v>
      </c>
      <c r="D332" s="16">
        <v>1986.0</v>
      </c>
      <c r="E332" s="16"/>
      <c r="F332" s="16" t="b">
        <v>1</v>
      </c>
      <c r="G332" s="16" t="b">
        <v>0</v>
      </c>
      <c r="H332" s="16" t="b">
        <v>1</v>
      </c>
      <c r="I332" s="16" t="b">
        <v>0</v>
      </c>
      <c r="J332" s="9" t="b">
        <v>0</v>
      </c>
      <c r="K332" s="16">
        <v>10.0</v>
      </c>
      <c r="L332" s="16">
        <v>0.0</v>
      </c>
      <c r="M332" s="16">
        <v>90.0</v>
      </c>
      <c r="N332" s="16">
        <v>30.98</v>
      </c>
      <c r="O332" s="16">
        <v>307.0</v>
      </c>
      <c r="P332" s="16">
        <v>5.3</v>
      </c>
      <c r="Q332" s="16">
        <v>0.996957</v>
      </c>
      <c r="R332" s="16">
        <v>0.99693</v>
      </c>
      <c r="S332" s="19">
        <f t="shared" si="2"/>
        <v>10</v>
      </c>
      <c r="T332" s="19">
        <f t="shared" si="3"/>
        <v>35.10089798</v>
      </c>
      <c r="U332" s="20">
        <f t="shared" si="4"/>
        <v>3.49668914</v>
      </c>
      <c r="V332" s="17">
        <f t="shared" si="72"/>
        <v>108.3274296</v>
      </c>
      <c r="W332" s="21">
        <f t="shared" si="5"/>
        <v>4</v>
      </c>
      <c r="X332" s="21">
        <f t="shared" si="6"/>
        <v>541.6371478</v>
      </c>
      <c r="Y332" s="21">
        <f t="shared" si="7"/>
        <v>17.4834457</v>
      </c>
      <c r="Z332" s="8">
        <f t="shared" si="19"/>
        <v>109.8327846</v>
      </c>
      <c r="AA332" s="8">
        <f t="shared" si="64"/>
        <v>99</v>
      </c>
      <c r="AB332" s="13">
        <f t="shared" si="9"/>
        <v>9.9</v>
      </c>
      <c r="AC332" s="13">
        <f t="shared" si="10"/>
        <v>0.9013702091</v>
      </c>
      <c r="AD332" s="13">
        <f>AA332/vlookup(A332,Max!$A$2:$AP$700,column(Max!$AP$2),false)</f>
        <v>7.071428571</v>
      </c>
      <c r="AE332" s="8">
        <f t="shared" si="11"/>
        <v>71.55884225</v>
      </c>
      <c r="AF332" s="14">
        <f t="shared" si="12"/>
        <v>1.034533668</v>
      </c>
      <c r="AG332" s="14">
        <f t="shared" si="13"/>
        <v>1.322281966</v>
      </c>
      <c r="AH332" s="14">
        <f t="shared" si="14"/>
        <v>1</v>
      </c>
      <c r="AI332" s="14">
        <f t="shared" si="15"/>
        <v>1.00986831</v>
      </c>
      <c r="AJ332" s="27">
        <f t="shared" si="16"/>
        <v>-1</v>
      </c>
      <c r="AK332" s="15" t="str">
        <f t="shared" si="17"/>
        <v>  @CONFIG[RD-0257] {
   %cost = 99
   @cost -= #$../../cost$
  }</v>
      </c>
    </row>
    <row r="333" ht="15.75" customHeight="1">
      <c r="A333" s="7" t="s">
        <v>514</v>
      </c>
      <c r="B333" s="7" t="s">
        <v>515</v>
      </c>
      <c r="C333" s="8">
        <f t="shared" si="1"/>
        <v>2278</v>
      </c>
      <c r="D333" s="7">
        <v>1986.0</v>
      </c>
      <c r="E333" s="7" t="b">
        <v>1</v>
      </c>
      <c r="F333" s="7" t="b">
        <v>1</v>
      </c>
      <c r="G333" s="7" t="b">
        <v>0</v>
      </c>
      <c r="H333" s="7" t="b">
        <v>1</v>
      </c>
      <c r="I333" s="7" t="b">
        <v>0</v>
      </c>
      <c r="J333" s="9" t="b">
        <v>1</v>
      </c>
      <c r="K333" s="7">
        <v>433.0</v>
      </c>
      <c r="L333" s="7">
        <v>0.0</v>
      </c>
      <c r="M333" s="7">
        <v>2000.0</v>
      </c>
      <c r="N333" s="7">
        <v>35.3</v>
      </c>
      <c r="O333" s="7">
        <v>910.0</v>
      </c>
      <c r="P333" s="7">
        <v>4.0</v>
      </c>
      <c r="Q333" s="7">
        <v>1.0</v>
      </c>
      <c r="R333" s="7">
        <v>1.0</v>
      </c>
      <c r="S333" s="10">
        <f t="shared" si="2"/>
        <v>433</v>
      </c>
      <c r="T333" s="10">
        <f t="shared" si="3"/>
        <v>1.799799111</v>
      </c>
      <c r="U333" s="11">
        <f t="shared" si="4"/>
        <v>56.08590307</v>
      </c>
      <c r="V333" s="8">
        <f>0.9*(0.00015*M333*O333*P333+797)+0.1*(43.1*POWER(M333,0.549))</f>
        <v>1979.832378</v>
      </c>
      <c r="W333" s="12">
        <f t="shared" si="5"/>
        <v>4</v>
      </c>
      <c r="X333" s="12">
        <f t="shared" si="6"/>
        <v>9899.161892</v>
      </c>
      <c r="Y333" s="12">
        <f t="shared" si="7"/>
        <v>280.4295153</v>
      </c>
      <c r="Z333" s="8">
        <f t="shared" si="19"/>
        <v>2019.429026</v>
      </c>
      <c r="AA333" s="8">
        <f t="shared" si="64"/>
        <v>2278</v>
      </c>
      <c r="AB333" s="13">
        <f t="shared" si="9"/>
        <v>5.260969977</v>
      </c>
      <c r="AC333" s="13">
        <f t="shared" si="10"/>
        <v>1.128041625</v>
      </c>
      <c r="AD333" s="13">
        <f>AA333/vlookup(A333,Max!$A$2:$AP$700,column(Max!$AP$2),false)</f>
        <v>1.198947368</v>
      </c>
      <c r="AE333" s="8">
        <f t="shared" si="11"/>
        <v>526.2364669</v>
      </c>
      <c r="AF333" s="14">
        <f t="shared" si="12"/>
        <v>1.7004348</v>
      </c>
      <c r="AG333" s="14">
        <f t="shared" si="13"/>
        <v>1.241153517</v>
      </c>
      <c r="AH333" s="14">
        <f t="shared" si="14"/>
        <v>2</v>
      </c>
      <c r="AI333" s="14">
        <f t="shared" si="15"/>
        <v>1.025444154</v>
      </c>
      <c r="AJ333" s="15">
        <f t="shared" si="16"/>
        <v>0</v>
      </c>
      <c r="AK333" s="15" t="str">
        <f t="shared" si="17"/>
        <v>  @CONFIG[RD-0410MID] {
   %cost = 2278
   @cost -= #$../../cost$
  }</v>
      </c>
    </row>
    <row r="334" ht="15.75" customHeight="1">
      <c r="A334" s="7" t="s">
        <v>599</v>
      </c>
      <c r="B334" s="7" t="s">
        <v>596</v>
      </c>
      <c r="C334" s="8">
        <f t="shared" si="1"/>
        <v>6</v>
      </c>
      <c r="D334" s="7">
        <v>1986.0</v>
      </c>
      <c r="E334" s="7"/>
      <c r="F334" s="7" t="b">
        <v>1</v>
      </c>
      <c r="G334" s="7" t="b">
        <v>0</v>
      </c>
      <c r="H334" s="7" t="b">
        <v>0</v>
      </c>
      <c r="I334" s="7" t="b">
        <v>0</v>
      </c>
      <c r="J334" s="9" t="b">
        <v>0</v>
      </c>
      <c r="K334" s="7">
        <v>515.0</v>
      </c>
      <c r="L334" s="7">
        <v>100.0</v>
      </c>
      <c r="M334" s="7">
        <v>1080.0</v>
      </c>
      <c r="N334" s="7">
        <v>1748.0</v>
      </c>
      <c r="O334" s="7">
        <v>316.0</v>
      </c>
      <c r="P334" s="7">
        <v>14.71</v>
      </c>
      <c r="Q334" s="7">
        <v>0.999679</v>
      </c>
      <c r="R334" s="7">
        <v>0.999679</v>
      </c>
      <c r="S334" s="10">
        <f t="shared" si="2"/>
        <v>615</v>
      </c>
      <c r="T334" s="10">
        <f t="shared" si="3"/>
        <v>165.042957</v>
      </c>
      <c r="U334" s="11">
        <f t="shared" si="4"/>
        <v>0.3093998924</v>
      </c>
      <c r="V334" s="8">
        <f t="shared" ref="V334:V338" si="73">0.2*(8.17*POWER(M334*P334,0.46))+0.8*(0.146*POWER(M334*O334,0.639))</f>
        <v>540.831012</v>
      </c>
      <c r="W334" s="12">
        <f t="shared" si="5"/>
        <v>4</v>
      </c>
      <c r="X334" s="12">
        <f t="shared" si="6"/>
        <v>2704.15506</v>
      </c>
      <c r="Y334" s="12">
        <f t="shared" si="7"/>
        <v>1.546999462</v>
      </c>
      <c r="Z334" s="8">
        <f t="shared" si="19"/>
        <v>551.3004744</v>
      </c>
      <c r="AA334" s="8">
        <f t="shared" si="64"/>
        <v>734</v>
      </c>
      <c r="AB334" s="13">
        <f t="shared" si="9"/>
        <v>1.193495935</v>
      </c>
      <c r="AC334" s="13">
        <f t="shared" si="10"/>
        <v>1.331397367</v>
      </c>
      <c r="AD334" s="13">
        <f>AA334/vlookup(A334,Max!$A$2:$AP$700,column(Max!$AP$2),false)</f>
        <v>1.033802817</v>
      </c>
      <c r="AE334" s="8">
        <f t="shared" si="11"/>
        <v>325.7508777</v>
      </c>
      <c r="AF334" s="14">
        <f t="shared" si="12"/>
        <v>1.115677507</v>
      </c>
      <c r="AG334" s="14">
        <f t="shared" si="13"/>
        <v>1.971362423</v>
      </c>
      <c r="AH334" s="14">
        <f t="shared" si="14"/>
        <v>1</v>
      </c>
      <c r="AI334" s="14">
        <f t="shared" si="15"/>
        <v>1.024621433</v>
      </c>
      <c r="AJ334" s="27">
        <f t="shared" si="16"/>
        <v>6</v>
      </c>
      <c r="AK334" s="15" t="str">
        <f t="shared" si="17"/>
        <v>  @CONFIG[RD-253-Mk4] {
   %cost = 734
   @cost -= #$../../cost$
  }</v>
      </c>
    </row>
    <row r="335" ht="15.75" customHeight="1">
      <c r="A335" s="7" t="s">
        <v>1039</v>
      </c>
      <c r="B335" s="7" t="s">
        <v>605</v>
      </c>
      <c r="C335" s="8">
        <f t="shared" si="1"/>
        <v>12</v>
      </c>
      <c r="D335" s="7">
        <v>1986.0</v>
      </c>
      <c r="E335" s="7"/>
      <c r="F335" s="7" t="b">
        <v>1</v>
      </c>
      <c r="G335" s="7" t="b">
        <v>0</v>
      </c>
      <c r="H335" s="7" t="b">
        <v>1</v>
      </c>
      <c r="I335" s="7" t="b">
        <v>0</v>
      </c>
      <c r="J335" s="9" t="b">
        <v>0</v>
      </c>
      <c r="K335" s="7">
        <v>525.0</v>
      </c>
      <c r="L335" s="7">
        <v>100.0</v>
      </c>
      <c r="M335" s="7">
        <v>1450.0</v>
      </c>
      <c r="N335" s="7">
        <v>1834.0</v>
      </c>
      <c r="O335" s="7">
        <v>327.8</v>
      </c>
      <c r="P335" s="7">
        <v>14.71</v>
      </c>
      <c r="Q335" s="7">
        <v>0.999679</v>
      </c>
      <c r="R335" s="7">
        <v>0.999679</v>
      </c>
      <c r="S335" s="10">
        <f t="shared" si="2"/>
        <v>625</v>
      </c>
      <c r="T335" s="10">
        <f t="shared" si="3"/>
        <v>128.9765193</v>
      </c>
      <c r="U335" s="11">
        <f t="shared" si="4"/>
        <v>0.3575007749</v>
      </c>
      <c r="V335" s="8">
        <f t="shared" si="73"/>
        <v>655.6564212</v>
      </c>
      <c r="W335" s="12">
        <f t="shared" si="5"/>
        <v>4</v>
      </c>
      <c r="X335" s="12">
        <f t="shared" si="6"/>
        <v>3278.282106</v>
      </c>
      <c r="Y335" s="12">
        <f t="shared" si="7"/>
        <v>1.787503874</v>
      </c>
      <c r="Z335" s="8">
        <f t="shared" si="19"/>
        <v>668.3486857</v>
      </c>
      <c r="AA335" s="8">
        <f t="shared" si="64"/>
        <v>808</v>
      </c>
      <c r="AB335" s="13">
        <f t="shared" si="9"/>
        <v>1.2928</v>
      </c>
      <c r="AC335" s="13">
        <f t="shared" si="10"/>
        <v>1.208949785</v>
      </c>
      <c r="AD335" s="13">
        <f>AA335/vlookup(A335,Max!$A$2:$AP$700,column(Max!$AP$2),false)</f>
        <v>1.122222222</v>
      </c>
      <c r="AE335" s="8">
        <f t="shared" si="11"/>
        <v>390.7527905</v>
      </c>
      <c r="AF335" s="14">
        <f t="shared" si="12"/>
        <v>1.213691867</v>
      </c>
      <c r="AG335" s="14">
        <f t="shared" si="13"/>
        <v>1.663699383</v>
      </c>
      <c r="AH335" s="14">
        <f t="shared" si="14"/>
        <v>1</v>
      </c>
      <c r="AI335" s="14">
        <f t="shared" si="15"/>
        <v>1.023799372</v>
      </c>
      <c r="AJ335" s="27">
        <f t="shared" si="16"/>
        <v>12</v>
      </c>
      <c r="AK335" s="15" t="str">
        <f t="shared" si="17"/>
        <v>  @CONFIG[RD-254-Mk4] {
   %cost = 808
   @cost -= #$../../cost$
  }</v>
      </c>
    </row>
    <row r="336" ht="15.75" customHeight="1">
      <c r="A336" s="16" t="s">
        <v>616</v>
      </c>
      <c r="B336" s="16" t="s">
        <v>614</v>
      </c>
      <c r="C336" s="8">
        <f t="shared" si="1"/>
        <v>27</v>
      </c>
      <c r="D336" s="16">
        <v>1986.0</v>
      </c>
      <c r="E336" s="16"/>
      <c r="F336" s="16" t="b">
        <v>1</v>
      </c>
      <c r="G336" s="16" t="b">
        <v>0</v>
      </c>
      <c r="H336" s="16" t="b">
        <v>0</v>
      </c>
      <c r="I336" s="16" t="b">
        <v>0</v>
      </c>
      <c r="J336" s="9" t="b">
        <v>0</v>
      </c>
      <c r="K336" s="16">
        <v>445.0</v>
      </c>
      <c r="L336" s="16">
        <v>20.0</v>
      </c>
      <c r="M336" s="16">
        <v>885.0</v>
      </c>
      <c r="N336" s="16">
        <v>1237.6</v>
      </c>
      <c r="O336" s="16">
        <v>318.7</v>
      </c>
      <c r="P336" s="16">
        <v>22.6</v>
      </c>
      <c r="Q336" s="16">
        <v>0.998571</v>
      </c>
      <c r="R336" s="16">
        <v>0.996926</v>
      </c>
      <c r="S336" s="19">
        <f t="shared" si="2"/>
        <v>465</v>
      </c>
      <c r="T336" s="19">
        <f t="shared" si="3"/>
        <v>142.5989584</v>
      </c>
      <c r="U336" s="20">
        <f t="shared" si="4"/>
        <v>0.4124752521</v>
      </c>
      <c r="V336" s="17">
        <f t="shared" si="73"/>
        <v>510.479372</v>
      </c>
      <c r="W336" s="21">
        <f t="shared" si="5"/>
        <v>4</v>
      </c>
      <c r="X336" s="21">
        <f t="shared" si="6"/>
        <v>2552.39686</v>
      </c>
      <c r="Y336" s="21">
        <f t="shared" si="7"/>
        <v>2.06237626</v>
      </c>
      <c r="Z336" s="8">
        <f t="shared" si="19"/>
        <v>518.3925132</v>
      </c>
      <c r="AA336" s="8">
        <f t="shared" si="64"/>
        <v>748</v>
      </c>
      <c r="AB336" s="13">
        <f t="shared" si="9"/>
        <v>1.608602151</v>
      </c>
      <c r="AC336" s="13">
        <f t="shared" si="10"/>
        <v>1.442922073</v>
      </c>
      <c r="AD336" s="13">
        <f>AA336/vlookup(A336,Max!$A$2:$AP$700,column(Max!$AP$2),false)</f>
        <v>1.739534884</v>
      </c>
      <c r="AE336" s="8">
        <f t="shared" si="11"/>
        <v>288.1268574</v>
      </c>
      <c r="AF336" s="14">
        <f t="shared" si="12"/>
        <v>1.137091636</v>
      </c>
      <c r="AG336" s="14">
        <f t="shared" si="13"/>
        <v>2.242410942</v>
      </c>
      <c r="AH336" s="14">
        <f t="shared" si="14"/>
        <v>1</v>
      </c>
      <c r="AI336" s="14">
        <f t="shared" si="15"/>
        <v>1.017581775</v>
      </c>
      <c r="AJ336" s="27">
        <f t="shared" si="16"/>
        <v>27</v>
      </c>
      <c r="AK336" s="15" t="str">
        <f t="shared" si="17"/>
        <v>  @CONFIG[RD-273-15D286] {
   %cost = 748
   @cost -= #$../../cost$
  }</v>
      </c>
    </row>
    <row r="337" ht="15.75" customHeight="1">
      <c r="A337" s="16" t="s">
        <v>658</v>
      </c>
      <c r="B337" s="16" t="s">
        <v>657</v>
      </c>
      <c r="C337" s="8">
        <f t="shared" si="1"/>
        <v>2</v>
      </c>
      <c r="D337" s="16">
        <v>1986.0</v>
      </c>
      <c r="E337" s="16"/>
      <c r="F337" s="16" t="b">
        <v>1</v>
      </c>
      <c r="G337" s="16" t="b">
        <v>0</v>
      </c>
      <c r="H337" s="16" t="b">
        <v>1</v>
      </c>
      <c r="I337" s="16" t="b">
        <v>0</v>
      </c>
      <c r="J337" s="9" t="b">
        <v>0</v>
      </c>
      <c r="K337" s="16">
        <v>50.0</v>
      </c>
      <c r="L337" s="16">
        <v>5.0</v>
      </c>
      <c r="M337" s="16">
        <v>196.0</v>
      </c>
      <c r="N337" s="16">
        <v>20.47</v>
      </c>
      <c r="O337" s="16">
        <v>320.0</v>
      </c>
      <c r="P337" s="16">
        <v>4.1</v>
      </c>
      <c r="Q337" s="16">
        <v>0.999354</v>
      </c>
      <c r="R337" s="16">
        <v>0.99375</v>
      </c>
      <c r="S337" s="19">
        <f t="shared" si="2"/>
        <v>55</v>
      </c>
      <c r="T337" s="19">
        <f t="shared" si="3"/>
        <v>10.64979123</v>
      </c>
      <c r="U337" s="20">
        <f t="shared" si="4"/>
        <v>8.367025394</v>
      </c>
      <c r="V337" s="17">
        <f t="shared" si="73"/>
        <v>171.2730098</v>
      </c>
      <c r="W337" s="21">
        <f t="shared" si="5"/>
        <v>4</v>
      </c>
      <c r="X337" s="21">
        <f t="shared" si="6"/>
        <v>856.3650491</v>
      </c>
      <c r="Y337" s="21">
        <f t="shared" si="7"/>
        <v>41.83512697</v>
      </c>
      <c r="Z337" s="8">
        <f t="shared" si="19"/>
        <v>173.5180628</v>
      </c>
      <c r="AA337" s="8">
        <f t="shared" si="64"/>
        <v>165</v>
      </c>
      <c r="AB337" s="13">
        <f t="shared" si="9"/>
        <v>3</v>
      </c>
      <c r="AC337" s="13">
        <f t="shared" si="10"/>
        <v>0.9509096476</v>
      </c>
      <c r="AD337" s="13">
        <f>AA337/vlookup(A337,Max!$A$2:$AP$700,column(Max!$AP$2),false)</f>
        <v>7.5</v>
      </c>
      <c r="AE337" s="8">
        <f t="shared" si="11"/>
        <v>114.581297</v>
      </c>
      <c r="AF337" s="14">
        <f t="shared" si="12"/>
        <v>1.147610757</v>
      </c>
      <c r="AG337" s="14">
        <f t="shared" si="13"/>
        <v>1.248068355</v>
      </c>
      <c r="AH337" s="14">
        <f t="shared" si="14"/>
        <v>1</v>
      </c>
      <c r="AI337" s="14">
        <f t="shared" si="15"/>
        <v>1.007867069</v>
      </c>
      <c r="AJ337" s="27">
        <f t="shared" si="16"/>
        <v>2</v>
      </c>
      <c r="AK337" s="15" t="str">
        <f t="shared" si="17"/>
        <v>  @CONFIG[RD-869-15D300] {
   %cost = 165
   @cost -= #$../../cost$
  }</v>
      </c>
    </row>
    <row r="338" ht="15.75" customHeight="1">
      <c r="A338" s="7" t="s">
        <v>65</v>
      </c>
      <c r="B338" s="7" t="s">
        <v>54</v>
      </c>
      <c r="C338" s="8">
        <f t="shared" si="1"/>
        <v>91</v>
      </c>
      <c r="D338" s="7">
        <v>1987.0</v>
      </c>
      <c r="E338" s="7"/>
      <c r="F338" s="7" t="b">
        <v>1</v>
      </c>
      <c r="G338" s="7" t="b">
        <v>0</v>
      </c>
      <c r="H338" s="7" t="b">
        <v>1</v>
      </c>
      <c r="I338" s="7" t="b">
        <v>0</v>
      </c>
      <c r="J338" s="9" t="b">
        <v>0</v>
      </c>
      <c r="K338" s="7">
        <v>150.0</v>
      </c>
      <c r="L338" s="7">
        <v>150.0</v>
      </c>
      <c r="M338" s="7">
        <v>155.26</v>
      </c>
      <c r="N338" s="7">
        <v>71.1</v>
      </c>
      <c r="O338" s="7">
        <v>324.0</v>
      </c>
      <c r="P338" s="7">
        <v>3.34</v>
      </c>
      <c r="Q338" s="7">
        <v>0.9977</v>
      </c>
      <c r="R338" s="7">
        <v>0.9978</v>
      </c>
      <c r="S338" s="10">
        <f t="shared" si="2"/>
        <v>300</v>
      </c>
      <c r="T338" s="10">
        <f t="shared" si="3"/>
        <v>46.69703886</v>
      </c>
      <c r="U338" s="11">
        <f t="shared" si="4"/>
        <v>2.066760955</v>
      </c>
      <c r="V338" s="8">
        <f t="shared" si="73"/>
        <v>146.9467039</v>
      </c>
      <c r="W338" s="12">
        <f t="shared" si="5"/>
        <v>4</v>
      </c>
      <c r="X338" s="12">
        <f t="shared" si="6"/>
        <v>734.7335196</v>
      </c>
      <c r="Y338" s="12">
        <f t="shared" si="7"/>
        <v>10.33380478</v>
      </c>
      <c r="Z338" s="8">
        <f t="shared" si="19"/>
        <v>149.2251214</v>
      </c>
      <c r="AA338" s="8">
        <f t="shared" si="64"/>
        <v>142</v>
      </c>
      <c r="AB338" s="13">
        <f t="shared" si="9"/>
        <v>0.4733333333</v>
      </c>
      <c r="AC338" s="13">
        <f t="shared" si="10"/>
        <v>0.9515824057</v>
      </c>
      <c r="AD338" s="13">
        <f>AA338/vlookup(A338,Max!$A$2:$AP$700,column(Max!$AP$2),false)</f>
        <v>2.290322581</v>
      </c>
      <c r="AE338" s="8">
        <f t="shared" si="11"/>
        <v>99.47838254</v>
      </c>
      <c r="AF338" s="14">
        <f t="shared" si="12"/>
        <v>1.180851571</v>
      </c>
      <c r="AG338" s="14">
        <f t="shared" si="13"/>
        <v>1.191804331</v>
      </c>
      <c r="AH338" s="14">
        <f t="shared" si="14"/>
        <v>1</v>
      </c>
      <c r="AI338" s="14">
        <f t="shared" si="15"/>
        <v>1.013959697</v>
      </c>
      <c r="AJ338" s="27">
        <f t="shared" si="16"/>
        <v>91</v>
      </c>
      <c r="AK338" s="15" t="str">
        <f t="shared" si="17"/>
        <v>  @CONFIG[Model8096L] {
   %cost = 142
   @cost -= #$../../cost$
  }</v>
      </c>
    </row>
    <row r="339" ht="15.75" customHeight="1">
      <c r="A339" s="16" t="s">
        <v>452</v>
      </c>
      <c r="B339" s="16" t="s">
        <v>453</v>
      </c>
      <c r="C339" s="8">
        <f t="shared" si="1"/>
        <v>5549</v>
      </c>
      <c r="D339" s="16">
        <v>1987.0</v>
      </c>
      <c r="E339" s="16" t="b">
        <v>1</v>
      </c>
      <c r="F339" s="16" t="b">
        <v>1</v>
      </c>
      <c r="G339" s="16" t="b">
        <v>0</v>
      </c>
      <c r="H339" s="16" t="b">
        <v>0</v>
      </c>
      <c r="I339" s="16" t="b">
        <v>0</v>
      </c>
      <c r="J339" s="9" t="b">
        <v>0</v>
      </c>
      <c r="K339" s="16">
        <v>5000.0</v>
      </c>
      <c r="L339" s="16">
        <v>0.0</v>
      </c>
      <c r="M339" s="16">
        <v>3449.0</v>
      </c>
      <c r="N339" s="16">
        <v>1961.0</v>
      </c>
      <c r="O339" s="16">
        <v>454.5</v>
      </c>
      <c r="P339" s="16">
        <v>21.87</v>
      </c>
      <c r="Q339" s="16">
        <v>0.983333</v>
      </c>
      <c r="R339" s="16">
        <v>0.983333</v>
      </c>
      <c r="S339" s="19">
        <f t="shared" si="2"/>
        <v>5000</v>
      </c>
      <c r="T339" s="19">
        <f t="shared" si="3"/>
        <v>57.97806575</v>
      </c>
      <c r="U339" s="20">
        <f t="shared" si="4"/>
        <v>2.918286409</v>
      </c>
      <c r="V339" s="17">
        <f>0.9*(0.00015*M339*O339*P339+797)+0.1*(43.1*POWER(M339,0.549))</f>
        <v>5722.759648</v>
      </c>
      <c r="W339" s="21">
        <f t="shared" si="5"/>
        <v>4</v>
      </c>
      <c r="X339" s="21">
        <f t="shared" si="6"/>
        <v>28613.79824</v>
      </c>
      <c r="Y339" s="21">
        <f t="shared" si="7"/>
        <v>14.59143204</v>
      </c>
      <c r="Z339" s="8">
        <f t="shared" si="19"/>
        <v>5648.04209</v>
      </c>
      <c r="AA339" s="8">
        <f t="shared" si="64"/>
        <v>5549</v>
      </c>
      <c r="AB339" s="13">
        <f t="shared" si="9"/>
        <v>1.1098</v>
      </c>
      <c r="AC339" s="13">
        <f t="shared" si="10"/>
        <v>0.98246435</v>
      </c>
      <c r="AD339" s="13">
        <f>AA339/vlookup(A339,Max!$A$2:$AP$700,column(Max!$AP$2),false)</f>
        <v>2.2196</v>
      </c>
      <c r="AE339" s="8">
        <f t="shared" si="11"/>
        <v>721.8323229</v>
      </c>
      <c r="AF339" s="14">
        <f t="shared" si="12"/>
        <v>3.52087233</v>
      </c>
      <c r="AG339" s="14">
        <f t="shared" si="13"/>
        <v>2.220431128</v>
      </c>
      <c r="AH339" s="14">
        <f t="shared" si="14"/>
        <v>1</v>
      </c>
      <c r="AI339" s="14">
        <f t="shared" si="15"/>
        <v>0.9832490797</v>
      </c>
      <c r="AJ339" s="15">
        <f t="shared" si="16"/>
        <v>0</v>
      </c>
      <c r="AK339" s="15" t="str">
        <f t="shared" si="17"/>
        <v>  @CONFIG[RD-0120] {
   %cost = 5549
   @cost -= #$../../cost$
  }</v>
      </c>
    </row>
    <row r="340" ht="15.75" customHeight="1">
      <c r="A340" s="16" t="s">
        <v>558</v>
      </c>
      <c r="B340" s="16" t="s">
        <v>559</v>
      </c>
      <c r="C340" s="8">
        <f t="shared" si="1"/>
        <v>3150</v>
      </c>
      <c r="D340" s="16">
        <v>1987.0</v>
      </c>
      <c r="E340" s="16"/>
      <c r="F340" s="16" t="b">
        <v>1</v>
      </c>
      <c r="G340" s="16" t="b">
        <v>0</v>
      </c>
      <c r="H340" s="16" t="b">
        <v>0</v>
      </c>
      <c r="I340" s="16" t="b">
        <v>0</v>
      </c>
      <c r="J340" s="9" t="b">
        <v>0</v>
      </c>
      <c r="K340" s="16">
        <v>2004.0</v>
      </c>
      <c r="L340" s="16">
        <v>0.0</v>
      </c>
      <c r="M340" s="16">
        <v>9750.0</v>
      </c>
      <c r="N340" s="16">
        <v>7904.0</v>
      </c>
      <c r="O340" s="16">
        <v>337.1</v>
      </c>
      <c r="P340" s="16">
        <v>24.52</v>
      </c>
      <c r="Q340" s="16">
        <v>0.983333</v>
      </c>
      <c r="R340" s="16">
        <v>0.983333</v>
      </c>
      <c r="S340" s="19">
        <f t="shared" si="2"/>
        <v>2004</v>
      </c>
      <c r="T340" s="19">
        <f t="shared" si="3"/>
        <v>82.66499409</v>
      </c>
      <c r="U340" s="20">
        <f t="shared" si="4"/>
        <v>0.2772712551</v>
      </c>
      <c r="V340" s="17">
        <f t="shared" ref="V340:V342" si="74">0.2*(8.17*POWER(M340*P340,0.46))+0.8*(0.146*POWER(M340*O340,0.639))</f>
        <v>2191.552001</v>
      </c>
      <c r="W340" s="21">
        <f t="shared" si="5"/>
        <v>4</v>
      </c>
      <c r="X340" s="21">
        <f t="shared" si="6"/>
        <v>10957.76</v>
      </c>
      <c r="Y340" s="21">
        <f t="shared" si="7"/>
        <v>1.386356276</v>
      </c>
      <c r="Z340" s="8">
        <f t="shared" si="19"/>
        <v>2162.938635</v>
      </c>
      <c r="AA340" s="45">
        <v>3150.0</v>
      </c>
      <c r="AB340" s="13">
        <f t="shared" si="9"/>
        <v>1.571856287</v>
      </c>
      <c r="AC340" s="13">
        <f t="shared" si="10"/>
        <v>1.456351997</v>
      </c>
      <c r="AD340" s="13">
        <f>AA340/vlookup(A340,Max!$A$2:$AP$700,column(Max!$AP$2),false)</f>
        <v>1.75</v>
      </c>
      <c r="AE340" s="8">
        <f t="shared" si="11"/>
        <v>1279.875552</v>
      </c>
      <c r="AF340" s="14">
        <f t="shared" si="12"/>
        <v>1.299568981</v>
      </c>
      <c r="AG340" s="14">
        <f t="shared" si="13"/>
        <v>2.297940672</v>
      </c>
      <c r="AH340" s="14">
        <f t="shared" si="14"/>
        <v>1</v>
      </c>
      <c r="AI340" s="14">
        <f t="shared" si="15"/>
        <v>0.9832490797</v>
      </c>
      <c r="AJ340" s="15">
        <f t="shared" si="16"/>
        <v>0</v>
      </c>
      <c r="AK340" s="15" t="str">
        <f t="shared" si="17"/>
        <v>  @CONFIG[RD-170] {
   %cost = 3150
   @cost -= #$../../cost$
  }</v>
      </c>
    </row>
    <row r="341" ht="15.75" customHeight="1">
      <c r="A341" s="7" t="s">
        <v>1040</v>
      </c>
      <c r="B341" s="7" t="s">
        <v>93</v>
      </c>
      <c r="C341" s="8">
        <f t="shared" si="1"/>
        <v>138</v>
      </c>
      <c r="D341" s="7">
        <v>1988.0</v>
      </c>
      <c r="E341" s="7"/>
      <c r="F341" s="7" t="b">
        <v>1</v>
      </c>
      <c r="G341" s="7" t="b">
        <v>0</v>
      </c>
      <c r="H341" s="7" t="b">
        <v>1</v>
      </c>
      <c r="I341" s="7" t="b">
        <v>0</v>
      </c>
      <c r="J341" s="9" t="b">
        <v>0</v>
      </c>
      <c r="K341" s="7">
        <v>400.0</v>
      </c>
      <c r="L341" s="7">
        <v>250.0</v>
      </c>
      <c r="M341" s="7">
        <v>146.0</v>
      </c>
      <c r="N341" s="7">
        <v>26.7</v>
      </c>
      <c r="O341" s="7">
        <v>334.0</v>
      </c>
      <c r="P341" s="7">
        <v>2.41</v>
      </c>
      <c r="Q341" s="7">
        <v>0.999814</v>
      </c>
      <c r="R341" s="7">
        <v>0.999442</v>
      </c>
      <c r="S341" s="10">
        <f t="shared" si="2"/>
        <v>650</v>
      </c>
      <c r="T341" s="10">
        <f t="shared" si="3"/>
        <v>18.6482348</v>
      </c>
      <c r="U341" s="11">
        <f t="shared" si="4"/>
        <v>5.239356436</v>
      </c>
      <c r="V341" s="8">
        <f t="shared" si="74"/>
        <v>139.8908168</v>
      </c>
      <c r="W341" s="12">
        <f t="shared" si="5"/>
        <v>4</v>
      </c>
      <c r="X341" s="12">
        <f t="shared" si="6"/>
        <v>699.4540842</v>
      </c>
      <c r="Y341" s="12">
        <f t="shared" si="7"/>
        <v>26.19678218</v>
      </c>
      <c r="Z341" s="8">
        <f t="shared" si="19"/>
        <v>142.5845689</v>
      </c>
      <c r="AA341" s="8">
        <f t="shared" ref="AA341:AA346" si="75">round(AE341*AF341*AG341*AH341*AI341,0)</f>
        <v>138</v>
      </c>
      <c r="AB341" s="13">
        <f t="shared" si="9"/>
        <v>0.2123076923</v>
      </c>
      <c r="AC341" s="13">
        <f t="shared" si="10"/>
        <v>0.9678466684</v>
      </c>
      <c r="AD341" s="13">
        <f>AA341/vlookup(A341,Max!$A$2:$AP$700,column(Max!$AP$2),false)</f>
        <v>3</v>
      </c>
      <c r="AE341" s="8">
        <f t="shared" si="11"/>
        <v>95.84141508</v>
      </c>
      <c r="AF341" s="14">
        <f t="shared" si="12"/>
        <v>1.270044113</v>
      </c>
      <c r="AG341" s="14">
        <f t="shared" si="13"/>
        <v>1.107428864</v>
      </c>
      <c r="AH341" s="14">
        <f t="shared" si="14"/>
        <v>1</v>
      </c>
      <c r="AI341" s="14">
        <f t="shared" si="15"/>
        <v>1.023538158</v>
      </c>
      <c r="AJ341" s="15">
        <f t="shared" si="16"/>
        <v>0</v>
      </c>
      <c r="AK341" s="15" t="str">
        <f t="shared" si="17"/>
        <v>  @CONFIG[AJ23-151-OMS] {
   %cost = 138
   @cost -= #$../../cost$
  }</v>
      </c>
    </row>
    <row r="342" ht="15.75" customHeight="1">
      <c r="A342" s="16" t="s">
        <v>1041</v>
      </c>
      <c r="B342" s="16" t="s">
        <v>93</v>
      </c>
      <c r="C342" s="8">
        <f t="shared" si="1"/>
        <v>-62</v>
      </c>
      <c r="D342" s="16">
        <v>1988.0</v>
      </c>
      <c r="E342" s="16"/>
      <c r="F342" s="16" t="b">
        <v>1</v>
      </c>
      <c r="G342" s="16" t="b">
        <v>0</v>
      </c>
      <c r="H342" s="16" t="b">
        <v>1</v>
      </c>
      <c r="I342" s="16" t="b">
        <v>0</v>
      </c>
      <c r="J342" s="9" t="b">
        <v>0</v>
      </c>
      <c r="K342" s="16">
        <v>400.0</v>
      </c>
      <c r="L342" s="16">
        <v>0.0</v>
      </c>
      <c r="M342" s="16">
        <v>58.0</v>
      </c>
      <c r="N342" s="16">
        <v>16.7</v>
      </c>
      <c r="O342" s="16">
        <v>328.0</v>
      </c>
      <c r="P342" s="16">
        <v>2.41</v>
      </c>
      <c r="Q342" s="16">
        <v>0.999414</v>
      </c>
      <c r="R342" s="16">
        <v>0.999123</v>
      </c>
      <c r="S342" s="19">
        <f t="shared" si="2"/>
        <v>400</v>
      </c>
      <c r="T342" s="19">
        <f t="shared" si="3"/>
        <v>29.36079432</v>
      </c>
      <c r="U342" s="20">
        <f t="shared" si="4"/>
        <v>4.744279688</v>
      </c>
      <c r="V342" s="17">
        <f t="shared" si="74"/>
        <v>79.22947079</v>
      </c>
      <c r="W342" s="21">
        <f t="shared" si="5"/>
        <v>4</v>
      </c>
      <c r="X342" s="21">
        <f t="shared" si="6"/>
        <v>396.1473539</v>
      </c>
      <c r="Y342" s="21">
        <f t="shared" si="7"/>
        <v>23.72139844</v>
      </c>
      <c r="Z342" s="8">
        <f t="shared" si="19"/>
        <v>80.6981882</v>
      </c>
      <c r="AA342" s="8">
        <f t="shared" si="75"/>
        <v>76</v>
      </c>
      <c r="AB342" s="13">
        <f t="shared" si="9"/>
        <v>0.19</v>
      </c>
      <c r="AC342" s="13">
        <f t="shared" si="10"/>
        <v>0.9417807474</v>
      </c>
      <c r="AD342" s="13">
        <f>AA342/vlookup(A342,Max!$A$2:$AP$700,column(Max!$AP$2),false)</f>
        <v>2.714285714</v>
      </c>
      <c r="AE342" s="8">
        <f t="shared" si="11"/>
        <v>54.95543451</v>
      </c>
      <c r="AF342" s="14">
        <f t="shared" si="12"/>
        <v>1.215455308</v>
      </c>
      <c r="AG342" s="14">
        <f t="shared" si="13"/>
        <v>1.107428864</v>
      </c>
      <c r="AH342" s="14">
        <f t="shared" si="14"/>
        <v>1</v>
      </c>
      <c r="AI342" s="14">
        <f t="shared" si="15"/>
        <v>1.021699021</v>
      </c>
      <c r="AJ342" s="27">
        <f t="shared" si="16"/>
        <v>-62</v>
      </c>
      <c r="AK342" s="15" t="str">
        <f t="shared" si="17"/>
        <v>  @CONFIG[AJ23-153] {
   %cost = 76
   @cost -= #$../../cost$
  }</v>
      </c>
    </row>
    <row r="343" ht="15.75" customHeight="1">
      <c r="A343" s="7" t="s">
        <v>175</v>
      </c>
      <c r="B343" s="7" t="s">
        <v>168</v>
      </c>
      <c r="C343" s="8">
        <f t="shared" si="1"/>
        <v>697</v>
      </c>
      <c r="D343" s="7">
        <v>1988.0</v>
      </c>
      <c r="E343" s="7" t="b">
        <v>1</v>
      </c>
      <c r="F343" s="7" t="b">
        <v>1</v>
      </c>
      <c r="G343" s="7" t="b">
        <v>0</v>
      </c>
      <c r="H343" s="7" t="b">
        <v>1</v>
      </c>
      <c r="I343" s="7" t="b">
        <v>0</v>
      </c>
      <c r="J343" s="9" t="b">
        <v>0</v>
      </c>
      <c r="K343" s="7">
        <v>4200.0</v>
      </c>
      <c r="L343" s="7">
        <v>500.0</v>
      </c>
      <c r="M343" s="7">
        <v>1780.0</v>
      </c>
      <c r="N343" s="7">
        <v>1400.7</v>
      </c>
      <c r="O343" s="7">
        <v>458.0</v>
      </c>
      <c r="P343" s="7">
        <v>16.0</v>
      </c>
      <c r="Q343" s="7">
        <v>0.99</v>
      </c>
      <c r="R343" s="7">
        <v>0.99</v>
      </c>
      <c r="S343" s="10">
        <f t="shared" si="2"/>
        <v>4700</v>
      </c>
      <c r="T343" s="10">
        <f t="shared" si="3"/>
        <v>80.24249974</v>
      </c>
      <c r="U343" s="11">
        <f t="shared" si="4"/>
        <v>1.956603689</v>
      </c>
      <c r="V343" s="8">
        <f t="shared" ref="V343:V346" si="76">0.9*(0.00015*M343*O343*P343+797)+0.1*(43.1*POWER(M343,0.549))</f>
        <v>2740.614787</v>
      </c>
      <c r="W343" s="12">
        <f t="shared" si="5"/>
        <v>4</v>
      </c>
      <c r="X343" s="12">
        <f t="shared" si="6"/>
        <v>13703.07394</v>
      </c>
      <c r="Y343" s="12">
        <f t="shared" si="7"/>
        <v>9.783018446</v>
      </c>
      <c r="Z343" s="8">
        <f t="shared" si="19"/>
        <v>2740.888849</v>
      </c>
      <c r="AA343" s="8">
        <f t="shared" si="75"/>
        <v>2962</v>
      </c>
      <c r="AB343" s="13">
        <f t="shared" si="9"/>
        <v>0.630212766</v>
      </c>
      <c r="AC343" s="13">
        <f t="shared" si="10"/>
        <v>1.080671331</v>
      </c>
      <c r="AD343" s="13">
        <f>AA343/vlookup(A343,Max!$A$2:$AP$700,column(Max!$AP$2),false)</f>
        <v>1.097037037</v>
      </c>
      <c r="AE343" s="8">
        <f t="shared" si="11"/>
        <v>492.2650132</v>
      </c>
      <c r="AF343" s="14">
        <f t="shared" si="12"/>
        <v>3.639421545</v>
      </c>
      <c r="AG343" s="14">
        <f t="shared" si="13"/>
        <v>1.695465669</v>
      </c>
      <c r="AH343" s="14">
        <f t="shared" si="14"/>
        <v>1</v>
      </c>
      <c r="AI343" s="14">
        <f t="shared" si="15"/>
        <v>0.9751871871</v>
      </c>
      <c r="AJ343" s="27">
        <f t="shared" si="16"/>
        <v>697</v>
      </c>
      <c r="AK343" s="15" t="str">
        <f t="shared" si="17"/>
        <v>  @CONFIG[HG-3B] {
   %cost = 2962
   @cost -= #$../../cost$
  }</v>
      </c>
    </row>
    <row r="344" ht="15.75" customHeight="1">
      <c r="A344" s="16" t="s">
        <v>173</v>
      </c>
      <c r="B344" s="16" t="s">
        <v>168</v>
      </c>
      <c r="C344" s="8">
        <f t="shared" si="1"/>
        <v>682</v>
      </c>
      <c r="D344" s="16">
        <v>1988.0</v>
      </c>
      <c r="E344" s="16" t="b">
        <v>1</v>
      </c>
      <c r="F344" s="16" t="b">
        <v>1</v>
      </c>
      <c r="G344" s="16" t="b">
        <v>0</v>
      </c>
      <c r="H344" s="16" t="b">
        <v>1</v>
      </c>
      <c r="I344" s="16" t="b">
        <v>0</v>
      </c>
      <c r="J344" s="9" t="b">
        <v>0</v>
      </c>
      <c r="K344" s="16">
        <v>4200.0</v>
      </c>
      <c r="L344" s="16">
        <v>800.0</v>
      </c>
      <c r="M344" s="16">
        <v>1780.0</v>
      </c>
      <c r="N344" s="16">
        <v>1422.44</v>
      </c>
      <c r="O344" s="16">
        <v>458.0</v>
      </c>
      <c r="P344" s="16">
        <v>16.0</v>
      </c>
      <c r="Q344" s="16">
        <v>0.99</v>
      </c>
      <c r="R344" s="16">
        <v>0.988</v>
      </c>
      <c r="S344" s="19">
        <f t="shared" si="2"/>
        <v>5000</v>
      </c>
      <c r="T344" s="19">
        <f t="shared" si="3"/>
        <v>81.48792841</v>
      </c>
      <c r="U344" s="20">
        <f t="shared" si="4"/>
        <v>1.926699746</v>
      </c>
      <c r="V344" s="17">
        <f t="shared" si="76"/>
        <v>2740.614787</v>
      </c>
      <c r="W344" s="21">
        <f t="shared" si="5"/>
        <v>4</v>
      </c>
      <c r="X344" s="21">
        <f t="shared" si="6"/>
        <v>13703.07394</v>
      </c>
      <c r="Y344" s="21">
        <f t="shared" si="7"/>
        <v>9.633498732</v>
      </c>
      <c r="Z344" s="8">
        <f t="shared" si="19"/>
        <v>2735.462432</v>
      </c>
      <c r="AA344" s="8">
        <f t="shared" si="75"/>
        <v>2947</v>
      </c>
      <c r="AB344" s="13">
        <f t="shared" si="9"/>
        <v>0.5894</v>
      </c>
      <c r="AC344" s="13">
        <f t="shared" si="10"/>
        <v>1.077331557</v>
      </c>
      <c r="AD344" s="13">
        <f>AA344/vlookup(A344,Max!$A$2:$AP$700,column(Max!$AP$2),false)</f>
        <v>1.091481481</v>
      </c>
      <c r="AE344" s="8">
        <f t="shared" si="11"/>
        <v>492.2650132</v>
      </c>
      <c r="AF344" s="14">
        <f t="shared" si="12"/>
        <v>3.639421545</v>
      </c>
      <c r="AG344" s="14">
        <f t="shared" si="13"/>
        <v>1.695465669</v>
      </c>
      <c r="AH344" s="14">
        <f t="shared" si="14"/>
        <v>1</v>
      </c>
      <c r="AI344" s="14">
        <f t="shared" si="15"/>
        <v>0.9702694592</v>
      </c>
      <c r="AJ344" s="27">
        <f t="shared" si="16"/>
        <v>682</v>
      </c>
      <c r="AK344" s="15" t="str">
        <f t="shared" si="17"/>
        <v>  @CONFIG[HG-3B-2] {
   %cost = 2947
   @cost -= #$../../cost$
  }</v>
      </c>
    </row>
    <row r="345" ht="15.75" customHeight="1">
      <c r="A345" s="7" t="s">
        <v>174</v>
      </c>
      <c r="B345" s="7" t="s">
        <v>168</v>
      </c>
      <c r="C345" s="8">
        <f t="shared" si="1"/>
        <v>1106</v>
      </c>
      <c r="D345" s="7">
        <v>1988.0</v>
      </c>
      <c r="E345" s="7" t="b">
        <v>1</v>
      </c>
      <c r="F345" s="7" t="b">
        <v>1</v>
      </c>
      <c r="G345" s="7" t="b">
        <v>0</v>
      </c>
      <c r="H345" s="7" t="b">
        <v>0</v>
      </c>
      <c r="I345" s="7" t="b">
        <v>0</v>
      </c>
      <c r="J345" s="9" t="b">
        <v>0</v>
      </c>
      <c r="K345" s="7">
        <v>4200.0</v>
      </c>
      <c r="L345" s="7">
        <v>300.0</v>
      </c>
      <c r="M345" s="7">
        <v>1732.96</v>
      </c>
      <c r="N345" s="7">
        <v>1382.35</v>
      </c>
      <c r="O345" s="7">
        <v>452.0</v>
      </c>
      <c r="P345" s="7">
        <v>16.0</v>
      </c>
      <c r="Q345" s="7">
        <v>0.99</v>
      </c>
      <c r="R345" s="7">
        <v>0.99</v>
      </c>
      <c r="S345" s="10">
        <f t="shared" si="2"/>
        <v>4500</v>
      </c>
      <c r="T345" s="10">
        <f t="shared" si="3"/>
        <v>81.34086782</v>
      </c>
      <c r="U345" s="11">
        <f t="shared" si="4"/>
        <v>1.929894716</v>
      </c>
      <c r="V345" s="8">
        <f t="shared" si="76"/>
        <v>2667.78996</v>
      </c>
      <c r="W345" s="12">
        <f t="shared" si="5"/>
        <v>4</v>
      </c>
      <c r="X345" s="12">
        <f t="shared" si="6"/>
        <v>13338.9498</v>
      </c>
      <c r="Y345" s="12">
        <f t="shared" si="7"/>
        <v>9.649473578</v>
      </c>
      <c r="Z345" s="8">
        <f t="shared" si="19"/>
        <v>2668.056739</v>
      </c>
      <c r="AA345" s="8">
        <f t="shared" si="75"/>
        <v>3371</v>
      </c>
      <c r="AB345" s="13">
        <f t="shared" si="9"/>
        <v>0.7491111111</v>
      </c>
      <c r="AC345" s="13">
        <f t="shared" si="10"/>
        <v>1.263466384</v>
      </c>
      <c r="AD345" s="13">
        <f>AA345/vlookup(A345,Max!$A$2:$AP$700,column(Max!$AP$2),false)</f>
        <v>1.465652174</v>
      </c>
      <c r="AE345" s="8">
        <f t="shared" si="11"/>
        <v>484.7944465</v>
      </c>
      <c r="AF345" s="14">
        <f t="shared" si="12"/>
        <v>3.438943991</v>
      </c>
      <c r="AG345" s="14">
        <f t="shared" si="13"/>
        <v>2.021709105</v>
      </c>
      <c r="AH345" s="14">
        <f t="shared" si="14"/>
        <v>1</v>
      </c>
      <c r="AI345" s="14">
        <f t="shared" si="15"/>
        <v>1</v>
      </c>
      <c r="AJ345" s="27">
        <f t="shared" si="16"/>
        <v>1106</v>
      </c>
      <c r="AK345" s="15" t="str">
        <f t="shared" si="17"/>
        <v>  @CONFIG[HG-3B-SL] {
   %cost = 3371
   @cost -= #$../../cost$
  }</v>
      </c>
    </row>
    <row r="346" ht="15.75" customHeight="1">
      <c r="A346" s="16" t="s">
        <v>172</v>
      </c>
      <c r="B346" s="16" t="s">
        <v>168</v>
      </c>
      <c r="C346" s="8">
        <f t="shared" si="1"/>
        <v>1089</v>
      </c>
      <c r="D346" s="16">
        <v>1988.0</v>
      </c>
      <c r="E346" s="16" t="b">
        <v>1</v>
      </c>
      <c r="F346" s="16" t="b">
        <v>1</v>
      </c>
      <c r="G346" s="16" t="b">
        <v>0</v>
      </c>
      <c r="H346" s="16" t="b">
        <v>0</v>
      </c>
      <c r="I346" s="16" t="b">
        <v>0</v>
      </c>
      <c r="J346" s="9" t="b">
        <v>0</v>
      </c>
      <c r="K346" s="16">
        <v>4200.0</v>
      </c>
      <c r="L346" s="16">
        <v>600.0</v>
      </c>
      <c r="M346" s="16">
        <v>1732.96</v>
      </c>
      <c r="N346" s="16">
        <v>1403.81</v>
      </c>
      <c r="O346" s="16">
        <v>452.0</v>
      </c>
      <c r="P346" s="16">
        <v>16.0</v>
      </c>
      <c r="Q346" s="16">
        <v>0.97</v>
      </c>
      <c r="R346" s="16">
        <v>0.988</v>
      </c>
      <c r="S346" s="19">
        <f t="shared" si="2"/>
        <v>4800</v>
      </c>
      <c r="T346" s="19">
        <f t="shared" si="3"/>
        <v>82.6036269</v>
      </c>
      <c r="U346" s="20">
        <f t="shared" si="4"/>
        <v>1.900392475</v>
      </c>
      <c r="V346" s="17">
        <f t="shared" si="76"/>
        <v>2667.78996</v>
      </c>
      <c r="W346" s="21">
        <f t="shared" si="5"/>
        <v>4</v>
      </c>
      <c r="X346" s="21">
        <f t="shared" si="6"/>
        <v>13338.9498</v>
      </c>
      <c r="Y346" s="21">
        <f t="shared" si="7"/>
        <v>9.501962374</v>
      </c>
      <c r="Z346" s="8">
        <f t="shared" si="19"/>
        <v>2610.058985</v>
      </c>
      <c r="AA346" s="8">
        <f t="shared" si="75"/>
        <v>3354</v>
      </c>
      <c r="AB346" s="13">
        <f t="shared" si="9"/>
        <v>0.69875</v>
      </c>
      <c r="AC346" s="13">
        <f t="shared" si="10"/>
        <v>1.28502843</v>
      </c>
      <c r="AD346" s="13">
        <f>AA346/vlookup(A346,Max!$A$2:$AP$700,column(Max!$AP$2),false)</f>
        <v>1.765263158</v>
      </c>
      <c r="AE346" s="8">
        <f t="shared" si="11"/>
        <v>484.7944465</v>
      </c>
      <c r="AF346" s="14">
        <f t="shared" si="12"/>
        <v>3.438943991</v>
      </c>
      <c r="AG346" s="14">
        <f t="shared" si="13"/>
        <v>2.021709105</v>
      </c>
      <c r="AH346" s="14">
        <f t="shared" si="14"/>
        <v>1</v>
      </c>
      <c r="AI346" s="14">
        <f t="shared" si="15"/>
        <v>0.9949571447</v>
      </c>
      <c r="AJ346" s="27">
        <f t="shared" si="16"/>
        <v>1089</v>
      </c>
      <c r="AK346" s="15" t="str">
        <f t="shared" si="17"/>
        <v>  @CONFIG[HG-3B-SL-2] {
   %cost = 3354
   @cost -= #$../../cost$
  }</v>
      </c>
    </row>
    <row r="347" ht="15.75" customHeight="1">
      <c r="A347" s="7" t="s">
        <v>560</v>
      </c>
      <c r="B347" s="7" t="s">
        <v>559</v>
      </c>
      <c r="C347" s="8">
        <f t="shared" si="1"/>
        <v>-50</v>
      </c>
      <c r="D347" s="7">
        <v>1988.0</v>
      </c>
      <c r="E347" s="7"/>
      <c r="F347" s="7" t="b">
        <v>1</v>
      </c>
      <c r="G347" s="7" t="b">
        <v>0</v>
      </c>
      <c r="H347" s="7" t="b">
        <v>0</v>
      </c>
      <c r="I347" s="7" t="b">
        <v>0</v>
      </c>
      <c r="J347" s="9" t="b">
        <v>0</v>
      </c>
      <c r="K347" s="7">
        <v>2004.0</v>
      </c>
      <c r="L347" s="7">
        <v>0.0</v>
      </c>
      <c r="M347" s="7">
        <v>9500.0</v>
      </c>
      <c r="N347" s="7">
        <v>7904.0</v>
      </c>
      <c r="O347" s="7">
        <v>337.2</v>
      </c>
      <c r="P347" s="7">
        <v>24.52</v>
      </c>
      <c r="Q347" s="7">
        <v>0.985135</v>
      </c>
      <c r="R347" s="7">
        <v>0.985135</v>
      </c>
      <c r="S347" s="10">
        <f t="shared" si="2"/>
        <v>2004</v>
      </c>
      <c r="T347" s="10">
        <f t="shared" si="3"/>
        <v>84.84038867</v>
      </c>
      <c r="U347" s="11">
        <f t="shared" si="4"/>
        <v>0.2730295287</v>
      </c>
      <c r="V347" s="8">
        <f>0.2*(8.17*POWER(M347*P347,0.46))+0.8*(0.146*POWER(M347*O347,0.639))</f>
        <v>2158.025395</v>
      </c>
      <c r="W347" s="12">
        <f t="shared" si="5"/>
        <v>4</v>
      </c>
      <c r="X347" s="12">
        <f t="shared" si="6"/>
        <v>10790.12697</v>
      </c>
      <c r="Y347" s="12">
        <f t="shared" si="7"/>
        <v>1.365147643</v>
      </c>
      <c r="Z347" s="8">
        <f t="shared" si="19"/>
        <v>2137.504663</v>
      </c>
      <c r="AA347" s="45">
        <v>3100.0</v>
      </c>
      <c r="AB347" s="13">
        <f t="shared" si="9"/>
        <v>1.546906188</v>
      </c>
      <c r="AC347" s="13">
        <f t="shared" si="10"/>
        <v>1.450289234</v>
      </c>
      <c r="AD347" s="13">
        <f>AA347/vlookup(A347,Max!$A$2:$AP$700,column(Max!$AP$2),false)</f>
        <v>1.631578947</v>
      </c>
      <c r="AE347" s="8">
        <f t="shared" si="11"/>
        <v>1259.217912</v>
      </c>
      <c r="AF347" s="14">
        <f t="shared" si="12"/>
        <v>1.300536866</v>
      </c>
      <c r="AG347" s="14">
        <f t="shared" si="13"/>
        <v>2.297940672</v>
      </c>
      <c r="AH347" s="14">
        <f t="shared" si="14"/>
        <v>1</v>
      </c>
      <c r="AI347" s="14">
        <f t="shared" si="15"/>
        <v>0.9877598883</v>
      </c>
      <c r="AJ347" s="27">
        <f t="shared" si="16"/>
        <v>-50</v>
      </c>
      <c r="AK347" s="15" t="str">
        <f t="shared" si="17"/>
        <v>  @CONFIG[RD-171] {
   %cost = 3100
   @cost -= #$../../cost$
  }</v>
      </c>
    </row>
    <row r="348" ht="15.75" customHeight="1">
      <c r="A348" s="16" t="s">
        <v>758</v>
      </c>
      <c r="B348" s="16" t="s">
        <v>752</v>
      </c>
      <c r="C348" s="8">
        <f t="shared" si="1"/>
        <v>67</v>
      </c>
      <c r="D348" s="16">
        <v>1988.0</v>
      </c>
      <c r="E348" s="16" t="b">
        <v>1</v>
      </c>
      <c r="F348" s="16" t="b">
        <v>1</v>
      </c>
      <c r="G348" s="16" t="b">
        <v>0</v>
      </c>
      <c r="H348" s="16" t="b">
        <v>0</v>
      </c>
      <c r="I348" s="16" t="b">
        <v>0</v>
      </c>
      <c r="J348" s="9" t="b">
        <v>0</v>
      </c>
      <c r="K348" s="16">
        <v>6077.0</v>
      </c>
      <c r="L348" s="16">
        <v>0.0</v>
      </c>
      <c r="M348" s="16">
        <v>3527.0</v>
      </c>
      <c r="N348" s="16">
        <v>2173.6</v>
      </c>
      <c r="O348" s="16">
        <v>453.5</v>
      </c>
      <c r="P348" s="16">
        <v>21.55</v>
      </c>
      <c r="Q348" s="16">
        <v>0.996053</v>
      </c>
      <c r="R348" s="16">
        <v>0.999211</v>
      </c>
      <c r="S348" s="19">
        <f t="shared" si="2"/>
        <v>6077</v>
      </c>
      <c r="T348" s="19">
        <f t="shared" si="3"/>
        <v>62.84250508</v>
      </c>
      <c r="U348" s="20">
        <f t="shared" si="4"/>
        <v>2.646566142</v>
      </c>
      <c r="V348" s="17">
        <f t="shared" ref="V348:V351" si="77">0.9*(0.00015*M348*O348*P348+797)+0.1*(43.1*POWER(M348,0.549))</f>
        <v>5752.576167</v>
      </c>
      <c r="W348" s="21">
        <f t="shared" si="5"/>
        <v>4</v>
      </c>
      <c r="X348" s="21">
        <f t="shared" si="6"/>
        <v>28762.88083</v>
      </c>
      <c r="Y348" s="21">
        <f t="shared" si="7"/>
        <v>13.23283071</v>
      </c>
      <c r="Z348" s="8">
        <f t="shared" si="19"/>
        <v>5840.401404</v>
      </c>
      <c r="AA348" s="8">
        <f t="shared" ref="AA348:AA407" si="78">round(AE348*AF348*AG348*AH348*AI348,0)</f>
        <v>5771</v>
      </c>
      <c r="AB348" s="13">
        <f t="shared" si="9"/>
        <v>0.949646207</v>
      </c>
      <c r="AC348" s="13">
        <f t="shared" si="10"/>
        <v>0.9881170147</v>
      </c>
      <c r="AD348" s="13">
        <f>AA348/vlookup(A348,Max!$A$2:$AP$700,column(Max!$AP$2),false)</f>
        <v>1.518684211</v>
      </c>
      <c r="AE348" s="8">
        <f t="shared" si="11"/>
        <v>731.3520152</v>
      </c>
      <c r="AF348" s="14">
        <f t="shared" si="12"/>
        <v>3.487830873</v>
      </c>
      <c r="AG348" s="14">
        <f t="shared" si="13"/>
        <v>2.210634047</v>
      </c>
      <c r="AH348" s="14">
        <f t="shared" si="14"/>
        <v>1</v>
      </c>
      <c r="AI348" s="14">
        <f t="shared" si="15"/>
        <v>1.023422662</v>
      </c>
      <c r="AJ348" s="27">
        <f t="shared" si="16"/>
        <v>67</v>
      </c>
      <c r="AK348" s="15" t="str">
        <f t="shared" si="17"/>
        <v>  @CONFIG[RS-25A] {
   %cost = 5771
   @cost -= #$../../cost$
  }</v>
      </c>
    </row>
    <row r="349" ht="15.75" customHeight="1">
      <c r="A349" s="7" t="s">
        <v>1042</v>
      </c>
      <c r="B349" s="7" t="s">
        <v>752</v>
      </c>
      <c r="C349" s="8">
        <f t="shared" si="1"/>
        <v>1441</v>
      </c>
      <c r="D349" s="7">
        <v>1988.0</v>
      </c>
      <c r="E349" s="7" t="b">
        <v>1</v>
      </c>
      <c r="F349" s="7" t="b">
        <v>1</v>
      </c>
      <c r="G349" s="7" t="b">
        <v>0</v>
      </c>
      <c r="H349" s="7" t="b">
        <v>0</v>
      </c>
      <c r="I349" s="7" t="b">
        <v>0</v>
      </c>
      <c r="J349" s="9" t="b">
        <v>0</v>
      </c>
      <c r="K349" s="7">
        <v>6077.0</v>
      </c>
      <c r="L349" s="7">
        <v>0.0</v>
      </c>
      <c r="M349" s="7">
        <v>4400.0</v>
      </c>
      <c r="N349" s="7">
        <v>2215.8</v>
      </c>
      <c r="O349" s="7">
        <v>462.3</v>
      </c>
      <c r="P349" s="7">
        <v>21.55</v>
      </c>
      <c r="Q349" s="7">
        <v>0.996053</v>
      </c>
      <c r="R349" s="7">
        <v>0.999211</v>
      </c>
      <c r="S349" s="10">
        <f t="shared" si="2"/>
        <v>6077</v>
      </c>
      <c r="T349" s="10">
        <f t="shared" si="3"/>
        <v>51.35198132</v>
      </c>
      <c r="U349" s="11">
        <f t="shared" si="4"/>
        <v>3.189059151</v>
      </c>
      <c r="V349" s="8">
        <f t="shared" si="77"/>
        <v>7066.317266</v>
      </c>
      <c r="W349" s="12">
        <f t="shared" si="5"/>
        <v>4</v>
      </c>
      <c r="X349" s="12">
        <f t="shared" si="6"/>
        <v>35331.58633</v>
      </c>
      <c r="Y349" s="12">
        <f t="shared" si="7"/>
        <v>15.94529575</v>
      </c>
      <c r="Z349" s="8">
        <f t="shared" si="19"/>
        <v>7174.199538</v>
      </c>
      <c r="AA349" s="8">
        <f t="shared" si="78"/>
        <v>7145</v>
      </c>
      <c r="AB349" s="13">
        <f t="shared" si="9"/>
        <v>1.175744611</v>
      </c>
      <c r="AC349" s="13">
        <f t="shared" si="10"/>
        <v>0.9959299239</v>
      </c>
      <c r="AD349" s="13">
        <f>AA349/vlookup(A349,Max!$A$2:$AP$700,column(Max!$AP$2),false)</f>
        <v>1.488541667</v>
      </c>
      <c r="AE349" s="8">
        <f t="shared" si="11"/>
        <v>832.9605947</v>
      </c>
      <c r="AF349" s="14">
        <f t="shared" si="12"/>
        <v>3.791470948</v>
      </c>
      <c r="AG349" s="14">
        <f t="shared" si="13"/>
        <v>2.210634047</v>
      </c>
      <c r="AH349" s="14">
        <f t="shared" si="14"/>
        <v>1</v>
      </c>
      <c r="AI349" s="14">
        <f t="shared" si="15"/>
        <v>1.023422662</v>
      </c>
      <c r="AJ349" s="27">
        <f t="shared" si="16"/>
        <v>1441</v>
      </c>
      <c r="AK349" s="15" t="str">
        <f t="shared" si="17"/>
        <v>  @CONFIG[RS-25A-150] {
   %cost = 7145
   @cost -= #$../../cost$
  }</v>
      </c>
    </row>
    <row r="350" ht="15.75" customHeight="1">
      <c r="A350" s="16" t="s">
        <v>1043</v>
      </c>
      <c r="B350" s="16" t="s">
        <v>752</v>
      </c>
      <c r="C350" s="8">
        <f t="shared" si="1"/>
        <v>-594</v>
      </c>
      <c r="D350" s="16">
        <v>1988.0</v>
      </c>
      <c r="E350" s="16" t="b">
        <v>1</v>
      </c>
      <c r="F350" s="16" t="b">
        <v>1</v>
      </c>
      <c r="G350" s="16" t="b">
        <v>0</v>
      </c>
      <c r="H350" s="16" t="b">
        <v>0</v>
      </c>
      <c r="I350" s="16" t="b">
        <v>0</v>
      </c>
      <c r="J350" s="9" t="b">
        <v>0</v>
      </c>
      <c r="K350" s="16">
        <v>6077.0</v>
      </c>
      <c r="L350" s="16">
        <v>0.0</v>
      </c>
      <c r="M350" s="16">
        <v>3372.0</v>
      </c>
      <c r="N350" s="16">
        <v>2124.7</v>
      </c>
      <c r="O350" s="16">
        <v>443.3</v>
      </c>
      <c r="P350" s="16">
        <v>21.55</v>
      </c>
      <c r="Q350" s="16">
        <v>0.996053</v>
      </c>
      <c r="R350" s="16">
        <v>0.999211</v>
      </c>
      <c r="S350" s="19">
        <f t="shared" si="2"/>
        <v>6077</v>
      </c>
      <c r="T350" s="19">
        <f t="shared" si="3"/>
        <v>64.25240307</v>
      </c>
      <c r="U350" s="20">
        <f t="shared" si="4"/>
        <v>2.559753074</v>
      </c>
      <c r="V350" s="17">
        <f t="shared" si="77"/>
        <v>5438.707357</v>
      </c>
      <c r="W350" s="21">
        <f t="shared" si="5"/>
        <v>4</v>
      </c>
      <c r="X350" s="21">
        <f t="shared" si="6"/>
        <v>27193.53678</v>
      </c>
      <c r="Y350" s="21">
        <f t="shared" si="7"/>
        <v>12.79876537</v>
      </c>
      <c r="Z350" s="8">
        <f t="shared" si="19"/>
        <v>5521.740723</v>
      </c>
      <c r="AA350" s="8">
        <f t="shared" si="78"/>
        <v>5110</v>
      </c>
      <c r="AB350" s="13">
        <f t="shared" si="9"/>
        <v>0.840875432</v>
      </c>
      <c r="AC350" s="13">
        <f t="shared" si="10"/>
        <v>0.925432804</v>
      </c>
      <c r="AD350" s="13">
        <f>AA350/vlookup(A350,Max!$A$2:$AP$700,column(Max!$AP$2),false)</f>
        <v>1.31025641</v>
      </c>
      <c r="AE350" s="8">
        <f t="shared" si="11"/>
        <v>712.3540018</v>
      </c>
      <c r="AF350" s="14">
        <f t="shared" si="12"/>
        <v>3.170698986</v>
      </c>
      <c r="AG350" s="14">
        <f t="shared" si="13"/>
        <v>2.210634047</v>
      </c>
      <c r="AH350" s="14">
        <f t="shared" si="14"/>
        <v>1</v>
      </c>
      <c r="AI350" s="14">
        <f t="shared" si="15"/>
        <v>1.023422662</v>
      </c>
      <c r="AJ350" s="27">
        <f t="shared" si="16"/>
        <v>-594</v>
      </c>
      <c r="AK350" s="15" t="str">
        <f t="shared" si="17"/>
        <v>  @CONFIG[RS-25A-35] {
   %cost = 5110
   @cost -= #$../../cost$
  }</v>
      </c>
    </row>
    <row r="351" ht="15.75" customHeight="1">
      <c r="A351" s="7" t="s">
        <v>1044</v>
      </c>
      <c r="B351" s="7" t="s">
        <v>752</v>
      </c>
      <c r="C351" s="8">
        <f t="shared" si="1"/>
        <v>-288</v>
      </c>
      <c r="D351" s="7">
        <v>1988.0</v>
      </c>
      <c r="E351" s="7" t="b">
        <v>1</v>
      </c>
      <c r="F351" s="7" t="b">
        <v>1</v>
      </c>
      <c r="G351" s="7" t="b">
        <v>0</v>
      </c>
      <c r="H351" s="7" t="b">
        <v>0</v>
      </c>
      <c r="I351" s="7" t="b">
        <v>0</v>
      </c>
      <c r="J351" s="9" t="b">
        <v>0</v>
      </c>
      <c r="K351" s="7">
        <v>6077.0</v>
      </c>
      <c r="L351" s="7">
        <v>0.0</v>
      </c>
      <c r="M351" s="7">
        <v>3440.0</v>
      </c>
      <c r="N351" s="7">
        <v>2148.7</v>
      </c>
      <c r="O351" s="7">
        <v>448.3</v>
      </c>
      <c r="P351" s="7">
        <v>21.55</v>
      </c>
      <c r="Q351" s="7">
        <v>0.996053</v>
      </c>
      <c r="R351" s="7">
        <v>0.999211</v>
      </c>
      <c r="S351" s="10">
        <f t="shared" si="2"/>
        <v>6077</v>
      </c>
      <c r="T351" s="10">
        <f t="shared" si="3"/>
        <v>63.69372734</v>
      </c>
      <c r="U351" s="11">
        <f t="shared" si="4"/>
        <v>2.597175509</v>
      </c>
      <c r="V351" s="8">
        <f t="shared" si="77"/>
        <v>5580.551016</v>
      </c>
      <c r="W351" s="12">
        <f t="shared" si="5"/>
        <v>4</v>
      </c>
      <c r="X351" s="12">
        <f t="shared" si="6"/>
        <v>27902.75508</v>
      </c>
      <c r="Y351" s="12">
        <f t="shared" si="7"/>
        <v>12.98587755</v>
      </c>
      <c r="Z351" s="8">
        <f t="shared" si="19"/>
        <v>5665.749926</v>
      </c>
      <c r="AA351" s="8">
        <f t="shared" si="78"/>
        <v>5416</v>
      </c>
      <c r="AB351" s="13">
        <f t="shared" si="9"/>
        <v>0.8912292249</v>
      </c>
      <c r="AC351" s="13">
        <f t="shared" si="10"/>
        <v>0.9559193524</v>
      </c>
      <c r="AD351" s="13">
        <f>AA351/vlookup(A351,Max!$A$2:$AP$700,column(Max!$AP$2),false)</f>
        <v>1.388717949</v>
      </c>
      <c r="AE351" s="8">
        <f t="shared" si="11"/>
        <v>720.728653</v>
      </c>
      <c r="AF351" s="14">
        <f t="shared" si="12"/>
        <v>3.321738047</v>
      </c>
      <c r="AG351" s="14">
        <f t="shared" si="13"/>
        <v>2.210634047</v>
      </c>
      <c r="AH351" s="14">
        <f t="shared" si="14"/>
        <v>1</v>
      </c>
      <c r="AI351" s="14">
        <f t="shared" si="15"/>
        <v>1.023422662</v>
      </c>
      <c r="AJ351" s="27">
        <f t="shared" si="16"/>
        <v>-288</v>
      </c>
      <c r="AK351" s="15" t="str">
        <f t="shared" si="17"/>
        <v>  @CONFIG[RS-25A-50] {
   %cost = 5416
   @cost -= #$../../cost$
  }</v>
      </c>
    </row>
    <row r="352" ht="15.75" customHeight="1">
      <c r="A352" s="7" t="s">
        <v>81</v>
      </c>
      <c r="B352" s="7" t="s">
        <v>76</v>
      </c>
      <c r="C352" s="8">
        <f t="shared" si="1"/>
        <v>5</v>
      </c>
      <c r="D352" s="7">
        <v>1989.0</v>
      </c>
      <c r="E352" s="7"/>
      <c r="F352" s="7" t="b">
        <v>0</v>
      </c>
      <c r="G352" s="7" t="b">
        <v>0</v>
      </c>
      <c r="H352" s="7" t="b">
        <v>1</v>
      </c>
      <c r="I352" s="7" t="b">
        <v>0</v>
      </c>
      <c r="J352" s="9" t="b">
        <v>0</v>
      </c>
      <c r="K352" s="7">
        <v>200.0</v>
      </c>
      <c r="L352" s="7">
        <v>100.0</v>
      </c>
      <c r="M352" s="7">
        <v>100.0</v>
      </c>
      <c r="N352" s="7">
        <v>43.7</v>
      </c>
      <c r="O352" s="7">
        <v>319.2</v>
      </c>
      <c r="P352" s="7">
        <v>0.88</v>
      </c>
      <c r="Q352" s="7">
        <v>0.999414</v>
      </c>
      <c r="R352" s="7">
        <v>0.999123</v>
      </c>
      <c r="S352" s="10">
        <f t="shared" si="2"/>
        <v>300</v>
      </c>
      <c r="T352" s="10">
        <f t="shared" si="3"/>
        <v>44.56159838</v>
      </c>
      <c r="U352" s="11">
        <f t="shared" si="4"/>
        <v>2.311880388</v>
      </c>
      <c r="V352" s="8">
        <f t="shared" ref="V352:V353" si="79">0.2*(8.17*POWER(M352*P352,0.46))+0.8*(0.146*POWER(M352*O352,0.639))</f>
        <v>101.029173</v>
      </c>
      <c r="W352" s="12">
        <f t="shared" si="5"/>
        <v>1.75</v>
      </c>
      <c r="X352" s="12">
        <f t="shared" si="6"/>
        <v>277.8302257</v>
      </c>
      <c r="Y352" s="12">
        <f t="shared" si="7"/>
        <v>6.357671068</v>
      </c>
      <c r="Z352" s="8">
        <f t="shared" si="19"/>
        <v>102.9020027</v>
      </c>
      <c r="AA352" s="8">
        <f t="shared" si="78"/>
        <v>78</v>
      </c>
      <c r="AB352" s="13">
        <f t="shared" si="9"/>
        <v>0.26</v>
      </c>
      <c r="AC352" s="13">
        <f t="shared" si="10"/>
        <v>0.7580027402</v>
      </c>
      <c r="AD352" s="13">
        <f>AA352/vlookup(A352,Max!$A$2:$AP$700,column(Max!$AP$2),false)</f>
        <v>1.695652174</v>
      </c>
      <c r="AE352" s="8">
        <f t="shared" si="11"/>
        <v>76.2501611</v>
      </c>
      <c r="AF352" s="14">
        <f t="shared" si="12"/>
        <v>1.141121227</v>
      </c>
      <c r="AG352" s="14">
        <f t="shared" si="13"/>
        <v>0.8828168328</v>
      </c>
      <c r="AH352" s="14">
        <f t="shared" si="14"/>
        <v>1</v>
      </c>
      <c r="AI352" s="14">
        <f t="shared" si="15"/>
        <v>1.021699021</v>
      </c>
      <c r="AJ352" s="27">
        <f t="shared" si="16"/>
        <v>5</v>
      </c>
      <c r="AK352" s="15" t="str">
        <f t="shared" si="17"/>
        <v>  @CONFIG[AJ10-118K] {
   %cost = 78
   @cost -= #$../../cost$
  }</v>
      </c>
    </row>
    <row r="353" ht="15.75" customHeight="1">
      <c r="A353" s="7" t="s">
        <v>166</v>
      </c>
      <c r="B353" s="7" t="s">
        <v>158</v>
      </c>
      <c r="C353" s="8">
        <f t="shared" si="1"/>
        <v>100</v>
      </c>
      <c r="D353" s="7">
        <v>1989.0</v>
      </c>
      <c r="E353" s="7"/>
      <c r="F353" s="7" t="b">
        <v>1</v>
      </c>
      <c r="G353" s="7" t="b">
        <v>0</v>
      </c>
      <c r="H353" s="7" t="b">
        <v>0</v>
      </c>
      <c r="I353" s="7" t="b">
        <v>0</v>
      </c>
      <c r="J353" s="9" t="b">
        <v>0</v>
      </c>
      <c r="K353" s="7">
        <v>250.0</v>
      </c>
      <c r="L353" s="7">
        <v>50.0</v>
      </c>
      <c r="M353" s="7">
        <v>1147.0</v>
      </c>
      <c r="N353" s="7">
        <v>1054.23</v>
      </c>
      <c r="O353" s="7">
        <v>302.0</v>
      </c>
      <c r="P353" s="7">
        <v>4.85</v>
      </c>
      <c r="Q353" s="7">
        <v>0.998944</v>
      </c>
      <c r="R353" s="7">
        <v>0.998944</v>
      </c>
      <c r="S353" s="10">
        <f t="shared" si="2"/>
        <v>300</v>
      </c>
      <c r="T353" s="10">
        <f t="shared" si="3"/>
        <v>93.7240994</v>
      </c>
      <c r="U353" s="11">
        <f t="shared" si="4"/>
        <v>0.4658422265</v>
      </c>
      <c r="V353" s="8">
        <f t="shared" si="79"/>
        <v>491.1048504</v>
      </c>
      <c r="W353" s="12">
        <f t="shared" si="5"/>
        <v>4</v>
      </c>
      <c r="X353" s="12">
        <f t="shared" si="6"/>
        <v>2455.524252</v>
      </c>
      <c r="Y353" s="12">
        <f t="shared" si="7"/>
        <v>2.329211132</v>
      </c>
      <c r="Z353" s="8">
        <f t="shared" si="19"/>
        <v>499.8902817</v>
      </c>
      <c r="AA353" s="8">
        <f t="shared" si="78"/>
        <v>492</v>
      </c>
      <c r="AB353" s="13">
        <f t="shared" si="9"/>
        <v>1.64</v>
      </c>
      <c r="AC353" s="13">
        <f t="shared" si="10"/>
        <v>0.9842159731</v>
      </c>
      <c r="AD353" s="13">
        <f>AA353/vlookup(A353,Max!$A$2:$AP$700,column(Max!$AP$2),false)</f>
        <v>1.490909091</v>
      </c>
      <c r="AE353" s="8">
        <f t="shared" si="11"/>
        <v>338.0756139</v>
      </c>
      <c r="AF353" s="14">
        <f t="shared" si="12"/>
        <v>1.007095326</v>
      </c>
      <c r="AG353" s="14">
        <f t="shared" si="13"/>
        <v>1.413205092</v>
      </c>
      <c r="AH353" s="14">
        <f t="shared" si="14"/>
        <v>1</v>
      </c>
      <c r="AI353" s="14">
        <f t="shared" si="15"/>
        <v>1.022739125</v>
      </c>
      <c r="AJ353" s="27">
        <f t="shared" si="16"/>
        <v>100</v>
      </c>
      <c r="AK353" s="15" t="str">
        <f t="shared" si="17"/>
        <v>  @CONFIG[RS-27A] {
   %cost = 492
   @cost -= #$../../cost$
  }</v>
      </c>
    </row>
    <row r="354" ht="15.75" customHeight="1">
      <c r="A354" s="7" t="s">
        <v>180</v>
      </c>
      <c r="B354" s="7" t="s">
        <v>177</v>
      </c>
      <c r="C354" s="8">
        <f t="shared" si="1"/>
        <v>118</v>
      </c>
      <c r="D354" s="7">
        <v>1990.0</v>
      </c>
      <c r="E354" s="7" t="b">
        <v>1</v>
      </c>
      <c r="F354" s="7" t="b">
        <v>1</v>
      </c>
      <c r="G354" s="7" t="b">
        <v>0</v>
      </c>
      <c r="H354" s="7" t="b">
        <v>1</v>
      </c>
      <c r="I354" s="7" t="b">
        <v>0</v>
      </c>
      <c r="J354" s="9" t="b">
        <v>0</v>
      </c>
      <c r="K354" s="7">
        <v>500.0</v>
      </c>
      <c r="L354" s="7">
        <v>115.0</v>
      </c>
      <c r="M354" s="7">
        <v>165.0</v>
      </c>
      <c r="N354" s="7">
        <v>64.8</v>
      </c>
      <c r="O354" s="7">
        <v>445.6</v>
      </c>
      <c r="P354" s="7">
        <v>3.66</v>
      </c>
      <c r="Q354" s="7">
        <v>0.998</v>
      </c>
      <c r="R354" s="7">
        <v>0.997973</v>
      </c>
      <c r="S354" s="10">
        <f t="shared" si="2"/>
        <v>615</v>
      </c>
      <c r="T354" s="10">
        <f t="shared" si="3"/>
        <v>40.04703661</v>
      </c>
      <c r="U354" s="11">
        <f t="shared" si="4"/>
        <v>12.72730322</v>
      </c>
      <c r="V354" s="8">
        <f>0.9*(0.00015*M354*O354*P354+797)+0.1*(43.1*POWER(M354,0.549))</f>
        <v>824.7292488</v>
      </c>
      <c r="W354" s="12">
        <f t="shared" si="5"/>
        <v>4</v>
      </c>
      <c r="X354" s="12">
        <f t="shared" si="6"/>
        <v>4123.646244</v>
      </c>
      <c r="Y354" s="12">
        <f t="shared" si="7"/>
        <v>63.63651611</v>
      </c>
      <c r="Z354" s="8">
        <f t="shared" si="19"/>
        <v>837.9059925</v>
      </c>
      <c r="AA354" s="8">
        <f t="shared" si="78"/>
        <v>546</v>
      </c>
      <c r="AB354" s="13">
        <f t="shared" si="9"/>
        <v>0.887804878</v>
      </c>
      <c r="AC354" s="13">
        <f t="shared" si="10"/>
        <v>0.6516244124</v>
      </c>
      <c r="AD354" s="13">
        <f>AA354/vlookup(A354,Max!$A$2:$AP$700,column(Max!$AP$2),false)</f>
        <v>2.873684211</v>
      </c>
      <c r="AE354" s="8">
        <f t="shared" si="11"/>
        <v>136.4037756</v>
      </c>
      <c r="AF354" s="14">
        <f t="shared" si="12"/>
        <v>3.239154131</v>
      </c>
      <c r="AG354" s="14">
        <f t="shared" si="13"/>
        <v>1.216592818</v>
      </c>
      <c r="AH354" s="14">
        <f t="shared" si="14"/>
        <v>1</v>
      </c>
      <c r="AI354" s="14">
        <f t="shared" si="15"/>
        <v>1.015161984</v>
      </c>
      <c r="AJ354" s="27">
        <f t="shared" si="16"/>
        <v>118</v>
      </c>
      <c r="AK354" s="15" t="str">
        <f t="shared" si="17"/>
        <v>  @CONFIG[HM-7B++] {
   %cost = 546
   @cost -= #$../../cost$
  }</v>
      </c>
    </row>
    <row r="355" ht="15.75" customHeight="1">
      <c r="A355" s="7" t="s">
        <v>264</v>
      </c>
      <c r="B355" s="7" t="s">
        <v>262</v>
      </c>
      <c r="C355" s="8">
        <f t="shared" si="1"/>
        <v>-11</v>
      </c>
      <c r="D355" s="7">
        <v>1990.0</v>
      </c>
      <c r="E355" s="7"/>
      <c r="F355" s="7" t="b">
        <v>1</v>
      </c>
      <c r="G355" s="7" t="b">
        <v>0</v>
      </c>
      <c r="H355" s="7" t="b">
        <v>0</v>
      </c>
      <c r="I355" s="7" t="b">
        <v>0</v>
      </c>
      <c r="J355" s="9" t="b">
        <v>0</v>
      </c>
      <c r="K355" s="7">
        <v>15.0</v>
      </c>
      <c r="L355" s="7">
        <v>-5.0</v>
      </c>
      <c r="M355" s="7">
        <v>19.05</v>
      </c>
      <c r="N355" s="7">
        <v>2.976</v>
      </c>
      <c r="O355" s="7">
        <v>247.0</v>
      </c>
      <c r="P355" s="7">
        <v>1.77</v>
      </c>
      <c r="Q355" s="7">
        <v>0.995</v>
      </c>
      <c r="R355" s="7">
        <v>0.998</v>
      </c>
      <c r="S355" s="10">
        <f t="shared" si="2"/>
        <v>10</v>
      </c>
      <c r="T355" s="10">
        <f t="shared" si="3"/>
        <v>15.93005481</v>
      </c>
      <c r="U355" s="11">
        <f t="shared" si="4"/>
        <v>11.49133684</v>
      </c>
      <c r="V355" s="8">
        <f t="shared" ref="V355:V358" si="80">0.2*(8.17*POWER(M355*P355,0.46))+0.8*(0.146*POWER(M355*O355,0.639))</f>
        <v>34.19821844</v>
      </c>
      <c r="W355" s="12">
        <f t="shared" si="5"/>
        <v>4</v>
      </c>
      <c r="X355" s="12">
        <f t="shared" si="6"/>
        <v>170.9910922</v>
      </c>
      <c r="Y355" s="12">
        <f t="shared" si="7"/>
        <v>57.45668421</v>
      </c>
      <c r="Z355" s="8">
        <f t="shared" si="19"/>
        <v>34.64313726</v>
      </c>
      <c r="AA355" s="8">
        <f t="shared" si="78"/>
        <v>27</v>
      </c>
      <c r="AB355" s="13">
        <f t="shared" si="9"/>
        <v>2.7</v>
      </c>
      <c r="AC355" s="13">
        <f t="shared" si="10"/>
        <v>0.7793751413</v>
      </c>
      <c r="AD355" s="13">
        <f>AA355/vlookup(A355,Max!$A$2:$AP$700,column(Max!$AP$2),false)</f>
        <v>9.310344828</v>
      </c>
      <c r="AE355" s="8">
        <f t="shared" si="11"/>
        <v>28.32196246</v>
      </c>
      <c r="AF355" s="14">
        <f t="shared" si="12"/>
        <v>0.9009067944</v>
      </c>
      <c r="AG355" s="14">
        <f t="shared" si="13"/>
        <v>1.044418731</v>
      </c>
      <c r="AH355" s="14">
        <f t="shared" si="14"/>
        <v>1</v>
      </c>
      <c r="AI355" s="14">
        <f t="shared" si="15"/>
        <v>1.020324621</v>
      </c>
      <c r="AJ355" s="27">
        <f t="shared" si="16"/>
        <v>-11</v>
      </c>
      <c r="AK355" s="15" t="str">
        <f t="shared" si="17"/>
        <v>  @CONFIG[LR101-NA-15] {
   %cost = 27
   @cost -= #$../../cost$
  }</v>
      </c>
    </row>
    <row r="356" ht="15.75" customHeight="1">
      <c r="A356" s="16" t="s">
        <v>426</v>
      </c>
      <c r="B356" s="16" t="s">
        <v>427</v>
      </c>
      <c r="C356" s="8">
        <f t="shared" si="1"/>
        <v>11</v>
      </c>
      <c r="D356" s="16">
        <v>1990.0</v>
      </c>
      <c r="E356" s="16"/>
      <c r="F356" s="16" t="b">
        <v>0</v>
      </c>
      <c r="G356" s="16" t="b">
        <v>0</v>
      </c>
      <c r="H356" s="16" t="b">
        <v>1</v>
      </c>
      <c r="I356" s="16" t="b">
        <v>0</v>
      </c>
      <c r="J356" s="9" t="b">
        <v>0</v>
      </c>
      <c r="K356" s="16">
        <v>60.0</v>
      </c>
      <c r="L356" s="16">
        <v>0.0</v>
      </c>
      <c r="M356" s="16">
        <v>4.53</v>
      </c>
      <c r="N356" s="16">
        <v>0.89</v>
      </c>
      <c r="O356" s="16">
        <v>305.0</v>
      </c>
      <c r="P356" s="16">
        <v>0.71</v>
      </c>
      <c r="Q356" s="16">
        <v>0.999814</v>
      </c>
      <c r="R356" s="16">
        <v>0.999442</v>
      </c>
      <c r="S356" s="19">
        <f t="shared" si="2"/>
        <v>60</v>
      </c>
      <c r="T356" s="19">
        <f t="shared" si="3"/>
        <v>20.03415953</v>
      </c>
      <c r="U356" s="20">
        <f t="shared" si="4"/>
        <v>16.47035605</v>
      </c>
      <c r="V356" s="17">
        <f t="shared" si="80"/>
        <v>14.65861689</v>
      </c>
      <c r="W356" s="21">
        <f t="shared" si="5"/>
        <v>1.75</v>
      </c>
      <c r="X356" s="21">
        <f t="shared" si="6"/>
        <v>40.31119644</v>
      </c>
      <c r="Y356" s="21">
        <f t="shared" si="7"/>
        <v>45.29347914</v>
      </c>
      <c r="Z356" s="8">
        <f t="shared" si="19"/>
        <v>14.94088473</v>
      </c>
      <c r="AA356" s="8">
        <f t="shared" si="78"/>
        <v>11</v>
      </c>
      <c r="AB356" s="13">
        <f t="shared" si="9"/>
        <v>0.1833333333</v>
      </c>
      <c r="AC356" s="13">
        <f t="shared" si="10"/>
        <v>0.7362348479</v>
      </c>
      <c r="AD356" s="13">
        <f>AA356/vlookup(A356,Max!$A$2:$AP$700,column(Max!$AP$2),false)</f>
        <v>1.111111111</v>
      </c>
      <c r="AE356" s="8">
        <f t="shared" si="11"/>
        <v>12.21209427</v>
      </c>
      <c r="AF356" s="14">
        <f t="shared" si="12"/>
        <v>1.021881862</v>
      </c>
      <c r="AG356" s="14">
        <f t="shared" si="13"/>
        <v>0.8411919977</v>
      </c>
      <c r="AH356" s="14">
        <f t="shared" si="14"/>
        <v>1</v>
      </c>
      <c r="AI356" s="14">
        <f t="shared" si="15"/>
        <v>1.023538158</v>
      </c>
      <c r="AJ356" s="15">
        <f t="shared" si="16"/>
        <v>0</v>
      </c>
      <c r="AK356" s="15" t="str">
        <f t="shared" si="17"/>
        <v>  @CONFIG[R-42] {
   %cost = 11
   @cost -= #$../../cost$
  }</v>
      </c>
    </row>
    <row r="357" ht="15.75" customHeight="1">
      <c r="A357" s="7" t="s">
        <v>337</v>
      </c>
      <c r="B357" s="7" t="s">
        <v>330</v>
      </c>
      <c r="C357" s="8">
        <f t="shared" si="1"/>
        <v>327</v>
      </c>
      <c r="D357" s="7">
        <v>1990.0</v>
      </c>
      <c r="E357" s="7"/>
      <c r="F357" s="7" t="b">
        <v>1</v>
      </c>
      <c r="G357" s="7" t="b">
        <v>0</v>
      </c>
      <c r="H357" s="7" t="b">
        <v>0</v>
      </c>
      <c r="I357" s="7" t="b">
        <v>0</v>
      </c>
      <c r="J357" s="9" t="b">
        <v>0</v>
      </c>
      <c r="K357" s="7">
        <v>300.0</v>
      </c>
      <c r="L357" s="7">
        <v>8.0</v>
      </c>
      <c r="M357" s="7">
        <v>1513.2</v>
      </c>
      <c r="N357" s="7">
        <v>1067.5</v>
      </c>
      <c r="O357" s="7">
        <v>295.0</v>
      </c>
      <c r="P357" s="7">
        <v>4.95</v>
      </c>
      <c r="Q357" s="7">
        <v>0.999211</v>
      </c>
      <c r="R357" s="7">
        <v>0.999211</v>
      </c>
      <c r="S357" s="10">
        <f t="shared" si="2"/>
        <v>308</v>
      </c>
      <c r="T357" s="10">
        <f t="shared" si="3"/>
        <v>71.93676012</v>
      </c>
      <c r="U357" s="11">
        <f t="shared" si="4"/>
        <v>0.538623752</v>
      </c>
      <c r="V357" s="8">
        <f t="shared" si="80"/>
        <v>574.9808553</v>
      </c>
      <c r="W357" s="12">
        <f t="shared" si="5"/>
        <v>4</v>
      </c>
      <c r="X357" s="12">
        <f t="shared" si="6"/>
        <v>2874.904276</v>
      </c>
      <c r="Y357" s="12">
        <f t="shared" si="7"/>
        <v>2.69311876</v>
      </c>
      <c r="Z357" s="8">
        <f t="shared" si="19"/>
        <v>585.5735105</v>
      </c>
      <c r="AA357" s="8">
        <f t="shared" si="78"/>
        <v>575</v>
      </c>
      <c r="AB357" s="13">
        <f t="shared" si="9"/>
        <v>1.866883117</v>
      </c>
      <c r="AC357" s="13">
        <f t="shared" si="10"/>
        <v>0.981943325</v>
      </c>
      <c r="AD357" s="13">
        <f>AA357/vlookup(A357,Max!$A$2:$AP$700,column(Max!$AP$2),false)</f>
        <v>1.982758621</v>
      </c>
      <c r="AE357" s="8">
        <f t="shared" si="11"/>
        <v>401.1993839</v>
      </c>
      <c r="AF357" s="14">
        <f t="shared" si="12"/>
        <v>0.985688335</v>
      </c>
      <c r="AG357" s="14">
        <f t="shared" si="13"/>
        <v>1.421884211</v>
      </c>
      <c r="AH357" s="14">
        <f t="shared" si="14"/>
        <v>1</v>
      </c>
      <c r="AI357" s="14">
        <f t="shared" si="15"/>
        <v>1.023422662</v>
      </c>
      <c r="AJ357" s="27">
        <f t="shared" si="16"/>
        <v>327</v>
      </c>
      <c r="AK357" s="15" t="str">
        <f t="shared" si="17"/>
        <v>  @CONFIG[RS-56-OBA] {
   %cost = 575
   @cost -= #$../../cost$
  }</v>
      </c>
    </row>
    <row r="358" ht="15.75" customHeight="1">
      <c r="A358" s="16" t="s">
        <v>272</v>
      </c>
      <c r="B358" s="16" t="s">
        <v>266</v>
      </c>
      <c r="C358" s="8">
        <f t="shared" si="1"/>
        <v>39</v>
      </c>
      <c r="D358" s="16">
        <v>1990.0</v>
      </c>
      <c r="E358" s="16"/>
      <c r="F358" s="16" t="b">
        <v>1</v>
      </c>
      <c r="G358" s="16" t="b">
        <v>0</v>
      </c>
      <c r="H358" s="16" t="b">
        <v>0</v>
      </c>
      <c r="I358" s="16" t="b">
        <v>0</v>
      </c>
      <c r="J358" s="9" t="b">
        <v>0</v>
      </c>
      <c r="K358" s="16">
        <v>275.0</v>
      </c>
      <c r="L358" s="16">
        <v>10.0</v>
      </c>
      <c r="M358" s="16">
        <v>460.0</v>
      </c>
      <c r="N358" s="16">
        <v>386.4</v>
      </c>
      <c r="O358" s="16">
        <v>316.0</v>
      </c>
      <c r="P358" s="16">
        <v>5.07</v>
      </c>
      <c r="Q358" s="16">
        <v>0.999211</v>
      </c>
      <c r="R358" s="16">
        <v>0.999211</v>
      </c>
      <c r="S358" s="19">
        <f t="shared" si="2"/>
        <v>285</v>
      </c>
      <c r="T358" s="19">
        <f t="shared" si="3"/>
        <v>85.65616164</v>
      </c>
      <c r="U358" s="20">
        <f t="shared" si="4"/>
        <v>0.7512187892</v>
      </c>
      <c r="V358" s="17">
        <f t="shared" si="80"/>
        <v>290.2709402</v>
      </c>
      <c r="W358" s="21">
        <f t="shared" si="5"/>
        <v>4</v>
      </c>
      <c r="X358" s="21">
        <f t="shared" si="6"/>
        <v>1451.354701</v>
      </c>
      <c r="Y358" s="21">
        <f t="shared" si="7"/>
        <v>3.756093946</v>
      </c>
      <c r="Z358" s="8">
        <f t="shared" si="19"/>
        <v>295.6184921</v>
      </c>
      <c r="AA358" s="8">
        <f t="shared" si="78"/>
        <v>315</v>
      </c>
      <c r="AB358" s="13">
        <f t="shared" si="9"/>
        <v>1.105263158</v>
      </c>
      <c r="AC358" s="13">
        <f t="shared" si="10"/>
        <v>1.065562569</v>
      </c>
      <c r="AD358" s="13">
        <f>AA358/vlookup(A358,Max!$A$2:$AP$700,column(Max!$AP$2),false)</f>
        <v>2.1</v>
      </c>
      <c r="AE358" s="8">
        <f t="shared" si="11"/>
        <v>192.781727</v>
      </c>
      <c r="AF358" s="14">
        <f t="shared" si="12"/>
        <v>1.115677507</v>
      </c>
      <c r="AG358" s="14">
        <f t="shared" si="13"/>
        <v>1.432138632</v>
      </c>
      <c r="AH358" s="14">
        <f t="shared" si="14"/>
        <v>1</v>
      </c>
      <c r="AI358" s="14">
        <f t="shared" si="15"/>
        <v>1.023422662</v>
      </c>
      <c r="AJ358" s="27">
        <f t="shared" si="16"/>
        <v>39</v>
      </c>
      <c r="AK358" s="15" t="str">
        <f t="shared" si="17"/>
        <v>  @CONFIG[RS-56-OSA] {
   %cost = 315
   @cost -= #$../../cost$
  }</v>
      </c>
    </row>
    <row r="359" ht="15.75" customHeight="1">
      <c r="A359" s="7" t="s">
        <v>697</v>
      </c>
      <c r="B359" s="7" t="s">
        <v>698</v>
      </c>
      <c r="C359" s="8">
        <f t="shared" si="1"/>
        <v>784</v>
      </c>
      <c r="D359" s="7">
        <v>1991.0</v>
      </c>
      <c r="E359" s="7" t="b">
        <v>1</v>
      </c>
      <c r="F359" s="7" t="b">
        <v>1</v>
      </c>
      <c r="G359" s="7" t="b">
        <v>0</v>
      </c>
      <c r="H359" s="7" t="b">
        <v>1</v>
      </c>
      <c r="I359" s="7" t="b">
        <v>0</v>
      </c>
      <c r="J359" s="9" t="b">
        <v>0</v>
      </c>
      <c r="K359" s="7"/>
      <c r="L359" s="7">
        <v>0.0</v>
      </c>
      <c r="M359" s="7">
        <v>155.1</v>
      </c>
      <c r="N359" s="7">
        <v>66.7</v>
      </c>
      <c r="O359" s="7">
        <v>463.0</v>
      </c>
      <c r="P359" s="7">
        <v>10.61</v>
      </c>
      <c r="Q359" s="7">
        <v>0.99486</v>
      </c>
      <c r="R359" s="7">
        <v>0.99717</v>
      </c>
      <c r="S359" s="10">
        <f t="shared" si="2"/>
        <v>0</v>
      </c>
      <c r="T359" s="10">
        <f t="shared" si="3"/>
        <v>43.85239923</v>
      </c>
      <c r="U359" s="11">
        <f t="shared" si="4"/>
        <v>13.32661536</v>
      </c>
      <c r="V359" s="8">
        <f t="shared" ref="V359:V363" si="81">0.9*(0.00015*M359*O359*P359+797)+0.1*(43.1*POWER(M359,0.549))</f>
        <v>888.8852446</v>
      </c>
      <c r="W359" s="12">
        <f t="shared" si="5"/>
        <v>4</v>
      </c>
      <c r="X359" s="12">
        <f t="shared" si="6"/>
        <v>4444.426223</v>
      </c>
      <c r="Y359" s="12">
        <f t="shared" si="7"/>
        <v>66.63307681</v>
      </c>
      <c r="Z359" s="8">
        <f t="shared" si="19"/>
        <v>899.591464</v>
      </c>
      <c r="AA359" s="8">
        <f t="shared" si="78"/>
        <v>784</v>
      </c>
      <c r="AB359" s="13" t="str">
        <f t="shared" si="9"/>
        <v>#N/A</v>
      </c>
      <c r="AC359" s="13">
        <f t="shared" si="10"/>
        <v>0.8715067132</v>
      </c>
      <c r="AD359" s="13">
        <f>AA359/vlookup(A359,Max!$A$2:$AP$700,column(Max!$AP$2),false)</f>
        <v>1.507692308</v>
      </c>
      <c r="AE359" s="8">
        <f t="shared" si="11"/>
        <v>132.2027152</v>
      </c>
      <c r="AF359" s="14">
        <f t="shared" si="12"/>
        <v>3.816914098</v>
      </c>
      <c r="AG359" s="14">
        <f t="shared" si="13"/>
        <v>1.545781002</v>
      </c>
      <c r="AH359" s="14">
        <f t="shared" si="14"/>
        <v>1</v>
      </c>
      <c r="AI359" s="14">
        <f t="shared" si="15"/>
        <v>1.005170995</v>
      </c>
      <c r="AJ359" s="15">
        <f t="shared" si="16"/>
        <v>0</v>
      </c>
      <c r="AK359" s="15" t="str">
        <f t="shared" si="17"/>
        <v>  @CONFIG[RS-44-Core] {
   %cost = 784
   @cost -= #$../../cost$
  }</v>
      </c>
    </row>
    <row r="360" ht="15.75" customHeight="1">
      <c r="A360" s="7" t="s">
        <v>454</v>
      </c>
      <c r="B360" s="7" t="s">
        <v>453</v>
      </c>
      <c r="C360" s="8">
        <f t="shared" si="1"/>
        <v>138</v>
      </c>
      <c r="D360" s="7">
        <v>1992.0</v>
      </c>
      <c r="E360" s="7" t="b">
        <v>1</v>
      </c>
      <c r="F360" s="7" t="b">
        <v>1</v>
      </c>
      <c r="G360" s="7" t="b">
        <v>0</v>
      </c>
      <c r="H360" s="7" t="b">
        <v>0</v>
      </c>
      <c r="I360" s="7" t="b">
        <v>0</v>
      </c>
      <c r="J360" s="9" t="b">
        <v>0</v>
      </c>
      <c r="K360" s="7">
        <v>5000.0</v>
      </c>
      <c r="L360" s="7"/>
      <c r="M360" s="7">
        <v>3449.0</v>
      </c>
      <c r="N360" s="7">
        <v>1961.7</v>
      </c>
      <c r="O360" s="7">
        <v>454.6</v>
      </c>
      <c r="P360" s="7">
        <v>21.45</v>
      </c>
      <c r="Q360" s="7">
        <v>0.995</v>
      </c>
      <c r="R360" s="7">
        <v>0.995</v>
      </c>
      <c r="S360" s="10">
        <f t="shared" si="2"/>
        <v>5000</v>
      </c>
      <c r="T360" s="10">
        <f t="shared" si="3"/>
        <v>57.99876165</v>
      </c>
      <c r="U360" s="11">
        <f t="shared" si="4"/>
        <v>2.872445911</v>
      </c>
      <c r="V360" s="8">
        <f t="shared" si="81"/>
        <v>5634.877144</v>
      </c>
      <c r="W360" s="12">
        <f t="shared" si="5"/>
        <v>4</v>
      </c>
      <c r="X360" s="12">
        <f t="shared" si="6"/>
        <v>28174.38572</v>
      </c>
      <c r="Y360" s="12">
        <f t="shared" si="7"/>
        <v>14.36222956</v>
      </c>
      <c r="Z360" s="8">
        <f t="shared" si="19"/>
        <v>5691.366788</v>
      </c>
      <c r="AA360" s="8">
        <f t="shared" si="78"/>
        <v>5687</v>
      </c>
      <c r="AB360" s="13">
        <f t="shared" si="9"/>
        <v>1.1374</v>
      </c>
      <c r="AC360" s="13">
        <f t="shared" si="10"/>
        <v>0.9992327348</v>
      </c>
      <c r="AD360" s="13">
        <f>AA360/vlookup(A360,Max!$A$2:$AP$700,column(Max!$AP$2),false)</f>
        <v>1.7771875</v>
      </c>
      <c r="AE360" s="8">
        <f t="shared" si="11"/>
        <v>721.8323229</v>
      </c>
      <c r="AF360" s="14">
        <f t="shared" si="12"/>
        <v>3.524196488</v>
      </c>
      <c r="AG360" s="14">
        <f t="shared" si="13"/>
        <v>2.207551587</v>
      </c>
      <c r="AH360" s="14">
        <f t="shared" si="14"/>
        <v>1</v>
      </c>
      <c r="AI360" s="14">
        <f t="shared" si="15"/>
        <v>1.01267413</v>
      </c>
      <c r="AJ360" s="27">
        <f t="shared" si="16"/>
        <v>138</v>
      </c>
      <c r="AK360" s="15" t="str">
        <f t="shared" si="17"/>
        <v>  @CONFIG[RD-0120M] {
   %cost = 5687
   @cost -= #$../../cost$
  }</v>
      </c>
    </row>
    <row r="361" ht="15.75" customHeight="1">
      <c r="A361" s="7" t="s">
        <v>667</v>
      </c>
      <c r="B361" s="7" t="s">
        <v>660</v>
      </c>
      <c r="C361" s="8">
        <f t="shared" si="1"/>
        <v>230</v>
      </c>
      <c r="D361" s="7">
        <v>1992.0</v>
      </c>
      <c r="E361" s="7" t="b">
        <v>1</v>
      </c>
      <c r="F361" s="7" t="b">
        <v>1</v>
      </c>
      <c r="G361" s="7" t="b">
        <v>0</v>
      </c>
      <c r="H361" s="7" t="b">
        <v>1</v>
      </c>
      <c r="I361" s="7" t="b">
        <v>0</v>
      </c>
      <c r="J361" s="9" t="b">
        <v>0</v>
      </c>
      <c r="K361" s="7">
        <v>500.0</v>
      </c>
      <c r="L361" s="7">
        <v>1000.0</v>
      </c>
      <c r="M361" s="7">
        <v>143.0</v>
      </c>
      <c r="N361" s="7">
        <v>91.2</v>
      </c>
      <c r="O361" s="7">
        <v>446.4</v>
      </c>
      <c r="P361" s="7">
        <v>3.98</v>
      </c>
      <c r="Q361" s="7">
        <v>0.999296</v>
      </c>
      <c r="R361" s="7">
        <v>0.998598</v>
      </c>
      <c r="S361" s="10">
        <f t="shared" si="2"/>
        <v>1500</v>
      </c>
      <c r="T361" s="10">
        <f t="shared" si="3"/>
        <v>65.0336492</v>
      </c>
      <c r="U361" s="11">
        <f t="shared" si="4"/>
        <v>8.961925571</v>
      </c>
      <c r="V361" s="8">
        <f t="shared" si="81"/>
        <v>817.3276121</v>
      </c>
      <c r="W361" s="12">
        <f t="shared" si="5"/>
        <v>4</v>
      </c>
      <c r="X361" s="12">
        <f t="shared" si="6"/>
        <v>4086.63806</v>
      </c>
      <c r="Y361" s="12">
        <f t="shared" si="7"/>
        <v>44.80962785</v>
      </c>
      <c r="Z361" s="8">
        <f t="shared" si="19"/>
        <v>831.9536791</v>
      </c>
      <c r="AA361" s="8">
        <f t="shared" si="78"/>
        <v>524</v>
      </c>
      <c r="AB361" s="13">
        <f t="shared" si="9"/>
        <v>0.3493333333</v>
      </c>
      <c r="AC361" s="13">
        <f t="shared" si="10"/>
        <v>0.6298427583</v>
      </c>
      <c r="AD361" s="13">
        <f>AA361/vlookup(A361,Max!$A$2:$AP$700,column(Max!$AP$2),false)</f>
        <v>1.587878788</v>
      </c>
      <c r="AE361" s="8">
        <f t="shared" si="11"/>
        <v>126.9027619</v>
      </c>
      <c r="AF361" s="14">
        <f t="shared" si="12"/>
        <v>3.263370049</v>
      </c>
      <c r="AG361" s="14">
        <f t="shared" si="13"/>
        <v>1.239754506</v>
      </c>
      <c r="AH361" s="14">
        <f t="shared" si="14"/>
        <v>1</v>
      </c>
      <c r="AI361" s="14">
        <f t="shared" si="15"/>
        <v>1.020056237</v>
      </c>
      <c r="AJ361" s="27">
        <f t="shared" si="16"/>
        <v>230</v>
      </c>
      <c r="AK361" s="15" t="str">
        <f t="shared" si="17"/>
        <v>  @CONFIG[RL10A-4] {
   %cost = 524
   @cost -= #$../../cost$
  }</v>
      </c>
    </row>
    <row r="362" ht="15.75" customHeight="1">
      <c r="A362" s="16" t="s">
        <v>668</v>
      </c>
      <c r="B362" s="16" t="s">
        <v>660</v>
      </c>
      <c r="C362" s="8">
        <f t="shared" si="1"/>
        <v>288</v>
      </c>
      <c r="D362" s="16">
        <v>1992.0</v>
      </c>
      <c r="E362" s="16" t="b">
        <v>1</v>
      </c>
      <c r="F362" s="16" t="b">
        <v>1</v>
      </c>
      <c r="G362" s="16" t="b">
        <v>0</v>
      </c>
      <c r="H362" s="16" t="b">
        <v>1</v>
      </c>
      <c r="I362" s="16" t="b">
        <v>0</v>
      </c>
      <c r="J362" s="9" t="b">
        <v>0</v>
      </c>
      <c r="K362" s="16">
        <v>500.0</v>
      </c>
      <c r="L362" s="16">
        <v>1600.0</v>
      </c>
      <c r="M362" s="16">
        <v>168.0</v>
      </c>
      <c r="N362" s="16">
        <v>92.5</v>
      </c>
      <c r="O362" s="16">
        <v>448.9</v>
      </c>
      <c r="P362" s="16">
        <v>3.98</v>
      </c>
      <c r="Q362" s="16">
        <v>0.999296</v>
      </c>
      <c r="R362" s="16">
        <v>0.998598</v>
      </c>
      <c r="S362" s="19">
        <f t="shared" si="2"/>
        <v>2100</v>
      </c>
      <c r="T362" s="19">
        <f t="shared" si="3"/>
        <v>56.14508894</v>
      </c>
      <c r="U362" s="20">
        <f t="shared" si="4"/>
        <v>8.968956329</v>
      </c>
      <c r="V362" s="17">
        <f t="shared" si="81"/>
        <v>829.6284605</v>
      </c>
      <c r="W362" s="21">
        <f t="shared" si="5"/>
        <v>4</v>
      </c>
      <c r="X362" s="21">
        <f t="shared" si="6"/>
        <v>4148.142302</v>
      </c>
      <c r="Y362" s="21">
        <f t="shared" si="7"/>
        <v>44.84478165</v>
      </c>
      <c r="Z362" s="8">
        <f t="shared" si="19"/>
        <v>844.474651</v>
      </c>
      <c r="AA362" s="8">
        <f t="shared" si="78"/>
        <v>582</v>
      </c>
      <c r="AB362" s="13">
        <f t="shared" si="9"/>
        <v>0.2771428571</v>
      </c>
      <c r="AC362" s="13">
        <f t="shared" si="10"/>
        <v>0.6891858735</v>
      </c>
      <c r="AD362" s="13">
        <f>AA362/vlookup(A362,Max!$A$2:$AP$700,column(Max!$AP$2),false)</f>
        <v>1.763636364</v>
      </c>
      <c r="AE362" s="8">
        <f t="shared" si="11"/>
        <v>137.6546695</v>
      </c>
      <c r="AF362" s="14">
        <f t="shared" si="12"/>
        <v>3.34042335</v>
      </c>
      <c r="AG362" s="14">
        <f t="shared" si="13"/>
        <v>1.239754506</v>
      </c>
      <c r="AH362" s="14">
        <f t="shared" si="14"/>
        <v>1</v>
      </c>
      <c r="AI362" s="14">
        <f t="shared" si="15"/>
        <v>1.020056237</v>
      </c>
      <c r="AJ362" s="27">
        <f t="shared" si="16"/>
        <v>288</v>
      </c>
      <c r="AK362" s="15" t="str">
        <f t="shared" si="17"/>
        <v>  @CONFIG[RL10A-4N] {
   %cost = 582
   @cost -= #$../../cost$
  }</v>
      </c>
    </row>
    <row r="363" ht="15.75" customHeight="1">
      <c r="A363" s="16" t="s">
        <v>240</v>
      </c>
      <c r="B363" s="16" t="s">
        <v>241</v>
      </c>
      <c r="C363" s="8">
        <f t="shared" si="1"/>
        <v>2727</v>
      </c>
      <c r="D363" s="16">
        <v>1993.0</v>
      </c>
      <c r="E363" s="16" t="b">
        <v>1</v>
      </c>
      <c r="F363" s="16" t="b">
        <v>1</v>
      </c>
      <c r="G363" s="16" t="b">
        <v>0</v>
      </c>
      <c r="H363" s="16" t="b">
        <v>0</v>
      </c>
      <c r="I363" s="16" t="b">
        <v>0</v>
      </c>
      <c r="J363" s="9" t="b">
        <v>0</v>
      </c>
      <c r="K363" s="16">
        <v>3500.0</v>
      </c>
      <c r="L363" s="16">
        <v>0.0</v>
      </c>
      <c r="M363" s="16">
        <v>1720.0</v>
      </c>
      <c r="N363" s="16">
        <v>1096.1</v>
      </c>
      <c r="O363" s="16">
        <v>446.5</v>
      </c>
      <c r="P363" s="16">
        <v>12.7</v>
      </c>
      <c r="Q363" s="16">
        <v>0.95625</v>
      </c>
      <c r="R363" s="16">
        <v>0.95625</v>
      </c>
      <c r="S363" s="19">
        <f t="shared" si="2"/>
        <v>3500</v>
      </c>
      <c r="T363" s="19">
        <f t="shared" si="3"/>
        <v>64.98319406</v>
      </c>
      <c r="U363" s="20">
        <f t="shared" si="4"/>
        <v>2.090598272</v>
      </c>
      <c r="V363" s="17">
        <f t="shared" si="81"/>
        <v>2291.504766</v>
      </c>
      <c r="W363" s="21">
        <f t="shared" si="5"/>
        <v>4</v>
      </c>
      <c r="X363" s="21">
        <f t="shared" si="6"/>
        <v>11457.52383</v>
      </c>
      <c r="Y363" s="21">
        <f t="shared" si="7"/>
        <v>10.45299136</v>
      </c>
      <c r="Z363" s="8">
        <f t="shared" si="19"/>
        <v>2141.214278</v>
      </c>
      <c r="AA363" s="8">
        <f t="shared" si="78"/>
        <v>2727</v>
      </c>
      <c r="AB363" s="13">
        <f t="shared" si="9"/>
        <v>0.7791428571</v>
      </c>
      <c r="AC363" s="13">
        <f t="shared" si="10"/>
        <v>1.273576413</v>
      </c>
      <c r="AD363" s="13">
        <f>AA363/vlookup(A363,Max!$A$2:$AP$700,column(Max!$AP$2),false)</f>
        <v>3.366666667</v>
      </c>
      <c r="AE363" s="8">
        <f t="shared" si="11"/>
        <v>482.7224631</v>
      </c>
      <c r="AF363" s="14">
        <f t="shared" si="12"/>
        <v>3.266411937</v>
      </c>
      <c r="AG363" s="14">
        <f t="shared" si="13"/>
        <v>1.886356568</v>
      </c>
      <c r="AH363" s="14">
        <f t="shared" si="14"/>
        <v>1</v>
      </c>
      <c r="AI363" s="14">
        <f t="shared" si="15"/>
        <v>0.9169393991</v>
      </c>
      <c r="AJ363" s="15">
        <f t="shared" si="16"/>
        <v>0</v>
      </c>
      <c r="AK363" s="15" t="str">
        <f t="shared" si="17"/>
        <v>  @CONFIG[LE-7] {
   %cost = 2727
   @cost -= #$../../cost$
  }</v>
      </c>
    </row>
    <row r="364" ht="15.75" customHeight="1">
      <c r="A364" s="16" t="s">
        <v>477</v>
      </c>
      <c r="B364" s="16" t="s">
        <v>474</v>
      </c>
      <c r="C364" s="8">
        <f t="shared" si="1"/>
        <v>11</v>
      </c>
      <c r="D364" s="16">
        <v>1993.0</v>
      </c>
      <c r="E364" s="16"/>
      <c r="F364" s="16" t="b">
        <v>1</v>
      </c>
      <c r="G364" s="16" t="b">
        <v>0</v>
      </c>
      <c r="H364" s="16" t="b">
        <v>1</v>
      </c>
      <c r="I364" s="16" t="b">
        <v>0</v>
      </c>
      <c r="J364" s="9" t="b">
        <v>0</v>
      </c>
      <c r="K364" s="16">
        <v>300.0</v>
      </c>
      <c r="L364" s="16">
        <v>45.0</v>
      </c>
      <c r="M364" s="16">
        <v>566.0</v>
      </c>
      <c r="N364" s="16">
        <v>626.0</v>
      </c>
      <c r="O364" s="16">
        <v>341.5</v>
      </c>
      <c r="P364" s="16">
        <v>14.7</v>
      </c>
      <c r="Q364" s="16">
        <v>0.999762</v>
      </c>
      <c r="R364" s="16">
        <v>0.999128</v>
      </c>
      <c r="S364" s="19">
        <f t="shared" si="2"/>
        <v>345</v>
      </c>
      <c r="T364" s="19">
        <f t="shared" si="3"/>
        <v>112.7813335</v>
      </c>
      <c r="U364" s="20">
        <f t="shared" si="4"/>
        <v>0.6113402562</v>
      </c>
      <c r="V364" s="17">
        <f t="shared" ref="V364:V367" si="82">0.2*(8.17*POWER(M364*P364,0.46))+0.8*(0.146*POWER(M364*O364,0.639))</f>
        <v>382.6990004</v>
      </c>
      <c r="W364" s="21">
        <f t="shared" si="5"/>
        <v>4</v>
      </c>
      <c r="X364" s="21">
        <f t="shared" si="6"/>
        <v>1913.495002</v>
      </c>
      <c r="Y364" s="21">
        <f t="shared" si="7"/>
        <v>3.056701281</v>
      </c>
      <c r="Z364" s="8">
        <f t="shared" si="19"/>
        <v>389.9282639</v>
      </c>
      <c r="AA364" s="8">
        <f t="shared" si="78"/>
        <v>500</v>
      </c>
      <c r="AB364" s="13">
        <f t="shared" si="9"/>
        <v>1.449275362</v>
      </c>
      <c r="AC364" s="13">
        <f t="shared" si="10"/>
        <v>1.282287144</v>
      </c>
      <c r="AD364" s="13">
        <f>AA364/vlookup(A364,Max!$A$2:$AP$700,column(Max!$AP$2),false)</f>
        <v>1.666666667</v>
      </c>
      <c r="AE364" s="8">
        <f t="shared" si="11"/>
        <v>218.9081752</v>
      </c>
      <c r="AF364" s="14">
        <f t="shared" si="12"/>
        <v>1.343095174</v>
      </c>
      <c r="AG364" s="14">
        <f t="shared" si="13"/>
        <v>1.663444841</v>
      </c>
      <c r="AH364" s="14">
        <f t="shared" si="14"/>
        <v>1</v>
      </c>
      <c r="AI364" s="14">
        <f t="shared" si="15"/>
        <v>1.022601446</v>
      </c>
      <c r="AJ364" s="27">
        <f t="shared" si="16"/>
        <v>11</v>
      </c>
      <c r="AK364" s="15" t="str">
        <f t="shared" si="17"/>
        <v>  @CONFIG[RD-0210-Mk3] {
   %cost = 500
   @cost -= #$../../cost$
  }</v>
      </c>
    </row>
    <row r="365" ht="15.75" customHeight="1">
      <c r="A365" s="16" t="s">
        <v>482</v>
      </c>
      <c r="B365" s="16" t="s">
        <v>479</v>
      </c>
      <c r="C365" s="8">
        <f t="shared" si="1"/>
        <v>41</v>
      </c>
      <c r="D365" s="16">
        <v>1993.0</v>
      </c>
      <c r="E365" s="16"/>
      <c r="F365" s="16" t="b">
        <v>1</v>
      </c>
      <c r="G365" s="16" t="b">
        <v>0</v>
      </c>
      <c r="H365" s="16" t="b">
        <v>1</v>
      </c>
      <c r="I365" s="16" t="b">
        <v>0</v>
      </c>
      <c r="J365" s="9" t="b">
        <v>0</v>
      </c>
      <c r="K365" s="16">
        <v>300.0</v>
      </c>
      <c r="L365" s="16">
        <v>20.0</v>
      </c>
      <c r="M365" s="16">
        <f>550+90</f>
        <v>640</v>
      </c>
      <c r="N365" s="16">
        <f>607.2+30.98</f>
        <v>638.18</v>
      </c>
      <c r="O365" s="16">
        <v>325.3</v>
      </c>
      <c r="P365" s="16">
        <v>14.71</v>
      </c>
      <c r="Q365" s="16">
        <v>0.998951</v>
      </c>
      <c r="R365" s="16">
        <v>0.997552</v>
      </c>
      <c r="S365" s="19">
        <f t="shared" si="2"/>
        <v>320</v>
      </c>
      <c r="T365" s="19">
        <f t="shared" si="3"/>
        <v>101.6816392</v>
      </c>
      <c r="U365" s="20">
        <f t="shared" si="4"/>
        <v>0.6304273446</v>
      </c>
      <c r="V365" s="17">
        <f t="shared" si="82"/>
        <v>402.3261228</v>
      </c>
      <c r="W365" s="21">
        <f t="shared" si="5"/>
        <v>4</v>
      </c>
      <c r="X365" s="21">
        <f t="shared" si="6"/>
        <v>2011.630614</v>
      </c>
      <c r="Y365" s="21">
        <f t="shared" si="7"/>
        <v>3.152136723</v>
      </c>
      <c r="Z365" s="8">
        <f t="shared" si="19"/>
        <v>408.9667439</v>
      </c>
      <c r="AA365" s="8">
        <f t="shared" si="78"/>
        <v>476</v>
      </c>
      <c r="AB365" s="13">
        <f t="shared" si="9"/>
        <v>1.4875</v>
      </c>
      <c r="AC365" s="13">
        <f t="shared" si="10"/>
        <v>1.163908819</v>
      </c>
      <c r="AD365" s="13">
        <f>AA365/vlookup(A365,Max!$A$2:$AP$700,column(Max!$AP$2),false)</f>
        <v>2.069565217</v>
      </c>
      <c r="AE365" s="8">
        <f t="shared" si="11"/>
        <v>236.0566489</v>
      </c>
      <c r="AF365" s="14">
        <f t="shared" si="12"/>
        <v>1.191945534</v>
      </c>
      <c r="AG365" s="14">
        <f t="shared" si="13"/>
        <v>1.663699383</v>
      </c>
      <c r="AH365" s="14">
        <f t="shared" si="14"/>
        <v>1</v>
      </c>
      <c r="AI365" s="14">
        <f t="shared" si="15"/>
        <v>1.016509256</v>
      </c>
      <c r="AJ365" s="27">
        <f t="shared" si="16"/>
        <v>41</v>
      </c>
      <c r="AK365" s="15" t="str">
        <f t="shared" si="17"/>
        <v>  @CONFIG[RD-0212-Mk3] {
   %cost = 476
   @cost -= #$../../cost$
  }</v>
      </c>
    </row>
    <row r="366" ht="15.75" customHeight="1">
      <c r="A366" s="16" t="s">
        <v>487</v>
      </c>
      <c r="B366" s="16" t="s">
        <v>484</v>
      </c>
      <c r="C366" s="8">
        <f t="shared" si="1"/>
        <v>22</v>
      </c>
      <c r="D366" s="16">
        <v>1993.0</v>
      </c>
      <c r="E366" s="16"/>
      <c r="F366" s="16" t="b">
        <v>1</v>
      </c>
      <c r="G366" s="16" t="b">
        <v>0</v>
      </c>
      <c r="H366" s="16" t="b">
        <v>1</v>
      </c>
      <c r="I366" s="16" t="b">
        <v>0</v>
      </c>
      <c r="J366" s="9" t="b">
        <v>0</v>
      </c>
      <c r="K366" s="16">
        <v>260.0</v>
      </c>
      <c r="L366" s="16">
        <v>20.0</v>
      </c>
      <c r="M366" s="16">
        <v>550.0</v>
      </c>
      <c r="N366" s="16">
        <v>607.2</v>
      </c>
      <c r="O366" s="16">
        <v>327.0</v>
      </c>
      <c r="P366" s="16">
        <v>14.71</v>
      </c>
      <c r="Q366" s="16">
        <v>0.999474</v>
      </c>
      <c r="R366" s="16">
        <v>0.998772</v>
      </c>
      <c r="S366" s="19">
        <f t="shared" si="2"/>
        <v>280</v>
      </c>
      <c r="T366" s="19">
        <f t="shared" si="3"/>
        <v>112.5766696</v>
      </c>
      <c r="U366" s="20">
        <f t="shared" si="4"/>
        <v>0.6074137137</v>
      </c>
      <c r="V366" s="17">
        <f t="shared" si="82"/>
        <v>368.821607</v>
      </c>
      <c r="W366" s="21">
        <f t="shared" si="5"/>
        <v>4</v>
      </c>
      <c r="X366" s="21">
        <f t="shared" si="6"/>
        <v>1844.108035</v>
      </c>
      <c r="Y366" s="21">
        <f t="shared" si="7"/>
        <v>3.037068569</v>
      </c>
      <c r="Z366" s="8">
        <f t="shared" si="19"/>
        <v>375.5513642</v>
      </c>
      <c r="AA366" s="8">
        <f t="shared" si="78"/>
        <v>441</v>
      </c>
      <c r="AB366" s="13">
        <f t="shared" si="9"/>
        <v>1.575</v>
      </c>
      <c r="AC366" s="13">
        <f t="shared" si="10"/>
        <v>1.17427346</v>
      </c>
      <c r="AD366" s="13">
        <f>AA366/vlookup(A366,Max!$A$2:$AP$700,column(Max!$AP$2),false)</f>
        <v>1.8375</v>
      </c>
      <c r="AE366" s="8">
        <f t="shared" si="11"/>
        <v>215.091411</v>
      </c>
      <c r="AF366" s="14">
        <f t="shared" si="12"/>
        <v>1.206673473</v>
      </c>
      <c r="AG366" s="14">
        <f t="shared" si="13"/>
        <v>1.663699383</v>
      </c>
      <c r="AH366" s="14">
        <f t="shared" si="14"/>
        <v>1</v>
      </c>
      <c r="AI366" s="14">
        <f t="shared" si="15"/>
        <v>1.020955146</v>
      </c>
      <c r="AJ366" s="27">
        <f t="shared" si="16"/>
        <v>22</v>
      </c>
      <c r="AK366" s="15" t="str">
        <f t="shared" si="17"/>
        <v>  @CONFIG[RD-0213-Mk3] {
   %cost = 441
   @cost -= #$../../cost$
  }</v>
      </c>
    </row>
    <row r="367" ht="15.75" customHeight="1">
      <c r="A367" s="16" t="s">
        <v>600</v>
      </c>
      <c r="B367" s="16" t="s">
        <v>596</v>
      </c>
      <c r="C367" s="8">
        <f t="shared" si="1"/>
        <v>15</v>
      </c>
      <c r="D367" s="16">
        <v>1993.0</v>
      </c>
      <c r="E367" s="16"/>
      <c r="F367" s="16" t="b">
        <v>1</v>
      </c>
      <c r="G367" s="16" t="b">
        <v>0</v>
      </c>
      <c r="H367" s="16" t="b">
        <v>0</v>
      </c>
      <c r="I367" s="16" t="b">
        <v>0</v>
      </c>
      <c r="J367" s="9" t="b">
        <v>0</v>
      </c>
      <c r="K367" s="16">
        <v>515.0</v>
      </c>
      <c r="L367" s="16">
        <v>200.0</v>
      </c>
      <c r="M367" s="16">
        <v>1070.0</v>
      </c>
      <c r="N367" s="16">
        <v>1746.0</v>
      </c>
      <c r="O367" s="16">
        <v>316.0</v>
      </c>
      <c r="P367" s="16">
        <v>15.69</v>
      </c>
      <c r="Q367" s="16">
        <v>0.999289</v>
      </c>
      <c r="R367" s="16">
        <v>0.999289</v>
      </c>
      <c r="S367" s="19">
        <f t="shared" si="2"/>
        <v>715</v>
      </c>
      <c r="T367" s="19">
        <f t="shared" si="3"/>
        <v>166.3948133</v>
      </c>
      <c r="U367" s="20">
        <f t="shared" si="4"/>
        <v>0.3104532388</v>
      </c>
      <c r="V367" s="17">
        <f t="shared" si="82"/>
        <v>542.051355</v>
      </c>
      <c r="W367" s="21">
        <f t="shared" si="5"/>
        <v>4</v>
      </c>
      <c r="X367" s="21">
        <f t="shared" si="6"/>
        <v>2710.256775</v>
      </c>
      <c r="Y367" s="21">
        <f t="shared" si="7"/>
        <v>1.552266194</v>
      </c>
      <c r="Z367" s="8">
        <f t="shared" si="19"/>
        <v>552.1218591</v>
      </c>
      <c r="AA367" s="8">
        <f t="shared" si="78"/>
        <v>743</v>
      </c>
      <c r="AB367" s="13">
        <f t="shared" si="9"/>
        <v>1.039160839</v>
      </c>
      <c r="AC367" s="13">
        <f t="shared" si="10"/>
        <v>1.345717413</v>
      </c>
      <c r="AD367" s="13">
        <f>AA367/vlookup(A367,Max!$A$2:$AP$700,column(Max!$AP$2),false)</f>
        <v>1.218032787</v>
      </c>
      <c r="AE367" s="8">
        <f t="shared" si="11"/>
        <v>323.8870786</v>
      </c>
      <c r="AF367" s="14">
        <f t="shared" si="12"/>
        <v>1.115677507</v>
      </c>
      <c r="AG367" s="14">
        <f t="shared" si="13"/>
        <v>2.009877346</v>
      </c>
      <c r="AH367" s="14">
        <f t="shared" si="14"/>
        <v>1</v>
      </c>
      <c r="AI367" s="14">
        <f t="shared" si="15"/>
        <v>1.023622399</v>
      </c>
      <c r="AJ367" s="27">
        <f t="shared" si="16"/>
        <v>15</v>
      </c>
      <c r="AK367" s="15" t="str">
        <f t="shared" si="17"/>
        <v>  @CONFIG[RD-275] {
   %cost = 743
   @cost -= #$../../cost$
  }</v>
      </c>
    </row>
    <row r="368" ht="15.75" customHeight="1">
      <c r="A368" s="16" t="s">
        <v>669</v>
      </c>
      <c r="B368" s="16" t="s">
        <v>660</v>
      </c>
      <c r="C368" s="8">
        <f t="shared" si="1"/>
        <v>298</v>
      </c>
      <c r="D368" s="16">
        <v>1993.0</v>
      </c>
      <c r="E368" s="16" t="b">
        <v>1</v>
      </c>
      <c r="F368" s="16" t="b">
        <v>1</v>
      </c>
      <c r="G368" s="16" t="b">
        <v>0</v>
      </c>
      <c r="H368" s="16" t="b">
        <v>1</v>
      </c>
      <c r="I368" s="16" t="b">
        <v>0</v>
      </c>
      <c r="J368" s="9" t="b">
        <v>0</v>
      </c>
      <c r="K368" s="16">
        <v>500.0</v>
      </c>
      <c r="L368" s="16">
        <v>1800.0</v>
      </c>
      <c r="M368" s="16">
        <v>167.0</v>
      </c>
      <c r="N368" s="16">
        <v>99.2</v>
      </c>
      <c r="O368" s="16">
        <v>450.5</v>
      </c>
      <c r="P368" s="16">
        <v>4.2</v>
      </c>
      <c r="Q368" s="16">
        <v>0.998485</v>
      </c>
      <c r="R368" s="16">
        <v>0.997</v>
      </c>
      <c r="S368" s="19">
        <f t="shared" si="2"/>
        <v>2300</v>
      </c>
      <c r="T368" s="19">
        <f t="shared" si="3"/>
        <v>60.57236409</v>
      </c>
      <c r="U368" s="20">
        <f t="shared" si="4"/>
        <v>8.382361837</v>
      </c>
      <c r="V368" s="17">
        <f t="shared" ref="V368:V370" si="83">0.9*(0.00015*M368*O368*P368+797)+0.1*(43.1*POWER(M368,0.549))</f>
        <v>831.5302942</v>
      </c>
      <c r="W368" s="21">
        <f t="shared" si="5"/>
        <v>4</v>
      </c>
      <c r="X368" s="21">
        <f t="shared" si="6"/>
        <v>4157.651471</v>
      </c>
      <c r="Y368" s="21">
        <f t="shared" si="7"/>
        <v>41.91180919</v>
      </c>
      <c r="Z368" s="8">
        <f t="shared" si="19"/>
        <v>844.4103202</v>
      </c>
      <c r="AA368" s="8">
        <f t="shared" si="78"/>
        <v>592</v>
      </c>
      <c r="AB368" s="13">
        <f t="shared" si="9"/>
        <v>0.2573913043</v>
      </c>
      <c r="AC368" s="13">
        <f t="shared" si="10"/>
        <v>0.7010809625</v>
      </c>
      <c r="AD368" s="13">
        <f>AA368/vlookup(A368,Max!$A$2:$AP$700,column(Max!$AP$2),false)</f>
        <v>1.557894737</v>
      </c>
      <c r="AE368" s="8">
        <f t="shared" si="11"/>
        <v>137.2388079</v>
      </c>
      <c r="AF368" s="14">
        <f t="shared" si="12"/>
        <v>3.390854855</v>
      </c>
      <c r="AG368" s="14">
        <f t="shared" si="13"/>
        <v>1.254853697</v>
      </c>
      <c r="AH368" s="14">
        <f t="shared" si="14"/>
        <v>1</v>
      </c>
      <c r="AI368" s="14">
        <f t="shared" si="15"/>
        <v>1.013920191</v>
      </c>
      <c r="AJ368" s="27">
        <f t="shared" si="16"/>
        <v>298</v>
      </c>
      <c r="AK368" s="15" t="str">
        <f t="shared" si="17"/>
        <v>  @CONFIG[RL10A-4-1N] {
   %cost = 592
   @cost -= #$../../cost$
  }</v>
      </c>
    </row>
    <row r="369" ht="15.75" customHeight="1">
      <c r="A369" s="7" t="s">
        <v>670</v>
      </c>
      <c r="B369" s="7" t="s">
        <v>660</v>
      </c>
      <c r="C369" s="8">
        <f t="shared" si="1"/>
        <v>93</v>
      </c>
      <c r="D369" s="7">
        <v>1993.0</v>
      </c>
      <c r="E369" s="7" t="b">
        <v>1</v>
      </c>
      <c r="F369" s="7" t="b">
        <v>1</v>
      </c>
      <c r="G369" s="7" t="b">
        <v>0</v>
      </c>
      <c r="H369" s="7" t="b">
        <v>1</v>
      </c>
      <c r="I369" s="7" t="b">
        <v>1</v>
      </c>
      <c r="J369" s="9" t="b">
        <v>0</v>
      </c>
      <c r="K369" s="7">
        <v>500.0</v>
      </c>
      <c r="L369" s="7">
        <v>600.0</v>
      </c>
      <c r="M369" s="7">
        <v>143.0</v>
      </c>
      <c r="N369" s="7">
        <v>64.75</v>
      </c>
      <c r="O369" s="7">
        <v>368.0</v>
      </c>
      <c r="P369" s="7">
        <v>3.91</v>
      </c>
      <c r="Q369" s="7">
        <v>0.996667</v>
      </c>
      <c r="R369" s="7">
        <v>0.992222</v>
      </c>
      <c r="S369" s="10">
        <f t="shared" si="2"/>
        <v>1100</v>
      </c>
      <c r="T369" s="10">
        <f t="shared" si="3"/>
        <v>46.17246475</v>
      </c>
      <c r="U369" s="11">
        <f t="shared" si="4"/>
        <v>12.52210869</v>
      </c>
      <c r="V369" s="8">
        <f t="shared" si="83"/>
        <v>810.8065375</v>
      </c>
      <c r="W369" s="12">
        <f t="shared" si="5"/>
        <v>4</v>
      </c>
      <c r="X369" s="12">
        <f t="shared" si="6"/>
        <v>4054.032687</v>
      </c>
      <c r="Y369" s="12">
        <f t="shared" si="7"/>
        <v>62.61054344</v>
      </c>
      <c r="Z369" s="8">
        <f t="shared" si="19"/>
        <v>1227.052224</v>
      </c>
      <c r="AA369" s="8">
        <f t="shared" si="78"/>
        <v>387</v>
      </c>
      <c r="AB369" s="13">
        <f t="shared" si="9"/>
        <v>0.3518181818</v>
      </c>
      <c r="AC369" s="13">
        <f t="shared" si="10"/>
        <v>0.3153899992</v>
      </c>
      <c r="AD369" s="13">
        <f>AA369/vlookup(A369,Max!$A$2:$AP$700,column(Max!$AP$2),false)</f>
        <v>2.15</v>
      </c>
      <c r="AE369" s="8">
        <f t="shared" si="11"/>
        <v>126.9027619</v>
      </c>
      <c r="AF369" s="14">
        <f t="shared" si="12"/>
        <v>1.650729212</v>
      </c>
      <c r="AG369" s="14">
        <f t="shared" si="13"/>
        <v>1.234814653</v>
      </c>
      <c r="AH369" s="14">
        <f t="shared" si="14"/>
        <v>1.5</v>
      </c>
      <c r="AI369" s="14">
        <f t="shared" si="15"/>
        <v>0.9972621613</v>
      </c>
      <c r="AJ369" s="27">
        <f t="shared" si="16"/>
        <v>93</v>
      </c>
      <c r="AK369" s="15" t="str">
        <f t="shared" si="17"/>
        <v>  @CONFIG[RL10A-5] {
   %cost = 387
   @cost -= #$../../cost$
  }</v>
      </c>
    </row>
    <row r="370" ht="15.75" customHeight="1">
      <c r="A370" s="16" t="s">
        <v>699</v>
      </c>
      <c r="B370" s="16" t="s">
        <v>698</v>
      </c>
      <c r="C370" s="8">
        <f t="shared" si="1"/>
        <v>303</v>
      </c>
      <c r="D370" s="16">
        <v>1993.0</v>
      </c>
      <c r="E370" s="16" t="b">
        <v>1</v>
      </c>
      <c r="F370" s="16" t="b">
        <v>1</v>
      </c>
      <c r="G370" s="16" t="b">
        <v>0</v>
      </c>
      <c r="H370" s="16" t="b">
        <v>1</v>
      </c>
      <c r="I370" s="16" t="b">
        <v>0</v>
      </c>
      <c r="J370" s="9" t="b">
        <v>0</v>
      </c>
      <c r="K370" s="16"/>
      <c r="L370" s="16">
        <v>100.0</v>
      </c>
      <c r="M370" s="16">
        <v>209.1</v>
      </c>
      <c r="N370" s="16">
        <v>66.7</v>
      </c>
      <c r="O370" s="16">
        <v>481.0</v>
      </c>
      <c r="P370" s="16">
        <v>10.61</v>
      </c>
      <c r="Q370" s="16">
        <v>0.99486</v>
      </c>
      <c r="R370" s="16">
        <v>0.99717</v>
      </c>
      <c r="S370" s="19">
        <f t="shared" si="2"/>
        <v>100</v>
      </c>
      <c r="T370" s="19">
        <f t="shared" si="3"/>
        <v>32.52753286</v>
      </c>
      <c r="U370" s="20">
        <f t="shared" si="4"/>
        <v>14.12798704</v>
      </c>
      <c r="V370" s="17">
        <f t="shared" si="83"/>
        <v>942.3367355</v>
      </c>
      <c r="W370" s="21">
        <f t="shared" si="5"/>
        <v>4</v>
      </c>
      <c r="X370" s="21">
        <f t="shared" si="6"/>
        <v>4711.683678</v>
      </c>
      <c r="Y370" s="21">
        <f t="shared" si="7"/>
        <v>70.6399352</v>
      </c>
      <c r="Z370" s="8">
        <f t="shared" si="19"/>
        <v>953.6867539</v>
      </c>
      <c r="AA370" s="8">
        <f t="shared" si="78"/>
        <v>1087</v>
      </c>
      <c r="AB370" s="13">
        <f t="shared" si="9"/>
        <v>10.87</v>
      </c>
      <c r="AC370" s="13">
        <f t="shared" si="10"/>
        <v>1.139787247</v>
      </c>
      <c r="AD370" s="13">
        <f>AA370/vlookup(A370,Max!$A$2:$AP$700,column(Max!$AP$2),false)</f>
        <v>1.725396825</v>
      </c>
      <c r="AE370" s="8">
        <f t="shared" si="11"/>
        <v>153.9028482</v>
      </c>
      <c r="AF370" s="14">
        <f t="shared" si="12"/>
        <v>4.544049512</v>
      </c>
      <c r="AG370" s="14">
        <f t="shared" si="13"/>
        <v>1.545781002</v>
      </c>
      <c r="AH370" s="14">
        <f t="shared" si="14"/>
        <v>1</v>
      </c>
      <c r="AI370" s="14">
        <f t="shared" si="15"/>
        <v>1.005170995</v>
      </c>
      <c r="AJ370" s="27">
        <f t="shared" si="16"/>
        <v>303</v>
      </c>
      <c r="AK370" s="15" t="str">
        <f t="shared" si="17"/>
        <v>  @CONFIG[RS-44-Incremental] {
   %cost = 1087
   @cost -= #$../../cost$
  }</v>
      </c>
    </row>
    <row r="371" ht="15.75" customHeight="1">
      <c r="A371" s="7" t="s">
        <v>801</v>
      </c>
      <c r="B371" s="7" t="s">
        <v>802</v>
      </c>
      <c r="C371" s="8">
        <f t="shared" si="1"/>
        <v>394</v>
      </c>
      <c r="D371" s="7">
        <v>1993.0</v>
      </c>
      <c r="E371" s="7"/>
      <c r="F371" s="7" t="b">
        <v>1</v>
      </c>
      <c r="G371" s="7" t="b">
        <v>0</v>
      </c>
      <c r="H371" s="7" t="b">
        <v>0</v>
      </c>
      <c r="I371" s="7" t="b">
        <v>0</v>
      </c>
      <c r="J371" s="9" t="b">
        <v>0</v>
      </c>
      <c r="K371" s="7">
        <v>500.0</v>
      </c>
      <c r="L371" s="7">
        <v>0.0</v>
      </c>
      <c r="M371" s="7">
        <v>876.0</v>
      </c>
      <c r="N371" s="7">
        <v>680.5</v>
      </c>
      <c r="O371" s="7">
        <v>280.9</v>
      </c>
      <c r="P371" s="7">
        <v>5.44</v>
      </c>
      <c r="Q371" s="7">
        <v>0.98</v>
      </c>
      <c r="R371" s="7">
        <v>0.985</v>
      </c>
      <c r="S371" s="10">
        <f t="shared" si="2"/>
        <v>500</v>
      </c>
      <c r="T371" s="10">
        <f t="shared" si="3"/>
        <v>79.21425581</v>
      </c>
      <c r="U371" s="11">
        <f t="shared" si="4"/>
        <v>0.5962062835</v>
      </c>
      <c r="V371" s="8">
        <f>0.2*(8.17*POWER(M371*P371,0.46))+0.8*(0.146*POWER(M371*O371,0.639))</f>
        <v>405.7183759</v>
      </c>
      <c r="W371" s="12">
        <f t="shared" si="5"/>
        <v>4</v>
      </c>
      <c r="X371" s="12">
        <f t="shared" si="6"/>
        <v>2028.59188</v>
      </c>
      <c r="Y371" s="12">
        <f t="shared" si="7"/>
        <v>2.981031417</v>
      </c>
      <c r="Z371" s="8">
        <f t="shared" si="19"/>
        <v>399.7543158</v>
      </c>
      <c r="AA371" s="8">
        <f t="shared" si="78"/>
        <v>394</v>
      </c>
      <c r="AB371" s="13">
        <f t="shared" si="9"/>
        <v>0.788</v>
      </c>
      <c r="AC371" s="13">
        <f t="shared" si="10"/>
        <v>0.9856053692</v>
      </c>
      <c r="AD371" s="13">
        <f>AA371/vlookup(A371,Max!$A$2:$AP$700,column(Max!$AP$2),false)</f>
        <v>3.752380952</v>
      </c>
      <c r="AE371" s="8">
        <f t="shared" si="11"/>
        <v>286.3189328</v>
      </c>
      <c r="AF371" s="14">
        <f t="shared" si="12"/>
        <v>0.951954703</v>
      </c>
      <c r="AG371" s="14">
        <f t="shared" si="13"/>
        <v>1.462723848</v>
      </c>
      <c r="AH371" s="14">
        <f t="shared" si="14"/>
        <v>1</v>
      </c>
      <c r="AI371" s="14">
        <f t="shared" si="15"/>
        <v>0.9874215238</v>
      </c>
      <c r="AJ371" s="15">
        <f t="shared" si="16"/>
        <v>0</v>
      </c>
      <c r="AK371" s="15" t="str">
        <f t="shared" si="17"/>
        <v>  @CONFIG[Vikas-1] {
   %cost = 394
   @cost -= #$../../cost$
  }</v>
      </c>
    </row>
    <row r="372" ht="15.75" customHeight="1">
      <c r="A372" s="16" t="s">
        <v>236</v>
      </c>
      <c r="B372" s="16" t="s">
        <v>235</v>
      </c>
      <c r="C372" s="8">
        <f t="shared" si="1"/>
        <v>25</v>
      </c>
      <c r="D372" s="16">
        <v>1994.0</v>
      </c>
      <c r="E372" s="16" t="b">
        <v>1</v>
      </c>
      <c r="F372" s="16" t="b">
        <v>1</v>
      </c>
      <c r="G372" s="16" t="b">
        <v>0</v>
      </c>
      <c r="H372" s="16" t="b">
        <v>1</v>
      </c>
      <c r="I372" s="16" t="b">
        <v>0</v>
      </c>
      <c r="J372" s="9" t="b">
        <v>0</v>
      </c>
      <c r="K372" s="16">
        <v>2650.0</v>
      </c>
      <c r="L372" s="16">
        <v>500.0</v>
      </c>
      <c r="M372" s="16">
        <v>248.0</v>
      </c>
      <c r="N372" s="16">
        <v>121.5</v>
      </c>
      <c r="O372" s="16">
        <v>452.0</v>
      </c>
      <c r="P372" s="16">
        <v>3.98</v>
      </c>
      <c r="Q372" s="16">
        <v>0.9875</v>
      </c>
      <c r="R372" s="16">
        <v>0.98</v>
      </c>
      <c r="S372" s="19">
        <f t="shared" si="2"/>
        <v>3150</v>
      </c>
      <c r="T372" s="19">
        <f t="shared" si="3"/>
        <v>49.95787077</v>
      </c>
      <c r="U372" s="20">
        <f t="shared" si="4"/>
        <v>7.131322549</v>
      </c>
      <c r="V372" s="17">
        <f>0.9*(0.00015*M372*O372*P372+797)+0.1*(43.1*POWER(M372,0.549))</f>
        <v>866.4556897</v>
      </c>
      <c r="W372" s="21">
        <f t="shared" si="5"/>
        <v>4</v>
      </c>
      <c r="X372" s="21">
        <f t="shared" si="6"/>
        <v>4332.278448</v>
      </c>
      <c r="Y372" s="21">
        <f t="shared" si="7"/>
        <v>35.65661274</v>
      </c>
      <c r="Z372" s="8">
        <f t="shared" si="19"/>
        <v>855.8416075</v>
      </c>
      <c r="AA372" s="8">
        <f t="shared" si="78"/>
        <v>677</v>
      </c>
      <c r="AB372" s="13">
        <f t="shared" si="9"/>
        <v>0.2149206349</v>
      </c>
      <c r="AC372" s="13">
        <f t="shared" si="10"/>
        <v>0.7910342218</v>
      </c>
      <c r="AD372" s="13">
        <f>AA372/vlookup(A372,Max!$A$2:$AP$700,column(Max!$AP$2),false)</f>
        <v>2.417857143</v>
      </c>
      <c r="AE372" s="8">
        <f t="shared" si="11"/>
        <v>168.0434662</v>
      </c>
      <c r="AF372" s="14">
        <f t="shared" si="12"/>
        <v>3.438943991</v>
      </c>
      <c r="AG372" s="14">
        <f t="shared" si="13"/>
        <v>1.239754506</v>
      </c>
      <c r="AH372" s="14">
        <f t="shared" si="14"/>
        <v>1</v>
      </c>
      <c r="AI372" s="14">
        <f t="shared" si="15"/>
        <v>0.9447566629</v>
      </c>
      <c r="AJ372" s="27">
        <f t="shared" si="16"/>
        <v>25</v>
      </c>
      <c r="AK372" s="15" t="str">
        <f t="shared" si="17"/>
        <v>  @CONFIG[LE-5A] {
   %cost = 677
   @cost -= #$../../cost$
  }</v>
      </c>
    </row>
    <row r="373" ht="15.75" customHeight="1">
      <c r="A373" s="16" t="s">
        <v>556</v>
      </c>
      <c r="B373" s="16" t="s">
        <v>555</v>
      </c>
      <c r="C373" s="8">
        <f t="shared" si="1"/>
        <v>-92</v>
      </c>
      <c r="D373" s="16">
        <v>1994.0</v>
      </c>
      <c r="E373" s="16"/>
      <c r="F373" s="16" t="b">
        <v>1</v>
      </c>
      <c r="G373" s="16" t="b">
        <v>0</v>
      </c>
      <c r="H373" s="16" t="b">
        <v>1</v>
      </c>
      <c r="I373" s="16" t="b">
        <v>0</v>
      </c>
      <c r="J373" s="9" t="b">
        <v>0</v>
      </c>
      <c r="K373" s="16">
        <v>750.0</v>
      </c>
      <c r="L373" s="16">
        <v>0.0</v>
      </c>
      <c r="M373" s="16">
        <f>1125*0.96</f>
        <v>1080</v>
      </c>
      <c r="N373" s="16">
        <v>853.18</v>
      </c>
      <c r="O373" s="16">
        <v>330.0</v>
      </c>
      <c r="P373" s="16">
        <v>17.63</v>
      </c>
      <c r="Q373" s="16">
        <v>0.998295</v>
      </c>
      <c r="R373" s="16">
        <v>0.992222</v>
      </c>
      <c r="S373" s="19">
        <f t="shared" si="2"/>
        <v>750</v>
      </c>
      <c r="T373" s="19">
        <f t="shared" si="3"/>
        <v>80.55569223</v>
      </c>
      <c r="U373" s="20">
        <f t="shared" si="4"/>
        <v>0.6613407269</v>
      </c>
      <c r="V373" s="17">
        <f>0.2*(8.17*POWER(M373*P373,0.46))+0.8*(0.146*POWER(M373*O373,0.639))</f>
        <v>564.2426814</v>
      </c>
      <c r="W373" s="21">
        <f t="shared" si="5"/>
        <v>4</v>
      </c>
      <c r="X373" s="21">
        <f t="shared" si="6"/>
        <v>2821.213407</v>
      </c>
      <c r="Y373" s="21">
        <f t="shared" si="7"/>
        <v>3.306703634</v>
      </c>
      <c r="Z373" s="8">
        <f t="shared" si="19"/>
        <v>570.1843044</v>
      </c>
      <c r="AA373" s="8">
        <f t="shared" si="78"/>
        <v>697</v>
      </c>
      <c r="AB373" s="13">
        <f t="shared" si="9"/>
        <v>0.9293333333</v>
      </c>
      <c r="AC373" s="13">
        <f t="shared" si="10"/>
        <v>1.222411762</v>
      </c>
      <c r="AD373" s="13">
        <f>AA373/vlookup(A373,Max!$A$2:$AP$700,column(Max!$AP$2),false)</f>
        <v>2.05</v>
      </c>
      <c r="AE373" s="8">
        <f t="shared" si="11"/>
        <v>325.7508777</v>
      </c>
      <c r="AF373" s="14">
        <f t="shared" si="12"/>
        <v>1.233286301</v>
      </c>
      <c r="AG373" s="14">
        <f t="shared" si="13"/>
        <v>1.732881137</v>
      </c>
      <c r="AH373" s="14">
        <f t="shared" si="14"/>
        <v>1</v>
      </c>
      <c r="AI373" s="14">
        <f t="shared" si="15"/>
        <v>1.001339582</v>
      </c>
      <c r="AJ373" s="27">
        <f t="shared" si="16"/>
        <v>-92</v>
      </c>
      <c r="AK373" s="15" t="str">
        <f t="shared" si="17"/>
        <v>  @CONFIG[RD-120K] {
   %cost = 697
   @cost -= #$../../cost$
  }</v>
      </c>
    </row>
    <row r="374" ht="15.75" customHeight="1">
      <c r="A374" s="7" t="s">
        <v>627</v>
      </c>
      <c r="B374" s="7" t="s">
        <v>626</v>
      </c>
      <c r="C374" s="8">
        <f t="shared" si="1"/>
        <v>238</v>
      </c>
      <c r="D374" s="7">
        <v>1994.0</v>
      </c>
      <c r="E374" s="7" t="b">
        <v>1</v>
      </c>
      <c r="F374" s="7" t="b">
        <v>1</v>
      </c>
      <c r="G374" s="7" t="b">
        <v>0</v>
      </c>
      <c r="H374" s="7" t="b">
        <v>1</v>
      </c>
      <c r="I374" s="7" t="b">
        <v>0</v>
      </c>
      <c r="J374" s="9" t="b">
        <v>0</v>
      </c>
      <c r="K374" s="7">
        <v>700.0</v>
      </c>
      <c r="L374" s="7">
        <v>0.0</v>
      </c>
      <c r="M374" s="7">
        <v>874.0</v>
      </c>
      <c r="N374" s="7">
        <v>432.0</v>
      </c>
      <c r="O374" s="7">
        <v>461.0</v>
      </c>
      <c r="P374" s="7">
        <v>11.5</v>
      </c>
      <c r="Q374" s="7">
        <v>0.989286</v>
      </c>
      <c r="R374" s="7">
        <v>0.978571</v>
      </c>
      <c r="S374" s="10">
        <f t="shared" si="2"/>
        <v>700</v>
      </c>
      <c r="T374" s="10">
        <f t="shared" si="3"/>
        <v>50.40244882</v>
      </c>
      <c r="U374" s="11">
        <f t="shared" si="4"/>
        <v>3.519428109</v>
      </c>
      <c r="V374" s="8">
        <f>0.9*(0.00015*M374*O374*P374+797)+0.1*(43.1*POWER(M374,0.549))</f>
        <v>1520.392943</v>
      </c>
      <c r="W374" s="12">
        <f t="shared" si="5"/>
        <v>4</v>
      </c>
      <c r="X374" s="12">
        <f t="shared" si="6"/>
        <v>7601.964716</v>
      </c>
      <c r="Y374" s="12">
        <f t="shared" si="7"/>
        <v>17.59714055</v>
      </c>
      <c r="Z374" s="8">
        <f t="shared" si="19"/>
        <v>1502.279879</v>
      </c>
      <c r="AA374" s="8">
        <f t="shared" si="78"/>
        <v>1839</v>
      </c>
      <c r="AB374" s="13">
        <f t="shared" si="9"/>
        <v>2.627142857</v>
      </c>
      <c r="AC374" s="13">
        <f t="shared" si="10"/>
        <v>1.224139407</v>
      </c>
      <c r="AD374" s="13">
        <f>AA374/vlookup(A374,Max!$A$2:$AP$700,column(Max!$AP$2),false)</f>
        <v>2.215662651</v>
      </c>
      <c r="AE374" s="8">
        <f t="shared" si="11"/>
        <v>329.9412479</v>
      </c>
      <c r="AF374" s="14">
        <f t="shared" si="12"/>
        <v>3.744738719</v>
      </c>
      <c r="AG374" s="14">
        <f t="shared" si="13"/>
        <v>1.574051792</v>
      </c>
      <c r="AH374" s="14">
        <f t="shared" si="14"/>
        <v>1</v>
      </c>
      <c r="AI374" s="14">
        <f t="shared" si="15"/>
        <v>0.9455783599</v>
      </c>
      <c r="AJ374" s="27">
        <f t="shared" si="16"/>
        <v>238</v>
      </c>
      <c r="AK374" s="15" t="str">
        <f t="shared" si="17"/>
        <v>  @CONFIG[RD-57M] {
   %cost = 1839
   @cost -= #$../../cost$
  }</v>
      </c>
    </row>
    <row r="375" ht="15.75" customHeight="1">
      <c r="A375" s="16" t="s">
        <v>1045</v>
      </c>
      <c r="B375" s="16" t="s">
        <v>93</v>
      </c>
      <c r="C375" s="8">
        <f t="shared" si="1"/>
        <v>-36</v>
      </c>
      <c r="D375" s="16">
        <v>1995.0</v>
      </c>
      <c r="E375" s="16"/>
      <c r="F375" s="16" t="b">
        <v>1</v>
      </c>
      <c r="G375" s="16" t="b">
        <v>0</v>
      </c>
      <c r="H375" s="16" t="b">
        <v>1</v>
      </c>
      <c r="I375" s="16" t="b">
        <v>0</v>
      </c>
      <c r="J375" s="9" t="b">
        <v>0</v>
      </c>
      <c r="K375" s="16">
        <v>400.0</v>
      </c>
      <c r="L375" s="16">
        <v>100.0</v>
      </c>
      <c r="M375" s="16">
        <v>47.0</v>
      </c>
      <c r="N375" s="16">
        <v>16.7</v>
      </c>
      <c r="O375" s="16">
        <v>343.0</v>
      </c>
      <c r="P375" s="16">
        <v>9.86</v>
      </c>
      <c r="Q375" s="16">
        <v>0.999414</v>
      </c>
      <c r="R375" s="16">
        <v>0.999123</v>
      </c>
      <c r="S375" s="19">
        <f t="shared" si="2"/>
        <v>500</v>
      </c>
      <c r="T375" s="19">
        <f t="shared" si="3"/>
        <v>36.23246959</v>
      </c>
      <c r="U375" s="20">
        <f t="shared" si="4"/>
        <v>5.061614669</v>
      </c>
      <c r="V375" s="17">
        <f>0.2*(8.17*POWER(M375*P375,0.46))+0.8*(0.146*POWER(M375*O375,0.639))</f>
        <v>84.52896498</v>
      </c>
      <c r="W375" s="21">
        <f t="shared" si="5"/>
        <v>4</v>
      </c>
      <c r="X375" s="21">
        <f t="shared" si="6"/>
        <v>422.6448249</v>
      </c>
      <c r="Y375" s="21">
        <f t="shared" si="7"/>
        <v>25.30807335</v>
      </c>
      <c r="Z375" s="8">
        <f t="shared" si="19"/>
        <v>86.09592184</v>
      </c>
      <c r="AA375" s="8">
        <f t="shared" si="78"/>
        <v>102</v>
      </c>
      <c r="AB375" s="13">
        <f t="shared" si="9"/>
        <v>0.204</v>
      </c>
      <c r="AC375" s="13">
        <f t="shared" si="10"/>
        <v>1.184725104</v>
      </c>
      <c r="AD375" s="13">
        <f>AA375/vlookup(A375,Max!$A$2:$AP$700,column(Max!$AP$2),false)</f>
        <v>3.1875</v>
      </c>
      <c r="AE375" s="8">
        <f t="shared" si="11"/>
        <v>48.45492265</v>
      </c>
      <c r="AF375" s="14">
        <f t="shared" si="12"/>
        <v>1.358382106</v>
      </c>
      <c r="AG375" s="14">
        <f t="shared" si="13"/>
        <v>1.520492597</v>
      </c>
      <c r="AH375" s="14">
        <f t="shared" si="14"/>
        <v>1</v>
      </c>
      <c r="AI375" s="14">
        <f t="shared" si="15"/>
        <v>1.021699021</v>
      </c>
      <c r="AJ375" s="27">
        <f t="shared" si="16"/>
        <v>-36</v>
      </c>
      <c r="AK375" s="15" t="str">
        <f t="shared" si="17"/>
        <v>  @CONFIG[AJ23-156] {
   %cost = 102
   @cost -= #$../../cost$
  }</v>
      </c>
    </row>
    <row r="376" ht="15.75" customHeight="1">
      <c r="A376" s="16" t="s">
        <v>277</v>
      </c>
      <c r="B376" s="16" t="s">
        <v>274</v>
      </c>
      <c r="C376" s="8">
        <f t="shared" si="1"/>
        <v>853</v>
      </c>
      <c r="D376" s="16">
        <v>1995.0</v>
      </c>
      <c r="E376" s="16" t="b">
        <v>1</v>
      </c>
      <c r="F376" s="16" t="b">
        <v>1</v>
      </c>
      <c r="G376" s="16" t="b">
        <v>0</v>
      </c>
      <c r="H376" s="16" t="b">
        <v>0</v>
      </c>
      <c r="I376" s="16" t="b">
        <v>0</v>
      </c>
      <c r="J376" s="9" t="b">
        <v>0</v>
      </c>
      <c r="K376" s="16">
        <v>4300.0</v>
      </c>
      <c r="L376" s="16">
        <v>1200.0</v>
      </c>
      <c r="M376" s="16">
        <v>1632.9</v>
      </c>
      <c r="N376" s="16">
        <v>1619.2</v>
      </c>
      <c r="O376" s="16">
        <v>463.0</v>
      </c>
      <c r="P376" s="16">
        <v>22.75</v>
      </c>
      <c r="Q376" s="16">
        <v>0.9995</v>
      </c>
      <c r="R376" s="16">
        <v>0.9995</v>
      </c>
      <c r="S376" s="19">
        <f t="shared" si="2"/>
        <v>5500</v>
      </c>
      <c r="T376" s="19">
        <f t="shared" si="3"/>
        <v>101.116081</v>
      </c>
      <c r="U376" s="20">
        <f t="shared" si="4"/>
        <v>2.031574729</v>
      </c>
      <c r="V376" s="17">
        <f>0.9*(0.00015*M376*O376*P376+797)+0.1*(43.1*POWER(M376,0.549))</f>
        <v>3289.525801</v>
      </c>
      <c r="W376" s="21">
        <f t="shared" si="5"/>
        <v>4</v>
      </c>
      <c r="X376" s="21">
        <f t="shared" si="6"/>
        <v>16447.62901</v>
      </c>
      <c r="Y376" s="21">
        <f t="shared" si="7"/>
        <v>10.15787364</v>
      </c>
      <c r="Z376" s="8">
        <f t="shared" si="19"/>
        <v>3352.027614</v>
      </c>
      <c r="AA376" s="8">
        <f t="shared" si="78"/>
        <v>4116</v>
      </c>
      <c r="AB376" s="13">
        <f t="shared" si="9"/>
        <v>0.7483636364</v>
      </c>
      <c r="AC376" s="13">
        <f t="shared" si="10"/>
        <v>1.227913512</v>
      </c>
      <c r="AD376" s="13">
        <f>AA376/vlookup(A376,Max!$A$2:$AP$700,column(Max!$AP$2),false)</f>
        <v>0.8575</v>
      </c>
      <c r="AE376" s="8">
        <f t="shared" si="11"/>
        <v>468.6366293</v>
      </c>
      <c r="AF376" s="14">
        <f t="shared" si="12"/>
        <v>3.816914098</v>
      </c>
      <c r="AG376" s="14">
        <f t="shared" si="13"/>
        <v>2.246865586</v>
      </c>
      <c r="AH376" s="14">
        <f t="shared" si="14"/>
        <v>1</v>
      </c>
      <c r="AI376" s="14">
        <f t="shared" si="15"/>
        <v>1.024162829</v>
      </c>
      <c r="AJ376" s="27">
        <f t="shared" si="16"/>
        <v>853</v>
      </c>
      <c r="AK376" s="15" t="str">
        <f t="shared" si="17"/>
        <v>  @CONFIG[LR129-P-3] {
   %cost = 4116
   @cost -= #$../../cost$
  }</v>
      </c>
    </row>
    <row r="377" ht="15.75" customHeight="1">
      <c r="A377" s="7" t="s">
        <v>636</v>
      </c>
      <c r="B377" s="7" t="s">
        <v>630</v>
      </c>
      <c r="C377" s="8">
        <f t="shared" si="1"/>
        <v>120</v>
      </c>
      <c r="D377" s="7">
        <v>1995.0</v>
      </c>
      <c r="E377" s="7"/>
      <c r="F377" s="7" t="b">
        <v>1</v>
      </c>
      <c r="G377" s="7" t="b">
        <v>0</v>
      </c>
      <c r="H377" s="7" t="b">
        <v>1</v>
      </c>
      <c r="I377" s="7" t="b">
        <v>0</v>
      </c>
      <c r="J377" s="9" t="b">
        <v>0</v>
      </c>
      <c r="K377" s="7">
        <v>400.0</v>
      </c>
      <c r="L377" s="7">
        <v>130.0</v>
      </c>
      <c r="M377" s="7">
        <v>230.0</v>
      </c>
      <c r="N377" s="7">
        <v>86.3</v>
      </c>
      <c r="O377" s="7">
        <v>361.0</v>
      </c>
      <c r="P377" s="7">
        <v>7.94</v>
      </c>
      <c r="Q377" s="7">
        <v>0.99321</v>
      </c>
      <c r="R377" s="7">
        <v>0.99625</v>
      </c>
      <c r="S377" s="10">
        <f t="shared" si="2"/>
        <v>530</v>
      </c>
      <c r="T377" s="10">
        <f t="shared" si="3"/>
        <v>38.26152562</v>
      </c>
      <c r="U377" s="11">
        <f t="shared" si="4"/>
        <v>2.48205731</v>
      </c>
      <c r="V377" s="8">
        <f t="shared" ref="V377:V378" si="84">0.2*(8.17*POWER(M377*P377,0.46))+0.8*(0.146*POWER(M377*O377,0.639))</f>
        <v>214.2015458</v>
      </c>
      <c r="W377" s="12">
        <f t="shared" si="5"/>
        <v>4</v>
      </c>
      <c r="X377" s="12">
        <f t="shared" si="6"/>
        <v>1071.007729</v>
      </c>
      <c r="Y377" s="12">
        <f t="shared" si="7"/>
        <v>12.41028655</v>
      </c>
      <c r="Z377" s="8">
        <f t="shared" si="19"/>
        <v>216.2333465</v>
      </c>
      <c r="AA377" s="8">
        <f t="shared" si="78"/>
        <v>285</v>
      </c>
      <c r="AB377" s="13">
        <f t="shared" si="9"/>
        <v>0.5377358491</v>
      </c>
      <c r="AC377" s="13">
        <f t="shared" si="10"/>
        <v>1.318020576</v>
      </c>
      <c r="AD377" s="13">
        <f>AA377/vlookup(A377,Max!$A$2:$AP$700,column(Max!$AP$2),false)</f>
        <v>3.8</v>
      </c>
      <c r="AE377" s="8">
        <f t="shared" si="11"/>
        <v>126.2812344</v>
      </c>
      <c r="AF377" s="14">
        <f t="shared" si="12"/>
        <v>1.561213074</v>
      </c>
      <c r="AG377" s="14">
        <f t="shared" si="13"/>
        <v>1.448176905</v>
      </c>
      <c r="AH377" s="14">
        <f t="shared" si="14"/>
        <v>1</v>
      </c>
      <c r="AI377" s="14">
        <f t="shared" si="15"/>
        <v>0.9987011693</v>
      </c>
      <c r="AJ377" s="27">
        <f t="shared" si="16"/>
        <v>120</v>
      </c>
      <c r="AK377" s="15" t="str">
        <f t="shared" si="17"/>
        <v>  @CONFIG[RD-58S] {
   %cost = 285
   @cost -= #$../../cost$
  }</v>
      </c>
    </row>
    <row r="378" ht="15.75" customHeight="1">
      <c r="A378" s="7" t="s">
        <v>774</v>
      </c>
      <c r="B378" s="7" t="s">
        <v>775</v>
      </c>
      <c r="C378" s="8">
        <f t="shared" si="1"/>
        <v>1200</v>
      </c>
      <c r="D378" s="7">
        <v>1995.0</v>
      </c>
      <c r="E378" s="7"/>
      <c r="F378" s="7" t="b">
        <v>1</v>
      </c>
      <c r="G378" s="7" t="b">
        <v>0</v>
      </c>
      <c r="H378" s="7" t="b">
        <v>0</v>
      </c>
      <c r="I378" s="7" t="b">
        <v>0</v>
      </c>
      <c r="J378" s="9" t="b">
        <v>0</v>
      </c>
      <c r="K378" s="7">
        <v>2200.0</v>
      </c>
      <c r="L378" s="7">
        <v>0.0</v>
      </c>
      <c r="M378" s="7">
        <v>3062.0</v>
      </c>
      <c r="N378" s="7">
        <v>3275.0</v>
      </c>
      <c r="O378" s="7">
        <v>316.0</v>
      </c>
      <c r="P378" s="7">
        <v>8.79</v>
      </c>
      <c r="Q378" s="7">
        <v>0.99995</v>
      </c>
      <c r="R378" s="7">
        <v>0.99995</v>
      </c>
      <c r="S378" s="10">
        <f t="shared" si="2"/>
        <v>2200</v>
      </c>
      <c r="T378" s="10">
        <f t="shared" si="3"/>
        <v>109.0650094</v>
      </c>
      <c r="U378" s="11">
        <f t="shared" si="4"/>
        <v>0.2927106772</v>
      </c>
      <c r="V378" s="8">
        <f t="shared" si="84"/>
        <v>958.6274677</v>
      </c>
      <c r="W378" s="12">
        <f t="shared" si="5"/>
        <v>4</v>
      </c>
      <c r="X378" s="12">
        <f t="shared" si="6"/>
        <v>4793.137339</v>
      </c>
      <c r="Y378" s="12">
        <f t="shared" si="7"/>
        <v>1.463553386</v>
      </c>
      <c r="Z378" s="8">
        <f t="shared" si="19"/>
        <v>977.7041567</v>
      </c>
      <c r="AA378" s="8">
        <f t="shared" si="78"/>
        <v>1200</v>
      </c>
      <c r="AB378" s="13">
        <f t="shared" si="9"/>
        <v>0.5454545455</v>
      </c>
      <c r="AC378" s="13">
        <f t="shared" si="10"/>
        <v>1.227365141</v>
      </c>
      <c r="AD378" s="13">
        <f>AA378/vlookup(A378,Max!$A$2:$AP$700,column(Max!$AP$2),false)</f>
        <v>0.8571428571</v>
      </c>
      <c r="AE378" s="8">
        <f t="shared" si="11"/>
        <v>621.1542563</v>
      </c>
      <c r="AF378" s="14">
        <f t="shared" si="12"/>
        <v>1.115677507</v>
      </c>
      <c r="AG378" s="14">
        <f t="shared" si="13"/>
        <v>1.68919324</v>
      </c>
      <c r="AH378" s="14">
        <f t="shared" si="14"/>
        <v>1</v>
      </c>
      <c r="AI378" s="14">
        <f t="shared" si="15"/>
        <v>1.025315978</v>
      </c>
      <c r="AJ378" s="15">
        <f t="shared" si="16"/>
        <v>0</v>
      </c>
      <c r="AK378" s="15" t="str">
        <f t="shared" si="17"/>
        <v>  @CONFIG[STBE-1A] {
   %cost = 1200
   @cost -= #$../../cost$
  }</v>
      </c>
    </row>
    <row r="379" ht="15.75" customHeight="1">
      <c r="A379" s="7" t="s">
        <v>779</v>
      </c>
      <c r="B379" s="7" t="s">
        <v>779</v>
      </c>
      <c r="C379" s="8">
        <f t="shared" si="1"/>
        <v>4809</v>
      </c>
      <c r="D379" s="7">
        <v>1995.0</v>
      </c>
      <c r="E379" s="7" t="b">
        <v>1</v>
      </c>
      <c r="F379" s="7" t="b">
        <v>1</v>
      </c>
      <c r="G379" s="7" t="b">
        <v>0</v>
      </c>
      <c r="H379" s="7" t="b">
        <v>0</v>
      </c>
      <c r="I379" s="7" t="b">
        <v>0</v>
      </c>
      <c r="J379" s="9" t="b">
        <v>0</v>
      </c>
      <c r="K379" s="7">
        <v>5500.0</v>
      </c>
      <c r="L379" s="7">
        <v>0.0</v>
      </c>
      <c r="M379" s="7">
        <v>4524.0</v>
      </c>
      <c r="N379" s="7">
        <v>2891.3</v>
      </c>
      <c r="O379" s="7">
        <v>428.5</v>
      </c>
      <c r="P379" s="7">
        <v>15.51</v>
      </c>
      <c r="Q379" s="7">
        <v>0.992</v>
      </c>
      <c r="R379" s="7">
        <v>0.9995</v>
      </c>
      <c r="S379" s="10">
        <f t="shared" si="2"/>
        <v>5500</v>
      </c>
      <c r="T379" s="10">
        <f t="shared" si="3"/>
        <v>65.17032445</v>
      </c>
      <c r="U379" s="11">
        <f t="shared" si="4"/>
        <v>1.803404529</v>
      </c>
      <c r="V379" s="8">
        <f>0.9*(0.00015*M379*O379*P379+797)+0.1*(43.1*POWER(M379,0.549))</f>
        <v>5214.183516</v>
      </c>
      <c r="W379" s="12">
        <f t="shared" si="5"/>
        <v>4</v>
      </c>
      <c r="X379" s="12">
        <f t="shared" si="6"/>
        <v>26070.91758</v>
      </c>
      <c r="Y379" s="12">
        <f t="shared" si="7"/>
        <v>9.017022647</v>
      </c>
      <c r="Z379" s="8">
        <f t="shared" si="19"/>
        <v>5274.167483</v>
      </c>
      <c r="AA379" s="8">
        <f t="shared" si="78"/>
        <v>4809</v>
      </c>
      <c r="AB379" s="13">
        <f t="shared" si="9"/>
        <v>0.8743636364</v>
      </c>
      <c r="AC379" s="13">
        <f t="shared" si="10"/>
        <v>0.9118026714</v>
      </c>
      <c r="AD379" s="13">
        <f>AA379/vlookup(A379,Max!$A$2:$AP$700,column(Max!$AP$2),false)</f>
        <v>1.414411765</v>
      </c>
      <c r="AE379" s="8">
        <f t="shared" si="11"/>
        <v>846.7451956</v>
      </c>
      <c r="AF379" s="14">
        <f t="shared" si="12"/>
        <v>2.768831174</v>
      </c>
      <c r="AG379" s="14">
        <f t="shared" si="13"/>
        <v>2.002932029</v>
      </c>
      <c r="AH379" s="14">
        <f t="shared" si="14"/>
        <v>1</v>
      </c>
      <c r="AI379" s="14">
        <f t="shared" si="15"/>
        <v>1.024162829</v>
      </c>
      <c r="AJ379" s="15">
        <f t="shared" si="16"/>
        <v>0</v>
      </c>
      <c r="AK379" s="15" t="str">
        <f t="shared" si="17"/>
        <v>  @CONFIG[STME] {
   %cost = 4809
   @cost -= #$../../cost$
  }</v>
      </c>
    </row>
    <row r="380" ht="15.75" customHeight="1">
      <c r="A380" s="16" t="s">
        <v>833</v>
      </c>
      <c r="B380" s="16" t="s">
        <v>833</v>
      </c>
      <c r="C380" s="8">
        <f t="shared" si="1"/>
        <v>110</v>
      </c>
      <c r="D380" s="16">
        <v>1995.0</v>
      </c>
      <c r="E380" s="16"/>
      <c r="F380" s="16" t="b">
        <v>1</v>
      </c>
      <c r="G380" s="16" t="b">
        <v>0</v>
      </c>
      <c r="H380" s="16" t="b">
        <v>1</v>
      </c>
      <c r="I380" s="16" t="b">
        <v>0</v>
      </c>
      <c r="J380" s="9" t="b">
        <v>0</v>
      </c>
      <c r="K380" s="16">
        <v>600.0</v>
      </c>
      <c r="L380" s="16">
        <v>0.0</v>
      </c>
      <c r="M380" s="16">
        <v>52.0</v>
      </c>
      <c r="N380" s="16">
        <v>16.7</v>
      </c>
      <c r="O380" s="16">
        <v>343.0</v>
      </c>
      <c r="P380" s="16">
        <v>10.34</v>
      </c>
      <c r="Q380" s="16">
        <v>0.9995</v>
      </c>
      <c r="R380" s="16">
        <v>0.9995</v>
      </c>
      <c r="S380" s="19">
        <f t="shared" si="2"/>
        <v>600</v>
      </c>
      <c r="T380" s="19">
        <f t="shared" si="3"/>
        <v>32.74857828</v>
      </c>
      <c r="U380" s="20">
        <f t="shared" si="4"/>
        <v>5.406027563</v>
      </c>
      <c r="V380" s="17">
        <f t="shared" ref="V380:V385" si="85">0.2*(8.17*POWER(M380*P380,0.46))+0.8*(0.146*POWER(M380*O380,0.639))</f>
        <v>90.2806603</v>
      </c>
      <c r="W380" s="21">
        <f t="shared" si="5"/>
        <v>4</v>
      </c>
      <c r="X380" s="21">
        <f t="shared" si="6"/>
        <v>451.4033015</v>
      </c>
      <c r="Y380" s="21">
        <f t="shared" si="7"/>
        <v>27.03013781</v>
      </c>
      <c r="Z380" s="8">
        <f t="shared" si="19"/>
        <v>91.99601541</v>
      </c>
      <c r="AA380" s="8">
        <f t="shared" si="78"/>
        <v>110</v>
      </c>
      <c r="AB380" s="13">
        <f t="shared" si="9"/>
        <v>0.1833333333</v>
      </c>
      <c r="AC380" s="13">
        <f t="shared" si="10"/>
        <v>1.195703961</v>
      </c>
      <c r="AD380" s="13">
        <f>AA380/vlookup(A380,Max!$A$2:$AP$700,column(Max!$AP$2),false)</f>
        <v>3.055555556</v>
      </c>
      <c r="AE380" s="8">
        <f t="shared" si="11"/>
        <v>51.47592973</v>
      </c>
      <c r="AF380" s="14">
        <f t="shared" si="12"/>
        <v>1.358382106</v>
      </c>
      <c r="AG380" s="14">
        <f t="shared" si="13"/>
        <v>1.536841662</v>
      </c>
      <c r="AH380" s="14">
        <f t="shared" si="14"/>
        <v>1</v>
      </c>
      <c r="AI380" s="14">
        <f t="shared" si="15"/>
        <v>1.022883106</v>
      </c>
      <c r="AJ380" s="15">
        <f t="shared" si="16"/>
        <v>0</v>
      </c>
      <c r="AK380" s="15" t="str">
        <f t="shared" si="17"/>
        <v>  @CONFIG[XLR132] {
   %cost = 110
   @cost -= #$../../cost$
  }</v>
      </c>
    </row>
    <row r="381" ht="15.75" customHeight="1">
      <c r="A381" s="7" t="s">
        <v>51</v>
      </c>
      <c r="B381" s="7" t="s">
        <v>51</v>
      </c>
      <c r="C381" s="8">
        <f t="shared" si="1"/>
        <v>77</v>
      </c>
      <c r="D381" s="7">
        <v>1996.0</v>
      </c>
      <c r="E381" s="7"/>
      <c r="F381" s="7" t="b">
        <v>0</v>
      </c>
      <c r="G381" s="7" t="b">
        <v>0</v>
      </c>
      <c r="H381" s="7" t="b">
        <v>1</v>
      </c>
      <c r="I381" s="7" t="b">
        <v>0</v>
      </c>
      <c r="J381" s="9" t="b">
        <v>0</v>
      </c>
      <c r="K381" s="7"/>
      <c r="L381" s="7">
        <v>0.0</v>
      </c>
      <c r="M381" s="7">
        <v>111.0</v>
      </c>
      <c r="N381" s="7">
        <v>27.8</v>
      </c>
      <c r="O381" s="7">
        <v>306.0</v>
      </c>
      <c r="P381" s="7">
        <v>1.1</v>
      </c>
      <c r="Q381" s="7">
        <v>0.997581</v>
      </c>
      <c r="R381" s="7">
        <v>0.989063</v>
      </c>
      <c r="S381" s="10">
        <f t="shared" si="2"/>
        <v>0</v>
      </c>
      <c r="T381" s="10">
        <f t="shared" si="3"/>
        <v>25.53883841</v>
      </c>
      <c r="U381" s="11">
        <f t="shared" si="4"/>
        <v>3.837599044</v>
      </c>
      <c r="V381" s="8">
        <f t="shared" si="85"/>
        <v>106.6852534</v>
      </c>
      <c r="W381" s="12">
        <f t="shared" si="5"/>
        <v>1.75</v>
      </c>
      <c r="X381" s="12">
        <f t="shared" si="6"/>
        <v>293.3844469</v>
      </c>
      <c r="Y381" s="12">
        <f t="shared" si="7"/>
        <v>10.55339737</v>
      </c>
      <c r="Z381" s="8">
        <f t="shared" si="19"/>
        <v>107.3968928</v>
      </c>
      <c r="AA381" s="8">
        <f t="shared" si="78"/>
        <v>77</v>
      </c>
      <c r="AB381" s="13" t="str">
        <f t="shared" si="9"/>
        <v>#N/A</v>
      </c>
      <c r="AC381" s="13">
        <f t="shared" si="10"/>
        <v>0.7169667391</v>
      </c>
      <c r="AD381" s="13">
        <f>AA381/vlookup(A381,Max!$A$2:$AP$700,column(Max!$AP$2),false)</f>
        <v>4.052631579</v>
      </c>
      <c r="AE381" s="8">
        <f t="shared" si="11"/>
        <v>81.20590266</v>
      </c>
      <c r="AF381" s="14">
        <f t="shared" si="12"/>
        <v>1.02792664</v>
      </c>
      <c r="AG381" s="14">
        <f t="shared" si="13"/>
        <v>0.9282722298</v>
      </c>
      <c r="AH381" s="14">
        <f t="shared" si="14"/>
        <v>1</v>
      </c>
      <c r="AI381" s="14">
        <f t="shared" si="15"/>
        <v>0.9916132583</v>
      </c>
      <c r="AJ381" s="15">
        <f t="shared" si="16"/>
        <v>0</v>
      </c>
      <c r="AK381" s="15" t="str">
        <f t="shared" si="17"/>
        <v>  @CONFIG[Aestus] {
   %cost = 77
   @cost -= #$../../cost$
  }</v>
      </c>
    </row>
    <row r="382" ht="15.75" customHeight="1">
      <c r="A382" s="16" t="s">
        <v>246</v>
      </c>
      <c r="B382" s="16" t="s">
        <v>247</v>
      </c>
      <c r="C382" s="8">
        <f t="shared" si="1"/>
        <v>13</v>
      </c>
      <c r="D382" s="16">
        <v>1996.0</v>
      </c>
      <c r="E382" s="16"/>
      <c r="F382" s="16" t="b">
        <v>0</v>
      </c>
      <c r="G382" s="16" t="b">
        <v>0</v>
      </c>
      <c r="H382" s="16" t="b">
        <v>1</v>
      </c>
      <c r="I382" s="16" t="b">
        <v>0</v>
      </c>
      <c r="J382" s="9" t="b">
        <v>0</v>
      </c>
      <c r="K382" s="16">
        <v>100.0</v>
      </c>
      <c r="L382" s="16">
        <v>0.0</v>
      </c>
      <c r="M382" s="16">
        <v>4.5</v>
      </c>
      <c r="N382" s="16">
        <v>0.635</v>
      </c>
      <c r="O382" s="16">
        <v>317.0</v>
      </c>
      <c r="P382" s="16">
        <v>1.2</v>
      </c>
      <c r="Q382" s="16">
        <v>0.999362</v>
      </c>
      <c r="R382" s="16">
        <v>0.996875</v>
      </c>
      <c r="S382" s="19">
        <f t="shared" si="2"/>
        <v>100</v>
      </c>
      <c r="T382" s="19">
        <f t="shared" si="3"/>
        <v>14.38932874</v>
      </c>
      <c r="U382" s="20">
        <f t="shared" si="4"/>
        <v>24.6551092</v>
      </c>
      <c r="V382" s="17">
        <f t="shared" si="85"/>
        <v>15.65599434</v>
      </c>
      <c r="W382" s="21">
        <f t="shared" si="5"/>
        <v>1.75</v>
      </c>
      <c r="X382" s="21">
        <f t="shared" si="6"/>
        <v>43.05398444</v>
      </c>
      <c r="Y382" s="21">
        <f t="shared" si="7"/>
        <v>67.8015503</v>
      </c>
      <c r="Z382" s="8">
        <f t="shared" si="19"/>
        <v>15.91023194</v>
      </c>
      <c r="AA382" s="8">
        <f t="shared" si="78"/>
        <v>13</v>
      </c>
      <c r="AB382" s="13">
        <f t="shared" si="9"/>
        <v>0.13</v>
      </c>
      <c r="AC382" s="13">
        <f t="shared" si="10"/>
        <v>0.8170842544</v>
      </c>
      <c r="AD382" s="13">
        <f>AA382/vlookup(A382,Max!$A$2:$AP$700,column(Max!$AP$2),false)</f>
        <v>1.688311688</v>
      </c>
      <c r="AE382" s="8">
        <f t="shared" si="11"/>
        <v>12.16513441</v>
      </c>
      <c r="AF382" s="14">
        <f t="shared" si="12"/>
        <v>1.123541165</v>
      </c>
      <c r="AG382" s="14">
        <f t="shared" si="13"/>
        <v>0.946624596</v>
      </c>
      <c r="AH382" s="14">
        <f t="shared" si="14"/>
        <v>1</v>
      </c>
      <c r="AI382" s="14">
        <f t="shared" si="15"/>
        <v>1.015829579</v>
      </c>
      <c r="AJ382" s="15">
        <f t="shared" si="16"/>
        <v>0</v>
      </c>
      <c r="AK382" s="15" t="str">
        <f t="shared" si="17"/>
        <v>  @CONFIG[LEROS-1b] {
   %cost = 13
   @cost -= #$../../cost$
  }</v>
      </c>
    </row>
    <row r="383" ht="15.75" customHeight="1">
      <c r="A383" s="7" t="s">
        <v>248</v>
      </c>
      <c r="B383" s="7" t="s">
        <v>247</v>
      </c>
      <c r="C383" s="8">
        <f t="shared" si="1"/>
        <v>0</v>
      </c>
      <c r="D383" s="7">
        <v>1996.0</v>
      </c>
      <c r="E383" s="7"/>
      <c r="F383" s="7" t="b">
        <v>0</v>
      </c>
      <c r="G383" s="7" t="b">
        <v>0</v>
      </c>
      <c r="H383" s="7" t="b">
        <v>1</v>
      </c>
      <c r="I383" s="7" t="b">
        <v>0</v>
      </c>
      <c r="J383" s="9" t="b">
        <v>0</v>
      </c>
      <c r="K383" s="7">
        <v>100.0</v>
      </c>
      <c r="L383" s="7">
        <v>0.0</v>
      </c>
      <c r="M383" s="7">
        <v>4.3</v>
      </c>
      <c r="N383" s="7">
        <v>0.458</v>
      </c>
      <c r="O383" s="7">
        <v>324.0</v>
      </c>
      <c r="P383" s="7">
        <v>1.13</v>
      </c>
      <c r="Q383" s="7">
        <v>0.999348</v>
      </c>
      <c r="R383" s="7">
        <v>0.996809</v>
      </c>
      <c r="S383" s="10">
        <f t="shared" si="2"/>
        <v>100</v>
      </c>
      <c r="T383" s="10">
        <f t="shared" si="3"/>
        <v>10.86116335</v>
      </c>
      <c r="U383" s="11">
        <f t="shared" si="4"/>
        <v>33.42007084</v>
      </c>
      <c r="V383" s="8">
        <f t="shared" si="85"/>
        <v>15.30639244</v>
      </c>
      <c r="W383" s="12">
        <f t="shared" si="5"/>
        <v>1.75</v>
      </c>
      <c r="X383" s="12">
        <f t="shared" si="6"/>
        <v>42.09257922</v>
      </c>
      <c r="Y383" s="12">
        <f t="shared" si="7"/>
        <v>91.9051948</v>
      </c>
      <c r="Z383" s="8">
        <f t="shared" si="19"/>
        <v>15.55372967</v>
      </c>
      <c r="AA383" s="8">
        <f t="shared" si="78"/>
        <v>13</v>
      </c>
      <c r="AB383" s="13">
        <f t="shared" si="9"/>
        <v>0.13</v>
      </c>
      <c r="AC383" s="13">
        <f t="shared" si="10"/>
        <v>0.8358123919</v>
      </c>
      <c r="AD383" s="13">
        <f>AA383/vlookup(A383,Max!$A$2:$AP$700,column(Max!$AP$2),false)</f>
        <v>1.666666667</v>
      </c>
      <c r="AE383" s="8">
        <f t="shared" si="11"/>
        <v>11.84875695</v>
      </c>
      <c r="AF383" s="14">
        <f t="shared" si="12"/>
        <v>1.180851571</v>
      </c>
      <c r="AG383" s="14">
        <f t="shared" si="13"/>
        <v>0.9339092005</v>
      </c>
      <c r="AH383" s="14">
        <f t="shared" si="14"/>
        <v>1</v>
      </c>
      <c r="AI383" s="14">
        <f t="shared" si="15"/>
        <v>1.01562588</v>
      </c>
      <c r="AJ383" s="27">
        <f t="shared" si="16"/>
        <v>0</v>
      </c>
      <c r="AK383" s="15" t="str">
        <f t="shared" si="17"/>
        <v>  @CONFIG[LEROS-1c] {
   %cost = 13
   @cost -= #$../../cost$
  }</v>
      </c>
    </row>
    <row r="384" ht="15.75" customHeight="1">
      <c r="A384" s="16" t="s">
        <v>249</v>
      </c>
      <c r="B384" s="16" t="s">
        <v>247</v>
      </c>
      <c r="C384" s="8">
        <f t="shared" si="1"/>
        <v>1</v>
      </c>
      <c r="D384" s="16">
        <v>1996.0</v>
      </c>
      <c r="E384" s="16"/>
      <c r="F384" s="16" t="b">
        <v>0</v>
      </c>
      <c r="G384" s="16" t="b">
        <v>0</v>
      </c>
      <c r="H384" s="16" t="b">
        <v>1</v>
      </c>
      <c r="I384" s="16" t="b">
        <v>0</v>
      </c>
      <c r="J384" s="9" t="b">
        <v>0</v>
      </c>
      <c r="K384" s="16">
        <v>100.0</v>
      </c>
      <c r="L384" s="16">
        <v>0.0</v>
      </c>
      <c r="M384" s="16">
        <v>5.0</v>
      </c>
      <c r="N384" s="16">
        <v>0.42</v>
      </c>
      <c r="O384" s="16">
        <v>319.5</v>
      </c>
      <c r="P384" s="16">
        <v>1.03</v>
      </c>
      <c r="Q384" s="16">
        <v>0.999348</v>
      </c>
      <c r="R384" s="16">
        <v>0.996809</v>
      </c>
      <c r="S384" s="19">
        <f t="shared" si="2"/>
        <v>100</v>
      </c>
      <c r="T384" s="19">
        <f t="shared" si="3"/>
        <v>8.565616164</v>
      </c>
      <c r="U384" s="20">
        <f t="shared" si="4"/>
        <v>39.25654866</v>
      </c>
      <c r="V384" s="17">
        <f t="shared" si="85"/>
        <v>16.48775044</v>
      </c>
      <c r="W384" s="21">
        <f t="shared" si="5"/>
        <v>1.75</v>
      </c>
      <c r="X384" s="21">
        <f t="shared" si="6"/>
        <v>45.3413137</v>
      </c>
      <c r="Y384" s="21">
        <f t="shared" si="7"/>
        <v>107.9555088</v>
      </c>
      <c r="Z384" s="8">
        <f t="shared" si="19"/>
        <v>16.75417732</v>
      </c>
      <c r="AA384" s="8">
        <f t="shared" si="78"/>
        <v>14</v>
      </c>
      <c r="AB384" s="13">
        <f t="shared" si="9"/>
        <v>0.14</v>
      </c>
      <c r="AC384" s="13">
        <f t="shared" si="10"/>
        <v>0.8356125001</v>
      </c>
      <c r="AD384" s="13">
        <f>AA384/vlookup(A384,Max!$A$2:$AP$700,column(Max!$AP$2),false)</f>
        <v>2.153846154</v>
      </c>
      <c r="AE384" s="8">
        <f t="shared" si="11"/>
        <v>12.93205684</v>
      </c>
      <c r="AF384" s="14">
        <f t="shared" si="12"/>
        <v>1.1435487</v>
      </c>
      <c r="AG384" s="14">
        <f t="shared" si="13"/>
        <v>0.9146403984</v>
      </c>
      <c r="AH384" s="14">
        <f t="shared" si="14"/>
        <v>1</v>
      </c>
      <c r="AI384" s="14">
        <f t="shared" si="15"/>
        <v>1.01562588</v>
      </c>
      <c r="AJ384" s="27">
        <f t="shared" si="16"/>
        <v>1</v>
      </c>
      <c r="AK384" s="15" t="str">
        <f t="shared" si="17"/>
        <v>  @CONFIG[LEROS-2b] {
   %cost = 14
   @cost -= #$../../cost$
  }</v>
      </c>
    </row>
    <row r="385" ht="15.75" customHeight="1">
      <c r="A385" s="16" t="s">
        <v>773</v>
      </c>
      <c r="B385" s="16" t="s">
        <v>773</v>
      </c>
      <c r="C385" s="8">
        <f t="shared" si="1"/>
        <v>3024</v>
      </c>
      <c r="D385" s="16">
        <v>1996.0</v>
      </c>
      <c r="E385" s="16"/>
      <c r="F385" s="16" t="b">
        <v>1</v>
      </c>
      <c r="G385" s="16" t="b">
        <v>0</v>
      </c>
      <c r="H385" s="16" t="b">
        <v>0</v>
      </c>
      <c r="I385" s="16" t="b">
        <v>0</v>
      </c>
      <c r="J385" s="9" t="b">
        <v>0</v>
      </c>
      <c r="K385" s="16">
        <v>1800.0</v>
      </c>
      <c r="L385" s="16">
        <v>0.0</v>
      </c>
      <c r="M385" s="16">
        <v>10958.0</v>
      </c>
      <c r="N385" s="16">
        <v>8896.4</v>
      </c>
      <c r="O385" s="16">
        <v>316.0</v>
      </c>
      <c r="P385" s="16">
        <v>13.79</v>
      </c>
      <c r="Q385" s="16">
        <v>0.9971</v>
      </c>
      <c r="R385" s="16">
        <v>0.9971</v>
      </c>
      <c r="S385" s="19">
        <f t="shared" si="2"/>
        <v>1800</v>
      </c>
      <c r="T385" s="19">
        <f t="shared" si="3"/>
        <v>82.78703496</v>
      </c>
      <c r="U385" s="20">
        <f t="shared" si="4"/>
        <v>0.2424260042</v>
      </c>
      <c r="V385" s="17">
        <f t="shared" si="85"/>
        <v>2156.718704</v>
      </c>
      <c r="W385" s="21">
        <f t="shared" si="5"/>
        <v>4</v>
      </c>
      <c r="X385" s="21">
        <f t="shared" si="6"/>
        <v>10783.59352</v>
      </c>
      <c r="Y385" s="21">
        <f t="shared" si="7"/>
        <v>1.212130021</v>
      </c>
      <c r="Z385" s="8">
        <f t="shared" si="19"/>
        <v>2187.362248</v>
      </c>
      <c r="AA385" s="8">
        <f t="shared" si="78"/>
        <v>3024</v>
      </c>
      <c r="AB385" s="13">
        <f t="shared" si="9"/>
        <v>1.68</v>
      </c>
      <c r="AC385" s="13">
        <f t="shared" si="10"/>
        <v>1.382487059</v>
      </c>
      <c r="AD385" s="13">
        <f>AA385/vlookup(A385,Max!$A$2:$AP$700,column(Max!$AP$2),false)</f>
        <v>1.163076923</v>
      </c>
      <c r="AE385" s="8">
        <f t="shared" si="11"/>
        <v>1377.077442</v>
      </c>
      <c r="AF385" s="14">
        <f t="shared" si="12"/>
        <v>1.115677507</v>
      </c>
      <c r="AG385" s="14">
        <f t="shared" si="13"/>
        <v>1.933534618</v>
      </c>
      <c r="AH385" s="14">
        <f t="shared" si="14"/>
        <v>1</v>
      </c>
      <c r="AI385" s="14">
        <f t="shared" si="15"/>
        <v>1.018025846</v>
      </c>
      <c r="AJ385" s="15">
        <f t="shared" si="16"/>
        <v>0</v>
      </c>
      <c r="AK385" s="15" t="str">
        <f t="shared" si="17"/>
        <v>  @CONFIG[STBE] {
   %cost = 3024
   @cost -= #$../../cost$
  }</v>
      </c>
    </row>
    <row r="386" ht="15.75" customHeight="1">
      <c r="A386" s="16" t="s">
        <v>817</v>
      </c>
      <c r="B386" s="16" t="s">
        <v>817</v>
      </c>
      <c r="C386" s="8">
        <f t="shared" si="1"/>
        <v>2095</v>
      </c>
      <c r="D386" s="16">
        <v>1996.0</v>
      </c>
      <c r="E386" s="16" t="b">
        <v>1</v>
      </c>
      <c r="F386" s="16" t="b">
        <v>1</v>
      </c>
      <c r="G386" s="16" t="b">
        <v>0</v>
      </c>
      <c r="H386" s="16" t="b">
        <v>0</v>
      </c>
      <c r="I386" s="16" t="b">
        <v>0</v>
      </c>
      <c r="J386" s="9" t="b">
        <v>0</v>
      </c>
      <c r="K386" s="16">
        <v>1600.0</v>
      </c>
      <c r="L386" s="16">
        <v>0.0</v>
      </c>
      <c r="M386" s="16">
        <v>1296.0</v>
      </c>
      <c r="N386" s="16">
        <v>1145.0</v>
      </c>
      <c r="O386" s="16">
        <v>431.5</v>
      </c>
      <c r="P386" s="16">
        <v>11.0</v>
      </c>
      <c r="Q386" s="16">
        <v>0.986538</v>
      </c>
      <c r="R386" s="16">
        <v>0.986538</v>
      </c>
      <c r="S386" s="19">
        <f t="shared" si="2"/>
        <v>1600</v>
      </c>
      <c r="T386" s="19">
        <f t="shared" si="3"/>
        <v>90.09066824</v>
      </c>
      <c r="U386" s="20">
        <f t="shared" si="4"/>
        <v>1.54427179</v>
      </c>
      <c r="V386" s="17">
        <f>0.9*(0.00015*M386*O386*P386+797)+0.1*(43.1*POWER(M386,0.549))</f>
        <v>1768.1912</v>
      </c>
      <c r="W386" s="21">
        <f t="shared" si="5"/>
        <v>4</v>
      </c>
      <c r="X386" s="21">
        <f t="shared" si="6"/>
        <v>8840.956</v>
      </c>
      <c r="Y386" s="21">
        <f t="shared" si="7"/>
        <v>7.721358952</v>
      </c>
      <c r="Z386" s="8">
        <f t="shared" si="19"/>
        <v>1756.268685</v>
      </c>
      <c r="AA386" s="8">
        <f t="shared" si="78"/>
        <v>2095</v>
      </c>
      <c r="AB386" s="13">
        <f t="shared" si="9"/>
        <v>1.309375</v>
      </c>
      <c r="AC386" s="13">
        <f t="shared" si="10"/>
        <v>1.192869871</v>
      </c>
      <c r="AD386" s="13">
        <f>AA386/vlookup(A386,Max!$A$2:$AP$700,column(Max!$AP$2),false)</f>
        <v>1.745833333</v>
      </c>
      <c r="AE386" s="8">
        <f t="shared" si="11"/>
        <v>411.1422075</v>
      </c>
      <c r="AF386" s="14">
        <f t="shared" si="12"/>
        <v>2.845177018</v>
      </c>
      <c r="AG386" s="14">
        <f t="shared" si="13"/>
        <v>1.806760044</v>
      </c>
      <c r="AH386" s="14">
        <f t="shared" si="14"/>
        <v>1</v>
      </c>
      <c r="AI386" s="14">
        <f t="shared" si="15"/>
        <v>0.9912804914</v>
      </c>
      <c r="AJ386" s="15">
        <f t="shared" si="16"/>
        <v>0</v>
      </c>
      <c r="AK386" s="15" t="str">
        <f t="shared" si="17"/>
        <v>  @CONFIG[Vulcain] {
   %cost = 2095
   @cost -= #$../../cost$
  }</v>
      </c>
    </row>
    <row r="387" ht="15.75" customHeight="1">
      <c r="A387" s="7" t="s">
        <v>1046</v>
      </c>
      <c r="B387" s="7" t="s">
        <v>93</v>
      </c>
      <c r="C387" s="8">
        <f t="shared" si="1"/>
        <v>390</v>
      </c>
      <c r="D387" s="7">
        <v>1997.0</v>
      </c>
      <c r="E387" s="7" t="b">
        <v>1</v>
      </c>
      <c r="F387" s="7" t="b">
        <v>1</v>
      </c>
      <c r="G387" s="7" t="b">
        <v>0</v>
      </c>
      <c r="H387" s="7" t="b">
        <v>1</v>
      </c>
      <c r="I387" s="7" t="b">
        <v>0</v>
      </c>
      <c r="J387" s="9" t="b">
        <v>0</v>
      </c>
      <c r="K387" s="7">
        <v>400.0</v>
      </c>
      <c r="L387" s="7">
        <v>250.0</v>
      </c>
      <c r="M387" s="7">
        <v>40.0</v>
      </c>
      <c r="N387" s="7">
        <v>13.3</v>
      </c>
      <c r="O387" s="7">
        <v>483.0</v>
      </c>
      <c r="P387" s="7">
        <v>13.78</v>
      </c>
      <c r="Q387" s="7">
        <v>0.999414</v>
      </c>
      <c r="R387" s="7">
        <v>0.999123</v>
      </c>
      <c r="S387" s="10">
        <f t="shared" si="2"/>
        <v>650</v>
      </c>
      <c r="T387" s="10">
        <f t="shared" si="3"/>
        <v>33.90556398</v>
      </c>
      <c r="U387" s="11">
        <f t="shared" si="4"/>
        <v>24.73684211</v>
      </c>
      <c r="V387" s="8">
        <v>329.0</v>
      </c>
      <c r="W387" s="12">
        <f t="shared" si="5"/>
        <v>4</v>
      </c>
      <c r="X387" s="12">
        <f t="shared" si="6"/>
        <v>1645</v>
      </c>
      <c r="Y387" s="12">
        <f t="shared" si="7"/>
        <v>123.6842105</v>
      </c>
      <c r="Z387" s="8">
        <f t="shared" si="19"/>
        <v>335.0988421</v>
      </c>
      <c r="AA387" s="8">
        <f t="shared" si="78"/>
        <v>528</v>
      </c>
      <c r="AB387" s="13">
        <f t="shared" si="9"/>
        <v>0.8123076923</v>
      </c>
      <c r="AC387" s="13">
        <f t="shared" si="10"/>
        <v>1.575654505</v>
      </c>
      <c r="AD387" s="13">
        <f>AA387/vlookup(A387,Max!$A$2:$AP$700,column(Max!$AP$2),false)</f>
        <v>2.4</v>
      </c>
      <c r="AE387" s="8">
        <f t="shared" si="11"/>
        <v>67.98280219</v>
      </c>
      <c r="AF387" s="14">
        <f t="shared" si="12"/>
        <v>4.63424853</v>
      </c>
      <c r="AG387" s="14">
        <f t="shared" si="13"/>
        <v>1.639430755</v>
      </c>
      <c r="AH387" s="14">
        <f t="shared" si="14"/>
        <v>1</v>
      </c>
      <c r="AI387" s="14">
        <f t="shared" si="15"/>
        <v>1.021699021</v>
      </c>
      <c r="AJ387" s="27">
        <f t="shared" si="16"/>
        <v>390</v>
      </c>
      <c r="AK387" s="15" t="str">
        <f t="shared" si="17"/>
        <v>  @CONFIG[AJ23-154] {
   %cost = 528
   @cost -= #$../../cost$
  }</v>
      </c>
    </row>
    <row r="388" ht="15.75" customHeight="1">
      <c r="A388" s="16" t="s">
        <v>561</v>
      </c>
      <c r="B388" s="16" t="s">
        <v>559</v>
      </c>
      <c r="C388" s="8">
        <f t="shared" si="1"/>
        <v>803</v>
      </c>
      <c r="D388" s="16">
        <v>1997.0</v>
      </c>
      <c r="E388" s="16"/>
      <c r="F388" s="16" t="b">
        <v>1</v>
      </c>
      <c r="G388" s="16" t="b">
        <v>0</v>
      </c>
      <c r="H388" s="16" t="b">
        <v>0</v>
      </c>
      <c r="I388" s="16" t="b">
        <v>0</v>
      </c>
      <c r="J388" s="9" t="b">
        <v>0</v>
      </c>
      <c r="K388" s="16">
        <v>2004.0</v>
      </c>
      <c r="L388" s="16">
        <v>0.0</v>
      </c>
      <c r="M388" s="16">
        <v>9750.0</v>
      </c>
      <c r="N388" s="16">
        <v>8316.0</v>
      </c>
      <c r="O388" s="16">
        <v>337.4</v>
      </c>
      <c r="P388" s="16">
        <v>25.69</v>
      </c>
      <c r="Q388" s="16">
        <v>0.996939</v>
      </c>
      <c r="R388" s="16">
        <v>0.996939</v>
      </c>
      <c r="S388" s="19">
        <f t="shared" si="2"/>
        <v>2004</v>
      </c>
      <c r="T388" s="19">
        <f t="shared" si="3"/>
        <v>86.97394874</v>
      </c>
      <c r="U388" s="20">
        <f t="shared" si="4"/>
        <v>0.2649197251</v>
      </c>
      <c r="V388" s="17">
        <f>0.2*(8.17*POWER(M388*P388,0.46))+0.8*(0.146*POWER(M388*O388,0.639))</f>
        <v>2203.072434</v>
      </c>
      <c r="W388" s="21">
        <f t="shared" si="5"/>
        <v>4</v>
      </c>
      <c r="X388" s="21">
        <f t="shared" si="6"/>
        <v>11015.36217</v>
      </c>
      <c r="Y388" s="21">
        <f t="shared" si="7"/>
        <v>1.324598626</v>
      </c>
      <c r="Z388" s="8">
        <f t="shared" si="19"/>
        <v>2233.667316</v>
      </c>
      <c r="AA388" s="8">
        <f t="shared" si="78"/>
        <v>3953</v>
      </c>
      <c r="AB388" s="13">
        <f t="shared" si="9"/>
        <v>1.97255489</v>
      </c>
      <c r="AC388" s="13">
        <f t="shared" si="10"/>
        <v>1.769735346</v>
      </c>
      <c r="AD388" s="13">
        <f>AA388/vlookup(A388,Max!$A$2:$AP$700,column(Max!$AP$2),false)</f>
        <v>1.5812</v>
      </c>
      <c r="AE388" s="8">
        <f t="shared" si="11"/>
        <v>1279.875552</v>
      </c>
      <c r="AF388" s="14">
        <f t="shared" si="12"/>
        <v>1.302475573</v>
      </c>
      <c r="AG388" s="14">
        <f t="shared" si="13"/>
        <v>2.330300366</v>
      </c>
      <c r="AH388" s="14">
        <f t="shared" si="14"/>
        <v>1</v>
      </c>
      <c r="AI388" s="14">
        <f t="shared" si="15"/>
        <v>1.017614949</v>
      </c>
      <c r="AJ388" s="27">
        <f t="shared" si="16"/>
        <v>803</v>
      </c>
      <c r="AK388" s="15" t="str">
        <f t="shared" si="17"/>
        <v>  @CONFIG[RD-172-173] {
   %cost = 3953
   @cost -= #$../../cost$
  }</v>
      </c>
    </row>
    <row r="389" ht="15.75" customHeight="1">
      <c r="A389" s="16" t="s">
        <v>762</v>
      </c>
      <c r="B389" s="16" t="s">
        <v>752</v>
      </c>
      <c r="C389" s="8">
        <f t="shared" si="1"/>
        <v>54</v>
      </c>
      <c r="D389" s="16">
        <v>1997.0</v>
      </c>
      <c r="E389" s="16" t="b">
        <v>1</v>
      </c>
      <c r="F389" s="16" t="b">
        <v>1</v>
      </c>
      <c r="G389" s="16" t="b">
        <v>0</v>
      </c>
      <c r="H389" s="16" t="b">
        <v>0</v>
      </c>
      <c r="I389" s="16" t="b">
        <v>0</v>
      </c>
      <c r="J389" s="9" t="b">
        <v>0</v>
      </c>
      <c r="K389" s="16">
        <v>6077.0</v>
      </c>
      <c r="L389" s="16">
        <v>0.0</v>
      </c>
      <c r="M389" s="16">
        <v>3753.0</v>
      </c>
      <c r="N389" s="16">
        <v>2278.1</v>
      </c>
      <c r="O389" s="16">
        <v>452.3</v>
      </c>
      <c r="P389" s="16">
        <v>20.74</v>
      </c>
      <c r="Q389" s="16">
        <v>0.996939</v>
      </c>
      <c r="R389" s="16">
        <v>0.992857</v>
      </c>
      <c r="S389" s="19">
        <f t="shared" si="2"/>
        <v>6077</v>
      </c>
      <c r="T389" s="19">
        <f t="shared" si="3"/>
        <v>61.8975619</v>
      </c>
      <c r="U389" s="20">
        <f t="shared" si="4"/>
        <v>2.57463424</v>
      </c>
      <c r="V389" s="17">
        <f t="shared" ref="V389:V396" si="86">0.9*(0.00015*M389*O389*P389+797)+0.1*(43.1*POWER(M389,0.549))</f>
        <v>5865.274263</v>
      </c>
      <c r="W389" s="21">
        <f t="shared" si="5"/>
        <v>4</v>
      </c>
      <c r="X389" s="21">
        <f t="shared" si="6"/>
        <v>29326.37132</v>
      </c>
      <c r="Y389" s="21">
        <f t="shared" si="7"/>
        <v>12.8731712</v>
      </c>
      <c r="Z389" s="8">
        <f t="shared" si="19"/>
        <v>5922.858732</v>
      </c>
      <c r="AA389" s="8">
        <f t="shared" si="78"/>
        <v>5758</v>
      </c>
      <c r="AB389" s="13">
        <f t="shared" si="9"/>
        <v>0.9475069936</v>
      </c>
      <c r="AC389" s="13">
        <f t="shared" si="10"/>
        <v>0.9721656822</v>
      </c>
      <c r="AD389" s="13">
        <f>AA389/vlookup(A389,Max!$A$2:$AP$700,column(Max!$AP$2),false)</f>
        <v>1.693529412</v>
      </c>
      <c r="AE389" s="8">
        <f t="shared" si="11"/>
        <v>758.4931164</v>
      </c>
      <c r="AF389" s="14">
        <f t="shared" si="12"/>
        <v>3.448657097</v>
      </c>
      <c r="AG389" s="14">
        <f t="shared" si="13"/>
        <v>2.185371614</v>
      </c>
      <c r="AH389" s="14">
        <f t="shared" si="14"/>
        <v>1</v>
      </c>
      <c r="AI389" s="14">
        <f t="shared" si="15"/>
        <v>1.007230269</v>
      </c>
      <c r="AJ389" s="27">
        <f t="shared" si="16"/>
        <v>54</v>
      </c>
      <c r="AK389" s="15" t="str">
        <f t="shared" si="17"/>
        <v>  @CONFIG[RS-25C] {
   %cost = 5758
   @cost -= #$../../cost$
  }</v>
      </c>
    </row>
    <row r="390" ht="15.75" customHeight="1">
      <c r="A390" s="7" t="s">
        <v>1047</v>
      </c>
      <c r="B390" s="7" t="s">
        <v>752</v>
      </c>
      <c r="C390" s="8">
        <f t="shared" si="1"/>
        <v>1422</v>
      </c>
      <c r="D390" s="7">
        <v>1997.0</v>
      </c>
      <c r="E390" s="7" t="b">
        <v>1</v>
      </c>
      <c r="F390" s="7" t="b">
        <v>1</v>
      </c>
      <c r="G390" s="7" t="b">
        <v>0</v>
      </c>
      <c r="H390" s="7" t="b">
        <v>0</v>
      </c>
      <c r="I390" s="7" t="b">
        <v>0</v>
      </c>
      <c r="J390" s="9" t="b">
        <v>0</v>
      </c>
      <c r="K390" s="7">
        <v>6077.0</v>
      </c>
      <c r="L390" s="7">
        <v>0.0</v>
      </c>
      <c r="M390" s="7">
        <v>4686.0</v>
      </c>
      <c r="N390" s="7">
        <v>2321.9</v>
      </c>
      <c r="O390" s="7">
        <v>461.0</v>
      </c>
      <c r="P390" s="7">
        <v>20.74</v>
      </c>
      <c r="Q390" s="7">
        <v>0.996939</v>
      </c>
      <c r="R390" s="7">
        <v>0.992857</v>
      </c>
      <c r="S390" s="10">
        <f t="shared" si="2"/>
        <v>6077</v>
      </c>
      <c r="T390" s="10">
        <f t="shared" si="3"/>
        <v>50.52665531</v>
      </c>
      <c r="U390" s="11">
        <f t="shared" si="4"/>
        <v>3.106161751</v>
      </c>
      <c r="V390" s="8">
        <f t="shared" si="86"/>
        <v>7212.19697</v>
      </c>
      <c r="W390" s="12">
        <f t="shared" si="5"/>
        <v>4</v>
      </c>
      <c r="X390" s="12">
        <f t="shared" si="6"/>
        <v>36060.98485</v>
      </c>
      <c r="Y390" s="12">
        <f t="shared" si="7"/>
        <v>15.53080876</v>
      </c>
      <c r="Z390" s="8">
        <f t="shared" si="19"/>
        <v>7283.005345</v>
      </c>
      <c r="AA390" s="8">
        <f t="shared" si="78"/>
        <v>7126</v>
      </c>
      <c r="AB390" s="13">
        <f t="shared" si="9"/>
        <v>1.172618068</v>
      </c>
      <c r="AC390" s="13">
        <f t="shared" si="10"/>
        <v>0.9784422313</v>
      </c>
      <c r="AD390" s="13">
        <f>AA390/vlookup(A390,Max!$A$2:$AP$700,column(Max!$AP$2),false)</f>
        <v>1.73804878</v>
      </c>
      <c r="AE390" s="8">
        <f t="shared" si="11"/>
        <v>864.5408102</v>
      </c>
      <c r="AF390" s="14">
        <f t="shared" si="12"/>
        <v>3.744738719</v>
      </c>
      <c r="AG390" s="14">
        <f t="shared" si="13"/>
        <v>2.185371614</v>
      </c>
      <c r="AH390" s="14">
        <f t="shared" si="14"/>
        <v>1</v>
      </c>
      <c r="AI390" s="14">
        <f t="shared" si="15"/>
        <v>1.007230269</v>
      </c>
      <c r="AJ390" s="27">
        <f t="shared" si="16"/>
        <v>1422</v>
      </c>
      <c r="AK390" s="15" t="str">
        <f t="shared" si="17"/>
        <v>  @CONFIG[RS-25C-150] {
   %cost = 7126
   @cost -= #$../../cost$
  }</v>
      </c>
    </row>
    <row r="391" ht="15.75" customHeight="1">
      <c r="A391" s="16" t="s">
        <v>1048</v>
      </c>
      <c r="B391" s="16" t="s">
        <v>752</v>
      </c>
      <c r="C391" s="8">
        <f t="shared" si="1"/>
        <v>-600</v>
      </c>
      <c r="D391" s="16">
        <v>1997.0</v>
      </c>
      <c r="E391" s="16" t="b">
        <v>1</v>
      </c>
      <c r="F391" s="16" t="b">
        <v>1</v>
      </c>
      <c r="G391" s="16" t="b">
        <v>0</v>
      </c>
      <c r="H391" s="16" t="b">
        <v>0</v>
      </c>
      <c r="I391" s="16" t="b">
        <v>0</v>
      </c>
      <c r="J391" s="9" t="b">
        <v>0</v>
      </c>
      <c r="K391" s="16">
        <v>6077.0</v>
      </c>
      <c r="L391" s="16">
        <v>0.0</v>
      </c>
      <c r="M391" s="16">
        <v>3589.0</v>
      </c>
      <c r="N391" s="16">
        <v>2227.2</v>
      </c>
      <c r="O391" s="16">
        <v>442.2</v>
      </c>
      <c r="P391" s="16">
        <v>20.74</v>
      </c>
      <c r="Q391" s="16">
        <v>0.996939</v>
      </c>
      <c r="R391" s="16">
        <v>0.992857</v>
      </c>
      <c r="S391" s="19">
        <f t="shared" si="2"/>
        <v>6077</v>
      </c>
      <c r="T391" s="19">
        <f t="shared" si="3"/>
        <v>63.2797978</v>
      </c>
      <c r="U391" s="20">
        <f t="shared" si="4"/>
        <v>2.490353758</v>
      </c>
      <c r="V391" s="17">
        <f t="shared" si="86"/>
        <v>5546.51589</v>
      </c>
      <c r="W391" s="21">
        <f t="shared" si="5"/>
        <v>4</v>
      </c>
      <c r="X391" s="21">
        <f t="shared" si="6"/>
        <v>27732.57945</v>
      </c>
      <c r="Y391" s="21">
        <f t="shared" si="7"/>
        <v>12.45176879</v>
      </c>
      <c r="Z391" s="8">
        <f t="shared" si="19"/>
        <v>5600.970833</v>
      </c>
      <c r="AA391" s="8">
        <f t="shared" si="78"/>
        <v>5104</v>
      </c>
      <c r="AB391" s="13">
        <f t="shared" si="9"/>
        <v>0.8398881027</v>
      </c>
      <c r="AC391" s="13">
        <f t="shared" si="10"/>
        <v>0.9112705908</v>
      </c>
      <c r="AD391" s="13">
        <f>AA391/vlookup(A391,Max!$A$2:$AP$700,column(Max!$AP$2),false)</f>
        <v>1.458285714</v>
      </c>
      <c r="AE391" s="8">
        <f t="shared" si="11"/>
        <v>738.8619639</v>
      </c>
      <c r="AF391" s="14">
        <f t="shared" si="12"/>
        <v>3.138561055</v>
      </c>
      <c r="AG391" s="14">
        <f t="shared" si="13"/>
        <v>2.185371614</v>
      </c>
      <c r="AH391" s="14">
        <f t="shared" si="14"/>
        <v>1</v>
      </c>
      <c r="AI391" s="14">
        <f t="shared" si="15"/>
        <v>1.007230269</v>
      </c>
      <c r="AJ391" s="27">
        <f t="shared" si="16"/>
        <v>-600</v>
      </c>
      <c r="AK391" s="15" t="str">
        <f t="shared" si="17"/>
        <v>  @CONFIG[RS-25C-35] {
   %cost = 5104
   @cost -= #$../../cost$
  }</v>
      </c>
    </row>
    <row r="392" ht="15.75" customHeight="1">
      <c r="A392" s="7" t="s">
        <v>1049</v>
      </c>
      <c r="B392" s="7" t="s">
        <v>752</v>
      </c>
      <c r="C392" s="8">
        <f t="shared" si="1"/>
        <v>-297</v>
      </c>
      <c r="D392" s="7">
        <v>1997.0</v>
      </c>
      <c r="E392" s="7" t="b">
        <v>1</v>
      </c>
      <c r="F392" s="7" t="b">
        <v>1</v>
      </c>
      <c r="G392" s="7" t="b">
        <v>0</v>
      </c>
      <c r="H392" s="7" t="b">
        <v>0</v>
      </c>
      <c r="I392" s="7" t="b">
        <v>0</v>
      </c>
      <c r="J392" s="9" t="b">
        <v>0</v>
      </c>
      <c r="K392" s="7">
        <v>6077.0</v>
      </c>
      <c r="L392" s="7">
        <v>0.0</v>
      </c>
      <c r="M392" s="7">
        <v>3664.0</v>
      </c>
      <c r="N392" s="7">
        <v>2251.9</v>
      </c>
      <c r="O392" s="7">
        <v>447.1</v>
      </c>
      <c r="P392" s="7">
        <v>20.74</v>
      </c>
      <c r="Q392" s="7">
        <v>0.996939</v>
      </c>
      <c r="R392" s="7">
        <v>0.992857</v>
      </c>
      <c r="S392" s="10">
        <f t="shared" si="2"/>
        <v>6077</v>
      </c>
      <c r="T392" s="10">
        <f t="shared" si="3"/>
        <v>62.67191412</v>
      </c>
      <c r="U392" s="11">
        <f t="shared" si="4"/>
        <v>2.528551999</v>
      </c>
      <c r="V392" s="8">
        <f t="shared" si="86"/>
        <v>5694.046247</v>
      </c>
      <c r="W392" s="12">
        <f t="shared" si="5"/>
        <v>4</v>
      </c>
      <c r="X392" s="12">
        <f t="shared" si="6"/>
        <v>28470.23124</v>
      </c>
      <c r="Y392" s="12">
        <f t="shared" si="7"/>
        <v>12.64276</v>
      </c>
      <c r="Z392" s="8">
        <f t="shared" si="19"/>
        <v>5749.949623</v>
      </c>
      <c r="AA392" s="8">
        <f t="shared" si="78"/>
        <v>5407</v>
      </c>
      <c r="AB392" s="13">
        <f t="shared" si="9"/>
        <v>0.889748231</v>
      </c>
      <c r="AC392" s="13">
        <f t="shared" si="10"/>
        <v>0.9403560648</v>
      </c>
      <c r="AD392" s="13">
        <f>AA392/vlookup(A392,Max!$A$2:$AP$700,column(Max!$AP$2),false)</f>
        <v>1.544857143</v>
      </c>
      <c r="AE392" s="8">
        <f t="shared" si="11"/>
        <v>747.8810039</v>
      </c>
      <c r="AF392" s="14">
        <f t="shared" si="12"/>
        <v>3.284733195</v>
      </c>
      <c r="AG392" s="14">
        <f t="shared" si="13"/>
        <v>2.185371614</v>
      </c>
      <c r="AH392" s="14">
        <f t="shared" si="14"/>
        <v>1</v>
      </c>
      <c r="AI392" s="14">
        <f t="shared" si="15"/>
        <v>1.007230269</v>
      </c>
      <c r="AJ392" s="27">
        <f t="shared" si="16"/>
        <v>-297</v>
      </c>
      <c r="AK392" s="15" t="str">
        <f t="shared" si="17"/>
        <v>  @CONFIG[RS-25C-50] {
   %cost = 5407
   @cost -= #$../../cost$
  }</v>
      </c>
    </row>
    <row r="393" ht="15.75" customHeight="1">
      <c r="A393" s="16" t="s">
        <v>455</v>
      </c>
      <c r="B393" s="16" t="s">
        <v>453</v>
      </c>
      <c r="C393" s="8">
        <f t="shared" si="1"/>
        <v>571</v>
      </c>
      <c r="D393" s="16">
        <v>1998.0</v>
      </c>
      <c r="E393" s="16" t="b">
        <v>1</v>
      </c>
      <c r="F393" s="16" t="b">
        <v>1</v>
      </c>
      <c r="G393" s="16" t="b">
        <v>0</v>
      </c>
      <c r="H393" s="16" t="b">
        <v>0</v>
      </c>
      <c r="I393" s="16" t="b">
        <v>0</v>
      </c>
      <c r="J393" s="9" t="b">
        <v>0</v>
      </c>
      <c r="K393" s="16">
        <v>5000.0</v>
      </c>
      <c r="L393" s="16"/>
      <c r="M393" s="16">
        <v>3449.0</v>
      </c>
      <c r="N393" s="16">
        <v>2313.0</v>
      </c>
      <c r="O393" s="16">
        <v>460.7</v>
      </c>
      <c r="P393" s="16">
        <v>22.06</v>
      </c>
      <c r="Q393" s="16">
        <v>0.997872</v>
      </c>
      <c r="R393" s="16">
        <v>0.997872</v>
      </c>
      <c r="S393" s="19">
        <f t="shared" si="2"/>
        <v>5000</v>
      </c>
      <c r="T393" s="19">
        <f t="shared" si="3"/>
        <v>68.38514334</v>
      </c>
      <c r="U393" s="20">
        <f t="shared" si="4"/>
        <v>2.519088165</v>
      </c>
      <c r="V393" s="17">
        <f t="shared" si="86"/>
        <v>5826.650926</v>
      </c>
      <c r="W393" s="21">
        <f t="shared" si="5"/>
        <v>4</v>
      </c>
      <c r="X393" s="21">
        <f t="shared" si="6"/>
        <v>29133.25463</v>
      </c>
      <c r="Y393" s="21">
        <f t="shared" si="7"/>
        <v>12.59544083</v>
      </c>
      <c r="Z393" s="8">
        <f t="shared" si="19"/>
        <v>5918.412103</v>
      </c>
      <c r="AA393" s="8">
        <f t="shared" si="78"/>
        <v>6120</v>
      </c>
      <c r="AB393" s="13">
        <f t="shared" si="9"/>
        <v>1.224</v>
      </c>
      <c r="AC393" s="13">
        <f t="shared" si="10"/>
        <v>1.034061146</v>
      </c>
      <c r="AD393" s="13">
        <f>AA393/vlookup(A393,Max!$A$2:$AP$700,column(Max!$AP$2),false)</f>
        <v>1.36</v>
      </c>
      <c r="AE393" s="8">
        <f t="shared" si="11"/>
        <v>721.8323229</v>
      </c>
      <c r="AF393" s="14">
        <f t="shared" si="12"/>
        <v>3.734049369</v>
      </c>
      <c r="AG393" s="14">
        <f t="shared" si="13"/>
        <v>2.226200749</v>
      </c>
      <c r="AH393" s="14">
        <f t="shared" si="14"/>
        <v>1</v>
      </c>
      <c r="AI393" s="14">
        <f t="shared" si="15"/>
        <v>1.019997495</v>
      </c>
      <c r="AJ393" s="27">
        <f t="shared" si="16"/>
        <v>571</v>
      </c>
      <c r="AK393" s="15" t="str">
        <f t="shared" si="17"/>
        <v>  @CONFIG[RD-0122] {
   %cost = 6120
   @cost -= #$../../cost$
  }</v>
      </c>
    </row>
    <row r="394" ht="15.75" customHeight="1">
      <c r="A394" s="16" t="s">
        <v>1050</v>
      </c>
      <c r="B394" s="16" t="s">
        <v>1051</v>
      </c>
      <c r="C394" s="8">
        <f t="shared" si="1"/>
        <v>9114</v>
      </c>
      <c r="D394" s="16">
        <v>1998.0</v>
      </c>
      <c r="E394" s="16" t="b">
        <v>1</v>
      </c>
      <c r="F394" s="16" t="b">
        <v>1</v>
      </c>
      <c r="G394" s="16" t="b">
        <v>0</v>
      </c>
      <c r="H394" s="16" t="b">
        <v>1</v>
      </c>
      <c r="I394" s="16" t="b">
        <v>0</v>
      </c>
      <c r="J394" s="9" t="b">
        <v>1</v>
      </c>
      <c r="K394" s="16"/>
      <c r="L394" s="16"/>
      <c r="M394" s="16">
        <v>7000.0</v>
      </c>
      <c r="N394" s="16">
        <v>392.27</v>
      </c>
      <c r="O394" s="16">
        <v>925.0</v>
      </c>
      <c r="P394" s="16">
        <v>4.8</v>
      </c>
      <c r="Q394" s="16">
        <v>1.0</v>
      </c>
      <c r="R394" s="16">
        <v>1.0</v>
      </c>
      <c r="S394" s="19">
        <f t="shared" si="2"/>
        <v>0</v>
      </c>
      <c r="T394" s="19">
        <f t="shared" si="3"/>
        <v>5.714343967</v>
      </c>
      <c r="U394" s="20">
        <f t="shared" si="4"/>
        <v>13.94336234</v>
      </c>
      <c r="V394" s="17">
        <f t="shared" si="86"/>
        <v>5469.562745</v>
      </c>
      <c r="W394" s="21">
        <f t="shared" si="5"/>
        <v>4</v>
      </c>
      <c r="X394" s="21">
        <f t="shared" si="6"/>
        <v>27347.81373</v>
      </c>
      <c r="Y394" s="21">
        <f t="shared" si="7"/>
        <v>69.7168117</v>
      </c>
      <c r="Z394" s="8">
        <f t="shared" si="19"/>
        <v>5578.954</v>
      </c>
      <c r="AA394" s="8">
        <f t="shared" si="78"/>
        <v>9114</v>
      </c>
      <c r="AB394" s="13" t="str">
        <f t="shared" si="9"/>
        <v>#N/A</v>
      </c>
      <c r="AC394" s="13">
        <f t="shared" si="10"/>
        <v>1.633639567</v>
      </c>
      <c r="AD394" s="13">
        <f>AA394/vlookup(A394,Max!$A$2:$AP$700,column(Max!$AP$2),false)</f>
        <v>0.7595</v>
      </c>
      <c r="AE394" s="8">
        <f t="shared" si="11"/>
        <v>1097.715699</v>
      </c>
      <c r="AF394" s="14">
        <f t="shared" si="12"/>
        <v>3.130630688</v>
      </c>
      <c r="AG394" s="14">
        <f t="shared" si="13"/>
        <v>1.293127306</v>
      </c>
      <c r="AH394" s="14">
        <f t="shared" si="14"/>
        <v>2</v>
      </c>
      <c r="AI394" s="14">
        <f t="shared" si="15"/>
        <v>1.025444154</v>
      </c>
      <c r="AJ394" s="15">
        <f t="shared" si="16"/>
        <v>0</v>
      </c>
      <c r="AK394" s="15" t="str">
        <f t="shared" si="17"/>
        <v>  @CONFIG[RD-0411] {
   %cost = 9114
   @cost -= #$../../cost$
  }</v>
      </c>
    </row>
    <row r="395" ht="15.75" customHeight="1">
      <c r="A395" s="7" t="s">
        <v>671</v>
      </c>
      <c r="B395" s="7" t="s">
        <v>660</v>
      </c>
      <c r="C395" s="8">
        <f t="shared" si="1"/>
        <v>596</v>
      </c>
      <c r="D395" s="7">
        <v>1998.0</v>
      </c>
      <c r="E395" s="7" t="b">
        <v>1</v>
      </c>
      <c r="F395" s="7" t="b">
        <v>1</v>
      </c>
      <c r="G395" s="7" t="b">
        <v>0</v>
      </c>
      <c r="H395" s="7" t="b">
        <v>1</v>
      </c>
      <c r="I395" s="7" t="b">
        <v>0</v>
      </c>
      <c r="J395" s="9" t="b">
        <v>0</v>
      </c>
      <c r="K395" s="7">
        <v>500.0</v>
      </c>
      <c r="L395" s="7">
        <v>2800.0</v>
      </c>
      <c r="M395" s="7">
        <v>277.0</v>
      </c>
      <c r="N395" s="7">
        <v>110.1</v>
      </c>
      <c r="O395" s="7">
        <v>465.5</v>
      </c>
      <c r="P395" s="7">
        <v>4.44</v>
      </c>
      <c r="Q395" s="7">
        <v>0.996067</v>
      </c>
      <c r="R395" s="7">
        <v>0.996667</v>
      </c>
      <c r="S395" s="10">
        <f t="shared" si="2"/>
        <v>3300</v>
      </c>
      <c r="T395" s="10">
        <f t="shared" si="3"/>
        <v>40.53095838</v>
      </c>
      <c r="U395" s="11">
        <f t="shared" si="4"/>
        <v>8.075218183</v>
      </c>
      <c r="V395" s="8">
        <f t="shared" si="86"/>
        <v>889.081522</v>
      </c>
      <c r="W395" s="12">
        <f t="shared" si="5"/>
        <v>4</v>
      </c>
      <c r="X395" s="12">
        <f t="shared" si="6"/>
        <v>4445.40761</v>
      </c>
      <c r="Y395" s="12">
        <f t="shared" si="7"/>
        <v>40.37609092</v>
      </c>
      <c r="Z395" s="8">
        <f t="shared" si="19"/>
        <v>900.4147408</v>
      </c>
      <c r="AA395" s="8">
        <f t="shared" si="78"/>
        <v>890</v>
      </c>
      <c r="AB395" s="13">
        <f t="shared" si="9"/>
        <v>0.2696969697</v>
      </c>
      <c r="AC395" s="13">
        <f t="shared" si="10"/>
        <v>0.988433396</v>
      </c>
      <c r="AD395" s="13">
        <f>AA395/vlookup(A395,Max!$A$2:$AP$700,column(Max!$AP$2),false)</f>
        <v>1.854166667</v>
      </c>
      <c r="AE395" s="8">
        <f t="shared" si="11"/>
        <v>177.9739702</v>
      </c>
      <c r="AF395" s="14">
        <f t="shared" si="12"/>
        <v>3.909409191</v>
      </c>
      <c r="AG395" s="14">
        <f t="shared" si="13"/>
        <v>1.2706419</v>
      </c>
      <c r="AH395" s="14">
        <f t="shared" si="14"/>
        <v>1</v>
      </c>
      <c r="AI395" s="14">
        <f t="shared" si="15"/>
        <v>1.006951587</v>
      </c>
      <c r="AJ395" s="27">
        <f t="shared" si="16"/>
        <v>596</v>
      </c>
      <c r="AK395" s="15" t="str">
        <f t="shared" si="17"/>
        <v>  @CONFIG[RL10B-2] {
   %cost = 890
   @cost -= #$../../cost$
  }</v>
      </c>
    </row>
    <row r="396" ht="15.75" customHeight="1">
      <c r="A396" s="7" t="s">
        <v>700</v>
      </c>
      <c r="B396" s="7" t="s">
        <v>698</v>
      </c>
      <c r="C396" s="8">
        <f t="shared" si="1"/>
        <v>429</v>
      </c>
      <c r="D396" s="7">
        <v>1998.0</v>
      </c>
      <c r="E396" s="7" t="b">
        <v>1</v>
      </c>
      <c r="F396" s="7" t="b">
        <v>1</v>
      </c>
      <c r="G396" s="7" t="b">
        <v>0</v>
      </c>
      <c r="H396" s="7" t="b">
        <v>1</v>
      </c>
      <c r="I396" s="7" t="b">
        <v>0</v>
      </c>
      <c r="J396" s="9" t="b">
        <v>0</v>
      </c>
      <c r="K396" s="7"/>
      <c r="L396" s="7">
        <v>300.0</v>
      </c>
      <c r="M396" s="7">
        <v>184.6</v>
      </c>
      <c r="N396" s="7">
        <v>66.7</v>
      </c>
      <c r="O396" s="7">
        <v>492.0</v>
      </c>
      <c r="P396" s="7">
        <v>14.15</v>
      </c>
      <c r="Q396" s="7">
        <v>0.99486</v>
      </c>
      <c r="R396" s="7">
        <v>0.99717</v>
      </c>
      <c r="S396" s="10">
        <f t="shared" si="2"/>
        <v>300</v>
      </c>
      <c r="T396" s="10">
        <f t="shared" si="3"/>
        <v>36.84456728</v>
      </c>
      <c r="U396" s="11">
        <f t="shared" si="4"/>
        <v>14.48898547</v>
      </c>
      <c r="V396" s="8">
        <f t="shared" si="86"/>
        <v>966.415331</v>
      </c>
      <c r="W396" s="12">
        <f t="shared" si="5"/>
        <v>4</v>
      </c>
      <c r="X396" s="12">
        <f t="shared" si="6"/>
        <v>4832.076655</v>
      </c>
      <c r="Y396" s="12">
        <f t="shared" si="7"/>
        <v>72.44492736</v>
      </c>
      <c r="Z396" s="8">
        <f t="shared" si="19"/>
        <v>978.0553651</v>
      </c>
      <c r="AA396" s="8">
        <f t="shared" si="78"/>
        <v>1213</v>
      </c>
      <c r="AB396" s="13">
        <f t="shared" si="9"/>
        <v>4.043333333</v>
      </c>
      <c r="AC396" s="13">
        <f t="shared" si="10"/>
        <v>1.240216089</v>
      </c>
      <c r="AD396" s="13">
        <f>AA396/vlookup(A396,Max!$A$2:$AP$700,column(Max!$AP$2),false)</f>
        <v>1.732857143</v>
      </c>
      <c r="AE396" s="8">
        <f t="shared" si="11"/>
        <v>144.405852</v>
      </c>
      <c r="AF396" s="14">
        <f t="shared" si="12"/>
        <v>5.066264055</v>
      </c>
      <c r="AG396" s="14">
        <f t="shared" si="13"/>
        <v>1.64923371</v>
      </c>
      <c r="AH396" s="14">
        <f t="shared" si="14"/>
        <v>1</v>
      </c>
      <c r="AI396" s="14">
        <f t="shared" si="15"/>
        <v>1.005170995</v>
      </c>
      <c r="AJ396" s="27">
        <f t="shared" si="16"/>
        <v>429</v>
      </c>
      <c r="AK396" s="15" t="str">
        <f t="shared" si="17"/>
        <v>  @CONFIG[RS-44-Full] {
   %cost = 1213
   @cost -= #$../../cost$
  }</v>
      </c>
    </row>
    <row r="397" ht="15.75" customHeight="1">
      <c r="A397" s="16" t="s">
        <v>1052</v>
      </c>
      <c r="B397" s="16" t="s">
        <v>605</v>
      </c>
      <c r="C397" s="8">
        <f t="shared" si="1"/>
        <v>17</v>
      </c>
      <c r="D397" s="16">
        <v>1999.0</v>
      </c>
      <c r="E397" s="16"/>
      <c r="F397" s="16" t="b">
        <v>1</v>
      </c>
      <c r="G397" s="16" t="b">
        <v>0</v>
      </c>
      <c r="H397" s="16" t="b">
        <v>1</v>
      </c>
      <c r="I397" s="16" t="b">
        <v>0</v>
      </c>
      <c r="J397" s="9" t="b">
        <v>0</v>
      </c>
      <c r="K397" s="16">
        <v>525.0</v>
      </c>
      <c r="L397" s="16">
        <v>200.0</v>
      </c>
      <c r="M397" s="16">
        <v>1436.0</v>
      </c>
      <c r="N397" s="16">
        <v>1834.0</v>
      </c>
      <c r="O397" s="16">
        <v>327.8</v>
      </c>
      <c r="P397" s="16">
        <v>15.69</v>
      </c>
      <c r="Q397" s="16">
        <v>0.999289</v>
      </c>
      <c r="R397" s="16">
        <v>0.999289</v>
      </c>
      <c r="S397" s="19">
        <f t="shared" si="2"/>
        <v>725</v>
      </c>
      <c r="T397" s="19">
        <f t="shared" si="3"/>
        <v>130.2339505</v>
      </c>
      <c r="U397" s="20">
        <f t="shared" si="4"/>
        <v>0.358060273</v>
      </c>
      <c r="V397" s="17">
        <f t="shared" ref="V397:V398" si="87">0.2*(8.17*POWER(M397*P397,0.46))+0.8*(0.146*POWER(M397*O397,0.639))</f>
        <v>656.6825407</v>
      </c>
      <c r="W397" s="21">
        <f t="shared" si="5"/>
        <v>4</v>
      </c>
      <c r="X397" s="21">
        <f t="shared" si="6"/>
        <v>3283.412704</v>
      </c>
      <c r="Y397" s="21">
        <f t="shared" si="7"/>
        <v>1.790301365</v>
      </c>
      <c r="Z397" s="8">
        <f t="shared" si="19"/>
        <v>668.8827209</v>
      </c>
      <c r="AA397" s="8">
        <f t="shared" si="78"/>
        <v>813</v>
      </c>
      <c r="AB397" s="13">
        <f t="shared" si="9"/>
        <v>1.12137931</v>
      </c>
      <c r="AC397" s="13">
        <f t="shared" si="10"/>
        <v>1.215459713</v>
      </c>
      <c r="AD397" s="13">
        <f>AA397/vlookup(A397,Max!$A$2:$AP$700,column(Max!$AP$2),false)</f>
        <v>1.29047619</v>
      </c>
      <c r="AE397" s="8">
        <f t="shared" si="11"/>
        <v>388.4158105</v>
      </c>
      <c r="AF397" s="14">
        <f t="shared" si="12"/>
        <v>1.213691867</v>
      </c>
      <c r="AG397" s="14">
        <f t="shared" si="13"/>
        <v>1.688018362</v>
      </c>
      <c r="AH397" s="14">
        <f t="shared" si="14"/>
        <v>1</v>
      </c>
      <c r="AI397" s="14">
        <f t="shared" si="15"/>
        <v>1.02180388</v>
      </c>
      <c r="AJ397" s="27">
        <f t="shared" si="16"/>
        <v>17</v>
      </c>
      <c r="AK397" s="15" t="str">
        <f t="shared" si="17"/>
        <v>  @CONFIG[RD-277] {
   %cost = 813
   @cost -= #$../../cost$
  }</v>
      </c>
    </row>
    <row r="398" ht="15.75" customHeight="1">
      <c r="A398" s="16" t="s">
        <v>743</v>
      </c>
      <c r="B398" s="16" t="s">
        <v>744</v>
      </c>
      <c r="C398" s="8">
        <f t="shared" si="1"/>
        <v>136</v>
      </c>
      <c r="D398" s="16">
        <v>1999.0</v>
      </c>
      <c r="E398" s="16"/>
      <c r="F398" s="16" t="b">
        <v>1</v>
      </c>
      <c r="G398" s="16" t="b">
        <v>0</v>
      </c>
      <c r="H398" s="16" t="b">
        <v>1</v>
      </c>
      <c r="I398" s="16" t="b">
        <v>0</v>
      </c>
      <c r="J398" s="9" t="b">
        <v>0</v>
      </c>
      <c r="K398" s="16">
        <v>500.0</v>
      </c>
      <c r="L398" s="16">
        <v>0.0</v>
      </c>
      <c r="M398" s="16">
        <v>95.0</v>
      </c>
      <c r="N398" s="16">
        <v>19.61</v>
      </c>
      <c r="O398" s="16">
        <v>328.0</v>
      </c>
      <c r="P398" s="16">
        <v>9.8</v>
      </c>
      <c r="Q398" s="16">
        <v>0.999109</v>
      </c>
      <c r="R398" s="16">
        <v>0.990594</v>
      </c>
      <c r="S398" s="19">
        <f t="shared" si="2"/>
        <v>500</v>
      </c>
      <c r="T398" s="19">
        <f t="shared" si="3"/>
        <v>21.04908935</v>
      </c>
      <c r="U398" s="20">
        <f t="shared" si="4"/>
        <v>6.363852148</v>
      </c>
      <c r="V398" s="17">
        <f t="shared" si="87"/>
        <v>124.7951406</v>
      </c>
      <c r="W398" s="21">
        <f t="shared" si="5"/>
        <v>4</v>
      </c>
      <c r="X398" s="21">
        <f t="shared" si="6"/>
        <v>623.9757031</v>
      </c>
      <c r="Y398" s="21">
        <f t="shared" si="7"/>
        <v>31.81926074</v>
      </c>
      <c r="Z398" s="8">
        <f t="shared" si="19"/>
        <v>126.0070738</v>
      </c>
      <c r="AA398" s="8">
        <f t="shared" si="78"/>
        <v>136</v>
      </c>
      <c r="AB398" s="13">
        <f t="shared" si="9"/>
        <v>0.272</v>
      </c>
      <c r="AC398" s="13">
        <f t="shared" si="10"/>
        <v>1.079304486</v>
      </c>
      <c r="AD398" s="13">
        <f>AA398/vlookup(A398,Max!$A$2:$AP$700,column(Max!$AP$2),false)</f>
        <v>5.913043478</v>
      </c>
      <c r="AE398" s="8">
        <f t="shared" si="11"/>
        <v>73.92836225</v>
      </c>
      <c r="AF398" s="14">
        <f t="shared" si="12"/>
        <v>1.215455308</v>
      </c>
      <c r="AG398" s="14">
        <f t="shared" si="13"/>
        <v>1.51840586</v>
      </c>
      <c r="AH398" s="14">
        <f t="shared" si="14"/>
        <v>1</v>
      </c>
      <c r="AI398" s="14">
        <f t="shared" si="15"/>
        <v>0.9992713229</v>
      </c>
      <c r="AJ398" s="15">
        <f t="shared" si="16"/>
        <v>0</v>
      </c>
      <c r="AK398" s="15" t="str">
        <f t="shared" si="17"/>
        <v>  @CONFIG[S5.98M] {
   %cost = 136
   @cost -= #$../../cost$
  }</v>
      </c>
    </row>
    <row r="399" ht="15.75" customHeight="1">
      <c r="A399" s="7" t="s">
        <v>842</v>
      </c>
      <c r="B399" s="7" t="s">
        <v>843</v>
      </c>
      <c r="C399" s="8">
        <f t="shared" si="1"/>
        <v>3236</v>
      </c>
      <c r="D399" s="7">
        <v>1999.0</v>
      </c>
      <c r="E399" s="7" t="b">
        <v>1</v>
      </c>
      <c r="F399" s="7" t="b">
        <v>1</v>
      </c>
      <c r="G399" s="7" t="b">
        <v>0</v>
      </c>
      <c r="H399" s="7" t="b">
        <v>0</v>
      </c>
      <c r="I399" s="7" t="b">
        <v>0</v>
      </c>
      <c r="J399" s="9" t="b">
        <v>0</v>
      </c>
      <c r="K399" s="7"/>
      <c r="L399" s="7">
        <v>0.0</v>
      </c>
      <c r="M399" s="7">
        <v>3500.0</v>
      </c>
      <c r="N399" s="7">
        <v>1169.3</v>
      </c>
      <c r="O399" s="7">
        <v>436.0</v>
      </c>
      <c r="P399" s="7">
        <v>5.91</v>
      </c>
      <c r="Q399" s="7"/>
      <c r="R399" s="7"/>
      <c r="S399" s="10">
        <f t="shared" si="2"/>
        <v>0</v>
      </c>
      <c r="T399" s="10">
        <f t="shared" si="3"/>
        <v>34.06726184</v>
      </c>
      <c r="U399" s="11">
        <f t="shared" si="4"/>
        <v>1.979952019</v>
      </c>
      <c r="V399" s="8">
        <f t="shared" ref="V399:V401" si="88">0.9*(0.00015*M399*O399*P399+797)+0.1*(43.1*POWER(M399,0.549))</f>
        <v>2315.157895</v>
      </c>
      <c r="W399" s="12">
        <f t="shared" si="5"/>
        <v>4</v>
      </c>
      <c r="X399" s="12">
        <f t="shared" si="6"/>
        <v>11575.78948</v>
      </c>
      <c r="Y399" s="12">
        <f t="shared" si="7"/>
        <v>9.899760093</v>
      </c>
      <c r="Z399" s="8">
        <f t="shared" si="19"/>
        <v>2315.157895</v>
      </c>
      <c r="AA399" s="8">
        <f t="shared" si="78"/>
        <v>3236</v>
      </c>
      <c r="AB399" s="13" t="str">
        <f t="shared" si="9"/>
        <v>#N/A</v>
      </c>
      <c r="AC399" s="13">
        <f t="shared" si="10"/>
        <v>1.397744839</v>
      </c>
      <c r="AD399" s="13">
        <f>AA399/vlookup(A399,Max!$A$2:$AP$700,column(Max!$AP$2),false)</f>
        <v>2.813913043</v>
      </c>
      <c r="AE399" s="8">
        <f t="shared" si="11"/>
        <v>728.0658847</v>
      </c>
      <c r="AF399" s="14">
        <f t="shared" si="12"/>
        <v>2.964432836</v>
      </c>
      <c r="AG399" s="14">
        <f t="shared" si="13"/>
        <v>1.499542974</v>
      </c>
      <c r="AH399" s="14">
        <f t="shared" si="14"/>
        <v>1</v>
      </c>
      <c r="AI399" s="14">
        <f t="shared" si="15"/>
        <v>1</v>
      </c>
      <c r="AJ399" s="15">
        <f t="shared" si="16"/>
        <v>0</v>
      </c>
      <c r="AK399" s="15" t="str">
        <f t="shared" si="17"/>
        <v>  @CONFIG[XRS-2200] {
   %cost = 3236
   @cost -= #$../../cost$
  }</v>
      </c>
    </row>
    <row r="400" ht="15.75" customHeight="1">
      <c r="A400" s="16" t="s">
        <v>672</v>
      </c>
      <c r="B400" s="16" t="s">
        <v>660</v>
      </c>
      <c r="C400" s="8">
        <f t="shared" si="1"/>
        <v>231</v>
      </c>
      <c r="D400" s="16">
        <v>2000.0</v>
      </c>
      <c r="E400" s="16" t="b">
        <v>1</v>
      </c>
      <c r="F400" s="16" t="b">
        <v>1</v>
      </c>
      <c r="G400" s="16" t="b">
        <v>0</v>
      </c>
      <c r="H400" s="16" t="b">
        <v>1</v>
      </c>
      <c r="I400" s="16" t="b">
        <v>0</v>
      </c>
      <c r="J400" s="9" t="b">
        <v>0</v>
      </c>
      <c r="K400" s="16">
        <v>500.0</v>
      </c>
      <c r="L400" s="16">
        <v>1200.0</v>
      </c>
      <c r="M400" s="16">
        <v>142.0</v>
      </c>
      <c r="N400" s="16">
        <v>97.9</v>
      </c>
      <c r="O400" s="16">
        <v>446.4</v>
      </c>
      <c r="P400" s="16">
        <v>4.2</v>
      </c>
      <c r="Q400" s="16">
        <v>0.998485</v>
      </c>
      <c r="R400" s="16">
        <v>0.997</v>
      </c>
      <c r="S400" s="19">
        <f t="shared" si="2"/>
        <v>1700</v>
      </c>
      <c r="T400" s="19">
        <f t="shared" si="3"/>
        <v>70.30296969</v>
      </c>
      <c r="U400" s="20">
        <f t="shared" si="4"/>
        <v>8.362795356</v>
      </c>
      <c r="V400" s="17">
        <f t="shared" si="88"/>
        <v>818.7176654</v>
      </c>
      <c r="W400" s="21">
        <f t="shared" si="5"/>
        <v>4</v>
      </c>
      <c r="X400" s="21">
        <f t="shared" si="6"/>
        <v>4093.588327</v>
      </c>
      <c r="Y400" s="21">
        <f t="shared" si="7"/>
        <v>41.81397678</v>
      </c>
      <c r="Z400" s="8">
        <f t="shared" si="19"/>
        <v>831.3992295</v>
      </c>
      <c r="AA400" s="8">
        <f t="shared" si="78"/>
        <v>525</v>
      </c>
      <c r="AB400" s="13">
        <f t="shared" si="9"/>
        <v>0.3088235294</v>
      </c>
      <c r="AC400" s="13">
        <f t="shared" si="10"/>
        <v>0.631465584</v>
      </c>
      <c r="AD400" s="13">
        <f>AA400/vlookup(A400,Max!$A$2:$AP$700,column(Max!$AP$2),false)</f>
        <v>1.458333333</v>
      </c>
      <c r="AE400" s="8">
        <f t="shared" si="11"/>
        <v>126.455961</v>
      </c>
      <c r="AF400" s="14">
        <f t="shared" si="12"/>
        <v>3.263370049</v>
      </c>
      <c r="AG400" s="14">
        <f t="shared" si="13"/>
        <v>1.254853697</v>
      </c>
      <c r="AH400" s="14">
        <f t="shared" si="14"/>
        <v>1</v>
      </c>
      <c r="AI400" s="14">
        <f t="shared" si="15"/>
        <v>1.013920191</v>
      </c>
      <c r="AJ400" s="27">
        <f t="shared" si="16"/>
        <v>231</v>
      </c>
      <c r="AK400" s="15" t="str">
        <f t="shared" si="17"/>
        <v>  @CONFIG[RL10A-4-1-2] {
   %cost = 525
   @cost -= #$../../cost$
  }</v>
      </c>
    </row>
    <row r="401" ht="15.75" customHeight="1">
      <c r="A401" s="7" t="s">
        <v>673</v>
      </c>
      <c r="B401" s="7" t="s">
        <v>660</v>
      </c>
      <c r="C401" s="8">
        <f t="shared" si="1"/>
        <v>303</v>
      </c>
      <c r="D401" s="7">
        <v>2000.0</v>
      </c>
      <c r="E401" s="7" t="b">
        <v>1</v>
      </c>
      <c r="F401" s="7" t="b">
        <v>1</v>
      </c>
      <c r="G401" s="7" t="b">
        <v>0</v>
      </c>
      <c r="H401" s="7" t="b">
        <v>1</v>
      </c>
      <c r="I401" s="7" t="b">
        <v>0</v>
      </c>
      <c r="J401" s="9" t="b">
        <v>0</v>
      </c>
      <c r="K401" s="7">
        <v>500.0</v>
      </c>
      <c r="L401" s="7">
        <v>1800.0</v>
      </c>
      <c r="M401" s="7">
        <v>168.0</v>
      </c>
      <c r="N401" s="7">
        <v>99.2</v>
      </c>
      <c r="O401" s="7">
        <v>451.0</v>
      </c>
      <c r="P401" s="7">
        <v>4.2</v>
      </c>
      <c r="Q401" s="7">
        <v>0.998485</v>
      </c>
      <c r="R401" s="7">
        <v>0.997</v>
      </c>
      <c r="S401" s="10">
        <f t="shared" si="2"/>
        <v>2300</v>
      </c>
      <c r="T401" s="10">
        <f t="shared" si="3"/>
        <v>60.2118143</v>
      </c>
      <c r="U401" s="11">
        <f t="shared" si="4"/>
        <v>8.38778558</v>
      </c>
      <c r="V401" s="8">
        <f t="shared" si="88"/>
        <v>832.0683295</v>
      </c>
      <c r="W401" s="12">
        <f t="shared" si="5"/>
        <v>4</v>
      </c>
      <c r="X401" s="12">
        <f t="shared" si="6"/>
        <v>4160.341647</v>
      </c>
      <c r="Y401" s="12">
        <f t="shared" si="7"/>
        <v>41.9389279</v>
      </c>
      <c r="Z401" s="8">
        <f t="shared" si="19"/>
        <v>844.9566893</v>
      </c>
      <c r="AA401" s="8">
        <f t="shared" si="78"/>
        <v>597</v>
      </c>
      <c r="AB401" s="13">
        <f t="shared" si="9"/>
        <v>0.2595652174</v>
      </c>
      <c r="AC401" s="13">
        <f t="shared" si="10"/>
        <v>0.7065450899</v>
      </c>
      <c r="AD401" s="13">
        <f>AA401/vlookup(A401,Max!$A$2:$AP$700,column(Max!$AP$2),false)</f>
        <v>1.571052632</v>
      </c>
      <c r="AE401" s="8">
        <f t="shared" si="11"/>
        <v>137.6546695</v>
      </c>
      <c r="AF401" s="14">
        <f t="shared" si="12"/>
        <v>3.406796795</v>
      </c>
      <c r="AG401" s="14">
        <f t="shared" si="13"/>
        <v>1.254853697</v>
      </c>
      <c r="AH401" s="14">
        <f t="shared" si="14"/>
        <v>1</v>
      </c>
      <c r="AI401" s="14">
        <f t="shared" si="15"/>
        <v>1.013920191</v>
      </c>
      <c r="AJ401" s="27">
        <f t="shared" si="16"/>
        <v>303</v>
      </c>
      <c r="AK401" s="15" t="str">
        <f t="shared" si="17"/>
        <v>  @CONFIG[RL10A-4-2N] {
   %cost = 597
   @cost -= #$../../cost$
  }</v>
      </c>
    </row>
    <row r="402" ht="15.75" customHeight="1">
      <c r="A402" s="7" t="s">
        <v>740</v>
      </c>
      <c r="B402" s="7" t="s">
        <v>741</v>
      </c>
      <c r="C402" s="8">
        <f t="shared" si="1"/>
        <v>119</v>
      </c>
      <c r="D402" s="7">
        <v>2000.0</v>
      </c>
      <c r="E402" s="7"/>
      <c r="F402" s="7" t="b">
        <v>1</v>
      </c>
      <c r="G402" s="7" t="b">
        <v>0</v>
      </c>
      <c r="H402" s="7" t="b">
        <v>1</v>
      </c>
      <c r="I402" s="7" t="b">
        <v>0</v>
      </c>
      <c r="J402" s="9" t="b">
        <v>0</v>
      </c>
      <c r="K402" s="7">
        <v>600.0</v>
      </c>
      <c r="L402" s="7">
        <v>0.0</v>
      </c>
      <c r="M402" s="7">
        <v>75.0</v>
      </c>
      <c r="N402" s="7">
        <v>19.61</v>
      </c>
      <c r="O402" s="7">
        <v>327.0</v>
      </c>
      <c r="P402" s="7">
        <v>9.6</v>
      </c>
      <c r="Q402" s="7">
        <v>0.999455</v>
      </c>
      <c r="R402" s="7">
        <v>0.996237</v>
      </c>
      <c r="S402" s="10">
        <f t="shared" si="2"/>
        <v>600</v>
      </c>
      <c r="T402" s="10">
        <f t="shared" si="3"/>
        <v>26.66217984</v>
      </c>
      <c r="U402" s="11">
        <f t="shared" si="4"/>
        <v>5.519732621</v>
      </c>
      <c r="V402" s="8">
        <f t="shared" ref="V402:V405" si="89">0.2*(8.17*POWER(M402*P402,0.46))+0.8*(0.146*POWER(M402*O402,0.639))</f>
        <v>108.2419567</v>
      </c>
      <c r="W402" s="12">
        <f t="shared" si="5"/>
        <v>4</v>
      </c>
      <c r="X402" s="12">
        <f t="shared" si="6"/>
        <v>541.2097835</v>
      </c>
      <c r="Y402" s="12">
        <f t="shared" si="7"/>
        <v>27.59866311</v>
      </c>
      <c r="Z402" s="8">
        <f t="shared" si="19"/>
        <v>109.9407115</v>
      </c>
      <c r="AA402" s="8">
        <f t="shared" si="78"/>
        <v>119</v>
      </c>
      <c r="AB402" s="13">
        <f t="shared" si="9"/>
        <v>0.1983333333</v>
      </c>
      <c r="AC402" s="13">
        <f t="shared" si="10"/>
        <v>1.082401582</v>
      </c>
      <c r="AD402" s="13">
        <f>AA402/vlookup(A402,Max!$A$2:$AP$700,column(Max!$AP$2),false)</f>
        <v>4.103448276</v>
      </c>
      <c r="AE402" s="8">
        <f t="shared" si="11"/>
        <v>64.12355657</v>
      </c>
      <c r="AF402" s="14">
        <f t="shared" si="12"/>
        <v>1.206673473</v>
      </c>
      <c r="AG402" s="14">
        <f t="shared" si="13"/>
        <v>1.511377775</v>
      </c>
      <c r="AH402" s="14">
        <f t="shared" si="14"/>
        <v>1</v>
      </c>
      <c r="AI402" s="14">
        <f t="shared" si="15"/>
        <v>1.014441002</v>
      </c>
      <c r="AJ402" s="15">
        <f t="shared" si="16"/>
        <v>0</v>
      </c>
      <c r="AK402" s="15" t="str">
        <f t="shared" si="17"/>
        <v>  @CONFIG[S5.92] {
   %cost = 119
   @cost -= #$../../cost$
  }</v>
      </c>
    </row>
    <row r="403" ht="15.75" customHeight="1">
      <c r="A403" s="16" t="s">
        <v>742</v>
      </c>
      <c r="B403" s="16" t="s">
        <v>741</v>
      </c>
      <c r="C403" s="8">
        <f t="shared" si="1"/>
        <v>65</v>
      </c>
      <c r="D403" s="16">
        <v>2000.0</v>
      </c>
      <c r="E403" s="16" t="b">
        <v>1</v>
      </c>
      <c r="F403" s="16" t="b">
        <v>1</v>
      </c>
      <c r="G403" s="16" t="b">
        <v>0</v>
      </c>
      <c r="H403" s="16" t="b">
        <v>1</v>
      </c>
      <c r="I403" s="16" t="b">
        <v>0</v>
      </c>
      <c r="J403" s="9" t="b">
        <v>0</v>
      </c>
      <c r="K403" s="16">
        <v>600.0</v>
      </c>
      <c r="L403" s="16">
        <v>0.0</v>
      </c>
      <c r="M403" s="16">
        <v>80.0</v>
      </c>
      <c r="N403" s="16">
        <v>20.01</v>
      </c>
      <c r="O403" s="16">
        <v>333.4</v>
      </c>
      <c r="P403" s="16">
        <v>9.6</v>
      </c>
      <c r="Q403" s="16">
        <v>0.999455</v>
      </c>
      <c r="R403" s="16">
        <v>0.996237</v>
      </c>
      <c r="S403" s="19">
        <f t="shared" si="2"/>
        <v>600</v>
      </c>
      <c r="T403" s="19">
        <f t="shared" si="3"/>
        <v>25.5056517</v>
      </c>
      <c r="U403" s="20">
        <f t="shared" si="4"/>
        <v>5.665363838</v>
      </c>
      <c r="V403" s="17">
        <f t="shared" si="89"/>
        <v>113.3639304</v>
      </c>
      <c r="W403" s="21">
        <f t="shared" si="5"/>
        <v>4</v>
      </c>
      <c r="X403" s="21">
        <f t="shared" si="6"/>
        <v>566.819652</v>
      </c>
      <c r="Y403" s="21">
        <f t="shared" si="7"/>
        <v>28.32681919</v>
      </c>
      <c r="Z403" s="8">
        <f t="shared" si="19"/>
        <v>115.1430697</v>
      </c>
      <c r="AA403" s="8">
        <f t="shared" si="78"/>
        <v>184</v>
      </c>
      <c r="AB403" s="13">
        <f t="shared" si="9"/>
        <v>0.3066666667</v>
      </c>
      <c r="AC403" s="13">
        <f t="shared" si="10"/>
        <v>1.598011939</v>
      </c>
      <c r="AD403" s="13">
        <f>AA403/vlookup(A403,Max!$A$2:$AP$700,column(Max!$AP$2),false)</f>
        <v>5.935483871</v>
      </c>
      <c r="AE403" s="8">
        <f t="shared" si="11"/>
        <v>95.14423821</v>
      </c>
      <c r="AF403" s="14">
        <f t="shared" si="12"/>
        <v>1.264435522</v>
      </c>
      <c r="AG403" s="14">
        <f t="shared" si="13"/>
        <v>1.511377775</v>
      </c>
      <c r="AH403" s="14">
        <f t="shared" si="14"/>
        <v>1</v>
      </c>
      <c r="AI403" s="14">
        <f t="shared" si="15"/>
        <v>1.014441002</v>
      </c>
      <c r="AJ403" s="27">
        <f t="shared" si="16"/>
        <v>65</v>
      </c>
      <c r="AK403" s="15" t="str">
        <f t="shared" si="17"/>
        <v>  @CONFIG[S5.92-l.n.] {
   %cost = 184
   @cost -= #$../../cost$
  }</v>
      </c>
    </row>
    <row r="404" ht="15.75" customHeight="1">
      <c r="A404" s="7" t="s">
        <v>776</v>
      </c>
      <c r="B404" s="7" t="s">
        <v>775</v>
      </c>
      <c r="C404" s="8">
        <f t="shared" si="1"/>
        <v>124</v>
      </c>
      <c r="D404" s="7">
        <v>2000.0</v>
      </c>
      <c r="E404" s="7"/>
      <c r="F404" s="7" t="b">
        <v>1</v>
      </c>
      <c r="G404" s="7" t="b">
        <v>0</v>
      </c>
      <c r="H404" s="7" t="b">
        <v>0</v>
      </c>
      <c r="I404" s="7" t="b">
        <v>0</v>
      </c>
      <c r="J404" s="9" t="b">
        <v>0</v>
      </c>
      <c r="K404" s="7">
        <v>2200.0</v>
      </c>
      <c r="L404" s="7">
        <v>100.0</v>
      </c>
      <c r="M404" s="7">
        <v>3065.0</v>
      </c>
      <c r="N404" s="7">
        <v>3273.0</v>
      </c>
      <c r="O404" s="7">
        <v>318.4</v>
      </c>
      <c r="P404" s="7">
        <v>11.49</v>
      </c>
      <c r="Q404" s="7">
        <v>0.99995</v>
      </c>
      <c r="R404" s="7">
        <v>0.99995</v>
      </c>
      <c r="S404" s="10">
        <f t="shared" si="2"/>
        <v>2300</v>
      </c>
      <c r="T404" s="10">
        <f t="shared" si="3"/>
        <v>108.891718</v>
      </c>
      <c r="U404" s="11">
        <f t="shared" si="4"/>
        <v>0.301364541</v>
      </c>
      <c r="V404" s="8">
        <f t="shared" si="89"/>
        <v>986.3661426</v>
      </c>
      <c r="W404" s="12">
        <f t="shared" si="5"/>
        <v>4</v>
      </c>
      <c r="X404" s="12">
        <f t="shared" si="6"/>
        <v>4931.830713</v>
      </c>
      <c r="Y404" s="12">
        <f t="shared" si="7"/>
        <v>1.506822705</v>
      </c>
      <c r="Z404" s="8">
        <f t="shared" si="19"/>
        <v>1005.994831</v>
      </c>
      <c r="AA404" s="8">
        <f t="shared" si="78"/>
        <v>1324</v>
      </c>
      <c r="AB404" s="13">
        <f t="shared" si="9"/>
        <v>0.5756521739</v>
      </c>
      <c r="AC404" s="13">
        <f t="shared" si="10"/>
        <v>1.316110142</v>
      </c>
      <c r="AD404" s="13">
        <f>AA404/vlookup(A404,Max!$A$2:$AP$700,column(Max!$AP$2),false)</f>
        <v>0.9131034483</v>
      </c>
      <c r="AE404" s="8">
        <f t="shared" si="11"/>
        <v>621.5325831</v>
      </c>
      <c r="AF404" s="14">
        <f t="shared" si="12"/>
        <v>1.134683562</v>
      </c>
      <c r="AG404" s="14">
        <f t="shared" si="13"/>
        <v>1.830537713</v>
      </c>
      <c r="AH404" s="14">
        <f t="shared" si="14"/>
        <v>1</v>
      </c>
      <c r="AI404" s="14">
        <f t="shared" si="15"/>
        <v>1.025315978</v>
      </c>
      <c r="AJ404" s="27">
        <f t="shared" si="16"/>
        <v>124</v>
      </c>
      <c r="AK404" s="15" t="str">
        <f t="shared" si="17"/>
        <v>  @CONFIG[STBE-1B] {
   %cost = 1324
   @cost -= #$../../cost$
  }</v>
      </c>
    </row>
    <row r="405" ht="15.75" customHeight="1">
      <c r="A405" s="16" t="s">
        <v>777</v>
      </c>
      <c r="B405" s="16" t="s">
        <v>775</v>
      </c>
      <c r="C405" s="8">
        <f t="shared" si="1"/>
        <v>516</v>
      </c>
      <c r="D405" s="16">
        <v>2000.0</v>
      </c>
      <c r="E405" s="16"/>
      <c r="F405" s="16" t="b">
        <v>1</v>
      </c>
      <c r="G405" s="16" t="b">
        <v>0</v>
      </c>
      <c r="H405" s="16" t="b">
        <v>0</v>
      </c>
      <c r="I405" s="16" t="b">
        <v>0</v>
      </c>
      <c r="J405" s="9" t="b">
        <v>0</v>
      </c>
      <c r="K405" s="16">
        <v>2200.0</v>
      </c>
      <c r="L405" s="16">
        <v>0.0</v>
      </c>
      <c r="M405" s="16">
        <v>3016.0</v>
      </c>
      <c r="N405" s="16">
        <v>3172.0</v>
      </c>
      <c r="O405" s="16">
        <v>341.5</v>
      </c>
      <c r="P405" s="16">
        <v>16.08</v>
      </c>
      <c r="Q405" s="16">
        <v>0.99995</v>
      </c>
      <c r="R405" s="16">
        <v>0.99995</v>
      </c>
      <c r="S405" s="19">
        <f t="shared" si="2"/>
        <v>2200</v>
      </c>
      <c r="T405" s="19">
        <f t="shared" si="3"/>
        <v>107.2460152</v>
      </c>
      <c r="U405" s="20">
        <f t="shared" si="4"/>
        <v>0.3297170034</v>
      </c>
      <c r="V405" s="17">
        <f t="shared" si="89"/>
        <v>1045.862335</v>
      </c>
      <c r="W405" s="21">
        <f t="shared" si="5"/>
        <v>4</v>
      </c>
      <c r="X405" s="21">
        <f t="shared" si="6"/>
        <v>5229.311675</v>
      </c>
      <c r="Y405" s="21">
        <f t="shared" si="7"/>
        <v>1.648585017</v>
      </c>
      <c r="Z405" s="8">
        <f t="shared" si="19"/>
        <v>1066.674998</v>
      </c>
      <c r="AA405" s="8">
        <f t="shared" si="78"/>
        <v>1716</v>
      </c>
      <c r="AB405" s="13">
        <f t="shared" si="9"/>
        <v>0.78</v>
      </c>
      <c r="AC405" s="13">
        <f t="shared" si="10"/>
        <v>1.608737435</v>
      </c>
      <c r="AD405" s="13">
        <f>AA405/vlookup(A405,Max!$A$2:$AP$700,column(Max!$AP$2),false)</f>
        <v>0.9031578947</v>
      </c>
      <c r="AE405" s="8">
        <f t="shared" si="11"/>
        <v>615.3359039</v>
      </c>
      <c r="AF405" s="14">
        <f t="shared" si="12"/>
        <v>1.343095174</v>
      </c>
      <c r="AG405" s="14">
        <f t="shared" si="13"/>
        <v>2.024736376</v>
      </c>
      <c r="AH405" s="14">
        <f t="shared" si="14"/>
        <v>1</v>
      </c>
      <c r="AI405" s="14">
        <f t="shared" si="15"/>
        <v>1.025315978</v>
      </c>
      <c r="AJ405" s="27">
        <f t="shared" si="16"/>
        <v>516</v>
      </c>
      <c r="AK405" s="15" t="str">
        <f t="shared" si="17"/>
        <v>  @CONFIG[STBE-3] {
   %cost = 1716
   @cost -= #$../../cost$
  }</v>
      </c>
    </row>
    <row r="406" ht="15.75" customHeight="1">
      <c r="A406" s="7" t="s">
        <v>237</v>
      </c>
      <c r="B406" s="7" t="s">
        <v>235</v>
      </c>
      <c r="C406" s="8">
        <f t="shared" si="1"/>
        <v>64</v>
      </c>
      <c r="D406" s="7">
        <v>2001.0</v>
      </c>
      <c r="E406" s="7" t="b">
        <v>1</v>
      </c>
      <c r="F406" s="7" t="b">
        <v>1</v>
      </c>
      <c r="G406" s="7" t="b">
        <v>0</v>
      </c>
      <c r="H406" s="7" t="b">
        <v>1</v>
      </c>
      <c r="I406" s="7" t="b">
        <v>0</v>
      </c>
      <c r="J406" s="9" t="b">
        <v>0</v>
      </c>
      <c r="K406" s="7">
        <v>2650.0</v>
      </c>
      <c r="L406" s="7">
        <v>-650.0</v>
      </c>
      <c r="M406" s="7">
        <v>285.0</v>
      </c>
      <c r="N406" s="7">
        <v>137.2</v>
      </c>
      <c r="O406" s="7">
        <v>446.8</v>
      </c>
      <c r="P406" s="7">
        <v>3.62</v>
      </c>
      <c r="Q406" s="7">
        <v>0.998598</v>
      </c>
      <c r="R406" s="7">
        <v>0.99</v>
      </c>
      <c r="S406" s="10">
        <f t="shared" si="2"/>
        <v>2000</v>
      </c>
      <c r="T406" s="10">
        <f t="shared" si="3"/>
        <v>49.08949614</v>
      </c>
      <c r="U406" s="11">
        <f t="shared" si="4"/>
        <v>6.381279042</v>
      </c>
      <c r="V406" s="8">
        <f t="shared" ref="V406:V408" si="90">0.9*(0.00015*M406*O406*P406+797)+0.1*(43.1*POWER(M406,0.549))</f>
        <v>875.5114846</v>
      </c>
      <c r="W406" s="12">
        <f t="shared" si="5"/>
        <v>4</v>
      </c>
      <c r="X406" s="12">
        <f t="shared" si="6"/>
        <v>4377.557423</v>
      </c>
      <c r="Y406" s="12">
        <f t="shared" si="7"/>
        <v>31.90639521</v>
      </c>
      <c r="Z406" s="8">
        <f t="shared" si="19"/>
        <v>883.051407</v>
      </c>
      <c r="AA406" s="8">
        <f t="shared" si="78"/>
        <v>716</v>
      </c>
      <c r="AB406" s="13">
        <f t="shared" si="9"/>
        <v>0.358</v>
      </c>
      <c r="AC406" s="13">
        <f t="shared" si="10"/>
        <v>0.8108248221</v>
      </c>
      <c r="AD406" s="13">
        <f>AA406/vlookup(A406,Max!$A$2:$AP$700,column(Max!$AP$2),false)</f>
        <v>2.16969697</v>
      </c>
      <c r="AE406" s="8">
        <f t="shared" si="11"/>
        <v>180.6344771</v>
      </c>
      <c r="AF406" s="14">
        <f t="shared" si="12"/>
        <v>3.275557557</v>
      </c>
      <c r="AG406" s="14">
        <f t="shared" si="13"/>
        <v>1.213588444</v>
      </c>
      <c r="AH406" s="14">
        <f t="shared" si="14"/>
        <v>1</v>
      </c>
      <c r="AI406" s="14">
        <f t="shared" si="15"/>
        <v>0.9964986846</v>
      </c>
      <c r="AJ406" s="27">
        <f t="shared" si="16"/>
        <v>64</v>
      </c>
      <c r="AK406" s="15" t="str">
        <f t="shared" si="17"/>
        <v>  @CONFIG[LE-5B] {
   %cost = 716
   @cost -= #$../../cost$
  }</v>
      </c>
    </row>
    <row r="407" ht="15.75" customHeight="1">
      <c r="A407" s="7" t="s">
        <v>242</v>
      </c>
      <c r="B407" s="7" t="s">
        <v>241</v>
      </c>
      <c r="C407" s="8">
        <f t="shared" si="1"/>
        <v>23</v>
      </c>
      <c r="D407" s="7">
        <v>2001.0</v>
      </c>
      <c r="E407" s="7" t="b">
        <v>1</v>
      </c>
      <c r="F407" s="7" t="b">
        <v>1</v>
      </c>
      <c r="G407" s="7" t="b">
        <v>0</v>
      </c>
      <c r="H407" s="7" t="b">
        <v>0</v>
      </c>
      <c r="I407" s="7" t="b">
        <v>0</v>
      </c>
      <c r="J407" s="9" t="b">
        <v>0</v>
      </c>
      <c r="K407" s="7">
        <v>3500.0</v>
      </c>
      <c r="L407" s="7">
        <v>-2000.0</v>
      </c>
      <c r="M407" s="7">
        <v>1715.0</v>
      </c>
      <c r="N407" s="7">
        <v>996.4</v>
      </c>
      <c r="O407" s="7">
        <v>438.0</v>
      </c>
      <c r="P407" s="7">
        <v>12.0</v>
      </c>
      <c r="Q407" s="7">
        <v>0.997458</v>
      </c>
      <c r="R407" s="7">
        <v>0.997458</v>
      </c>
      <c r="S407" s="10">
        <f t="shared" si="2"/>
        <v>1500</v>
      </c>
      <c r="T407" s="10">
        <f t="shared" si="3"/>
        <v>59.24461992</v>
      </c>
      <c r="U407" s="11">
        <f t="shared" si="4"/>
        <v>2.199204365</v>
      </c>
      <c r="V407" s="8">
        <f t="shared" si="90"/>
        <v>2191.287229</v>
      </c>
      <c r="W407" s="12">
        <f t="shared" si="5"/>
        <v>4</v>
      </c>
      <c r="X407" s="12">
        <f t="shared" si="6"/>
        <v>10956.43615</v>
      </c>
      <c r="Y407" s="12">
        <f t="shared" si="7"/>
        <v>10.99602183</v>
      </c>
      <c r="Z407" s="8">
        <f t="shared" si="19"/>
        <v>2223.986629</v>
      </c>
      <c r="AA407" s="8">
        <f t="shared" si="78"/>
        <v>2750</v>
      </c>
      <c r="AB407" s="13">
        <f t="shared" si="9"/>
        <v>1.833333333</v>
      </c>
      <c r="AC407" s="13">
        <f t="shared" si="10"/>
        <v>1.236518225</v>
      </c>
      <c r="AD407" s="13">
        <f>AA407/vlookup(A407,Max!$A$2:$AP$700,column(Max!$AP$2),false)</f>
        <v>2.2</v>
      </c>
      <c r="AE407" s="8">
        <f t="shared" si="11"/>
        <v>481.9214688</v>
      </c>
      <c r="AF407" s="14">
        <f t="shared" si="12"/>
        <v>3.019328309</v>
      </c>
      <c r="AG407" s="14">
        <f t="shared" si="13"/>
        <v>1.854543591</v>
      </c>
      <c r="AH407" s="14">
        <f t="shared" si="14"/>
        <v>1</v>
      </c>
      <c r="AI407" s="14">
        <f t="shared" si="15"/>
        <v>1.018939875</v>
      </c>
      <c r="AJ407" s="27">
        <f t="shared" si="16"/>
        <v>23</v>
      </c>
      <c r="AK407" s="15" t="str">
        <f t="shared" si="17"/>
        <v>  @CONFIG[LE-7A] {
   %cost = 2750
   @cost -= #$../../cost$
  }</v>
      </c>
    </row>
    <row r="408" ht="15.75" customHeight="1">
      <c r="A408" s="7" t="s">
        <v>460</v>
      </c>
      <c r="B408" s="7" t="s">
        <v>461</v>
      </c>
      <c r="C408" s="8">
        <f t="shared" si="1"/>
        <v>820</v>
      </c>
      <c r="D408" s="7">
        <v>2001.0</v>
      </c>
      <c r="E408" s="7" t="b">
        <v>1</v>
      </c>
      <c r="F408" s="7" t="b">
        <v>1</v>
      </c>
      <c r="G408" s="7" t="b">
        <v>0</v>
      </c>
      <c r="H408" s="7" t="b">
        <v>1</v>
      </c>
      <c r="I408" s="7" t="b">
        <v>0</v>
      </c>
      <c r="J408" s="9" t="b">
        <v>0</v>
      </c>
      <c r="K408" s="7">
        <v>1500.0</v>
      </c>
      <c r="L408" s="7">
        <v>0.0</v>
      </c>
      <c r="M408" s="7">
        <v>242.0</v>
      </c>
      <c r="N408" s="7">
        <v>98.1</v>
      </c>
      <c r="O408" s="7">
        <v>463.0</v>
      </c>
      <c r="P408" s="7">
        <v>7.92</v>
      </c>
      <c r="Q408" s="7">
        <v>0.9995</v>
      </c>
      <c r="R408" s="7">
        <v>0.9852</v>
      </c>
      <c r="S408" s="10">
        <f t="shared" si="2"/>
        <v>1500</v>
      </c>
      <c r="T408" s="10">
        <f t="shared" si="3"/>
        <v>41.33642984</v>
      </c>
      <c r="U408" s="11">
        <f t="shared" si="4"/>
        <v>9.427506899</v>
      </c>
      <c r="V408" s="8">
        <f t="shared" si="90"/>
        <v>924.8384268</v>
      </c>
      <c r="W408" s="12">
        <f t="shared" si="5"/>
        <v>4</v>
      </c>
      <c r="X408" s="12">
        <f t="shared" si="6"/>
        <v>4624.192134</v>
      </c>
      <c r="Y408" s="12">
        <f t="shared" si="7"/>
        <v>47.1375345</v>
      </c>
      <c r="Z408" s="8">
        <f t="shared" si="19"/>
        <v>929.1920112</v>
      </c>
      <c r="AA408" s="45">
        <v>820.0</v>
      </c>
      <c r="AB408" s="13">
        <f t="shared" si="9"/>
        <v>0.5466666667</v>
      </c>
      <c r="AC408" s="13">
        <f t="shared" si="10"/>
        <v>0.8824871395</v>
      </c>
      <c r="AD408" s="13">
        <f>AA408/vlookup(A408,Max!$A$2:$AP$700,column(Max!$AP$2),false)</f>
        <v>3.153846154</v>
      </c>
      <c r="AE408" s="8">
        <f t="shared" si="11"/>
        <v>165.9281086</v>
      </c>
      <c r="AF408" s="14">
        <f t="shared" si="12"/>
        <v>3.816914098</v>
      </c>
      <c r="AG408" s="14">
        <f t="shared" si="13"/>
        <v>1.447355347</v>
      </c>
      <c r="AH408" s="14">
        <f t="shared" si="14"/>
        <v>1</v>
      </c>
      <c r="AI408" s="14">
        <f t="shared" si="15"/>
        <v>0.9866883889</v>
      </c>
      <c r="AJ408" s="15">
        <f t="shared" si="16"/>
        <v>0</v>
      </c>
      <c r="AK408" s="15" t="str">
        <f t="shared" si="17"/>
        <v>  @CONFIG[RD-0146] {
   %cost = 820
   @cost -= #$../../cost$
  }</v>
      </c>
    </row>
    <row r="409" ht="15.75" customHeight="1">
      <c r="A409" s="16" t="s">
        <v>536</v>
      </c>
      <c r="B409" s="16" t="s">
        <v>1008</v>
      </c>
      <c r="C409" s="8">
        <f t="shared" si="1"/>
        <v>-26</v>
      </c>
      <c r="D409" s="16">
        <v>2001.0</v>
      </c>
      <c r="E409" s="16"/>
      <c r="F409" s="16" t="b">
        <v>1</v>
      </c>
      <c r="G409" s="16" t="b">
        <v>0</v>
      </c>
      <c r="H409" s="16" t="b">
        <v>0</v>
      </c>
      <c r="I409" s="16" t="b">
        <v>0</v>
      </c>
      <c r="J409" s="9" t="b">
        <v>0</v>
      </c>
      <c r="K409" s="16">
        <v>470.0</v>
      </c>
      <c r="L409" s="16">
        <v>90.0</v>
      </c>
      <c r="M409" s="16">
        <v>1090.0</v>
      </c>
      <c r="N409" s="16">
        <v>1019.89</v>
      </c>
      <c r="O409" s="16">
        <v>319.99</v>
      </c>
      <c r="P409" s="16">
        <v>6.0</v>
      </c>
      <c r="Q409" s="16">
        <v>0.99966</v>
      </c>
      <c r="R409" s="16">
        <v>0.99966</v>
      </c>
      <c r="S409" s="19">
        <f t="shared" si="2"/>
        <v>560</v>
      </c>
      <c r="T409" s="19">
        <f t="shared" si="3"/>
        <v>95.41269407</v>
      </c>
      <c r="U409" s="20">
        <f t="shared" si="4"/>
        <v>0.4898184412</v>
      </c>
      <c r="V409" s="17">
        <f t="shared" ref="V409:V410" si="91">0.2*(8.17*POWER(M409*P409,0.46))+0.8*(0.146*POWER(M409*O409,0.639))</f>
        <v>499.56093</v>
      </c>
      <c r="W409" s="21">
        <f t="shared" si="5"/>
        <v>4</v>
      </c>
      <c r="X409" s="21">
        <f t="shared" si="6"/>
        <v>2497.80465</v>
      </c>
      <c r="Y409" s="21">
        <f t="shared" si="7"/>
        <v>2.449092206</v>
      </c>
      <c r="Z409" s="8">
        <f t="shared" si="19"/>
        <v>509.2125049</v>
      </c>
      <c r="AA409" s="8">
        <f t="shared" ref="AA409:AA416" si="92">round(AE409*AF409*AG409*AH409*AI409,0)</f>
        <v>580</v>
      </c>
      <c r="AB409" s="13">
        <f t="shared" si="9"/>
        <v>1.035714286</v>
      </c>
      <c r="AC409" s="13">
        <f t="shared" si="10"/>
        <v>1.139013662</v>
      </c>
      <c r="AD409" s="13">
        <f>AA409/vlookup(A409,Max!$A$2:$AP$700,column(Max!$AP$2),false)</f>
        <v>2</v>
      </c>
      <c r="AE409" s="8">
        <f t="shared" si="11"/>
        <v>327.6082167</v>
      </c>
      <c r="AF409" s="14">
        <f t="shared" si="12"/>
        <v>1.147529316</v>
      </c>
      <c r="AG409" s="14">
        <f t="shared" si="13"/>
        <v>1.506357476</v>
      </c>
      <c r="AH409" s="14">
        <f t="shared" si="14"/>
        <v>1</v>
      </c>
      <c r="AI409" s="14">
        <f t="shared" si="15"/>
        <v>1.024572749</v>
      </c>
      <c r="AJ409" s="27">
        <f t="shared" si="16"/>
        <v>-26</v>
      </c>
      <c r="AK409" s="15" t="str">
        <f t="shared" si="17"/>
        <v>  @CONFIG[RD-107A-14D22] {
   %cost = 580
   @cost -= #$../../cost$
  }</v>
      </c>
    </row>
    <row r="410" ht="15.75" customHeight="1">
      <c r="A410" s="16" t="s">
        <v>547</v>
      </c>
      <c r="B410" s="16" t="s">
        <v>1009</v>
      </c>
      <c r="C410" s="8">
        <f t="shared" si="1"/>
        <v>-60</v>
      </c>
      <c r="D410" s="16">
        <v>2001.0</v>
      </c>
      <c r="E410" s="16"/>
      <c r="F410" s="16" t="b">
        <v>1</v>
      </c>
      <c r="G410" s="16" t="b">
        <v>0</v>
      </c>
      <c r="H410" s="16" t="b">
        <v>0</v>
      </c>
      <c r="I410" s="16" t="b">
        <v>0</v>
      </c>
      <c r="J410" s="9" t="b">
        <v>0</v>
      </c>
      <c r="K410" s="16">
        <v>450.0</v>
      </c>
      <c r="L410" s="16">
        <v>90.0</v>
      </c>
      <c r="M410" s="16">
        <v>1075.0</v>
      </c>
      <c r="N410" s="16">
        <v>990.47</v>
      </c>
      <c r="O410" s="16">
        <v>320.39</v>
      </c>
      <c r="P410" s="16">
        <v>5.44</v>
      </c>
      <c r="Q410" s="16">
        <v>0.99966</v>
      </c>
      <c r="R410" s="16">
        <v>0.99966</v>
      </c>
      <c r="S410" s="19">
        <f t="shared" si="2"/>
        <v>540</v>
      </c>
      <c r="T410" s="19">
        <f t="shared" si="3"/>
        <v>93.95333158</v>
      </c>
      <c r="U410" s="20">
        <f t="shared" si="4"/>
        <v>0.4963662193</v>
      </c>
      <c r="V410" s="17">
        <f t="shared" si="91"/>
        <v>491.6358492</v>
      </c>
      <c r="W410" s="21">
        <f t="shared" si="5"/>
        <v>4</v>
      </c>
      <c r="X410" s="21">
        <f t="shared" si="6"/>
        <v>2458.179246</v>
      </c>
      <c r="Y410" s="21">
        <f t="shared" si="7"/>
        <v>2.481831096</v>
      </c>
      <c r="Z410" s="8">
        <f t="shared" si="19"/>
        <v>501.1343106</v>
      </c>
      <c r="AA410" s="8">
        <f t="shared" si="92"/>
        <v>560</v>
      </c>
      <c r="AB410" s="13">
        <f t="shared" si="9"/>
        <v>1.037037037</v>
      </c>
      <c r="AC410" s="13">
        <f t="shared" si="10"/>
        <v>1.117464895</v>
      </c>
      <c r="AD410" s="13">
        <f>AA410/vlookup(A410,Max!$A$2:$AP$700,column(Max!$AP$2),false)</f>
        <v>1.473684211</v>
      </c>
      <c r="AE410" s="8">
        <f t="shared" si="11"/>
        <v>324.8197908</v>
      </c>
      <c r="AF410" s="14">
        <f t="shared" si="12"/>
        <v>1.150793336</v>
      </c>
      <c r="AG410" s="14">
        <f t="shared" si="13"/>
        <v>1.462723848</v>
      </c>
      <c r="AH410" s="14">
        <f t="shared" si="14"/>
        <v>1</v>
      </c>
      <c r="AI410" s="14">
        <f t="shared" si="15"/>
        <v>1.024572749</v>
      </c>
      <c r="AJ410" s="27">
        <f t="shared" si="16"/>
        <v>-60</v>
      </c>
      <c r="AK410" s="15" t="str">
        <f t="shared" si="17"/>
        <v>  @CONFIG[RD-108A-14D21] {
   %cost = 560
   @cost -= #$../../cost$
  }</v>
      </c>
    </row>
    <row r="411" ht="15.75" customHeight="1">
      <c r="A411" s="16" t="s">
        <v>1053</v>
      </c>
      <c r="B411" s="16" t="s">
        <v>752</v>
      </c>
      <c r="C411" s="8">
        <f t="shared" si="1"/>
        <v>158</v>
      </c>
      <c r="D411" s="16">
        <v>2001.0</v>
      </c>
      <c r="E411" s="16" t="b">
        <v>1</v>
      </c>
      <c r="F411" s="16" t="b">
        <v>1</v>
      </c>
      <c r="G411" s="16" t="b">
        <v>0</v>
      </c>
      <c r="H411" s="16" t="b">
        <v>0</v>
      </c>
      <c r="I411" s="16" t="b">
        <v>0</v>
      </c>
      <c r="J411" s="9" t="b">
        <v>0</v>
      </c>
      <c r="K411" s="16">
        <v>6077.0</v>
      </c>
      <c r="L411" s="16">
        <v>0.0</v>
      </c>
      <c r="M411" s="16">
        <v>3753.0</v>
      </c>
      <c r="N411" s="16">
        <v>2319.9</v>
      </c>
      <c r="O411" s="16">
        <v>452.3</v>
      </c>
      <c r="P411" s="16">
        <v>21.02</v>
      </c>
      <c r="Q411" s="16">
        <v>0.998404</v>
      </c>
      <c r="R411" s="16">
        <v>0.998404</v>
      </c>
      <c r="S411" s="19">
        <f t="shared" si="2"/>
        <v>6077</v>
      </c>
      <c r="T411" s="19">
        <f t="shared" si="3"/>
        <v>63.03329698</v>
      </c>
      <c r="U411" s="20">
        <f t="shared" si="4"/>
        <v>2.555902875</v>
      </c>
      <c r="V411" s="17">
        <f t="shared" ref="V411:V414" si="93">0.9*(0.00015*M411*O411*P411+797)+0.1*(43.1*POWER(M411,0.549))</f>
        <v>5929.439079</v>
      </c>
      <c r="W411" s="21">
        <f t="shared" si="5"/>
        <v>4</v>
      </c>
      <c r="X411" s="21">
        <f t="shared" si="6"/>
        <v>29647.19539</v>
      </c>
      <c r="Y411" s="21">
        <f t="shared" si="7"/>
        <v>12.77951437</v>
      </c>
      <c r="Z411" s="8">
        <f t="shared" si="19"/>
        <v>6029.116195</v>
      </c>
      <c r="AA411" s="8">
        <f t="shared" si="92"/>
        <v>5862</v>
      </c>
      <c r="AB411" s="13">
        <f t="shared" si="9"/>
        <v>0.964620701</v>
      </c>
      <c r="AC411" s="13">
        <f t="shared" si="10"/>
        <v>0.972281809</v>
      </c>
      <c r="AD411" s="13">
        <f>AA411/vlookup(A411,Max!$A$2:$AP$700,column(Max!$AP$2),false)</f>
        <v>1.4655</v>
      </c>
      <c r="AE411" s="8">
        <f t="shared" si="11"/>
        <v>758.4931164</v>
      </c>
      <c r="AF411" s="14">
        <f t="shared" si="12"/>
        <v>3.448657097</v>
      </c>
      <c r="AG411" s="14">
        <f t="shared" si="13"/>
        <v>2.19418118</v>
      </c>
      <c r="AH411" s="14">
        <f t="shared" si="14"/>
        <v>1</v>
      </c>
      <c r="AI411" s="14">
        <f t="shared" si="15"/>
        <v>1.021357528</v>
      </c>
      <c r="AJ411" s="27">
        <f t="shared" si="16"/>
        <v>158</v>
      </c>
      <c r="AK411" s="15" t="str">
        <f t="shared" si="17"/>
        <v>  @CONFIG[RS-25D] {
   %cost = 5862
   @cost -= #$../../cost$
  }</v>
      </c>
    </row>
    <row r="412" ht="15.75" customHeight="1">
      <c r="A412" s="7" t="s">
        <v>1054</v>
      </c>
      <c r="B412" s="7" t="s">
        <v>752</v>
      </c>
      <c r="C412" s="8">
        <f t="shared" si="1"/>
        <v>1551</v>
      </c>
      <c r="D412" s="7">
        <v>2001.0</v>
      </c>
      <c r="E412" s="7" t="b">
        <v>1</v>
      </c>
      <c r="F412" s="7" t="b">
        <v>1</v>
      </c>
      <c r="G412" s="7" t="b">
        <v>0</v>
      </c>
      <c r="H412" s="7" t="b">
        <v>0</v>
      </c>
      <c r="I412" s="7" t="b">
        <v>0</v>
      </c>
      <c r="J412" s="9" t="b">
        <v>0</v>
      </c>
      <c r="K412" s="7">
        <v>6077.0</v>
      </c>
      <c r="L412" s="7">
        <v>0.0</v>
      </c>
      <c r="M412" s="7">
        <v>4686.0</v>
      </c>
      <c r="N412" s="7">
        <v>2364.5</v>
      </c>
      <c r="O412" s="7">
        <v>461.0</v>
      </c>
      <c r="P412" s="7">
        <v>21.02</v>
      </c>
      <c r="Q412" s="7">
        <v>0.998404</v>
      </c>
      <c r="R412" s="7">
        <v>0.998404</v>
      </c>
      <c r="S412" s="10">
        <f t="shared" si="2"/>
        <v>6077</v>
      </c>
      <c r="T412" s="10">
        <f t="shared" si="3"/>
        <v>51.45367005</v>
      </c>
      <c r="U412" s="11">
        <f t="shared" si="4"/>
        <v>3.084734307</v>
      </c>
      <c r="V412" s="8">
        <f t="shared" si="93"/>
        <v>7293.854269</v>
      </c>
      <c r="W412" s="12">
        <f t="shared" si="5"/>
        <v>4</v>
      </c>
      <c r="X412" s="12">
        <f t="shared" si="6"/>
        <v>36469.27135</v>
      </c>
      <c r="Y412" s="12">
        <f t="shared" si="7"/>
        <v>15.42367154</v>
      </c>
      <c r="Z412" s="8">
        <f t="shared" si="19"/>
        <v>7416.467951</v>
      </c>
      <c r="AA412" s="8">
        <f t="shared" si="92"/>
        <v>7255</v>
      </c>
      <c r="AB412" s="13">
        <f t="shared" si="9"/>
        <v>1.193845648</v>
      </c>
      <c r="AC412" s="13">
        <f t="shared" si="10"/>
        <v>0.978228457</v>
      </c>
      <c r="AD412" s="13">
        <f>AA412/vlookup(A412,Max!$A$2:$AP$700,column(Max!$AP$2),false)</f>
        <v>1.511458333</v>
      </c>
      <c r="AE412" s="8">
        <f t="shared" si="11"/>
        <v>864.5408102</v>
      </c>
      <c r="AF412" s="14">
        <f t="shared" si="12"/>
        <v>3.744738719</v>
      </c>
      <c r="AG412" s="14">
        <f t="shared" si="13"/>
        <v>2.19418118</v>
      </c>
      <c r="AH412" s="14">
        <f t="shared" si="14"/>
        <v>1</v>
      </c>
      <c r="AI412" s="14">
        <f t="shared" si="15"/>
        <v>1.021357528</v>
      </c>
      <c r="AJ412" s="27">
        <f t="shared" si="16"/>
        <v>1551</v>
      </c>
      <c r="AK412" s="15" t="str">
        <f t="shared" si="17"/>
        <v>  @CONFIG[RS-25D-150] {
   %cost = 7255
   @cost -= #$../../cost$
  }</v>
      </c>
    </row>
    <row r="413" ht="15.75" customHeight="1">
      <c r="A413" s="16" t="s">
        <v>1055</v>
      </c>
      <c r="B413" s="16" t="s">
        <v>752</v>
      </c>
      <c r="C413" s="8">
        <f t="shared" si="1"/>
        <v>-507</v>
      </c>
      <c r="D413" s="16">
        <v>2001.0</v>
      </c>
      <c r="E413" s="16" t="b">
        <v>1</v>
      </c>
      <c r="F413" s="16" t="b">
        <v>1</v>
      </c>
      <c r="G413" s="16" t="b">
        <v>0</v>
      </c>
      <c r="H413" s="16" t="b">
        <v>0</v>
      </c>
      <c r="I413" s="16" t="b">
        <v>0</v>
      </c>
      <c r="J413" s="9" t="b">
        <v>0</v>
      </c>
      <c r="K413" s="16">
        <v>6077.0</v>
      </c>
      <c r="L413" s="16">
        <v>0.0</v>
      </c>
      <c r="M413" s="16">
        <v>3589.0</v>
      </c>
      <c r="N413" s="16">
        <v>2268.1</v>
      </c>
      <c r="O413" s="16">
        <v>442.2</v>
      </c>
      <c r="P413" s="16">
        <v>21.02</v>
      </c>
      <c r="Q413" s="16">
        <v>0.998404</v>
      </c>
      <c r="R413" s="16">
        <v>0.998404</v>
      </c>
      <c r="S413" s="19">
        <f t="shared" si="2"/>
        <v>6077</v>
      </c>
      <c r="T413" s="19">
        <f t="shared" si="3"/>
        <v>64.44185946</v>
      </c>
      <c r="U413" s="20">
        <f t="shared" si="4"/>
        <v>2.471895683</v>
      </c>
      <c r="V413" s="17">
        <f t="shared" si="93"/>
        <v>5606.5066</v>
      </c>
      <c r="W413" s="21">
        <f t="shared" si="5"/>
        <v>4</v>
      </c>
      <c r="X413" s="21">
        <f t="shared" si="6"/>
        <v>28032.533</v>
      </c>
      <c r="Y413" s="21">
        <f t="shared" si="7"/>
        <v>12.35947842</v>
      </c>
      <c r="Z413" s="8">
        <f t="shared" si="19"/>
        <v>5700.755044</v>
      </c>
      <c r="AA413" s="8">
        <f t="shared" si="92"/>
        <v>5197</v>
      </c>
      <c r="AB413" s="13">
        <f t="shared" si="9"/>
        <v>0.8551917064</v>
      </c>
      <c r="AC413" s="13">
        <f t="shared" si="10"/>
        <v>0.9116336275</v>
      </c>
      <c r="AD413" s="13">
        <f>AA413/vlookup(A413,Max!$A$2:$AP$700,column(Max!$AP$2),false)</f>
        <v>1.29925</v>
      </c>
      <c r="AE413" s="8">
        <f t="shared" si="11"/>
        <v>738.8619639</v>
      </c>
      <c r="AF413" s="14">
        <f t="shared" si="12"/>
        <v>3.138561055</v>
      </c>
      <c r="AG413" s="14">
        <f t="shared" si="13"/>
        <v>2.19418118</v>
      </c>
      <c r="AH413" s="14">
        <f t="shared" si="14"/>
        <v>1</v>
      </c>
      <c r="AI413" s="14">
        <f t="shared" si="15"/>
        <v>1.021357528</v>
      </c>
      <c r="AJ413" s="27">
        <f t="shared" si="16"/>
        <v>-507</v>
      </c>
      <c r="AK413" s="15" t="str">
        <f t="shared" si="17"/>
        <v>  @CONFIG[RS-25D-35] {
   %cost = 5197
   @cost -= #$../../cost$
  }</v>
      </c>
    </row>
    <row r="414" ht="15.75" customHeight="1">
      <c r="A414" s="7" t="s">
        <v>1056</v>
      </c>
      <c r="B414" s="7" t="s">
        <v>752</v>
      </c>
      <c r="C414" s="8">
        <f t="shared" si="1"/>
        <v>-199</v>
      </c>
      <c r="D414" s="7">
        <v>2001.0</v>
      </c>
      <c r="E414" s="7" t="b">
        <v>1</v>
      </c>
      <c r="F414" s="7" t="b">
        <v>1</v>
      </c>
      <c r="G414" s="7" t="b">
        <v>0</v>
      </c>
      <c r="H414" s="7" t="b">
        <v>0</v>
      </c>
      <c r="I414" s="7" t="b">
        <v>0</v>
      </c>
      <c r="J414" s="9" t="b">
        <v>0</v>
      </c>
      <c r="K414" s="7">
        <v>6077.0</v>
      </c>
      <c r="L414" s="7">
        <v>0.0</v>
      </c>
      <c r="M414" s="7">
        <v>3664.0</v>
      </c>
      <c r="N414" s="7">
        <v>2293.2</v>
      </c>
      <c r="O414" s="7">
        <v>447.1</v>
      </c>
      <c r="P414" s="7">
        <v>21.02</v>
      </c>
      <c r="Q414" s="7">
        <v>0.998404</v>
      </c>
      <c r="R414" s="7">
        <v>0.998404</v>
      </c>
      <c r="S414" s="10">
        <f t="shared" si="2"/>
        <v>6077</v>
      </c>
      <c r="T414" s="10">
        <f t="shared" si="3"/>
        <v>63.82132131</v>
      </c>
      <c r="U414" s="11">
        <f t="shared" si="4"/>
        <v>2.510016239</v>
      </c>
      <c r="V414" s="8">
        <f t="shared" si="93"/>
        <v>5755.969239</v>
      </c>
      <c r="W414" s="12">
        <f t="shared" si="5"/>
        <v>4</v>
      </c>
      <c r="X414" s="12">
        <f t="shared" si="6"/>
        <v>28779.8462</v>
      </c>
      <c r="Y414" s="12">
        <f t="shared" si="7"/>
        <v>12.5500812</v>
      </c>
      <c r="Z414" s="8">
        <f t="shared" si="19"/>
        <v>5852.730232</v>
      </c>
      <c r="AA414" s="8">
        <f t="shared" si="92"/>
        <v>5505</v>
      </c>
      <c r="AB414" s="13">
        <f t="shared" si="9"/>
        <v>0.9058746092</v>
      </c>
      <c r="AC414" s="13">
        <f t="shared" si="10"/>
        <v>0.9405866633</v>
      </c>
      <c r="AD414" s="13">
        <f>AA414/vlookup(A414,Max!$A$2:$AP$700,column(Max!$AP$2),false)</f>
        <v>1.342682927</v>
      </c>
      <c r="AE414" s="8">
        <f t="shared" si="11"/>
        <v>747.8810039</v>
      </c>
      <c r="AF414" s="14">
        <f t="shared" si="12"/>
        <v>3.284733195</v>
      </c>
      <c r="AG414" s="14">
        <f t="shared" si="13"/>
        <v>2.19418118</v>
      </c>
      <c r="AH414" s="14">
        <f t="shared" si="14"/>
        <v>1</v>
      </c>
      <c r="AI414" s="14">
        <f t="shared" si="15"/>
        <v>1.021357528</v>
      </c>
      <c r="AJ414" s="27">
        <f t="shared" si="16"/>
        <v>-199</v>
      </c>
      <c r="AK414" s="15" t="str">
        <f t="shared" si="17"/>
        <v>  @CONFIG[RS-25D-50] {
   %cost = 5505
   @cost -= #$../../cost$
  }</v>
      </c>
    </row>
    <row r="415" ht="15.75" customHeight="1">
      <c r="A415" s="7" t="s">
        <v>707</v>
      </c>
      <c r="B415" s="7" t="s">
        <v>708</v>
      </c>
      <c r="C415" s="8">
        <f t="shared" si="1"/>
        <v>2912</v>
      </c>
      <c r="D415" s="7">
        <v>2001.0</v>
      </c>
      <c r="E415" s="7"/>
      <c r="F415" s="7" t="b">
        <v>1</v>
      </c>
      <c r="G415" s="7" t="b">
        <v>0</v>
      </c>
      <c r="H415" s="7" t="b">
        <v>0</v>
      </c>
      <c r="I415" s="7" t="b">
        <v>0</v>
      </c>
      <c r="J415" s="9" t="b">
        <v>0</v>
      </c>
      <c r="K415" s="7">
        <v>3000.0</v>
      </c>
      <c r="L415" s="7">
        <v>0.0</v>
      </c>
      <c r="M415" s="7">
        <v>7087.0</v>
      </c>
      <c r="N415" s="7">
        <v>4378.81</v>
      </c>
      <c r="O415" s="7">
        <v>337.0</v>
      </c>
      <c r="P415" s="7">
        <v>19.31</v>
      </c>
      <c r="Q415" s="7"/>
      <c r="R415" s="7"/>
      <c r="S415" s="10">
        <f t="shared" si="2"/>
        <v>3000</v>
      </c>
      <c r="T415" s="10">
        <f t="shared" si="3"/>
        <v>63.00470633</v>
      </c>
      <c r="U415" s="11">
        <f t="shared" si="4"/>
        <v>0.4034729478</v>
      </c>
      <c r="V415" s="8">
        <f t="shared" ref="V415:V417" si="94">0.2*(8.17*POWER(M415*P415,0.46))+0.8*(0.146*POWER(M415*O415,0.639))</f>
        <v>1766.731378</v>
      </c>
      <c r="W415" s="12">
        <f t="shared" si="5"/>
        <v>4</v>
      </c>
      <c r="X415" s="12">
        <f t="shared" si="6"/>
        <v>8833.656892</v>
      </c>
      <c r="Y415" s="12">
        <f t="shared" si="7"/>
        <v>2.017364739</v>
      </c>
      <c r="Z415" s="8">
        <f t="shared" si="19"/>
        <v>1766.731378</v>
      </c>
      <c r="AA415" s="8">
        <f t="shared" si="92"/>
        <v>2912</v>
      </c>
      <c r="AB415" s="13">
        <f t="shared" si="9"/>
        <v>0.9706666667</v>
      </c>
      <c r="AC415" s="13">
        <f t="shared" si="10"/>
        <v>1.648241513</v>
      </c>
      <c r="AD415" s="13">
        <f>AA415/vlookup(A415,Max!$A$2:$AP$700,column(Max!$AP$2),false)</f>
        <v>1.213333333</v>
      </c>
      <c r="AE415" s="8">
        <f t="shared" si="11"/>
        <v>1048.23111</v>
      </c>
      <c r="AF415" s="14">
        <f t="shared" si="12"/>
        <v>1.298602073</v>
      </c>
      <c r="AG415" s="14">
        <f t="shared" si="13"/>
        <v>2.139032358</v>
      </c>
      <c r="AH415" s="14">
        <f t="shared" si="14"/>
        <v>1</v>
      </c>
      <c r="AI415" s="14">
        <f t="shared" si="15"/>
        <v>1</v>
      </c>
      <c r="AJ415" s="15">
        <f t="shared" si="16"/>
        <v>0</v>
      </c>
      <c r="AK415" s="15" t="str">
        <f t="shared" si="17"/>
        <v>  @CONFIG[RS-76] {
   %cost = 2912
   @cost -= #$../../cost$
  }</v>
      </c>
    </row>
    <row r="416" ht="15.75" customHeight="1">
      <c r="A416" s="16" t="s">
        <v>66</v>
      </c>
      <c r="B416" s="16" t="s">
        <v>54</v>
      </c>
      <c r="C416" s="8">
        <f t="shared" si="1"/>
        <v>101</v>
      </c>
      <c r="D416" s="16">
        <v>2002.0</v>
      </c>
      <c r="E416" s="16"/>
      <c r="F416" s="16" t="b">
        <v>1</v>
      </c>
      <c r="G416" s="16" t="b">
        <v>0</v>
      </c>
      <c r="H416" s="16" t="b">
        <v>1</v>
      </c>
      <c r="I416" s="16" t="b">
        <v>0</v>
      </c>
      <c r="J416" s="9" t="b">
        <v>0</v>
      </c>
      <c r="K416" s="16">
        <v>150.0</v>
      </c>
      <c r="L416" s="16">
        <v>100.0</v>
      </c>
      <c r="M416" s="16">
        <v>130.0</v>
      </c>
      <c r="N416" s="16">
        <v>67.5</v>
      </c>
      <c r="O416" s="16">
        <v>336.0</v>
      </c>
      <c r="P416" s="16">
        <v>4.95</v>
      </c>
      <c r="Q416" s="16">
        <v>0.9977</v>
      </c>
      <c r="R416" s="16">
        <v>0.9978</v>
      </c>
      <c r="S416" s="19">
        <f t="shared" si="2"/>
        <v>250</v>
      </c>
      <c r="T416" s="19">
        <f t="shared" si="3"/>
        <v>52.94680321</v>
      </c>
      <c r="U416" s="20">
        <f t="shared" si="4"/>
        <v>2.071018803</v>
      </c>
      <c r="V416" s="17">
        <f t="shared" si="94"/>
        <v>139.7937692</v>
      </c>
      <c r="W416" s="21">
        <f t="shared" si="5"/>
        <v>4</v>
      </c>
      <c r="X416" s="21">
        <f t="shared" si="6"/>
        <v>698.9688459</v>
      </c>
      <c r="Y416" s="21">
        <f t="shared" si="7"/>
        <v>10.35509401</v>
      </c>
      <c r="Z416" s="8">
        <f t="shared" si="19"/>
        <v>141.96128</v>
      </c>
      <c r="AA416" s="8">
        <f t="shared" si="92"/>
        <v>152</v>
      </c>
      <c r="AB416" s="13">
        <f t="shared" si="9"/>
        <v>0.608</v>
      </c>
      <c r="AC416" s="13">
        <f t="shared" si="10"/>
        <v>1.070714494</v>
      </c>
      <c r="AD416" s="13">
        <f>AA416/vlookup(A416,Max!$A$2:$AP$700,column(Max!$AP$2),false)</f>
        <v>2.576271186</v>
      </c>
      <c r="AE416" s="8">
        <f t="shared" si="11"/>
        <v>89.34083696</v>
      </c>
      <c r="AF416" s="14">
        <f t="shared" si="12"/>
        <v>1.288986506</v>
      </c>
      <c r="AG416" s="14">
        <f t="shared" si="13"/>
        <v>1.302111498</v>
      </c>
      <c r="AH416" s="14">
        <f t="shared" si="14"/>
        <v>1</v>
      </c>
      <c r="AI416" s="14">
        <f t="shared" si="15"/>
        <v>1.013959697</v>
      </c>
      <c r="AJ416" s="27">
        <f t="shared" si="16"/>
        <v>101</v>
      </c>
      <c r="AK416" s="15" t="str">
        <f t="shared" si="17"/>
        <v>  @CONFIG[Agena-2000] {
   %cost = 152
   @cost -= #$../../cost$
  }</v>
      </c>
    </row>
    <row r="417" ht="15.75" customHeight="1">
      <c r="A417" s="16" t="s">
        <v>563</v>
      </c>
      <c r="B417" s="16" t="s">
        <v>564</v>
      </c>
      <c r="C417" s="8">
        <f t="shared" si="1"/>
        <v>2100</v>
      </c>
      <c r="D417" s="16">
        <v>2002.0</v>
      </c>
      <c r="E417" s="16"/>
      <c r="F417" s="16" t="b">
        <v>1</v>
      </c>
      <c r="G417" s="16" t="b">
        <v>0</v>
      </c>
      <c r="H417" s="16" t="b">
        <v>0</v>
      </c>
      <c r="I417" s="16" t="b">
        <v>0</v>
      </c>
      <c r="J417" s="9" t="b">
        <v>0</v>
      </c>
      <c r="K417" s="16">
        <v>1240.0</v>
      </c>
      <c r="L417" s="16">
        <v>0.0</v>
      </c>
      <c r="M417" s="16">
        <v>5330.0</v>
      </c>
      <c r="N417" s="16">
        <v>4152.0</v>
      </c>
      <c r="O417" s="16">
        <v>338.4</v>
      </c>
      <c r="P417" s="16">
        <v>26.66</v>
      </c>
      <c r="Q417" s="16">
        <v>0.996354</v>
      </c>
      <c r="R417" s="16">
        <v>0.996354</v>
      </c>
      <c r="S417" s="19">
        <f t="shared" si="2"/>
        <v>1240</v>
      </c>
      <c r="T417" s="19">
        <f t="shared" si="3"/>
        <v>79.43455354</v>
      </c>
      <c r="U417" s="20">
        <f t="shared" si="4"/>
        <v>0.3721109048</v>
      </c>
      <c r="V417" s="17">
        <f t="shared" si="94"/>
        <v>1545.004477</v>
      </c>
      <c r="W417" s="21">
        <f t="shared" si="5"/>
        <v>4</v>
      </c>
      <c r="X417" s="21">
        <f t="shared" si="6"/>
        <v>7725.022383</v>
      </c>
      <c r="Y417" s="21">
        <f t="shared" si="7"/>
        <v>1.860554524</v>
      </c>
      <c r="Z417" s="8">
        <f t="shared" si="19"/>
        <v>1564.658932</v>
      </c>
      <c r="AA417" s="45">
        <v>2100.0</v>
      </c>
      <c r="AB417" s="13">
        <f t="shared" si="9"/>
        <v>1.693548387</v>
      </c>
      <c r="AC417" s="13">
        <f t="shared" si="10"/>
        <v>1.342145536</v>
      </c>
      <c r="AD417" s="13">
        <f>AA417/vlookup(A417,Max!$A$2:$AP$700,column(Max!$AP$2),false)</f>
        <v>1.4</v>
      </c>
      <c r="AE417" s="8">
        <f t="shared" si="11"/>
        <v>877.3241087</v>
      </c>
      <c r="AF417" s="14">
        <f t="shared" si="12"/>
        <v>1.312228086</v>
      </c>
      <c r="AG417" s="14">
        <f t="shared" si="13"/>
        <v>2.356354975</v>
      </c>
      <c r="AH417" s="14">
        <f t="shared" si="14"/>
        <v>1</v>
      </c>
      <c r="AI417" s="14">
        <f t="shared" si="15"/>
        <v>1.016122774</v>
      </c>
      <c r="AJ417" s="15">
        <f t="shared" si="16"/>
        <v>0</v>
      </c>
      <c r="AK417" s="15" t="str">
        <f t="shared" si="17"/>
        <v>  @CONFIG[RD-180] {
   %cost = 2100
   @cost -= #$../../cost$
  }</v>
      </c>
    </row>
    <row r="418" ht="15.75" customHeight="1">
      <c r="A418" s="16" t="s">
        <v>701</v>
      </c>
      <c r="B418" s="16" t="s">
        <v>702</v>
      </c>
      <c r="C418" s="8">
        <f t="shared" si="1"/>
        <v>3953</v>
      </c>
      <c r="D418" s="16">
        <v>2002.0</v>
      </c>
      <c r="E418" s="16" t="b">
        <v>1</v>
      </c>
      <c r="F418" s="16" t="b">
        <v>1</v>
      </c>
      <c r="G418" s="16" t="b">
        <v>0</v>
      </c>
      <c r="H418" s="16" t="b">
        <v>0</v>
      </c>
      <c r="I418" s="16" t="b">
        <v>0</v>
      </c>
      <c r="J418" s="9" t="b">
        <v>0</v>
      </c>
      <c r="K418" s="16">
        <v>2850.0</v>
      </c>
      <c r="L418" s="16">
        <v>0.0</v>
      </c>
      <c r="M418" s="16">
        <v>5500.0</v>
      </c>
      <c r="N418" s="16">
        <v>3313.9</v>
      </c>
      <c r="O418" s="16">
        <v>410.0</v>
      </c>
      <c r="P418" s="16">
        <v>9.73</v>
      </c>
      <c r="Q418" s="16">
        <v>0.996512</v>
      </c>
      <c r="R418" s="16">
        <v>0.996512</v>
      </c>
      <c r="S418" s="19">
        <f t="shared" si="2"/>
        <v>2850</v>
      </c>
      <c r="T418" s="19">
        <f t="shared" si="3"/>
        <v>61.4406827</v>
      </c>
      <c r="U418" s="20">
        <f t="shared" si="4"/>
        <v>1.257374192</v>
      </c>
      <c r="V418" s="17">
        <f t="shared" ref="V418:V420" si="95">0.9*(0.00015*M418*O418*P418+797)+0.1*(43.1*POWER(M418,0.549))</f>
        <v>4166.812335</v>
      </c>
      <c r="W418" s="21">
        <f t="shared" si="5"/>
        <v>4</v>
      </c>
      <c r="X418" s="21">
        <f t="shared" si="6"/>
        <v>20834.06167</v>
      </c>
      <c r="Y418" s="21">
        <f t="shared" si="7"/>
        <v>6.28687096</v>
      </c>
      <c r="Z418" s="8">
        <f t="shared" si="19"/>
        <v>4221.131592</v>
      </c>
      <c r="AA418" s="8">
        <f t="shared" ref="AA418:AA427" si="96">round(AE418*AF418*AG418*AH418*AI418,0)</f>
        <v>3953</v>
      </c>
      <c r="AB418" s="13">
        <f t="shared" si="9"/>
        <v>1.387017544</v>
      </c>
      <c r="AC418" s="13">
        <f t="shared" si="10"/>
        <v>0.9364787412</v>
      </c>
      <c r="AD418" s="13">
        <f>AA418/vlookup(A418,Max!$A$2:$AP$700,column(Max!$AP$2),false)</f>
        <v>1.363103448</v>
      </c>
      <c r="AE418" s="8">
        <f t="shared" si="11"/>
        <v>950.6683174</v>
      </c>
      <c r="AF418" s="14">
        <f t="shared" si="12"/>
        <v>2.348611116</v>
      </c>
      <c r="AG418" s="14">
        <f t="shared" si="13"/>
        <v>1.741472113</v>
      </c>
      <c r="AH418" s="14">
        <f t="shared" si="14"/>
        <v>1</v>
      </c>
      <c r="AI418" s="14">
        <f t="shared" si="15"/>
        <v>1.016525659</v>
      </c>
      <c r="AJ418" s="15">
        <f t="shared" si="16"/>
        <v>0</v>
      </c>
      <c r="AK418" s="15" t="str">
        <f t="shared" si="17"/>
        <v>  @CONFIG[RS-68] {
   %cost = 3953
   @cost -= #$../../cost$
  }</v>
      </c>
    </row>
    <row r="419" ht="15.75" customHeight="1">
      <c r="A419" s="7" t="s">
        <v>818</v>
      </c>
      <c r="B419" s="7" t="s">
        <v>817</v>
      </c>
      <c r="C419" s="8">
        <f t="shared" si="1"/>
        <v>561</v>
      </c>
      <c r="D419" s="7">
        <v>2002.0</v>
      </c>
      <c r="E419" s="7" t="b">
        <v>1</v>
      </c>
      <c r="F419" s="7" t="b">
        <v>1</v>
      </c>
      <c r="G419" s="7" t="b">
        <v>0</v>
      </c>
      <c r="H419" s="7" t="b">
        <v>0</v>
      </c>
      <c r="I419" s="7" t="b">
        <v>0</v>
      </c>
      <c r="J419" s="9" t="b">
        <v>0</v>
      </c>
      <c r="K419" s="7">
        <v>1600.0</v>
      </c>
      <c r="L419" s="7">
        <v>0.0</v>
      </c>
      <c r="M419" s="7">
        <v>1800.0</v>
      </c>
      <c r="N419" s="7">
        <v>1350.0</v>
      </c>
      <c r="O419" s="7">
        <v>433.0</v>
      </c>
      <c r="P419" s="7">
        <v>11.5</v>
      </c>
      <c r="Q419" s="7">
        <v>0.995977</v>
      </c>
      <c r="R419" s="7">
        <v>0.995977</v>
      </c>
      <c r="S419" s="10">
        <f t="shared" si="2"/>
        <v>1600</v>
      </c>
      <c r="T419" s="10">
        <f t="shared" si="3"/>
        <v>76.47871575</v>
      </c>
      <c r="U419" s="11">
        <f t="shared" si="4"/>
        <v>1.623206971</v>
      </c>
      <c r="V419" s="8">
        <f t="shared" si="95"/>
        <v>2191.329411</v>
      </c>
      <c r="W419" s="12">
        <f t="shared" si="5"/>
        <v>4</v>
      </c>
      <c r="X419" s="12">
        <f t="shared" si="6"/>
        <v>10956.64705</v>
      </c>
      <c r="Y419" s="12">
        <f t="shared" si="7"/>
        <v>8.116034855</v>
      </c>
      <c r="Z419" s="8">
        <f t="shared" si="19"/>
        <v>2217.560028</v>
      </c>
      <c r="AA419" s="8">
        <f t="shared" si="96"/>
        <v>2656</v>
      </c>
      <c r="AB419" s="13">
        <f t="shared" si="9"/>
        <v>1.66</v>
      </c>
      <c r="AC419" s="13">
        <f t="shared" si="10"/>
        <v>1.197712786</v>
      </c>
      <c r="AD419" s="13">
        <f>AA419/vlookup(A419,Max!$A$2:$AP$700,column(Max!$AP$2),false)</f>
        <v>1.562352941</v>
      </c>
      <c r="AE419" s="8">
        <f t="shared" si="11"/>
        <v>495.4180437</v>
      </c>
      <c r="AF419" s="14">
        <f t="shared" si="12"/>
        <v>2.884286334</v>
      </c>
      <c r="AG419" s="14">
        <f t="shared" si="13"/>
        <v>1.831015515</v>
      </c>
      <c r="AH419" s="14">
        <f t="shared" si="14"/>
        <v>1</v>
      </c>
      <c r="AI419" s="14">
        <f t="shared" si="15"/>
        <v>1.015161847</v>
      </c>
      <c r="AJ419" s="27">
        <f t="shared" si="16"/>
        <v>561</v>
      </c>
      <c r="AK419" s="15" t="str">
        <f t="shared" si="17"/>
        <v>  @CONFIG[Vulcain-2] {
   %cost = 2656
   @cost -= #$../../cost$
  }</v>
      </c>
    </row>
    <row r="420" ht="15.75" customHeight="1">
      <c r="A420" s="16" t="s">
        <v>243</v>
      </c>
      <c r="B420" s="16" t="s">
        <v>241</v>
      </c>
      <c r="C420" s="8">
        <f t="shared" si="1"/>
        <v>181</v>
      </c>
      <c r="D420" s="16">
        <v>2003.0</v>
      </c>
      <c r="E420" s="16" t="b">
        <v>1</v>
      </c>
      <c r="F420" s="16" t="b">
        <v>1</v>
      </c>
      <c r="G420" s="16" t="b">
        <v>0</v>
      </c>
      <c r="H420" s="16" t="b">
        <v>0</v>
      </c>
      <c r="I420" s="16" t="b">
        <v>0</v>
      </c>
      <c r="J420" s="9" t="b">
        <v>0</v>
      </c>
      <c r="K420" s="16">
        <v>3500.0</v>
      </c>
      <c r="L420" s="16">
        <v>-1900.0</v>
      </c>
      <c r="M420" s="16">
        <v>1832.0</v>
      </c>
      <c r="N420" s="16">
        <v>1098.0</v>
      </c>
      <c r="O420" s="16">
        <v>440.0</v>
      </c>
      <c r="P420" s="16">
        <v>12.0</v>
      </c>
      <c r="Q420" s="16">
        <v>0.997458</v>
      </c>
      <c r="R420" s="16">
        <v>0.997458</v>
      </c>
      <c r="S420" s="19">
        <f t="shared" si="2"/>
        <v>1600</v>
      </c>
      <c r="T420" s="19">
        <f t="shared" si="3"/>
        <v>61.11617896</v>
      </c>
      <c r="U420" s="20">
        <f t="shared" si="4"/>
        <v>2.08536158</v>
      </c>
      <c r="V420" s="17">
        <f t="shared" si="95"/>
        <v>2289.727015</v>
      </c>
      <c r="W420" s="21">
        <f t="shared" si="5"/>
        <v>4</v>
      </c>
      <c r="X420" s="21">
        <f t="shared" si="6"/>
        <v>11448.63508</v>
      </c>
      <c r="Y420" s="21">
        <f t="shared" si="7"/>
        <v>10.4268079</v>
      </c>
      <c r="Z420" s="8">
        <f t="shared" si="19"/>
        <v>2323.895379</v>
      </c>
      <c r="AA420" s="8">
        <f t="shared" si="96"/>
        <v>2908</v>
      </c>
      <c r="AB420" s="13">
        <f t="shared" si="9"/>
        <v>1.8175</v>
      </c>
      <c r="AC420" s="13">
        <f t="shared" si="10"/>
        <v>1.25134721</v>
      </c>
      <c r="AD420" s="13">
        <f>AA420/vlookup(A420,Max!$A$2:$AP$700,column(Max!$AP$2),false)</f>
        <v>2.005517241</v>
      </c>
      <c r="AE420" s="8">
        <f t="shared" si="11"/>
        <v>500.4348092</v>
      </c>
      <c r="AF420" s="14">
        <f t="shared" si="12"/>
        <v>3.075427574</v>
      </c>
      <c r="AG420" s="14">
        <f t="shared" si="13"/>
        <v>1.854543591</v>
      </c>
      <c r="AH420" s="14">
        <f t="shared" si="14"/>
        <v>1</v>
      </c>
      <c r="AI420" s="14">
        <f t="shared" si="15"/>
        <v>1.018939875</v>
      </c>
      <c r="AJ420" s="27">
        <f t="shared" si="16"/>
        <v>181</v>
      </c>
      <c r="AK420" s="15" t="str">
        <f t="shared" si="17"/>
        <v>  @CONFIG[LE-7A-2] {
   %cost = 2908
   @cost -= #$../../cost$
  }</v>
      </c>
    </row>
    <row r="421" ht="15.75" customHeight="1">
      <c r="A421" s="7" t="s">
        <v>557</v>
      </c>
      <c r="B421" s="7" t="s">
        <v>555</v>
      </c>
      <c r="C421" s="8">
        <f t="shared" si="1"/>
        <v>16</v>
      </c>
      <c r="D421" s="7">
        <v>2003.0</v>
      </c>
      <c r="E421" s="7"/>
      <c r="F421" s="7" t="b">
        <v>1</v>
      </c>
      <c r="G421" s="7" t="b">
        <v>0</v>
      </c>
      <c r="H421" s="7" t="b">
        <v>1</v>
      </c>
      <c r="I421" s="7" t="b">
        <v>0</v>
      </c>
      <c r="J421" s="9" t="b">
        <v>0</v>
      </c>
      <c r="K421" s="7">
        <v>750.0</v>
      </c>
      <c r="L421" s="7">
        <v>0.0</v>
      </c>
      <c r="M421" s="7">
        <v>1125.0</v>
      </c>
      <c r="N421" s="7">
        <v>912.02</v>
      </c>
      <c r="O421" s="7">
        <v>350.0</v>
      </c>
      <c r="P421" s="7">
        <v>17.81</v>
      </c>
      <c r="Q421" s="7">
        <v>0.992254</v>
      </c>
      <c r="R421" s="7">
        <v>0.985135</v>
      </c>
      <c r="S421" s="10">
        <f t="shared" si="2"/>
        <v>750</v>
      </c>
      <c r="T421" s="10">
        <f t="shared" si="3"/>
        <v>82.66680692</v>
      </c>
      <c r="U421" s="11">
        <f t="shared" si="4"/>
        <v>0.6523495726</v>
      </c>
      <c r="V421" s="8">
        <f>0.2*(8.17*POWER(M421*P421,0.46))+0.8*(0.146*POWER(M421*O421,0.639))</f>
        <v>594.9558572</v>
      </c>
      <c r="W421" s="12">
        <f t="shared" si="5"/>
        <v>4</v>
      </c>
      <c r="X421" s="12">
        <f t="shared" si="6"/>
        <v>2974.779286</v>
      </c>
      <c r="Y421" s="12">
        <f t="shared" si="7"/>
        <v>3.261747863</v>
      </c>
      <c r="Z421" s="8">
        <f t="shared" si="19"/>
        <v>593.4709332</v>
      </c>
      <c r="AA421" s="8">
        <f t="shared" si="96"/>
        <v>805</v>
      </c>
      <c r="AB421" s="13">
        <f t="shared" si="9"/>
        <v>1.073333333</v>
      </c>
      <c r="AC421" s="13">
        <f t="shared" si="10"/>
        <v>1.356427004</v>
      </c>
      <c r="AD421" s="13">
        <f>AA421/vlookup(A421,Max!$A$2:$AP$700,column(Max!$AP$2),false)</f>
        <v>2.064102564</v>
      </c>
      <c r="AE421" s="8">
        <f t="shared" si="11"/>
        <v>334.0591989</v>
      </c>
      <c r="AF421" s="14">
        <f t="shared" si="12"/>
        <v>1.432877872</v>
      </c>
      <c r="AG421" s="14">
        <f t="shared" si="13"/>
        <v>1.736846293</v>
      </c>
      <c r="AH421" s="14">
        <f t="shared" si="14"/>
        <v>1</v>
      </c>
      <c r="AI421" s="14">
        <f t="shared" si="15"/>
        <v>0.9687428984</v>
      </c>
      <c r="AJ421" s="27">
        <f t="shared" si="16"/>
        <v>16</v>
      </c>
      <c r="AK421" s="15" t="str">
        <f t="shared" si="17"/>
        <v>  @CONFIG[RD-120F] {
   %cost = 805
   @cost -= #$../../cost$
  }</v>
      </c>
    </row>
    <row r="422" ht="15.75" customHeight="1">
      <c r="A422" s="7" t="s">
        <v>638</v>
      </c>
      <c r="B422" s="7" t="s">
        <v>639</v>
      </c>
      <c r="C422" s="8">
        <f t="shared" si="1"/>
        <v>2493</v>
      </c>
      <c r="D422" s="7">
        <v>2003.0</v>
      </c>
      <c r="E422" s="7" t="b">
        <v>1</v>
      </c>
      <c r="F422" s="7" t="b">
        <v>1</v>
      </c>
      <c r="G422" s="7" t="b">
        <v>0</v>
      </c>
      <c r="H422" s="7" t="b">
        <v>0</v>
      </c>
      <c r="I422" s="7" t="b">
        <v>0</v>
      </c>
      <c r="J422" s="9" t="b">
        <v>0</v>
      </c>
      <c r="K422" s="7">
        <v>5400.0</v>
      </c>
      <c r="L422" s="7">
        <v>0.0</v>
      </c>
      <c r="M422" s="7">
        <v>4420.0</v>
      </c>
      <c r="N422" s="7">
        <v>4004.0</v>
      </c>
      <c r="O422" s="7">
        <v>415.0</v>
      </c>
      <c r="P422" s="7">
        <v>2.94</v>
      </c>
      <c r="Q422" s="7"/>
      <c r="R422" s="7"/>
      <c r="S422" s="10">
        <f t="shared" si="2"/>
        <v>5400</v>
      </c>
      <c r="T422" s="10">
        <f t="shared" si="3"/>
        <v>92.37429196</v>
      </c>
      <c r="U422" s="11">
        <f t="shared" si="4"/>
        <v>0.4689466531</v>
      </c>
      <c r="V422" s="8">
        <f t="shared" ref="V422:V423" si="97">0.9*(0.00015*M422*O422*P422+797)+0.1*(43.1*POWER(M422,0.549))</f>
        <v>1877.662399</v>
      </c>
      <c r="W422" s="12">
        <f t="shared" si="5"/>
        <v>4</v>
      </c>
      <c r="X422" s="12">
        <f t="shared" si="6"/>
        <v>9388.311995</v>
      </c>
      <c r="Y422" s="12">
        <f t="shared" si="7"/>
        <v>2.344733265</v>
      </c>
      <c r="Z422" s="8">
        <f t="shared" si="19"/>
        <v>1877.662399</v>
      </c>
      <c r="AA422" s="8">
        <f t="shared" si="96"/>
        <v>2493</v>
      </c>
      <c r="AB422" s="13">
        <f t="shared" si="9"/>
        <v>0.4616666667</v>
      </c>
      <c r="AC422" s="13">
        <f t="shared" si="10"/>
        <v>1.327714717</v>
      </c>
      <c r="AD422" s="13">
        <f>AA422/vlookup(A422,Max!$A$2:$AP$700,column(Max!$AP$2),false)</f>
        <v>0.311625</v>
      </c>
      <c r="AE422" s="8">
        <f t="shared" si="11"/>
        <v>835.1937593</v>
      </c>
      <c r="AF422" s="14">
        <f t="shared" si="12"/>
        <v>2.454130179</v>
      </c>
      <c r="AG422" s="14">
        <f t="shared" si="13"/>
        <v>1.216149236</v>
      </c>
      <c r="AH422" s="14">
        <f t="shared" si="14"/>
        <v>1</v>
      </c>
      <c r="AI422" s="14">
        <f t="shared" si="15"/>
        <v>1</v>
      </c>
      <c r="AJ422" s="15">
        <f t="shared" si="16"/>
        <v>0</v>
      </c>
      <c r="AK422" s="15" t="str">
        <f t="shared" si="17"/>
        <v>  @CONFIG[RD-701] {
   %cost = 2493
   @cost -= #$../../cost$
  }</v>
      </c>
    </row>
    <row r="423" ht="15.75" customHeight="1">
      <c r="A423" s="16" t="s">
        <v>640</v>
      </c>
      <c r="B423" s="16" t="s">
        <v>641</v>
      </c>
      <c r="C423" s="8">
        <f t="shared" si="1"/>
        <v>1634</v>
      </c>
      <c r="D423" s="16">
        <v>2003.0</v>
      </c>
      <c r="E423" s="16" t="b">
        <v>1</v>
      </c>
      <c r="F423" s="16" t="b">
        <v>1</v>
      </c>
      <c r="G423" s="16" t="b">
        <v>0</v>
      </c>
      <c r="H423" s="16" t="b">
        <v>0</v>
      </c>
      <c r="I423" s="16" t="b">
        <v>0</v>
      </c>
      <c r="J423" s="9" t="b">
        <v>0</v>
      </c>
      <c r="K423" s="16">
        <v>3800.0</v>
      </c>
      <c r="L423" s="16">
        <v>0.0</v>
      </c>
      <c r="M423" s="16">
        <v>2420.0</v>
      </c>
      <c r="N423" s="16">
        <v>2002.0</v>
      </c>
      <c r="O423" s="16">
        <v>407.0</v>
      </c>
      <c r="P423" s="16">
        <v>2.94</v>
      </c>
      <c r="Q423" s="16"/>
      <c r="R423" s="16"/>
      <c r="S423" s="19">
        <f t="shared" si="2"/>
        <v>3800</v>
      </c>
      <c r="T423" s="19">
        <f t="shared" si="3"/>
        <v>84.35834101</v>
      </c>
      <c r="U423" s="20">
        <f t="shared" si="4"/>
        <v>0.7086992305</v>
      </c>
      <c r="V423" s="17">
        <f t="shared" si="97"/>
        <v>1418.815859</v>
      </c>
      <c r="W423" s="21">
        <f t="shared" si="5"/>
        <v>4</v>
      </c>
      <c r="X423" s="21">
        <f t="shared" si="6"/>
        <v>7094.079297</v>
      </c>
      <c r="Y423" s="21">
        <f t="shared" si="7"/>
        <v>3.543496152</v>
      </c>
      <c r="Z423" s="8">
        <f t="shared" si="19"/>
        <v>1418.815859</v>
      </c>
      <c r="AA423" s="8">
        <f t="shared" si="96"/>
        <v>1634</v>
      </c>
      <c r="AB423" s="13">
        <f t="shared" si="9"/>
        <v>0.43</v>
      </c>
      <c r="AC423" s="13">
        <f t="shared" si="10"/>
        <v>1.151664601</v>
      </c>
      <c r="AD423" s="13">
        <f>AA423/vlookup(A423,Max!$A$2:$AP$700,column(Max!$AP$2),false)</f>
        <v>0.3713636364</v>
      </c>
      <c r="AE423" s="8">
        <f t="shared" si="11"/>
        <v>587.3235516</v>
      </c>
      <c r="AF423" s="14">
        <f t="shared" si="12"/>
        <v>2.287935758</v>
      </c>
      <c r="AG423" s="14">
        <f t="shared" si="13"/>
        <v>1.216149236</v>
      </c>
      <c r="AH423" s="14">
        <f t="shared" si="14"/>
        <v>1</v>
      </c>
      <c r="AI423" s="14">
        <f t="shared" si="15"/>
        <v>1</v>
      </c>
      <c r="AJ423" s="15">
        <f t="shared" si="16"/>
        <v>0</v>
      </c>
      <c r="AK423" s="15" t="str">
        <f t="shared" si="17"/>
        <v>  @CONFIG[RD-704] {
   %cost = 1634
   @cost -= #$../../cost$
  }</v>
      </c>
    </row>
    <row r="424" ht="15.75" customHeight="1">
      <c r="A424" s="7" t="s">
        <v>101</v>
      </c>
      <c r="B424" s="7" t="s">
        <v>100</v>
      </c>
      <c r="C424" s="8">
        <f t="shared" si="1"/>
        <v>17</v>
      </c>
      <c r="D424" s="7">
        <v>2004.0</v>
      </c>
      <c r="E424" s="7"/>
      <c r="F424" s="7" t="b">
        <v>0</v>
      </c>
      <c r="G424" s="7" t="b">
        <v>0</v>
      </c>
      <c r="H424" s="7" t="b">
        <v>1</v>
      </c>
      <c r="I424" s="7" t="b">
        <v>0</v>
      </c>
      <c r="J424" s="9" t="b">
        <v>0</v>
      </c>
      <c r="K424" s="7">
        <v>200.0</v>
      </c>
      <c r="L424" s="7">
        <v>0.0</v>
      </c>
      <c r="M424" s="7">
        <v>5.44</v>
      </c>
      <c r="N424" s="7">
        <v>0.623</v>
      </c>
      <c r="O424" s="7">
        <v>333.0</v>
      </c>
      <c r="P424" s="7">
        <v>1.38</v>
      </c>
      <c r="Q424" s="7">
        <v>1.0</v>
      </c>
      <c r="R424" s="7">
        <v>1.0</v>
      </c>
      <c r="S424" s="10">
        <f t="shared" si="2"/>
        <v>200</v>
      </c>
      <c r="T424" s="10">
        <f t="shared" si="3"/>
        <v>11.67799998</v>
      </c>
      <c r="U424" s="11">
        <f t="shared" si="4"/>
        <v>29.26787592</v>
      </c>
      <c r="V424" s="8">
        <f t="shared" ref="V424:V425" si="98">0.2*(8.17*POWER(M424*P424,0.46))+0.8*(0.146*POWER(M424*O424,0.639))</f>
        <v>18.2338867</v>
      </c>
      <c r="W424" s="12">
        <f t="shared" si="5"/>
        <v>1.75</v>
      </c>
      <c r="X424" s="12">
        <f t="shared" si="6"/>
        <v>50.14318842</v>
      </c>
      <c r="Y424" s="12">
        <f t="shared" si="7"/>
        <v>80.48665878</v>
      </c>
      <c r="Z424" s="8">
        <f t="shared" si="19"/>
        <v>18.59856443</v>
      </c>
      <c r="AA424" s="8">
        <f t="shared" si="96"/>
        <v>17</v>
      </c>
      <c r="AB424" s="13">
        <f t="shared" si="9"/>
        <v>0.085</v>
      </c>
      <c r="AC424" s="13">
        <f t="shared" si="10"/>
        <v>0.9140490419</v>
      </c>
      <c r="AD424" s="13">
        <f>AA424/vlookup(A424,Max!$A$2:$AP$700,column(Max!$AP$2),false)</f>
        <v>1.619047619</v>
      </c>
      <c r="AE424" s="8">
        <f t="shared" si="11"/>
        <v>13.58157397</v>
      </c>
      <c r="AF424" s="14">
        <f t="shared" si="12"/>
        <v>1.260715269</v>
      </c>
      <c r="AG424" s="14">
        <f t="shared" si="13"/>
        <v>0.97686556</v>
      </c>
      <c r="AH424" s="14">
        <f t="shared" si="14"/>
        <v>1</v>
      </c>
      <c r="AI424" s="14">
        <f t="shared" si="15"/>
        <v>1.025444154</v>
      </c>
      <c r="AJ424" s="15">
        <f t="shared" si="16"/>
        <v>0</v>
      </c>
      <c r="AK424" s="15" t="str">
        <f t="shared" si="17"/>
        <v>  @CONFIG[AMBR-623N] {
   %cost = 17
   @cost -= #$../../cost$
  }</v>
      </c>
    </row>
    <row r="425" ht="15.75" customHeight="1">
      <c r="A425" s="16" t="s">
        <v>99</v>
      </c>
      <c r="B425" s="16" t="s">
        <v>100</v>
      </c>
      <c r="C425" s="8">
        <f t="shared" si="1"/>
        <v>0</v>
      </c>
      <c r="D425" s="16">
        <v>2004.0</v>
      </c>
      <c r="E425" s="16"/>
      <c r="F425" s="16" t="b">
        <v>0</v>
      </c>
      <c r="G425" s="16" t="b">
        <v>0</v>
      </c>
      <c r="H425" s="16" t="b">
        <v>1</v>
      </c>
      <c r="I425" s="16" t="b">
        <v>0</v>
      </c>
      <c r="J425" s="9" t="b">
        <v>0</v>
      </c>
      <c r="K425" s="16">
        <v>200.0</v>
      </c>
      <c r="L425" s="16"/>
      <c r="M425" s="16">
        <v>5.44</v>
      </c>
      <c r="N425" s="16">
        <v>0.89</v>
      </c>
      <c r="O425" s="16">
        <v>333.0</v>
      </c>
      <c r="P425" s="16">
        <v>1.38</v>
      </c>
      <c r="Q425" s="16">
        <v>1.0</v>
      </c>
      <c r="R425" s="16">
        <v>1.0</v>
      </c>
      <c r="S425" s="19">
        <f t="shared" si="2"/>
        <v>200</v>
      </c>
      <c r="T425" s="19">
        <f t="shared" si="3"/>
        <v>16.68285711</v>
      </c>
      <c r="U425" s="20">
        <f t="shared" si="4"/>
        <v>20.48751314</v>
      </c>
      <c r="V425" s="17">
        <f t="shared" si="98"/>
        <v>18.2338867</v>
      </c>
      <c r="W425" s="21">
        <f t="shared" si="5"/>
        <v>1.75</v>
      </c>
      <c r="X425" s="21">
        <f t="shared" si="6"/>
        <v>50.14318842</v>
      </c>
      <c r="Y425" s="21">
        <f t="shared" si="7"/>
        <v>56.34066115</v>
      </c>
      <c r="Z425" s="8">
        <f t="shared" si="19"/>
        <v>18.59856443</v>
      </c>
      <c r="AA425" s="8">
        <f t="shared" si="96"/>
        <v>17</v>
      </c>
      <c r="AB425" s="13">
        <f t="shared" si="9"/>
        <v>0.085</v>
      </c>
      <c r="AC425" s="13">
        <f t="shared" si="10"/>
        <v>0.9140490419</v>
      </c>
      <c r="AD425" s="13">
        <f>AA425/vlookup(A425,Max!$A$2:$AP$700,column(Max!$AP$2),false)</f>
        <v>1.47826087</v>
      </c>
      <c r="AE425" s="8">
        <f t="shared" si="11"/>
        <v>13.58157397</v>
      </c>
      <c r="AF425" s="14">
        <f t="shared" si="12"/>
        <v>1.260715269</v>
      </c>
      <c r="AG425" s="14">
        <f t="shared" si="13"/>
        <v>0.97686556</v>
      </c>
      <c r="AH425" s="14">
        <f t="shared" si="14"/>
        <v>1</v>
      </c>
      <c r="AI425" s="14">
        <f t="shared" si="15"/>
        <v>1.025444154</v>
      </c>
      <c r="AJ425" s="27">
        <f t="shared" si="16"/>
        <v>0</v>
      </c>
      <c r="AK425" s="15" t="str">
        <f t="shared" si="17"/>
        <v>  @CONFIG[AMBR-890N] {
   %cost = 17
   @cost -= #$../../cost$
  }</v>
      </c>
    </row>
    <row r="426" ht="15.75" customHeight="1">
      <c r="A426" s="7" t="s">
        <v>363</v>
      </c>
      <c r="B426" s="7" t="s">
        <v>364</v>
      </c>
      <c r="C426" s="8">
        <f t="shared" si="1"/>
        <v>1410</v>
      </c>
      <c r="D426" s="7">
        <v>2004.0</v>
      </c>
      <c r="E426" s="7" t="b">
        <v>1</v>
      </c>
      <c r="F426" s="7" t="b">
        <v>1</v>
      </c>
      <c r="G426" s="7" t="b">
        <v>0</v>
      </c>
      <c r="H426" s="7" t="b">
        <v>1</v>
      </c>
      <c r="I426" s="7" t="b">
        <v>0</v>
      </c>
      <c r="J426" s="9" t="b">
        <v>0</v>
      </c>
      <c r="K426" s="7">
        <v>750.0</v>
      </c>
      <c r="L426" s="7">
        <v>100.0</v>
      </c>
      <c r="M426" s="7">
        <v>443.0</v>
      </c>
      <c r="N426" s="7">
        <v>177.9</v>
      </c>
      <c r="O426" s="7">
        <v>466.6</v>
      </c>
      <c r="P426" s="7">
        <v>10.34</v>
      </c>
      <c r="Q426" s="7">
        <v>0.9995</v>
      </c>
      <c r="R426" s="7">
        <v>0.9979</v>
      </c>
      <c r="S426" s="10">
        <f t="shared" si="2"/>
        <v>850</v>
      </c>
      <c r="T426" s="10">
        <f t="shared" si="3"/>
        <v>40.94977737</v>
      </c>
      <c r="U426" s="11">
        <f t="shared" si="4"/>
        <v>6.341299194</v>
      </c>
      <c r="V426" s="8">
        <f>0.9*(0.00015*M426*O426*P426+797)+0.1*(43.1*POWER(M426,0.549))</f>
        <v>1128.117127</v>
      </c>
      <c r="W426" s="12">
        <f t="shared" si="5"/>
        <v>4</v>
      </c>
      <c r="X426" s="12">
        <f t="shared" si="6"/>
        <v>5640.585633</v>
      </c>
      <c r="Y426" s="12">
        <f t="shared" si="7"/>
        <v>31.70649597</v>
      </c>
      <c r="Z426" s="8">
        <f t="shared" si="19"/>
        <v>1147.747549</v>
      </c>
      <c r="AA426" s="8">
        <f t="shared" si="96"/>
        <v>1410</v>
      </c>
      <c r="AB426" s="13">
        <f t="shared" si="9"/>
        <v>1.658823529</v>
      </c>
      <c r="AC426" s="13">
        <f t="shared" si="10"/>
        <v>1.228493148</v>
      </c>
      <c r="AD426" s="13">
        <f>AA426/vlookup(A426,Max!$A$2:$AP$700,column(Max!$AP$2),false)</f>
        <v>1.905405405</v>
      </c>
      <c r="AE426" s="8">
        <f t="shared" si="11"/>
        <v>227.9964061</v>
      </c>
      <c r="AF426" s="14">
        <f t="shared" si="12"/>
        <v>3.95092608</v>
      </c>
      <c r="AG426" s="14">
        <f t="shared" si="13"/>
        <v>1.536841662</v>
      </c>
      <c r="AH426" s="14">
        <f t="shared" si="14"/>
        <v>1</v>
      </c>
      <c r="AI426" s="14">
        <f t="shared" si="15"/>
        <v>1.01879444</v>
      </c>
      <c r="AJ426" s="15">
        <f t="shared" si="16"/>
        <v>0</v>
      </c>
      <c r="AK426" s="15" t="str">
        <f t="shared" si="17"/>
        <v>  @CONFIG[MB-XX-Demo] {
   %cost = 1410
   @cost -= #$../../cost$
  }</v>
      </c>
    </row>
    <row r="427" ht="15.75" customHeight="1">
      <c r="A427" s="16" t="s">
        <v>458</v>
      </c>
      <c r="B427" s="16" t="s">
        <v>459</v>
      </c>
      <c r="C427" s="8">
        <f t="shared" si="1"/>
        <v>521</v>
      </c>
      <c r="D427" s="16">
        <v>2004.0</v>
      </c>
      <c r="E427" s="16"/>
      <c r="F427" s="16" t="b">
        <v>1</v>
      </c>
      <c r="G427" s="16" t="b">
        <v>0</v>
      </c>
      <c r="H427" s="16" t="b">
        <v>1</v>
      </c>
      <c r="I427" s="16" t="b">
        <v>0</v>
      </c>
      <c r="J427" s="9" t="b">
        <v>0</v>
      </c>
      <c r="K427" s="16">
        <v>500.0</v>
      </c>
      <c r="L427" s="16">
        <v>0.0</v>
      </c>
      <c r="M427" s="16">
        <v>480.0</v>
      </c>
      <c r="N427" s="16">
        <v>294.3</v>
      </c>
      <c r="O427" s="16">
        <v>359.0</v>
      </c>
      <c r="P427" s="16">
        <v>15.69</v>
      </c>
      <c r="Q427" s="16">
        <v>0.997826</v>
      </c>
      <c r="R427" s="16">
        <v>0.997826</v>
      </c>
      <c r="S427" s="19">
        <f t="shared" si="2"/>
        <v>500</v>
      </c>
      <c r="T427" s="19">
        <f t="shared" si="3"/>
        <v>62.52135013</v>
      </c>
      <c r="U427" s="20">
        <f t="shared" si="4"/>
        <v>1.217528868</v>
      </c>
      <c r="V427" s="17">
        <f t="shared" ref="V427:V431" si="99">0.2*(8.17*POWER(M427*P427,0.46))+0.8*(0.146*POWER(M427*O427,0.639))</f>
        <v>358.3187458</v>
      </c>
      <c r="W427" s="21">
        <f t="shared" si="5"/>
        <v>4</v>
      </c>
      <c r="X427" s="21">
        <f t="shared" si="6"/>
        <v>1791.593729</v>
      </c>
      <c r="Y427" s="21">
        <f t="shared" si="7"/>
        <v>6.087644338</v>
      </c>
      <c r="Z427" s="8">
        <f t="shared" si="19"/>
        <v>363.9288443</v>
      </c>
      <c r="AA427" s="8">
        <f t="shared" si="96"/>
        <v>521</v>
      </c>
      <c r="AB427" s="13">
        <f t="shared" si="9"/>
        <v>1.042</v>
      </c>
      <c r="AC427" s="13">
        <f t="shared" si="10"/>
        <v>1.431598534</v>
      </c>
      <c r="AD427" s="13">
        <f>AA427/vlookup(A427,Max!$A$2:$AP$700,column(Max!$AP$2),false)</f>
        <v>3.25625</v>
      </c>
      <c r="AE427" s="8">
        <f t="shared" si="11"/>
        <v>197.8726422</v>
      </c>
      <c r="AF427" s="14">
        <f t="shared" si="12"/>
        <v>1.536794664</v>
      </c>
      <c r="AG427" s="14">
        <f t="shared" si="13"/>
        <v>1.688018362</v>
      </c>
      <c r="AH427" s="14">
        <f t="shared" si="14"/>
        <v>1</v>
      </c>
      <c r="AI427" s="14">
        <f t="shared" si="15"/>
        <v>1.014345936</v>
      </c>
      <c r="AJ427" s="15">
        <f t="shared" si="16"/>
        <v>0</v>
      </c>
      <c r="AK427" s="15" t="str">
        <f t="shared" si="17"/>
        <v>  @CONFIG[RD-0124] {
   %cost = 521
   @cost -= #$../../cost$
  }</v>
      </c>
    </row>
    <row r="428" ht="15.75" customHeight="1">
      <c r="A428" s="7" t="s">
        <v>562</v>
      </c>
      <c r="B428" s="7" t="s">
        <v>559</v>
      </c>
      <c r="C428" s="8">
        <f t="shared" si="1"/>
        <v>150</v>
      </c>
      <c r="D428" s="7">
        <v>2004.0</v>
      </c>
      <c r="E428" s="7"/>
      <c r="F428" s="7" t="b">
        <v>1</v>
      </c>
      <c r="G428" s="7" t="b">
        <v>0</v>
      </c>
      <c r="H428" s="7" t="b">
        <v>0</v>
      </c>
      <c r="I428" s="7" t="b">
        <v>0</v>
      </c>
      <c r="J428" s="9" t="b">
        <v>0</v>
      </c>
      <c r="K428" s="7">
        <v>2004.0</v>
      </c>
      <c r="L428" s="7">
        <v>0.0</v>
      </c>
      <c r="M428" s="7">
        <v>9750.0</v>
      </c>
      <c r="N428" s="7">
        <v>7904.0</v>
      </c>
      <c r="O428" s="7">
        <v>337.2</v>
      </c>
      <c r="P428" s="7">
        <v>24.52</v>
      </c>
      <c r="Q428" s="7">
        <v>0.996939</v>
      </c>
      <c r="R428" s="7">
        <v>0.996939</v>
      </c>
      <c r="S428" s="10">
        <f t="shared" si="2"/>
        <v>2004</v>
      </c>
      <c r="T428" s="10">
        <f t="shared" si="3"/>
        <v>82.66499409</v>
      </c>
      <c r="U428" s="11">
        <f t="shared" si="4"/>
        <v>0.2773121366</v>
      </c>
      <c r="V428" s="8">
        <f t="shared" si="99"/>
        <v>2191.875128</v>
      </c>
      <c r="W428" s="12">
        <f t="shared" si="5"/>
        <v>4</v>
      </c>
      <c r="X428" s="12">
        <f t="shared" si="6"/>
        <v>10959.37564</v>
      </c>
      <c r="Y428" s="12">
        <f t="shared" si="7"/>
        <v>1.386560683</v>
      </c>
      <c r="Z428" s="8">
        <f t="shared" si="19"/>
        <v>2222.314508</v>
      </c>
      <c r="AA428" s="45">
        <v>3300.0</v>
      </c>
      <c r="AB428" s="13">
        <f t="shared" si="9"/>
        <v>1.646706587</v>
      </c>
      <c r="AC428" s="13">
        <f t="shared" si="10"/>
        <v>1.484938332</v>
      </c>
      <c r="AD428" s="13">
        <f>AA428/vlookup(A428,Max!$A$2:$AP$700,column(Max!$AP$2),false)</f>
        <v>1.434782609</v>
      </c>
      <c r="AE428" s="8">
        <f t="shared" si="11"/>
        <v>1279.875552</v>
      </c>
      <c r="AF428" s="14">
        <f t="shared" si="12"/>
        <v>1.300536866</v>
      </c>
      <c r="AG428" s="14">
        <f t="shared" si="13"/>
        <v>2.297940672</v>
      </c>
      <c r="AH428" s="14">
        <f t="shared" si="14"/>
        <v>1</v>
      </c>
      <c r="AI428" s="14">
        <f t="shared" si="15"/>
        <v>1.017614949</v>
      </c>
      <c r="AJ428" s="27">
        <f t="shared" si="16"/>
        <v>150</v>
      </c>
      <c r="AK428" s="15" t="str">
        <f t="shared" si="17"/>
        <v>  @CONFIG[RD-171M] {
   %cost = 3300
   @cost -= #$../../cost$
  }</v>
      </c>
    </row>
    <row r="429" ht="15.75" customHeight="1">
      <c r="A429" s="16" t="s">
        <v>637</v>
      </c>
      <c r="B429" s="16" t="s">
        <v>630</v>
      </c>
      <c r="C429" s="8">
        <f t="shared" si="1"/>
        <v>197</v>
      </c>
      <c r="D429" s="16">
        <v>2004.0</v>
      </c>
      <c r="E429" s="16"/>
      <c r="F429" s="16" t="b">
        <v>1</v>
      </c>
      <c r="G429" s="16" t="b">
        <v>0</v>
      </c>
      <c r="H429" s="16" t="b">
        <v>1</v>
      </c>
      <c r="I429" s="16" t="b">
        <v>0</v>
      </c>
      <c r="J429" s="9" t="b">
        <v>0</v>
      </c>
      <c r="K429" s="16">
        <v>400.0</v>
      </c>
      <c r="L429" s="16">
        <v>140.0</v>
      </c>
      <c r="M429" s="16">
        <v>340.0</v>
      </c>
      <c r="N429" s="16">
        <v>85.0</v>
      </c>
      <c r="O429" s="16">
        <v>361.0</v>
      </c>
      <c r="P429" s="16">
        <v>7.94</v>
      </c>
      <c r="Q429" s="16">
        <v>0.998125</v>
      </c>
      <c r="R429" s="16">
        <v>0.991463</v>
      </c>
      <c r="S429" s="19">
        <f t="shared" si="2"/>
        <v>540</v>
      </c>
      <c r="T429" s="19">
        <f t="shared" si="3"/>
        <v>25.49290525</v>
      </c>
      <c r="U429" s="20">
        <f t="shared" si="4"/>
        <v>3.182231694</v>
      </c>
      <c r="V429" s="17">
        <f t="shared" si="99"/>
        <v>270.489694</v>
      </c>
      <c r="W429" s="21">
        <f t="shared" si="5"/>
        <v>4</v>
      </c>
      <c r="X429" s="21">
        <f t="shared" si="6"/>
        <v>1352.44847</v>
      </c>
      <c r="Y429" s="21">
        <f t="shared" si="7"/>
        <v>15.91115847</v>
      </c>
      <c r="Z429" s="8">
        <f t="shared" si="19"/>
        <v>273.0874789</v>
      </c>
      <c r="AA429" s="8">
        <f t="shared" ref="AA429:AA461" si="100">round(AE429*AF429*AG429*AH429*AI429,0)</f>
        <v>362</v>
      </c>
      <c r="AB429" s="13">
        <f t="shared" si="9"/>
        <v>0.6703703704</v>
      </c>
      <c r="AC429" s="13">
        <f t="shared" si="10"/>
        <v>1.325582562</v>
      </c>
      <c r="AD429" s="13">
        <f>AA429/vlookup(A429,Max!$A$2:$AP$700,column(Max!$AP$2),false)</f>
        <v>4.763157895</v>
      </c>
      <c r="AE429" s="8">
        <f t="shared" si="11"/>
        <v>160.2484336</v>
      </c>
      <c r="AF429" s="14">
        <f t="shared" si="12"/>
        <v>1.561213074</v>
      </c>
      <c r="AG429" s="14">
        <f t="shared" si="13"/>
        <v>1.448176905</v>
      </c>
      <c r="AH429" s="14">
        <f t="shared" si="14"/>
        <v>1</v>
      </c>
      <c r="AI429" s="14">
        <f t="shared" si="15"/>
        <v>0.9990003173</v>
      </c>
      <c r="AJ429" s="27">
        <f t="shared" si="16"/>
        <v>197</v>
      </c>
      <c r="AK429" s="15" t="str">
        <f t="shared" si="17"/>
        <v>  @CONFIG[RD-58M-CCN] {
   %cost = 362
   @cost -= #$../../cost$
  }</v>
      </c>
    </row>
    <row r="430" ht="15.75" customHeight="1">
      <c r="A430" s="7" t="s">
        <v>803</v>
      </c>
      <c r="B430" s="7" t="s">
        <v>802</v>
      </c>
      <c r="C430" s="8">
        <f t="shared" si="1"/>
        <v>18</v>
      </c>
      <c r="D430" s="7">
        <v>2004.0</v>
      </c>
      <c r="E430" s="7"/>
      <c r="F430" s="7" t="b">
        <v>1</v>
      </c>
      <c r="G430" s="7" t="b">
        <v>0</v>
      </c>
      <c r="H430" s="7" t="b">
        <v>0</v>
      </c>
      <c r="I430" s="7" t="b">
        <v>0</v>
      </c>
      <c r="J430" s="9" t="b">
        <v>0</v>
      </c>
      <c r="K430" s="7">
        <v>500.0</v>
      </c>
      <c r="L430" s="7">
        <v>0.0</v>
      </c>
      <c r="M430" s="7">
        <v>876.0</v>
      </c>
      <c r="N430" s="7">
        <v>765.5</v>
      </c>
      <c r="O430" s="7">
        <v>289.7</v>
      </c>
      <c r="P430" s="7">
        <v>5.44</v>
      </c>
      <c r="Q430" s="7">
        <v>0.9965</v>
      </c>
      <c r="R430" s="7">
        <v>0.995</v>
      </c>
      <c r="S430" s="10">
        <f t="shared" si="2"/>
        <v>500</v>
      </c>
      <c r="T430" s="10">
        <f t="shared" si="3"/>
        <v>89.10876241</v>
      </c>
      <c r="U430" s="11">
        <f t="shared" si="4"/>
        <v>0.5384647112</v>
      </c>
      <c r="V430" s="8">
        <f t="shared" si="99"/>
        <v>412.1947364</v>
      </c>
      <c r="W430" s="12">
        <f t="shared" si="5"/>
        <v>4</v>
      </c>
      <c r="X430" s="12">
        <f t="shared" si="6"/>
        <v>2060.973682</v>
      </c>
      <c r="Y430" s="12">
        <f t="shared" si="7"/>
        <v>2.692323556</v>
      </c>
      <c r="Z430" s="8">
        <f t="shared" si="19"/>
        <v>416.9421893</v>
      </c>
      <c r="AA430" s="8">
        <f t="shared" si="100"/>
        <v>412</v>
      </c>
      <c r="AB430" s="13">
        <f t="shared" si="9"/>
        <v>0.824</v>
      </c>
      <c r="AC430" s="13">
        <f t="shared" si="10"/>
        <v>0.9881465838</v>
      </c>
      <c r="AD430" s="13">
        <f>AA430/vlookup(A430,Max!$A$2:$AP$700,column(Max!$AP$2),false)</f>
        <v>2.575</v>
      </c>
      <c r="AE430" s="8">
        <f t="shared" si="11"/>
        <v>286.3189328</v>
      </c>
      <c r="AF430" s="14">
        <f t="shared" si="12"/>
        <v>0.9719303779</v>
      </c>
      <c r="AG430" s="14">
        <f t="shared" si="13"/>
        <v>1.462723848</v>
      </c>
      <c r="AH430" s="14">
        <f t="shared" si="14"/>
        <v>1</v>
      </c>
      <c r="AI430" s="14">
        <f t="shared" si="15"/>
        <v>1.01267413</v>
      </c>
      <c r="AJ430" s="27">
        <f t="shared" si="16"/>
        <v>18</v>
      </c>
      <c r="AK430" s="15" t="str">
        <f t="shared" si="17"/>
        <v>  @CONFIG[Vikas-1+] {
   %cost = 412
   @cost -= #$../../cost$
  }</v>
      </c>
    </row>
    <row r="431" ht="15.75" customHeight="1">
      <c r="A431" s="16" t="s">
        <v>804</v>
      </c>
      <c r="B431" s="16" t="s">
        <v>802</v>
      </c>
      <c r="C431" s="8">
        <f t="shared" si="1"/>
        <v>-28</v>
      </c>
      <c r="D431" s="16">
        <v>2004.0</v>
      </c>
      <c r="E431" s="16"/>
      <c r="F431" s="16" t="b">
        <v>1</v>
      </c>
      <c r="G431" s="16" t="b">
        <v>0</v>
      </c>
      <c r="H431" s="16" t="b">
        <v>1</v>
      </c>
      <c r="I431" s="16" t="b">
        <v>0</v>
      </c>
      <c r="J431" s="9" t="b">
        <v>0</v>
      </c>
      <c r="K431" s="16">
        <v>500.0</v>
      </c>
      <c r="L431" s="16">
        <v>0.0</v>
      </c>
      <c r="M431" s="16">
        <v>905.0</v>
      </c>
      <c r="N431" s="16">
        <v>725.0</v>
      </c>
      <c r="O431" s="16">
        <v>295.9</v>
      </c>
      <c r="P431" s="16">
        <v>5.85</v>
      </c>
      <c r="Q431" s="16">
        <v>0.98</v>
      </c>
      <c r="R431" s="16">
        <v>0.985</v>
      </c>
      <c r="S431" s="19">
        <f t="shared" si="2"/>
        <v>500</v>
      </c>
      <c r="T431" s="19">
        <f t="shared" si="3"/>
        <v>81.68997262</v>
      </c>
      <c r="U431" s="20">
        <f t="shared" si="4"/>
        <v>0.5900342154</v>
      </c>
      <c r="V431" s="17">
        <f t="shared" si="99"/>
        <v>427.7748062</v>
      </c>
      <c r="W431" s="21">
        <f t="shared" si="5"/>
        <v>4</v>
      </c>
      <c r="X431" s="21">
        <f t="shared" si="6"/>
        <v>2138.874031</v>
      </c>
      <c r="Y431" s="21">
        <f t="shared" si="7"/>
        <v>2.950171077</v>
      </c>
      <c r="Z431" s="8">
        <f t="shared" si="19"/>
        <v>421.4865165</v>
      </c>
      <c r="AA431" s="8">
        <f t="shared" si="100"/>
        <v>366</v>
      </c>
      <c r="AB431" s="13">
        <f t="shared" si="9"/>
        <v>0.732</v>
      </c>
      <c r="AC431" s="13">
        <f t="shared" si="10"/>
        <v>0.8683551802</v>
      </c>
      <c r="AD431" s="13">
        <f>AA431/vlookup(A431,Max!$A$2:$AP$700,column(Max!$AP$2),false)</f>
        <v>4.159090909</v>
      </c>
      <c r="AE431" s="8">
        <f t="shared" si="11"/>
        <v>292.1199189</v>
      </c>
      <c r="AF431" s="14">
        <f t="shared" si="12"/>
        <v>0.9881653635</v>
      </c>
      <c r="AG431" s="14">
        <f t="shared" si="13"/>
        <v>1.351985625</v>
      </c>
      <c r="AH431" s="14">
        <f t="shared" si="14"/>
        <v>1</v>
      </c>
      <c r="AI431" s="14">
        <f t="shared" si="15"/>
        <v>0.938788539</v>
      </c>
      <c r="AJ431" s="27">
        <f t="shared" si="16"/>
        <v>-28</v>
      </c>
      <c r="AK431" s="15" t="str">
        <f t="shared" si="17"/>
        <v>  @CONFIG[Vikas-2] {
   %cost = 366
   @cost -= #$../../cost$
  }</v>
      </c>
    </row>
    <row r="432" ht="15.75" customHeight="1">
      <c r="A432" s="7" t="s">
        <v>113</v>
      </c>
      <c r="B432" s="7" t="s">
        <v>113</v>
      </c>
      <c r="C432" s="8">
        <f t="shared" si="1"/>
        <v>4349</v>
      </c>
      <c r="D432" s="7">
        <v>2005.0</v>
      </c>
      <c r="E432" s="7" t="b">
        <v>1</v>
      </c>
      <c r="F432" s="7" t="b">
        <v>1</v>
      </c>
      <c r="G432" s="7" t="b">
        <v>0</v>
      </c>
      <c r="H432" s="7" t="b">
        <v>1</v>
      </c>
      <c r="I432" s="7" t="b">
        <v>0</v>
      </c>
      <c r="J432" s="9" t="b">
        <v>0</v>
      </c>
      <c r="K432" s="7">
        <v>10000.0</v>
      </c>
      <c r="L432" s="7">
        <v>0.0</v>
      </c>
      <c r="M432" s="7">
        <v>2371.0</v>
      </c>
      <c r="N432" s="7">
        <v>1280.0</v>
      </c>
      <c r="O432" s="7">
        <v>465.0</v>
      </c>
      <c r="P432" s="7">
        <v>28.2</v>
      </c>
      <c r="Q432" s="7"/>
      <c r="R432" s="7"/>
      <c r="S432" s="10">
        <f t="shared" si="2"/>
        <v>10000</v>
      </c>
      <c r="T432" s="10">
        <f t="shared" si="3"/>
        <v>55.05005267</v>
      </c>
      <c r="U432" s="11">
        <f t="shared" si="4"/>
        <v>4.079452553</v>
      </c>
      <c r="V432" s="8">
        <f>0.9*(0.00015*M432*O432*P432+797)+0.1*(43.1*POWER(M432,0.549))</f>
        <v>5221.699268</v>
      </c>
      <c r="W432" s="12">
        <f t="shared" si="5"/>
        <v>4</v>
      </c>
      <c r="X432" s="12">
        <f t="shared" si="6"/>
        <v>26108.49634</v>
      </c>
      <c r="Y432" s="12">
        <f t="shared" si="7"/>
        <v>20.39726277</v>
      </c>
      <c r="Z432" s="8">
        <f t="shared" si="19"/>
        <v>5221.699268</v>
      </c>
      <c r="AA432" s="8">
        <f t="shared" si="100"/>
        <v>4349</v>
      </c>
      <c r="AB432" s="13">
        <f t="shared" si="9"/>
        <v>0.4349</v>
      </c>
      <c r="AC432" s="13">
        <f t="shared" si="10"/>
        <v>0.8328706378</v>
      </c>
      <c r="AD432" s="13">
        <f>AA432/vlookup(A432,Max!$A$2:$AP$700,column(Max!$AP$2),false)</f>
        <v>2.288947368</v>
      </c>
      <c r="AE432" s="8">
        <f t="shared" si="11"/>
        <v>580.4198342</v>
      </c>
      <c r="AF432" s="14">
        <f t="shared" si="12"/>
        <v>3.890704653</v>
      </c>
      <c r="AG432" s="14">
        <f t="shared" si="13"/>
        <v>1.926052201</v>
      </c>
      <c r="AH432" s="14">
        <f t="shared" si="14"/>
        <v>1</v>
      </c>
      <c r="AI432" s="14">
        <f t="shared" si="15"/>
        <v>1</v>
      </c>
      <c r="AJ432" s="15">
        <f t="shared" si="16"/>
        <v>0</v>
      </c>
      <c r="AK432" s="15" t="str">
        <f t="shared" si="17"/>
        <v>  @CONFIG[ATCRE] {
   %cost = 4349
   @cost -= #$../../cost$
  }</v>
      </c>
    </row>
    <row r="433" ht="15.75" customHeight="1">
      <c r="A433" s="7" t="s">
        <v>601</v>
      </c>
      <c r="B433" s="7" t="s">
        <v>596</v>
      </c>
      <c r="C433" s="8">
        <f t="shared" si="1"/>
        <v>28</v>
      </c>
      <c r="D433" s="7">
        <v>2005.0</v>
      </c>
      <c r="E433" s="7"/>
      <c r="F433" s="7" t="b">
        <v>1</v>
      </c>
      <c r="G433" s="7" t="b">
        <v>0</v>
      </c>
      <c r="H433" s="7" t="b">
        <v>0</v>
      </c>
      <c r="I433" s="7" t="b">
        <v>0</v>
      </c>
      <c r="J433" s="9" t="b">
        <v>0</v>
      </c>
      <c r="K433" s="7">
        <v>515.0</v>
      </c>
      <c r="L433" s="7">
        <v>300.0</v>
      </c>
      <c r="M433" s="7">
        <v>1070.0</v>
      </c>
      <c r="N433" s="7">
        <v>1830.0</v>
      </c>
      <c r="O433" s="7">
        <v>315.8</v>
      </c>
      <c r="P433" s="7">
        <v>16.6</v>
      </c>
      <c r="Q433" s="7">
        <v>0.999663</v>
      </c>
      <c r="R433" s="7">
        <v>0.999663</v>
      </c>
      <c r="S433" s="10">
        <f t="shared" si="2"/>
        <v>815</v>
      </c>
      <c r="T433" s="10">
        <f t="shared" si="3"/>
        <v>174.4000621</v>
      </c>
      <c r="U433" s="11">
        <f t="shared" si="4"/>
        <v>0.2981746242</v>
      </c>
      <c r="V433" s="8">
        <f>0.2*(8.17*POWER(M433*P433,0.46))+0.8*(0.146*POWER(M433*O433,0.639))</f>
        <v>545.6595622</v>
      </c>
      <c r="W433" s="12">
        <f t="shared" si="5"/>
        <v>4</v>
      </c>
      <c r="X433" s="12">
        <f t="shared" si="6"/>
        <v>2728.297811</v>
      </c>
      <c r="Y433" s="12">
        <f t="shared" si="7"/>
        <v>1.490873121</v>
      </c>
      <c r="Z433" s="8">
        <f t="shared" si="19"/>
        <v>556.2050409</v>
      </c>
      <c r="AA433" s="8">
        <f t="shared" si="100"/>
        <v>756</v>
      </c>
      <c r="AB433" s="13">
        <f t="shared" si="9"/>
        <v>0.927607362</v>
      </c>
      <c r="AC433" s="13">
        <f t="shared" si="10"/>
        <v>1.359210982</v>
      </c>
      <c r="AD433" s="13">
        <f>AA433/vlookup(A433,Max!$A$2:$AP$700,column(Max!$AP$2),false)</f>
        <v>1.163076923</v>
      </c>
      <c r="AE433" s="8">
        <f t="shared" si="11"/>
        <v>323.8870786</v>
      </c>
      <c r="AF433" s="14">
        <f t="shared" si="12"/>
        <v>1.11411421</v>
      </c>
      <c r="AG433" s="14">
        <f t="shared" si="13"/>
        <v>2.044161002</v>
      </c>
      <c r="AH433" s="14">
        <f t="shared" si="14"/>
        <v>1</v>
      </c>
      <c r="AI433" s="14">
        <f t="shared" si="15"/>
        <v>1.024580436</v>
      </c>
      <c r="AJ433" s="27">
        <f t="shared" si="16"/>
        <v>28</v>
      </c>
      <c r="AK433" s="15" t="str">
        <f t="shared" si="17"/>
        <v>  @CONFIG[RD-275M] {
   %cost = 756
   @cost -= #$../../cost$
  }</v>
      </c>
    </row>
    <row r="434" ht="15.75" customHeight="1">
      <c r="A434" s="7" t="s">
        <v>693</v>
      </c>
      <c r="B434" s="7" t="s">
        <v>694</v>
      </c>
      <c r="C434" s="8">
        <f t="shared" si="1"/>
        <v>5097</v>
      </c>
      <c r="D434" s="7">
        <v>2005.0</v>
      </c>
      <c r="E434" s="7" t="b">
        <v>1</v>
      </c>
      <c r="F434" s="7" t="b">
        <v>1</v>
      </c>
      <c r="G434" s="7" t="b">
        <v>0</v>
      </c>
      <c r="H434" s="7" t="b">
        <v>0</v>
      </c>
      <c r="I434" s="7" t="b">
        <v>0</v>
      </c>
      <c r="J434" s="9" t="b">
        <v>0</v>
      </c>
      <c r="K434" s="7">
        <v>5000.0</v>
      </c>
      <c r="L434" s="7">
        <v>0.0</v>
      </c>
      <c r="M434" s="7">
        <v>2948.0</v>
      </c>
      <c r="N434" s="7">
        <v>2399.5</v>
      </c>
      <c r="O434" s="7">
        <v>450.0</v>
      </c>
      <c r="P434" s="7">
        <v>22.4</v>
      </c>
      <c r="Q434" s="7">
        <v>0.99995</v>
      </c>
      <c r="R434" s="7">
        <v>0.99995</v>
      </c>
      <c r="S434" s="10">
        <f t="shared" si="2"/>
        <v>5000</v>
      </c>
      <c r="T434" s="10">
        <f t="shared" si="3"/>
        <v>82.99895</v>
      </c>
      <c r="U434" s="11">
        <f t="shared" si="4"/>
        <v>2.11505533</v>
      </c>
      <c r="V434" s="8">
        <f t="shared" ref="V434:V435" si="101">0.9*(0.00015*M434*O434*P434+797)+0.1*(43.1*POWER(M434,0.549))</f>
        <v>5075.075265</v>
      </c>
      <c r="W434" s="12">
        <f t="shared" si="5"/>
        <v>4</v>
      </c>
      <c r="X434" s="12">
        <f t="shared" si="6"/>
        <v>25375.37633</v>
      </c>
      <c r="Y434" s="12">
        <f t="shared" si="7"/>
        <v>10.57527665</v>
      </c>
      <c r="Z434" s="8">
        <f t="shared" si="19"/>
        <v>5176.069276</v>
      </c>
      <c r="AA434" s="8">
        <f t="shared" si="100"/>
        <v>5097</v>
      </c>
      <c r="AB434" s="13">
        <f t="shared" si="9"/>
        <v>1.0194</v>
      </c>
      <c r="AC434" s="13">
        <f t="shared" si="10"/>
        <v>0.9847240693</v>
      </c>
      <c r="AD434" s="13">
        <f>AA434/vlookup(A434,Max!$A$2:$AP$700,column(Max!$AP$2),false)</f>
        <v>0.8638983051</v>
      </c>
      <c r="AE434" s="8">
        <f t="shared" si="11"/>
        <v>658.6018769</v>
      </c>
      <c r="AF434" s="14">
        <f t="shared" si="12"/>
        <v>3.375</v>
      </c>
      <c r="AG434" s="14">
        <f t="shared" si="13"/>
        <v>2.236439106</v>
      </c>
      <c r="AH434" s="14">
        <f t="shared" si="14"/>
        <v>1</v>
      </c>
      <c r="AI434" s="14">
        <f t="shared" si="15"/>
        <v>1.025315978</v>
      </c>
      <c r="AJ434" s="15">
        <f t="shared" si="16"/>
        <v>0</v>
      </c>
      <c r="AK434" s="15" t="str">
        <f t="shared" si="17"/>
        <v>  @CONFIG[RS-2100] {
   %cost = 5097
   @cost -= #$../../cost$
  }</v>
      </c>
    </row>
    <row r="435" ht="15.75" customHeight="1">
      <c r="A435" s="7" t="s">
        <v>124</v>
      </c>
      <c r="B435" s="7" t="s">
        <v>124</v>
      </c>
      <c r="C435" s="8">
        <f t="shared" si="1"/>
        <v>5801</v>
      </c>
      <c r="D435" s="7">
        <v>2006.0</v>
      </c>
      <c r="E435" s="7" t="b">
        <v>1</v>
      </c>
      <c r="F435" s="7" t="b">
        <v>1</v>
      </c>
      <c r="G435" s="7" t="b">
        <v>0</v>
      </c>
      <c r="H435" s="7" t="b">
        <v>0</v>
      </c>
      <c r="I435" s="7" t="b">
        <v>0</v>
      </c>
      <c r="J435" s="9" t="b">
        <v>0</v>
      </c>
      <c r="K435" s="7">
        <v>3500.0</v>
      </c>
      <c r="L435" s="7">
        <v>0.0</v>
      </c>
      <c r="M435" s="7">
        <v>3629.0</v>
      </c>
      <c r="N435" s="7">
        <v>2669.0</v>
      </c>
      <c r="O435" s="7">
        <v>454.7</v>
      </c>
      <c r="P435" s="7">
        <v>20.68</v>
      </c>
      <c r="Q435" s="7">
        <v>0.995</v>
      </c>
      <c r="R435" s="7">
        <v>0.995</v>
      </c>
      <c r="S435" s="10">
        <f t="shared" si="2"/>
        <v>3500</v>
      </c>
      <c r="T435" s="10">
        <f t="shared" si="3"/>
        <v>74.99648841</v>
      </c>
      <c r="U435" s="11">
        <f t="shared" si="4"/>
        <v>2.140141891</v>
      </c>
      <c r="V435" s="8">
        <f t="shared" si="101"/>
        <v>5712.038708</v>
      </c>
      <c r="W435" s="12">
        <f t="shared" si="5"/>
        <v>4</v>
      </c>
      <c r="X435" s="12">
        <f t="shared" si="6"/>
        <v>28560.19354</v>
      </c>
      <c r="Y435" s="12">
        <f t="shared" si="7"/>
        <v>10.70070946</v>
      </c>
      <c r="Z435" s="8">
        <f t="shared" si="19"/>
        <v>5769.301896</v>
      </c>
      <c r="AA435" s="8">
        <f t="shared" si="100"/>
        <v>5801</v>
      </c>
      <c r="AB435" s="13">
        <f t="shared" si="9"/>
        <v>1.657428571</v>
      </c>
      <c r="AC435" s="13">
        <f t="shared" si="10"/>
        <v>1.00549427</v>
      </c>
      <c r="AD435" s="13">
        <f>AA435/vlookup(A435,Max!$A$2:$AP$700,column(Max!$AP$2),false)</f>
        <v>1.381190476</v>
      </c>
      <c r="AE435" s="8">
        <f t="shared" si="11"/>
        <v>743.6809354</v>
      </c>
      <c r="AF435" s="14">
        <f t="shared" si="12"/>
        <v>3.527524302</v>
      </c>
      <c r="AG435" s="14">
        <f t="shared" si="13"/>
        <v>2.183473033</v>
      </c>
      <c r="AH435" s="14">
        <f t="shared" si="14"/>
        <v>1</v>
      </c>
      <c r="AI435" s="14">
        <f t="shared" si="15"/>
        <v>1.01267413</v>
      </c>
      <c r="AJ435" s="15">
        <f t="shared" si="16"/>
        <v>0</v>
      </c>
      <c r="AK435" s="15" t="str">
        <f t="shared" si="17"/>
        <v>  @CONFIG[COBRA] {
   %cost = 5801
   @cost -= #$../../cost$
  }</v>
      </c>
    </row>
    <row r="436" ht="15.75" customHeight="1">
      <c r="A436" s="7" t="s">
        <v>203</v>
      </c>
      <c r="B436" s="7" t="s">
        <v>203</v>
      </c>
      <c r="C436" s="8">
        <f t="shared" si="1"/>
        <v>54</v>
      </c>
      <c r="D436" s="7">
        <v>2006.0</v>
      </c>
      <c r="E436" s="7"/>
      <c r="F436" s="7" t="b">
        <v>0</v>
      </c>
      <c r="G436" s="7" t="b">
        <v>0</v>
      </c>
      <c r="H436" s="7" t="b">
        <v>1</v>
      </c>
      <c r="I436" s="7" t="b">
        <v>0</v>
      </c>
      <c r="J436" s="9" t="b">
        <v>0</v>
      </c>
      <c r="K436" s="7">
        <v>40.0</v>
      </c>
      <c r="L436" s="7">
        <v>0.0</v>
      </c>
      <c r="M436" s="7">
        <v>52.0</v>
      </c>
      <c r="N436" s="7">
        <v>30.5</v>
      </c>
      <c r="O436" s="7">
        <v>317.0</v>
      </c>
      <c r="P436" s="7">
        <v>1.03</v>
      </c>
      <c r="Q436" s="7">
        <v>1.0</v>
      </c>
      <c r="R436" s="7">
        <v>1.0</v>
      </c>
      <c r="S436" s="10">
        <f t="shared" si="2"/>
        <v>40</v>
      </c>
      <c r="T436" s="10">
        <f t="shared" si="3"/>
        <v>59.8102777</v>
      </c>
      <c r="U436" s="11">
        <f t="shared" si="4"/>
        <v>2.230397019</v>
      </c>
      <c r="V436" s="8">
        <f t="shared" ref="V436:V442" si="102">0.2*(8.17*POWER(M436*P436,0.46))+0.8*(0.146*POWER(M436*O436,0.639))</f>
        <v>68.02710906</v>
      </c>
      <c r="W436" s="12">
        <f t="shared" si="5"/>
        <v>1.75</v>
      </c>
      <c r="X436" s="12">
        <f t="shared" si="6"/>
        <v>187.0745499</v>
      </c>
      <c r="Y436" s="12">
        <f t="shared" si="7"/>
        <v>6.133591801</v>
      </c>
      <c r="Z436" s="8">
        <f t="shared" si="19"/>
        <v>69.38765125</v>
      </c>
      <c r="AA436" s="8">
        <f t="shared" si="100"/>
        <v>54</v>
      </c>
      <c r="AB436" s="13">
        <f t="shared" si="9"/>
        <v>1.35</v>
      </c>
      <c r="AC436" s="13">
        <f t="shared" si="10"/>
        <v>0.7782364589</v>
      </c>
      <c r="AD436" s="13">
        <f>AA436/vlookup(A436,Max!$A$2:$AP$700,column(Max!$AP$2),false)</f>
        <v>1.8</v>
      </c>
      <c r="AE436" s="8">
        <f t="shared" si="11"/>
        <v>51.47592973</v>
      </c>
      <c r="AF436" s="14">
        <f t="shared" si="12"/>
        <v>1.123541165</v>
      </c>
      <c r="AG436" s="14">
        <f t="shared" si="13"/>
        <v>0.9146403984</v>
      </c>
      <c r="AH436" s="14">
        <f t="shared" si="14"/>
        <v>1</v>
      </c>
      <c r="AI436" s="14">
        <f t="shared" si="15"/>
        <v>1.025444154</v>
      </c>
      <c r="AJ436" s="15">
        <f t="shared" si="16"/>
        <v>0</v>
      </c>
      <c r="AK436" s="15" t="str">
        <f t="shared" si="17"/>
        <v>  @CONFIG[Kestrel] {
   %cost = 54
   @cost -= #$../../cost$
  }</v>
      </c>
    </row>
    <row r="437" ht="15.75" customHeight="1">
      <c r="A437" s="16" t="s">
        <v>371</v>
      </c>
      <c r="B437" s="16" t="s">
        <v>369</v>
      </c>
      <c r="C437" s="8">
        <f t="shared" si="1"/>
        <v>327</v>
      </c>
      <c r="D437" s="16">
        <v>2006.0</v>
      </c>
      <c r="E437" s="16"/>
      <c r="F437" s="16" t="b">
        <v>1</v>
      </c>
      <c r="G437" s="16" t="b">
        <v>0</v>
      </c>
      <c r="H437" s="16" t="b">
        <v>0</v>
      </c>
      <c r="I437" s="16" t="b">
        <v>0</v>
      </c>
      <c r="J437" s="9" t="b">
        <v>0</v>
      </c>
      <c r="K437" s="16">
        <v>205.0</v>
      </c>
      <c r="L437" s="16">
        <v>0.0</v>
      </c>
      <c r="M437" s="16">
        <v>760.0</v>
      </c>
      <c r="N437" s="16">
        <v>369.2</v>
      </c>
      <c r="O437" s="16">
        <v>288.5</v>
      </c>
      <c r="P437" s="16">
        <v>5.39</v>
      </c>
      <c r="Q437" s="16">
        <v>0.941667</v>
      </c>
      <c r="R437" s="16">
        <v>0.941667</v>
      </c>
      <c r="S437" s="19">
        <f t="shared" si="2"/>
        <v>205</v>
      </c>
      <c r="T437" s="19">
        <f t="shared" si="3"/>
        <v>49.5367401</v>
      </c>
      <c r="U437" s="20">
        <f t="shared" si="4"/>
        <v>1.021660193</v>
      </c>
      <c r="V437" s="17">
        <f t="shared" si="102"/>
        <v>377.1969432</v>
      </c>
      <c r="W437" s="21">
        <f t="shared" si="5"/>
        <v>4</v>
      </c>
      <c r="X437" s="21">
        <f t="shared" si="6"/>
        <v>1885.984716</v>
      </c>
      <c r="Y437" s="21">
        <f t="shared" si="7"/>
        <v>5.108300964</v>
      </c>
      <c r="Z437" s="8">
        <f t="shared" si="19"/>
        <v>342.0183262</v>
      </c>
      <c r="AA437" s="8">
        <f t="shared" si="100"/>
        <v>327</v>
      </c>
      <c r="AB437" s="13">
        <f t="shared" si="9"/>
        <v>1.595121951</v>
      </c>
      <c r="AC437" s="13">
        <f t="shared" si="10"/>
        <v>0.9560891185</v>
      </c>
      <c r="AD437" s="13">
        <f>AA437/vlookup(A437,Max!$A$2:$AP$700,column(Max!$AP$2),false)</f>
        <v>8.384615385</v>
      </c>
      <c r="AE437" s="8">
        <f t="shared" si="11"/>
        <v>262.3523461</v>
      </c>
      <c r="AF437" s="14">
        <f t="shared" si="12"/>
        <v>0.9690036518</v>
      </c>
      <c r="AG437" s="14">
        <f t="shared" si="13"/>
        <v>1.458677559</v>
      </c>
      <c r="AH437" s="14">
        <f t="shared" si="14"/>
        <v>1</v>
      </c>
      <c r="AI437" s="14">
        <f t="shared" si="15"/>
        <v>0.8823794628</v>
      </c>
      <c r="AJ437" s="15">
        <f t="shared" si="16"/>
        <v>0</v>
      </c>
      <c r="AK437" s="15" t="str">
        <f t="shared" si="17"/>
        <v>  @CONFIG[Merlin1A] {
   %cost = 327
   @cost -= #$../../cost$
  }</v>
      </c>
    </row>
    <row r="438" ht="15.75" customHeight="1">
      <c r="A438" s="16" t="s">
        <v>370</v>
      </c>
      <c r="B438" s="16" t="s">
        <v>369</v>
      </c>
      <c r="C438" s="8">
        <f t="shared" si="1"/>
        <v>69</v>
      </c>
      <c r="D438" s="16">
        <v>2006.0</v>
      </c>
      <c r="E438" s="16"/>
      <c r="F438" s="16" t="b">
        <v>1</v>
      </c>
      <c r="G438" s="16" t="b">
        <v>0</v>
      </c>
      <c r="H438" s="16" t="b">
        <v>0</v>
      </c>
      <c r="I438" s="16" t="b">
        <v>0</v>
      </c>
      <c r="J438" s="9" t="b">
        <v>0</v>
      </c>
      <c r="K438" s="16">
        <v>205.0</v>
      </c>
      <c r="L438" s="16">
        <v>-10.0</v>
      </c>
      <c r="M438" s="16">
        <v>760.0</v>
      </c>
      <c r="N438" s="16">
        <v>394.6</v>
      </c>
      <c r="O438" s="16">
        <v>299.2</v>
      </c>
      <c r="P438" s="16">
        <v>6.08</v>
      </c>
      <c r="Q438" s="16">
        <v>0.99</v>
      </c>
      <c r="R438" s="16">
        <v>0.99</v>
      </c>
      <c r="S438" s="19">
        <f t="shared" si="2"/>
        <v>195</v>
      </c>
      <c r="T438" s="19">
        <f t="shared" si="3"/>
        <v>52.94473901</v>
      </c>
      <c r="U438" s="20">
        <f t="shared" si="4"/>
        <v>0.9847547898</v>
      </c>
      <c r="V438" s="17">
        <f t="shared" si="102"/>
        <v>388.58424</v>
      </c>
      <c r="W438" s="21">
        <f t="shared" si="5"/>
        <v>4</v>
      </c>
      <c r="X438" s="21">
        <f t="shared" si="6"/>
        <v>1942.9212</v>
      </c>
      <c r="Y438" s="21">
        <f t="shared" si="7"/>
        <v>4.923773949</v>
      </c>
      <c r="Z438" s="8">
        <f t="shared" si="19"/>
        <v>388.6230985</v>
      </c>
      <c r="AA438" s="8">
        <f t="shared" si="100"/>
        <v>396</v>
      </c>
      <c r="AB438" s="13">
        <f t="shared" si="9"/>
        <v>2.030769231</v>
      </c>
      <c r="AC438" s="13">
        <f t="shared" si="10"/>
        <v>1.018982149</v>
      </c>
      <c r="AD438" s="13">
        <f>AA438/vlookup(A438,Max!$A$2:$AP$700,column(Max!$AP$2),false)</f>
        <v>4.5</v>
      </c>
      <c r="AE438" s="8">
        <f t="shared" si="11"/>
        <v>262.3523461</v>
      </c>
      <c r="AF438" s="14">
        <f t="shared" si="12"/>
        <v>0.9976180791</v>
      </c>
      <c r="AG438" s="14">
        <f t="shared" si="13"/>
        <v>1.512354998</v>
      </c>
      <c r="AH438" s="14">
        <f t="shared" si="14"/>
        <v>1</v>
      </c>
      <c r="AI438" s="14">
        <f t="shared" si="15"/>
        <v>1</v>
      </c>
      <c r="AJ438" s="27">
        <f t="shared" si="16"/>
        <v>69</v>
      </c>
      <c r="AK438" s="15" t="str">
        <f t="shared" si="17"/>
        <v>  @CONFIG[Merlin1B] {
   %cost = 396
   @cost -= #$../../cost$
  }</v>
      </c>
    </row>
    <row r="439" ht="15.75" customHeight="1">
      <c r="A439" s="7" t="s">
        <v>372</v>
      </c>
      <c r="B439" s="7" t="s">
        <v>369</v>
      </c>
      <c r="C439" s="8">
        <f t="shared" si="1"/>
        <v>162</v>
      </c>
      <c r="D439" s="7">
        <v>2006.0</v>
      </c>
      <c r="E439" s="7"/>
      <c r="F439" s="7" t="b">
        <v>1</v>
      </c>
      <c r="G439" s="7" t="b">
        <v>0</v>
      </c>
      <c r="H439" s="7" t="b">
        <v>1</v>
      </c>
      <c r="I439" s="7" t="b">
        <v>0</v>
      </c>
      <c r="J439" s="9" t="b">
        <v>0</v>
      </c>
      <c r="K439" s="7">
        <v>205.0</v>
      </c>
      <c r="L439" s="7">
        <v>15.0</v>
      </c>
      <c r="M439" s="7">
        <f>760*1.2</f>
        <v>912</v>
      </c>
      <c r="N439" s="7">
        <v>421.6</v>
      </c>
      <c r="O439" s="7">
        <v>332.1</v>
      </c>
      <c r="P439" s="7">
        <v>6.08</v>
      </c>
      <c r="Q439" s="7">
        <v>0.99</v>
      </c>
      <c r="R439" s="7">
        <v>0.99</v>
      </c>
      <c r="S439" s="10">
        <f t="shared" si="2"/>
        <v>220</v>
      </c>
      <c r="T439" s="10">
        <f t="shared" si="3"/>
        <v>47.13951251</v>
      </c>
      <c r="U439" s="11">
        <f t="shared" si="4"/>
        <v>1.085620437</v>
      </c>
      <c r="V439" s="8">
        <f t="shared" si="102"/>
        <v>457.6975763</v>
      </c>
      <c r="W439" s="12">
        <f t="shared" si="5"/>
        <v>4</v>
      </c>
      <c r="X439" s="12">
        <f t="shared" si="6"/>
        <v>2288.487881</v>
      </c>
      <c r="Y439" s="12">
        <f t="shared" si="7"/>
        <v>5.428102186</v>
      </c>
      <c r="Z439" s="8">
        <f t="shared" si="19"/>
        <v>457.7433461</v>
      </c>
      <c r="AA439" s="8">
        <f t="shared" si="100"/>
        <v>489</v>
      </c>
      <c r="AB439" s="13">
        <f t="shared" si="9"/>
        <v>2.222727273</v>
      </c>
      <c r="AC439" s="13">
        <f t="shared" si="10"/>
        <v>1.068284234</v>
      </c>
      <c r="AD439" s="13">
        <f>AA439/vlookup(A439,Max!$A$2:$AP$700,column(Max!$AP$2),false)</f>
        <v>4.939393939</v>
      </c>
      <c r="AE439" s="8">
        <f t="shared" si="11"/>
        <v>293.5096385</v>
      </c>
      <c r="AF439" s="14">
        <f t="shared" si="12"/>
        <v>1.252399347</v>
      </c>
      <c r="AG439" s="14">
        <f t="shared" si="13"/>
        <v>1.363767415</v>
      </c>
      <c r="AH439" s="14">
        <f t="shared" si="14"/>
        <v>1</v>
      </c>
      <c r="AI439" s="14">
        <f t="shared" si="15"/>
        <v>0.9751871871</v>
      </c>
      <c r="AJ439" s="27">
        <f t="shared" si="16"/>
        <v>162</v>
      </c>
      <c r="AK439" s="15" t="str">
        <f t="shared" si="17"/>
        <v>  @CONFIG[Merlin1BVac] {
   %cost = 489
   @cost -= #$../../cost$
  }</v>
      </c>
    </row>
    <row r="440" ht="15.75" customHeight="1">
      <c r="A440" s="7" t="s">
        <v>368</v>
      </c>
      <c r="B440" s="7" t="s">
        <v>369</v>
      </c>
      <c r="C440" s="8">
        <f t="shared" si="1"/>
        <v>37</v>
      </c>
      <c r="D440" s="7">
        <v>2006.0</v>
      </c>
      <c r="E440" s="7"/>
      <c r="F440" s="7" t="b">
        <v>1</v>
      </c>
      <c r="G440" s="7" t="b">
        <v>0</v>
      </c>
      <c r="H440" s="7" t="b">
        <v>0</v>
      </c>
      <c r="I440" s="7" t="b">
        <v>0</v>
      </c>
      <c r="J440" s="9" t="b">
        <v>0</v>
      </c>
      <c r="K440" s="7">
        <v>205.0</v>
      </c>
      <c r="L440" s="7">
        <v>-20.0</v>
      </c>
      <c r="M440" s="7">
        <v>630.0</v>
      </c>
      <c r="N440" s="7">
        <v>482.63</v>
      </c>
      <c r="O440" s="7">
        <v>304.8</v>
      </c>
      <c r="P440" s="7">
        <v>6.14</v>
      </c>
      <c r="Q440" s="7">
        <v>0.992391</v>
      </c>
      <c r="R440" s="7">
        <v>0.992391</v>
      </c>
      <c r="S440" s="10">
        <f t="shared" si="2"/>
        <v>185</v>
      </c>
      <c r="T440" s="10">
        <f t="shared" si="3"/>
        <v>78.11835467</v>
      </c>
      <c r="U440" s="11">
        <f t="shared" si="4"/>
        <v>0.7266162192</v>
      </c>
      <c r="V440" s="8">
        <f t="shared" si="102"/>
        <v>350.6867859</v>
      </c>
      <c r="W440" s="12">
        <f t="shared" si="5"/>
        <v>4</v>
      </c>
      <c r="X440" s="12">
        <f t="shared" si="6"/>
        <v>1753.433929</v>
      </c>
      <c r="Y440" s="12">
        <f t="shared" si="7"/>
        <v>3.633081096</v>
      </c>
      <c r="Z440" s="8">
        <f t="shared" si="19"/>
        <v>352.3840738</v>
      </c>
      <c r="AA440" s="8">
        <f t="shared" si="100"/>
        <v>364</v>
      </c>
      <c r="AB440" s="13">
        <f t="shared" si="9"/>
        <v>1.967567568</v>
      </c>
      <c r="AC440" s="13">
        <f t="shared" si="10"/>
        <v>1.032963823</v>
      </c>
      <c r="AD440" s="13">
        <f>AA440/vlookup(A440,Max!$A$2:$AP$700,column(Max!$AP$2),false)</f>
        <v>2.912</v>
      </c>
      <c r="AE440" s="8">
        <f t="shared" si="11"/>
        <v>233.7847915</v>
      </c>
      <c r="AF440" s="14">
        <f t="shared" si="12"/>
        <v>1.020740157</v>
      </c>
      <c r="AG440" s="14">
        <f t="shared" si="13"/>
        <v>1.516816986</v>
      </c>
      <c r="AH440" s="14">
        <f t="shared" si="14"/>
        <v>1</v>
      </c>
      <c r="AI440" s="14">
        <f t="shared" si="15"/>
        <v>1.00604882</v>
      </c>
      <c r="AJ440" s="27">
        <f t="shared" si="16"/>
        <v>37</v>
      </c>
      <c r="AK440" s="15" t="str">
        <f t="shared" si="17"/>
        <v>  @CONFIG[Merlin1C] {
   %cost = 364
   @cost -= #$../../cost$
  }</v>
      </c>
    </row>
    <row r="441" ht="15.75" customHeight="1">
      <c r="A441" s="16" t="s">
        <v>204</v>
      </c>
      <c r="B441" s="16" t="s">
        <v>203</v>
      </c>
      <c r="C441" s="8">
        <f t="shared" si="1"/>
        <v>1</v>
      </c>
      <c r="D441" s="16">
        <v>2007.0</v>
      </c>
      <c r="E441" s="16"/>
      <c r="F441" s="16" t="b">
        <v>0</v>
      </c>
      <c r="G441" s="16" t="b">
        <v>0</v>
      </c>
      <c r="H441" s="16" t="b">
        <v>1</v>
      </c>
      <c r="I441" s="16" t="b">
        <v>0</v>
      </c>
      <c r="J441" s="9" t="b">
        <v>0</v>
      </c>
      <c r="K441" s="16">
        <v>40.0</v>
      </c>
      <c r="L441" s="16">
        <v>0.0</v>
      </c>
      <c r="M441" s="16">
        <v>52.0</v>
      </c>
      <c r="N441" s="16">
        <v>30.7</v>
      </c>
      <c r="O441" s="16">
        <v>320.0</v>
      </c>
      <c r="P441" s="16">
        <v>1.03</v>
      </c>
      <c r="Q441" s="16">
        <v>1.0</v>
      </c>
      <c r="R441" s="16">
        <v>1.0</v>
      </c>
      <c r="S441" s="19">
        <f t="shared" si="2"/>
        <v>40</v>
      </c>
      <c r="T441" s="19">
        <f t="shared" si="3"/>
        <v>60.20247624</v>
      </c>
      <c r="U441" s="20">
        <f t="shared" si="4"/>
        <v>2.227238592</v>
      </c>
      <c r="V441" s="17">
        <f t="shared" si="102"/>
        <v>68.37622476</v>
      </c>
      <c r="W441" s="21">
        <f t="shared" si="5"/>
        <v>1.75</v>
      </c>
      <c r="X441" s="21">
        <f t="shared" si="6"/>
        <v>188.0346181</v>
      </c>
      <c r="Y441" s="21">
        <f t="shared" si="7"/>
        <v>6.124906127</v>
      </c>
      <c r="Z441" s="8">
        <f t="shared" si="19"/>
        <v>69.74374926</v>
      </c>
      <c r="AA441" s="8">
        <f t="shared" si="100"/>
        <v>55</v>
      </c>
      <c r="AB441" s="13">
        <f t="shared" si="9"/>
        <v>1.375</v>
      </c>
      <c r="AC441" s="13">
        <f t="shared" si="10"/>
        <v>0.7886011376</v>
      </c>
      <c r="AD441" s="13">
        <f>AA441/vlookup(A441,Max!$A$2:$AP$700,column(Max!$AP$2),false)</f>
        <v>1.774193548</v>
      </c>
      <c r="AE441" s="8">
        <f t="shared" si="11"/>
        <v>51.47592973</v>
      </c>
      <c r="AF441" s="14">
        <f t="shared" si="12"/>
        <v>1.147610757</v>
      </c>
      <c r="AG441" s="14">
        <f t="shared" si="13"/>
        <v>0.9146403984</v>
      </c>
      <c r="AH441" s="14">
        <f t="shared" si="14"/>
        <v>1</v>
      </c>
      <c r="AI441" s="14">
        <f t="shared" si="15"/>
        <v>1.025444154</v>
      </c>
      <c r="AJ441" s="27">
        <f t="shared" si="16"/>
        <v>1</v>
      </c>
      <c r="AK441" s="15" t="str">
        <f t="shared" si="17"/>
        <v>  @CONFIG[Kestrel-2] {
   %cost = 55
   @cost -= #$../../cost$
  }</v>
      </c>
    </row>
    <row r="442" ht="15.75" customHeight="1">
      <c r="A442" s="16" t="s">
        <v>380</v>
      </c>
      <c r="B442" s="16" t="s">
        <v>380</v>
      </c>
      <c r="C442" s="8">
        <f t="shared" si="1"/>
        <v>26</v>
      </c>
      <c r="D442" s="16">
        <v>2007.0</v>
      </c>
      <c r="E442" s="16"/>
      <c r="F442" s="16" t="b">
        <v>0</v>
      </c>
      <c r="G442" s="16" t="b">
        <v>0</v>
      </c>
      <c r="H442" s="16" t="b">
        <v>1</v>
      </c>
      <c r="I442" s="16" t="b">
        <v>1</v>
      </c>
      <c r="J442" s="9" t="b">
        <v>0</v>
      </c>
      <c r="K442" s="16">
        <v>200.0</v>
      </c>
      <c r="L442" s="16">
        <v>0.0</v>
      </c>
      <c r="M442" s="16">
        <v>8.5</v>
      </c>
      <c r="N442" s="16">
        <v>3.603</v>
      </c>
      <c r="O442" s="16">
        <v>223.0</v>
      </c>
      <c r="P442" s="16">
        <v>2.4</v>
      </c>
      <c r="Q442" s="16">
        <v>0.999</v>
      </c>
      <c r="R442" s="16">
        <v>0.999</v>
      </c>
      <c r="S442" s="19">
        <f t="shared" si="2"/>
        <v>200</v>
      </c>
      <c r="T442" s="19">
        <f t="shared" si="3"/>
        <v>43.22397064</v>
      </c>
      <c r="U442" s="20">
        <f t="shared" si="4"/>
        <v>5.845023844</v>
      </c>
      <c r="V442" s="17">
        <f t="shared" si="102"/>
        <v>21.05962091</v>
      </c>
      <c r="W442" s="21">
        <f t="shared" si="5"/>
        <v>1.75</v>
      </c>
      <c r="X442" s="21">
        <f t="shared" si="6"/>
        <v>57.91395751</v>
      </c>
      <c r="Y442" s="21">
        <f t="shared" si="7"/>
        <v>16.07381557</v>
      </c>
      <c r="Z442" s="8">
        <f t="shared" si="19"/>
        <v>32.15807272</v>
      </c>
      <c r="AA442" s="8">
        <f t="shared" si="100"/>
        <v>26</v>
      </c>
      <c r="AB442" s="13">
        <f t="shared" si="9"/>
        <v>0.13</v>
      </c>
      <c r="AC442" s="13">
        <f t="shared" si="10"/>
        <v>0.8085061635</v>
      </c>
      <c r="AD442" s="13">
        <f>AA442/vlookup(A442,Max!$A$2:$AP$700,column(Max!$AP$2),false)</f>
        <v>3.13253012</v>
      </c>
      <c r="AE442" s="8">
        <f t="shared" si="11"/>
        <v>17.61913864</v>
      </c>
      <c r="AF442" s="14">
        <f t="shared" si="12"/>
        <v>0.8827345443</v>
      </c>
      <c r="AG442" s="14">
        <f t="shared" si="13"/>
        <v>1.106393291</v>
      </c>
      <c r="AH442" s="14">
        <f t="shared" si="14"/>
        <v>1.5</v>
      </c>
      <c r="AI442" s="14">
        <f t="shared" si="15"/>
        <v>1.020327177</v>
      </c>
      <c r="AJ442" s="15">
        <f t="shared" si="16"/>
        <v>0</v>
      </c>
      <c r="AK442" s="15" t="str">
        <f t="shared" si="17"/>
        <v>  @CONFIG[MR-80B] {
   %cost = 26
   @cost -= #$../../cost$
  }</v>
      </c>
    </row>
    <row r="443" ht="15.75" customHeight="1">
      <c r="A443" s="16" t="s">
        <v>628</v>
      </c>
      <c r="B443" s="16" t="s">
        <v>626</v>
      </c>
      <c r="C443" s="8">
        <f t="shared" si="1"/>
        <v>-156</v>
      </c>
      <c r="D443" s="16">
        <v>2007.0</v>
      </c>
      <c r="E443" s="16" t="b">
        <v>1</v>
      </c>
      <c r="F443" s="16" t="b">
        <v>1</v>
      </c>
      <c r="G443" s="16" t="b">
        <v>0</v>
      </c>
      <c r="H443" s="16" t="b">
        <v>1</v>
      </c>
      <c r="I443" s="16" t="b">
        <v>0</v>
      </c>
      <c r="J443" s="9" t="b">
        <v>0</v>
      </c>
      <c r="K443" s="16">
        <v>700.0</v>
      </c>
      <c r="L443" s="16">
        <v>200.0</v>
      </c>
      <c r="M443" s="16">
        <v>550.0</v>
      </c>
      <c r="N443" s="16">
        <v>395.0</v>
      </c>
      <c r="O443" s="16">
        <v>460.0</v>
      </c>
      <c r="P443" s="16">
        <v>11.5</v>
      </c>
      <c r="Q443" s="16">
        <v>0.989286</v>
      </c>
      <c r="R443" s="16">
        <v>0.987</v>
      </c>
      <c r="S443" s="19">
        <f t="shared" si="2"/>
        <v>900</v>
      </c>
      <c r="T443" s="19">
        <f t="shared" si="3"/>
        <v>73.23416417</v>
      </c>
      <c r="U443" s="20">
        <f t="shared" si="4"/>
        <v>3.158945002</v>
      </c>
      <c r="V443" s="17">
        <f>0.9*(0.00015*M443*O443*P443+797)+0.1*(43.1*POWER(M443,0.549))</f>
        <v>1247.783276</v>
      </c>
      <c r="W443" s="21">
        <f t="shared" si="5"/>
        <v>4</v>
      </c>
      <c r="X443" s="21">
        <f t="shared" si="6"/>
        <v>6238.916378</v>
      </c>
      <c r="Y443" s="21">
        <f t="shared" si="7"/>
        <v>15.79472501</v>
      </c>
      <c r="Z443" s="8">
        <f t="shared" si="19"/>
        <v>1243.322802</v>
      </c>
      <c r="AA443" s="8">
        <f t="shared" si="100"/>
        <v>1445</v>
      </c>
      <c r="AB443" s="13">
        <f t="shared" si="9"/>
        <v>1.605555556</v>
      </c>
      <c r="AC443" s="13">
        <f t="shared" si="10"/>
        <v>1.162208235</v>
      </c>
      <c r="AD443" s="13">
        <f>AA443/vlookup(A443,Max!$A$2:$AP$700,column(Max!$AP$2),false)</f>
        <v>1.642045455</v>
      </c>
      <c r="AE443" s="8">
        <f t="shared" si="11"/>
        <v>256.1058798</v>
      </c>
      <c r="AF443" s="14">
        <f t="shared" si="12"/>
        <v>3.709244853</v>
      </c>
      <c r="AG443" s="14">
        <f t="shared" si="13"/>
        <v>1.574051792</v>
      </c>
      <c r="AH443" s="14">
        <f t="shared" si="14"/>
        <v>1</v>
      </c>
      <c r="AI443" s="14">
        <f t="shared" si="15"/>
        <v>0.9660721292</v>
      </c>
      <c r="AJ443" s="27">
        <f t="shared" si="16"/>
        <v>-156</v>
      </c>
      <c r="AK443" s="15" t="str">
        <f t="shared" si="17"/>
        <v>  @CONFIG[RD-57A-1] {
   %cost = 1445
   @cost -= #$../../cost$
  }</v>
      </c>
    </row>
    <row r="444" ht="15.75" customHeight="1">
      <c r="A444" s="7" t="s">
        <v>205</v>
      </c>
      <c r="B444" s="7" t="s">
        <v>206</v>
      </c>
      <c r="C444" s="8">
        <f t="shared" si="1"/>
        <v>65</v>
      </c>
      <c r="D444" s="7">
        <v>2008.0</v>
      </c>
      <c r="E444" s="7"/>
      <c r="F444" s="7" t="b">
        <v>0</v>
      </c>
      <c r="G444" s="7" t="b">
        <v>0</v>
      </c>
      <c r="H444" s="7" t="b">
        <v>1</v>
      </c>
      <c r="I444" s="7" t="b">
        <v>0</v>
      </c>
      <c r="J444" s="9" t="b">
        <v>0</v>
      </c>
      <c r="K444" s="7">
        <v>40.0</v>
      </c>
      <c r="L444" s="7">
        <v>0.0</v>
      </c>
      <c r="M444" s="7">
        <v>60.0</v>
      </c>
      <c r="N444" s="7">
        <v>35.1</v>
      </c>
      <c r="O444" s="7">
        <v>331.0</v>
      </c>
      <c r="P444" s="7">
        <v>1.03</v>
      </c>
      <c r="Q444" s="7">
        <v>1.0</v>
      </c>
      <c r="R444" s="7">
        <v>1.0</v>
      </c>
      <c r="S444" s="10">
        <f t="shared" si="2"/>
        <v>40</v>
      </c>
      <c r="T444" s="10">
        <f t="shared" si="3"/>
        <v>59.65339829</v>
      </c>
      <c r="U444" s="11">
        <f t="shared" si="4"/>
        <v>2.166169564</v>
      </c>
      <c r="V444" s="8">
        <f t="shared" ref="V444:V449" si="103">0.2*(8.17*POWER(M444*P444,0.46))+0.8*(0.146*POWER(M444*O444,0.639))</f>
        <v>76.03255168</v>
      </c>
      <c r="W444" s="12">
        <f t="shared" si="5"/>
        <v>1.75</v>
      </c>
      <c r="X444" s="12">
        <f t="shared" si="6"/>
        <v>209.0895171</v>
      </c>
      <c r="Y444" s="12">
        <f t="shared" si="7"/>
        <v>5.9569663</v>
      </c>
      <c r="Z444" s="8">
        <f t="shared" si="19"/>
        <v>77.55320272</v>
      </c>
      <c r="AA444" s="8">
        <f t="shared" si="100"/>
        <v>65</v>
      </c>
      <c r="AB444" s="13">
        <f t="shared" si="9"/>
        <v>1.625</v>
      </c>
      <c r="AC444" s="13">
        <f t="shared" si="10"/>
        <v>0.8381343094</v>
      </c>
      <c r="AD444" s="13">
        <f>AA444/vlookup(A444,Max!$A$2:$AP$700,column(Max!$AP$2),false)</f>
        <v>1.911764706</v>
      </c>
      <c r="AE444" s="8">
        <f t="shared" si="11"/>
        <v>56.08373075</v>
      </c>
      <c r="AF444" s="14">
        <f t="shared" si="12"/>
        <v>1.242337337</v>
      </c>
      <c r="AG444" s="14">
        <f t="shared" si="13"/>
        <v>0.9146403984</v>
      </c>
      <c r="AH444" s="14">
        <f t="shared" si="14"/>
        <v>1</v>
      </c>
      <c r="AI444" s="14">
        <f t="shared" si="15"/>
        <v>1.025444154</v>
      </c>
      <c r="AJ444" s="15">
        <f t="shared" si="16"/>
        <v>0</v>
      </c>
      <c r="AK444" s="15" t="str">
        <f t="shared" si="17"/>
        <v>  @CONFIG[Kestrel-1B] {
   %cost = 65
   @cost -= #$../../cost$
  }</v>
      </c>
    </row>
    <row r="445" ht="15.75" customHeight="1">
      <c r="A445" s="7" t="s">
        <v>428</v>
      </c>
      <c r="B445" s="7" t="s">
        <v>427</v>
      </c>
      <c r="C445" s="8">
        <f t="shared" si="1"/>
        <v>7</v>
      </c>
      <c r="D445" s="7">
        <v>2008.0</v>
      </c>
      <c r="E445" s="7"/>
      <c r="F445" s="7" t="b">
        <v>0</v>
      </c>
      <c r="G445" s="7" t="b">
        <v>0</v>
      </c>
      <c r="H445" s="7" t="b">
        <v>1</v>
      </c>
      <c r="I445" s="7" t="b">
        <v>0</v>
      </c>
      <c r="J445" s="9" t="b">
        <v>0</v>
      </c>
      <c r="K445" s="7">
        <v>60.0</v>
      </c>
      <c r="L445" s="7">
        <v>0.0</v>
      </c>
      <c r="M445" s="7">
        <v>7.3</v>
      </c>
      <c r="N445" s="7">
        <v>0.89</v>
      </c>
      <c r="O445" s="7">
        <v>327.0</v>
      </c>
      <c r="P445" s="7">
        <v>0.96</v>
      </c>
      <c r="Q445" s="7">
        <v>0.999814</v>
      </c>
      <c r="R445" s="7">
        <v>0.999442</v>
      </c>
      <c r="S445" s="10">
        <f t="shared" si="2"/>
        <v>60</v>
      </c>
      <c r="T445" s="10">
        <f t="shared" si="3"/>
        <v>12.43215653</v>
      </c>
      <c r="U445" s="11">
        <f t="shared" si="4"/>
        <v>23.3982849</v>
      </c>
      <c r="V445" s="8">
        <f t="shared" si="103"/>
        <v>20.82447356</v>
      </c>
      <c r="W445" s="12">
        <f t="shared" si="5"/>
        <v>1.75</v>
      </c>
      <c r="X445" s="12">
        <f t="shared" si="6"/>
        <v>57.26730228</v>
      </c>
      <c r="Y445" s="12">
        <f t="shared" si="7"/>
        <v>64.34528346</v>
      </c>
      <c r="Z445" s="8">
        <f t="shared" si="19"/>
        <v>21.22547178</v>
      </c>
      <c r="AA445" s="8">
        <f t="shared" si="100"/>
        <v>18</v>
      </c>
      <c r="AB445" s="13">
        <f t="shared" si="9"/>
        <v>0.3</v>
      </c>
      <c r="AC445" s="13">
        <f t="shared" si="10"/>
        <v>0.8480376873</v>
      </c>
      <c r="AD445" s="13">
        <f>AA445/vlookup(A445,Max!$A$2:$AP$700,column(Max!$AP$2),false)</f>
        <v>1.636363636</v>
      </c>
      <c r="AE445" s="8">
        <f t="shared" si="11"/>
        <v>16.11978335</v>
      </c>
      <c r="AF445" s="14">
        <f t="shared" si="12"/>
        <v>1.206673473</v>
      </c>
      <c r="AG445" s="14">
        <f t="shared" si="13"/>
        <v>0.9002705251</v>
      </c>
      <c r="AH445" s="14">
        <f t="shared" si="14"/>
        <v>1</v>
      </c>
      <c r="AI445" s="14">
        <f t="shared" si="15"/>
        <v>1.023538158</v>
      </c>
      <c r="AJ445" s="27">
        <f t="shared" si="16"/>
        <v>7</v>
      </c>
      <c r="AK445" s="15" t="str">
        <f t="shared" si="17"/>
        <v>  @CONFIG[R-42DM] {
   %cost = 18
   @cost -= #$../../cost$
  }</v>
      </c>
    </row>
    <row r="446" ht="15.75" customHeight="1">
      <c r="A446" s="7" t="s">
        <v>510</v>
      </c>
      <c r="B446" s="7" t="s">
        <v>511</v>
      </c>
      <c r="C446" s="8">
        <f t="shared" si="1"/>
        <v>135</v>
      </c>
      <c r="D446" s="7">
        <v>2008.0</v>
      </c>
      <c r="E446" s="7"/>
      <c r="F446" s="7" t="b">
        <v>1</v>
      </c>
      <c r="G446" s="7" t="b">
        <v>0</v>
      </c>
      <c r="H446" s="7" t="b">
        <v>1</v>
      </c>
      <c r="I446" s="7" t="b">
        <v>0</v>
      </c>
      <c r="J446" s="9" t="b">
        <v>0</v>
      </c>
      <c r="K446" s="7"/>
      <c r="L446" s="7">
        <v>0.0</v>
      </c>
      <c r="M446" s="7">
        <v>120.0</v>
      </c>
      <c r="N446" s="7">
        <v>50.0</v>
      </c>
      <c r="O446" s="7">
        <v>280.0</v>
      </c>
      <c r="P446" s="7">
        <v>15.3</v>
      </c>
      <c r="Q446" s="7">
        <v>0.995</v>
      </c>
      <c r="R446" s="7">
        <v>0.992</v>
      </c>
      <c r="S446" s="10">
        <f t="shared" si="2"/>
        <v>0</v>
      </c>
      <c r="T446" s="10">
        <f t="shared" si="3"/>
        <v>42.48817542</v>
      </c>
      <c r="U446" s="11">
        <f t="shared" si="4"/>
        <v>2.859796007</v>
      </c>
      <c r="V446" s="8">
        <f t="shared" si="103"/>
        <v>142.9898003</v>
      </c>
      <c r="W446" s="12">
        <f t="shared" si="5"/>
        <v>4</v>
      </c>
      <c r="X446" s="12">
        <f t="shared" si="6"/>
        <v>714.9490016</v>
      </c>
      <c r="Y446" s="12">
        <f t="shared" si="7"/>
        <v>14.29898003</v>
      </c>
      <c r="Z446" s="8">
        <f t="shared" si="19"/>
        <v>143.9964485</v>
      </c>
      <c r="AA446" s="8">
        <f t="shared" si="100"/>
        <v>135</v>
      </c>
      <c r="AB446" s="13" t="str">
        <f t="shared" si="9"/>
        <v>#N/A</v>
      </c>
      <c r="AC446" s="13">
        <f t="shared" si="10"/>
        <v>0.9375231222</v>
      </c>
      <c r="AD446" s="13">
        <f>AA446/vlookup(A446,Max!$A$2:$AP$700,column(Max!$AP$2),false)</f>
        <v>7.105263158</v>
      </c>
      <c r="AE446" s="8">
        <f t="shared" si="11"/>
        <v>85.12105437</v>
      </c>
      <c r="AF446" s="14">
        <f t="shared" si="12"/>
        <v>0.9500966329</v>
      </c>
      <c r="AG446" s="14">
        <f t="shared" si="13"/>
        <v>1.678485431</v>
      </c>
      <c r="AH446" s="14">
        <f t="shared" si="14"/>
        <v>1</v>
      </c>
      <c r="AI446" s="14">
        <f t="shared" si="15"/>
        <v>0.9925420057</v>
      </c>
      <c r="AJ446" s="15">
        <f t="shared" si="16"/>
        <v>0</v>
      </c>
      <c r="AK446" s="15" t="str">
        <f t="shared" si="17"/>
        <v>  @CONFIG[RD-0242M2] {
   %cost = 135
   @cost -= #$../../cost$
  }</v>
      </c>
    </row>
    <row r="447" ht="15.75" customHeight="1">
      <c r="A447" s="7" t="s">
        <v>395</v>
      </c>
      <c r="B447" s="7" t="s">
        <v>393</v>
      </c>
      <c r="C447" s="8">
        <f t="shared" si="1"/>
        <v>178</v>
      </c>
      <c r="D447" s="7">
        <v>2009.0</v>
      </c>
      <c r="E447" s="7" t="b">
        <v>0</v>
      </c>
      <c r="F447" s="7" t="b">
        <v>1</v>
      </c>
      <c r="G447" s="7" t="b">
        <v>0</v>
      </c>
      <c r="H447" s="7" t="b">
        <v>0</v>
      </c>
      <c r="I447" s="7" t="b">
        <v>0</v>
      </c>
      <c r="J447" s="9" t="b">
        <v>0</v>
      </c>
      <c r="K447" s="7"/>
      <c r="L447" s="7"/>
      <c r="M447" s="7">
        <v>1407.9</v>
      </c>
      <c r="N447" s="7">
        <v>1753.3</v>
      </c>
      <c r="O447" s="7">
        <v>331.0</v>
      </c>
      <c r="P447" s="7">
        <v>14.83</v>
      </c>
      <c r="Q447" s="7">
        <v>0.997</v>
      </c>
      <c r="R447" s="7">
        <v>0.997</v>
      </c>
      <c r="S447" s="10">
        <f t="shared" si="2"/>
        <v>0</v>
      </c>
      <c r="T447" s="10">
        <f t="shared" si="3"/>
        <v>126.988311</v>
      </c>
      <c r="U447" s="11">
        <f t="shared" si="4"/>
        <v>0.3695192464</v>
      </c>
      <c r="V447" s="8">
        <f t="shared" si="103"/>
        <v>647.8780947</v>
      </c>
      <c r="W447" s="12">
        <f t="shared" si="5"/>
        <v>4</v>
      </c>
      <c r="X447" s="12">
        <f t="shared" si="6"/>
        <v>3239.390474</v>
      </c>
      <c r="Y447" s="12">
        <f t="shared" si="7"/>
        <v>1.847596232</v>
      </c>
      <c r="Z447" s="8">
        <f t="shared" si="19"/>
        <v>656.954219</v>
      </c>
      <c r="AA447" s="8">
        <f t="shared" si="100"/>
        <v>959</v>
      </c>
      <c r="AB447" s="13" t="str">
        <f t="shared" si="9"/>
        <v>#N/A</v>
      </c>
      <c r="AC447" s="13">
        <f t="shared" si="10"/>
        <v>1.459766864</v>
      </c>
      <c r="AD447" s="13">
        <f>AA447/vlookup(A447,Max!$A$2:$AP$700,column(Max!$AP$2),false)</f>
        <v>1.278666667</v>
      </c>
      <c r="AE447" s="8">
        <f t="shared" si="11"/>
        <v>383.6992855</v>
      </c>
      <c r="AF447" s="14">
        <f t="shared" si="12"/>
        <v>1.242337337</v>
      </c>
      <c r="AG447" s="14">
        <f t="shared" si="13"/>
        <v>1.976173255</v>
      </c>
      <c r="AH447" s="14">
        <f t="shared" si="14"/>
        <v>1</v>
      </c>
      <c r="AI447" s="14">
        <f t="shared" si="15"/>
        <v>1.017770618</v>
      </c>
      <c r="AJ447" s="27">
        <f t="shared" si="16"/>
        <v>178</v>
      </c>
      <c r="AK447" s="15" t="str">
        <f t="shared" si="17"/>
        <v>  @CONFIG[AJ26-58] {
   %cost = 959
   @cost -= #$../../cost$
  }</v>
      </c>
    </row>
    <row r="448" ht="15.75" customHeight="1">
      <c r="A448" s="16" t="s">
        <v>396</v>
      </c>
      <c r="B448" s="16" t="s">
        <v>393</v>
      </c>
      <c r="C448" s="8">
        <f t="shared" si="1"/>
        <v>199</v>
      </c>
      <c r="D448" s="16">
        <v>2009.0</v>
      </c>
      <c r="E448" s="16" t="b">
        <v>0</v>
      </c>
      <c r="F448" s="16" t="b">
        <v>1</v>
      </c>
      <c r="G448" s="16" t="b">
        <v>0</v>
      </c>
      <c r="H448" s="16" t="b">
        <v>0</v>
      </c>
      <c r="I448" s="16" t="b">
        <v>0</v>
      </c>
      <c r="J448" s="9" t="b">
        <v>0</v>
      </c>
      <c r="K448" s="16"/>
      <c r="L448" s="16"/>
      <c r="M448" s="16">
        <v>1458.8</v>
      </c>
      <c r="N448" s="16">
        <v>1753.3</v>
      </c>
      <c r="O448" s="16">
        <v>331.0</v>
      </c>
      <c r="P448" s="16">
        <v>14.83</v>
      </c>
      <c r="Q448" s="16">
        <v>0.997</v>
      </c>
      <c r="R448" s="16">
        <v>0.997</v>
      </c>
      <c r="S448" s="19">
        <f t="shared" si="2"/>
        <v>0</v>
      </c>
      <c r="T448" s="19">
        <f t="shared" si="3"/>
        <v>122.557474</v>
      </c>
      <c r="U448" s="20">
        <f t="shared" si="4"/>
        <v>0.3774146002</v>
      </c>
      <c r="V448" s="17">
        <f t="shared" si="103"/>
        <v>661.7210185</v>
      </c>
      <c r="W448" s="21">
        <f t="shared" si="5"/>
        <v>4</v>
      </c>
      <c r="X448" s="21">
        <f t="shared" si="6"/>
        <v>3308.605093</v>
      </c>
      <c r="Y448" s="21">
        <f t="shared" si="7"/>
        <v>1.887073001</v>
      </c>
      <c r="Z448" s="8">
        <f t="shared" si="19"/>
        <v>670.9910683</v>
      </c>
      <c r="AA448" s="8">
        <f t="shared" si="100"/>
        <v>980</v>
      </c>
      <c r="AB448" s="13" t="str">
        <f t="shared" si="9"/>
        <v>#N/A</v>
      </c>
      <c r="AC448" s="13">
        <f t="shared" si="10"/>
        <v>1.460526148</v>
      </c>
      <c r="AD448" s="13">
        <f>AA448/vlookup(A448,Max!$A$2:$AP$700,column(Max!$AP$2),false)</f>
        <v>1.209876543</v>
      </c>
      <c r="AE448" s="8">
        <f t="shared" si="11"/>
        <v>392.2174325</v>
      </c>
      <c r="AF448" s="14">
        <f t="shared" si="12"/>
        <v>1.242337337</v>
      </c>
      <c r="AG448" s="14">
        <f t="shared" si="13"/>
        <v>1.976173255</v>
      </c>
      <c r="AH448" s="14">
        <f t="shared" si="14"/>
        <v>1</v>
      </c>
      <c r="AI448" s="14">
        <f t="shared" si="15"/>
        <v>1.017770618</v>
      </c>
      <c r="AJ448" s="27">
        <f t="shared" si="16"/>
        <v>199</v>
      </c>
      <c r="AK448" s="15" t="str">
        <f t="shared" si="17"/>
        <v>  @CONFIG[AJ26-59] {
   %cost = 980
   @cost -= #$../../cost$
  }</v>
      </c>
    </row>
    <row r="449" ht="15.75" customHeight="1">
      <c r="A449" s="7" t="s">
        <v>401</v>
      </c>
      <c r="B449" s="7" t="s">
        <v>399</v>
      </c>
      <c r="C449" s="8">
        <f t="shared" si="1"/>
        <v>139</v>
      </c>
      <c r="D449" s="7">
        <v>2009.0</v>
      </c>
      <c r="E449" s="7" t="b">
        <v>0</v>
      </c>
      <c r="F449" s="7" t="b">
        <v>1</v>
      </c>
      <c r="G449" s="7" t="b">
        <v>0</v>
      </c>
      <c r="H449" s="7" t="b">
        <v>1</v>
      </c>
      <c r="I449" s="7" t="b">
        <v>0</v>
      </c>
      <c r="J449" s="9" t="b">
        <v>0</v>
      </c>
      <c r="K449" s="7"/>
      <c r="L449" s="7"/>
      <c r="M449" s="7">
        <v>1473.0</v>
      </c>
      <c r="N449" s="7">
        <v>1823.9</v>
      </c>
      <c r="O449" s="7">
        <v>326.0</v>
      </c>
      <c r="P449" s="7">
        <v>14.54</v>
      </c>
      <c r="Q449" s="7">
        <v>0.997</v>
      </c>
      <c r="R449" s="7">
        <v>0.997</v>
      </c>
      <c r="S449" s="10">
        <f t="shared" si="2"/>
        <v>0</v>
      </c>
      <c r="T449" s="10">
        <f t="shared" si="3"/>
        <v>126.2634349</v>
      </c>
      <c r="U449" s="11">
        <f t="shared" si="4"/>
        <v>0.3614286879</v>
      </c>
      <c r="V449" s="8">
        <f t="shared" si="103"/>
        <v>659.2097839</v>
      </c>
      <c r="W449" s="12">
        <f t="shared" si="5"/>
        <v>4</v>
      </c>
      <c r="X449" s="12">
        <f t="shared" si="6"/>
        <v>3296.048919</v>
      </c>
      <c r="Y449" s="12">
        <f t="shared" si="7"/>
        <v>1.80714344</v>
      </c>
      <c r="Z449" s="8">
        <f t="shared" si="19"/>
        <v>668.4446538</v>
      </c>
      <c r="AA449" s="8">
        <f t="shared" si="100"/>
        <v>792</v>
      </c>
      <c r="AB449" s="13" t="str">
        <f t="shared" si="9"/>
        <v>#N/A</v>
      </c>
      <c r="AC449" s="13">
        <f t="shared" si="10"/>
        <v>1.184840055</v>
      </c>
      <c r="AD449" s="13">
        <f>AA449/vlookup(A449,Max!$A$2:$AP$700,column(Max!$AP$2),false)</f>
        <v>1.32</v>
      </c>
      <c r="AE449" s="8">
        <f t="shared" si="11"/>
        <v>394.5738872</v>
      </c>
      <c r="AF449" s="14">
        <f t="shared" si="12"/>
        <v>1.197979511</v>
      </c>
      <c r="AG449" s="14">
        <f t="shared" si="13"/>
        <v>1.659353805</v>
      </c>
      <c r="AH449" s="14">
        <f t="shared" si="14"/>
        <v>1</v>
      </c>
      <c r="AI449" s="14">
        <f t="shared" si="15"/>
        <v>1.010154505</v>
      </c>
      <c r="AJ449" s="27">
        <f t="shared" si="16"/>
        <v>139</v>
      </c>
      <c r="AK449" s="15" t="str">
        <f t="shared" si="17"/>
        <v>  @CONFIG[AJ26-60] {
   %cost = 792
   @cost -= #$../../cost$
  }</v>
      </c>
    </row>
    <row r="450" ht="15.75" customHeight="1">
      <c r="A450" s="16" t="s">
        <v>125</v>
      </c>
      <c r="B450" s="16" t="s">
        <v>125</v>
      </c>
      <c r="C450" s="8">
        <f t="shared" si="1"/>
        <v>7796</v>
      </c>
      <c r="D450" s="16">
        <v>2009.0</v>
      </c>
      <c r="E450" s="16" t="b">
        <v>1</v>
      </c>
      <c r="F450" s="16" t="b">
        <v>1</v>
      </c>
      <c r="G450" s="16" t="b">
        <v>0</v>
      </c>
      <c r="H450" s="16" t="b">
        <v>0</v>
      </c>
      <c r="I450" s="16" t="b">
        <v>0</v>
      </c>
      <c r="J450" s="9" t="b">
        <v>0</v>
      </c>
      <c r="K450" s="16">
        <v>6000.0</v>
      </c>
      <c r="L450" s="16">
        <v>0.0</v>
      </c>
      <c r="M450" s="16">
        <v>6050.0</v>
      </c>
      <c r="N450" s="16">
        <v>4448.0</v>
      </c>
      <c r="O450" s="16">
        <v>454.0</v>
      </c>
      <c r="P450" s="16">
        <v>20.68</v>
      </c>
      <c r="Q450" s="16">
        <v>0.995</v>
      </c>
      <c r="R450" s="16">
        <v>0.995</v>
      </c>
      <c r="S450" s="19">
        <f t="shared" si="2"/>
        <v>6000</v>
      </c>
      <c r="T450" s="19">
        <f t="shared" si="3"/>
        <v>74.97020995</v>
      </c>
      <c r="U450" s="20">
        <f t="shared" si="4"/>
        <v>2.000714834</v>
      </c>
      <c r="V450" s="17">
        <f t="shared" ref="V450:V454" si="104">0.9*(0.00015*M450*O450*P450+797)+0.1*(43.1*POWER(M450,0.549))</f>
        <v>8899.179583</v>
      </c>
      <c r="W450" s="21">
        <f t="shared" si="5"/>
        <v>4</v>
      </c>
      <c r="X450" s="21">
        <f t="shared" si="6"/>
        <v>44495.89792</v>
      </c>
      <c r="Y450" s="21">
        <f t="shared" si="7"/>
        <v>10.00357417</v>
      </c>
      <c r="Z450" s="8">
        <f t="shared" si="19"/>
        <v>8988.393859</v>
      </c>
      <c r="AA450" s="8">
        <f t="shared" si="100"/>
        <v>7796</v>
      </c>
      <c r="AB450" s="13">
        <f t="shared" si="9"/>
        <v>1.299333333</v>
      </c>
      <c r="AC450" s="13">
        <f t="shared" si="10"/>
        <v>0.8673407199</v>
      </c>
      <c r="AD450" s="13">
        <f>AA450/vlookup(A450,Max!$A$2:$AP$700,column(Max!$AP$2),false)</f>
        <v>1.16358209</v>
      </c>
      <c r="AE450" s="8">
        <f t="shared" si="11"/>
        <v>1006.152323</v>
      </c>
      <c r="AF450" s="14">
        <f t="shared" si="12"/>
        <v>3.504306227</v>
      </c>
      <c r="AG450" s="14">
        <f t="shared" si="13"/>
        <v>2.183473033</v>
      </c>
      <c r="AH450" s="14">
        <f t="shared" si="14"/>
        <v>1</v>
      </c>
      <c r="AI450" s="14">
        <f t="shared" si="15"/>
        <v>1.01267413</v>
      </c>
      <c r="AJ450" s="15">
        <f t="shared" si="16"/>
        <v>0</v>
      </c>
      <c r="AK450" s="15" t="str">
        <f t="shared" si="17"/>
        <v>  @CONFIG[COBRAH] {
   %cost = 7796
   @cost -= #$../../cost$
  }</v>
      </c>
    </row>
    <row r="451" ht="15.75" customHeight="1">
      <c r="A451" s="16" t="s">
        <v>238</v>
      </c>
      <c r="B451" s="16" t="s">
        <v>235</v>
      </c>
      <c r="C451" s="8">
        <f t="shared" si="1"/>
        <v>92</v>
      </c>
      <c r="D451" s="16">
        <v>2009.0</v>
      </c>
      <c r="E451" s="16" t="b">
        <v>1</v>
      </c>
      <c r="F451" s="16" t="b">
        <v>1</v>
      </c>
      <c r="G451" s="16" t="b">
        <v>0</v>
      </c>
      <c r="H451" s="16" t="b">
        <v>1</v>
      </c>
      <c r="I451" s="16" t="b">
        <v>0</v>
      </c>
      <c r="J451" s="9" t="b">
        <v>0</v>
      </c>
      <c r="K451" s="16">
        <v>2650.0</v>
      </c>
      <c r="L451" s="16">
        <v>-650.0</v>
      </c>
      <c r="M451" s="16">
        <v>298.0</v>
      </c>
      <c r="N451" s="16">
        <v>137.2</v>
      </c>
      <c r="O451" s="16">
        <v>446.8</v>
      </c>
      <c r="P451" s="16">
        <v>3.58</v>
      </c>
      <c r="Q451" s="16">
        <v>0.998598</v>
      </c>
      <c r="R451" s="16">
        <v>0.997222</v>
      </c>
      <c r="S451" s="19">
        <f t="shared" si="2"/>
        <v>2000</v>
      </c>
      <c r="T451" s="19">
        <f t="shared" si="3"/>
        <v>46.94800806</v>
      </c>
      <c r="U451" s="20">
        <f t="shared" si="4"/>
        <v>6.414070285</v>
      </c>
      <c r="V451" s="17">
        <f t="shared" si="104"/>
        <v>880.0104431</v>
      </c>
      <c r="W451" s="21">
        <f t="shared" si="5"/>
        <v>4</v>
      </c>
      <c r="X451" s="21">
        <f t="shared" si="6"/>
        <v>4400.052215</v>
      </c>
      <c r="Y451" s="21">
        <f t="shared" si="7"/>
        <v>32.07035142</v>
      </c>
      <c r="Z451" s="8">
        <f t="shared" si="19"/>
        <v>893.9356357</v>
      </c>
      <c r="AA451" s="8">
        <f t="shared" si="100"/>
        <v>744</v>
      </c>
      <c r="AB451" s="13">
        <f t="shared" si="9"/>
        <v>0.372</v>
      </c>
      <c r="AC451" s="13">
        <f t="shared" si="10"/>
        <v>0.8322746854</v>
      </c>
      <c r="AD451" s="13">
        <f>AA451/vlookup(A451,Max!$A$2:$AP$700,column(Max!$AP$2),false)</f>
        <v>2.010810811</v>
      </c>
      <c r="AE451" s="8">
        <f t="shared" si="11"/>
        <v>184.8913051</v>
      </c>
      <c r="AF451" s="14">
        <f t="shared" si="12"/>
        <v>3.275557557</v>
      </c>
      <c r="AG451" s="14">
        <f t="shared" si="13"/>
        <v>1.210558231</v>
      </c>
      <c r="AH451" s="14">
        <f t="shared" si="14"/>
        <v>1</v>
      </c>
      <c r="AI451" s="14">
        <f t="shared" si="15"/>
        <v>1.014771756</v>
      </c>
      <c r="AJ451" s="27">
        <f t="shared" si="16"/>
        <v>92</v>
      </c>
      <c r="AK451" s="15" t="str">
        <f t="shared" si="17"/>
        <v>  @CONFIG[LE-5B-2] {
   %cost = 744
   @cost -= #$../../cost$
  }</v>
      </c>
    </row>
    <row r="452" ht="15.75" customHeight="1">
      <c r="A452" s="16" t="s">
        <v>361</v>
      </c>
      <c r="B452" s="16" t="s">
        <v>362</v>
      </c>
      <c r="C452" s="8">
        <f t="shared" si="1"/>
        <v>1252</v>
      </c>
      <c r="D452" s="16">
        <v>2009.0</v>
      </c>
      <c r="E452" s="16" t="b">
        <v>1</v>
      </c>
      <c r="F452" s="16" t="b">
        <v>1</v>
      </c>
      <c r="G452" s="16" t="b">
        <v>0</v>
      </c>
      <c r="H452" s="16" t="b">
        <v>1</v>
      </c>
      <c r="I452" s="16" t="b">
        <v>0</v>
      </c>
      <c r="J452" s="9" t="b">
        <v>0</v>
      </c>
      <c r="K452" s="16">
        <v>585.0</v>
      </c>
      <c r="L452" s="16">
        <v>0.0</v>
      </c>
      <c r="M452" s="16">
        <v>345.0</v>
      </c>
      <c r="N452" s="16">
        <v>155.7</v>
      </c>
      <c r="O452" s="16">
        <v>468.0</v>
      </c>
      <c r="P452" s="16">
        <v>10.34</v>
      </c>
      <c r="Q452" s="16">
        <v>0.9995</v>
      </c>
      <c r="R452" s="16">
        <v>0.9979</v>
      </c>
      <c r="S452" s="19">
        <f t="shared" si="2"/>
        <v>585</v>
      </c>
      <c r="T452" s="19">
        <f t="shared" si="3"/>
        <v>46.02023591</v>
      </c>
      <c r="U452" s="20">
        <f t="shared" si="4"/>
        <v>6.73909942</v>
      </c>
      <c r="V452" s="17">
        <f t="shared" si="104"/>
        <v>1049.27778</v>
      </c>
      <c r="W452" s="21">
        <f t="shared" si="5"/>
        <v>4</v>
      </c>
      <c r="X452" s="21">
        <f t="shared" si="6"/>
        <v>5246.388898</v>
      </c>
      <c r="Y452" s="21">
        <f t="shared" si="7"/>
        <v>33.6954971</v>
      </c>
      <c r="Z452" s="8">
        <f t="shared" si="19"/>
        <v>1067.536315</v>
      </c>
      <c r="AA452" s="8">
        <f t="shared" si="100"/>
        <v>1252</v>
      </c>
      <c r="AB452" s="13">
        <f t="shared" si="9"/>
        <v>2.14017094</v>
      </c>
      <c r="AC452" s="13">
        <f t="shared" si="10"/>
        <v>1.172793827</v>
      </c>
      <c r="AD452" s="13">
        <f>AA452/vlookup(A452,Max!$A$2:$AP$700,column(Max!$AP$2),false)</f>
        <v>1.814492754</v>
      </c>
      <c r="AE452" s="8">
        <f t="shared" si="11"/>
        <v>199.6664113</v>
      </c>
      <c r="AF452" s="14">
        <f t="shared" si="12"/>
        <v>4.004504139</v>
      </c>
      <c r="AG452" s="14">
        <f t="shared" si="13"/>
        <v>1.536841662</v>
      </c>
      <c r="AH452" s="14">
        <f t="shared" si="14"/>
        <v>1</v>
      </c>
      <c r="AI452" s="14">
        <f t="shared" si="15"/>
        <v>1.01879444</v>
      </c>
      <c r="AJ452" s="15">
        <f t="shared" si="16"/>
        <v>0</v>
      </c>
      <c r="AK452" s="15" t="str">
        <f t="shared" si="17"/>
        <v>  @CONFIG[MB-35] {
   %cost = 1252
   @cost -= #$../../cost$
  }</v>
      </c>
    </row>
    <row r="453" ht="15.75" customHeight="1">
      <c r="A453" s="16" t="s">
        <v>365</v>
      </c>
      <c r="B453" s="16" t="s">
        <v>364</v>
      </c>
      <c r="C453" s="8">
        <f t="shared" si="1"/>
        <v>109</v>
      </c>
      <c r="D453" s="16">
        <v>2009.0</v>
      </c>
      <c r="E453" s="16" t="b">
        <v>1</v>
      </c>
      <c r="F453" s="16" t="b">
        <v>1</v>
      </c>
      <c r="G453" s="16" t="b">
        <v>0</v>
      </c>
      <c r="H453" s="16" t="b">
        <v>1</v>
      </c>
      <c r="I453" s="16" t="b">
        <v>0</v>
      </c>
      <c r="J453" s="9" t="b">
        <v>0</v>
      </c>
      <c r="K453" s="16">
        <v>750.0</v>
      </c>
      <c r="L453" s="16">
        <v>0.0</v>
      </c>
      <c r="M453" s="16">
        <v>443.0</v>
      </c>
      <c r="N453" s="16">
        <v>200.2</v>
      </c>
      <c r="O453" s="16">
        <v>467.5</v>
      </c>
      <c r="P453" s="16">
        <v>13.44</v>
      </c>
      <c r="Q453" s="16">
        <v>0.99995</v>
      </c>
      <c r="R453" s="16">
        <v>0.99995</v>
      </c>
      <c r="S453" s="19">
        <f t="shared" si="2"/>
        <v>750</v>
      </c>
      <c r="T453" s="19">
        <f t="shared" si="3"/>
        <v>46.08288606</v>
      </c>
      <c r="U453" s="20">
        <f t="shared" si="4"/>
        <v>6.070659681</v>
      </c>
      <c r="V453" s="17">
        <f t="shared" si="104"/>
        <v>1215.346068</v>
      </c>
      <c r="W453" s="21">
        <f t="shared" si="5"/>
        <v>4</v>
      </c>
      <c r="X453" s="21">
        <f t="shared" si="6"/>
        <v>6076.730341</v>
      </c>
      <c r="Y453" s="21">
        <f t="shared" si="7"/>
        <v>30.3532984</v>
      </c>
      <c r="Z453" s="8">
        <f t="shared" si="19"/>
        <v>1239.531458</v>
      </c>
      <c r="AA453" s="8">
        <f t="shared" si="100"/>
        <v>1519</v>
      </c>
      <c r="AB453" s="13">
        <f t="shared" si="9"/>
        <v>2.025333333</v>
      </c>
      <c r="AC453" s="13">
        <f t="shared" si="10"/>
        <v>1.225463049</v>
      </c>
      <c r="AD453" s="13">
        <f>AA453/vlookup(A453,Max!$A$2:$AP$700,column(Max!$AP$2),false)</f>
        <v>1.651086957</v>
      </c>
      <c r="AE453" s="8">
        <f t="shared" si="11"/>
        <v>227.9964061</v>
      </c>
      <c r="AF453" s="14">
        <f t="shared" si="12"/>
        <v>3.985273428</v>
      </c>
      <c r="AG453" s="14">
        <f t="shared" si="13"/>
        <v>1.630241106</v>
      </c>
      <c r="AH453" s="14">
        <f t="shared" si="14"/>
        <v>1</v>
      </c>
      <c r="AI453" s="14">
        <f t="shared" si="15"/>
        <v>1.025187819</v>
      </c>
      <c r="AJ453" s="27">
        <f t="shared" si="16"/>
        <v>109</v>
      </c>
      <c r="AK453" s="15" t="str">
        <f t="shared" si="17"/>
        <v>  @CONFIG[MB-45] {
   %cost = 1519
   @cost -= #$../../cost$
  }</v>
      </c>
    </row>
    <row r="454" ht="15.75" customHeight="1">
      <c r="A454" s="7" t="s">
        <v>366</v>
      </c>
      <c r="B454" s="7" t="s">
        <v>367</v>
      </c>
      <c r="C454" s="8">
        <f t="shared" si="1"/>
        <v>1752</v>
      </c>
      <c r="D454" s="7">
        <v>2009.0</v>
      </c>
      <c r="E454" s="7" t="b">
        <v>1</v>
      </c>
      <c r="F454" s="7" t="b">
        <v>1</v>
      </c>
      <c r="G454" s="7" t="b">
        <v>0</v>
      </c>
      <c r="H454" s="7" t="b">
        <v>1</v>
      </c>
      <c r="I454" s="7" t="b">
        <v>0</v>
      </c>
      <c r="J454" s="9" t="b">
        <v>0</v>
      </c>
      <c r="K454" s="7">
        <v>1000.0</v>
      </c>
      <c r="L454" s="7">
        <v>0.0</v>
      </c>
      <c r="M454" s="7">
        <v>590.0</v>
      </c>
      <c r="N454" s="7">
        <v>266.9</v>
      </c>
      <c r="O454" s="7">
        <v>467.0</v>
      </c>
      <c r="P454" s="7">
        <v>13.44</v>
      </c>
      <c r="Q454" s="7">
        <v>0.9995</v>
      </c>
      <c r="R454" s="7">
        <v>0.9979</v>
      </c>
      <c r="S454" s="10">
        <f t="shared" si="2"/>
        <v>1000</v>
      </c>
      <c r="T454" s="10">
        <f t="shared" si="3"/>
        <v>46.12919601</v>
      </c>
      <c r="U454" s="11">
        <f t="shared" si="4"/>
        <v>5.09679016</v>
      </c>
      <c r="V454" s="8">
        <f t="shared" si="104"/>
        <v>1360.333294</v>
      </c>
      <c r="W454" s="12">
        <f t="shared" si="5"/>
        <v>4</v>
      </c>
      <c r="X454" s="12">
        <f t="shared" si="6"/>
        <v>6801.666469</v>
      </c>
      <c r="Y454" s="12">
        <f t="shared" si="7"/>
        <v>25.4839508</v>
      </c>
      <c r="Z454" s="8">
        <f t="shared" si="19"/>
        <v>1384.004521</v>
      </c>
      <c r="AA454" s="8">
        <f t="shared" si="100"/>
        <v>1752</v>
      </c>
      <c r="AB454" s="13">
        <f t="shared" si="9"/>
        <v>1.752</v>
      </c>
      <c r="AC454" s="13">
        <f t="shared" si="10"/>
        <v>1.265891818</v>
      </c>
      <c r="AD454" s="13">
        <f>AA454/vlookup(A454,Max!$A$2:$AP$700,column(Max!$AP$2),false)</f>
        <v>1.752</v>
      </c>
      <c r="AE454" s="8">
        <f t="shared" si="11"/>
        <v>266.0285984</v>
      </c>
      <c r="AF454" s="14">
        <f t="shared" si="12"/>
        <v>3.966149208</v>
      </c>
      <c r="AG454" s="14">
        <f t="shared" si="13"/>
        <v>1.630241106</v>
      </c>
      <c r="AH454" s="14">
        <f t="shared" si="14"/>
        <v>1</v>
      </c>
      <c r="AI454" s="14">
        <f t="shared" si="15"/>
        <v>1.01879444</v>
      </c>
      <c r="AJ454" s="15">
        <f t="shared" si="16"/>
        <v>0</v>
      </c>
      <c r="AK454" s="15" t="str">
        <f t="shared" si="17"/>
        <v>  @CONFIG[MB-60] {
   %cost = 1752
   @cost -= #$../../cost$
  }</v>
      </c>
    </row>
    <row r="455" ht="15.75" customHeight="1">
      <c r="A455" s="7" t="s">
        <v>406</v>
      </c>
      <c r="B455" s="7" t="s">
        <v>403</v>
      </c>
      <c r="C455" s="8">
        <f t="shared" si="1"/>
        <v>49</v>
      </c>
      <c r="D455" s="7">
        <v>2009.0</v>
      </c>
      <c r="E455" s="7"/>
      <c r="F455" s="7" t="b">
        <v>1</v>
      </c>
      <c r="G455" s="7" t="b">
        <v>0</v>
      </c>
      <c r="H455" s="7" t="b">
        <v>0</v>
      </c>
      <c r="I455" s="7" t="b">
        <v>0</v>
      </c>
      <c r="J455" s="9" t="b">
        <v>0</v>
      </c>
      <c r="K455" s="7">
        <v>350.0</v>
      </c>
      <c r="L455" s="7">
        <v>5.0</v>
      </c>
      <c r="M455" s="7">
        <v>491.55</v>
      </c>
      <c r="N455" s="7">
        <v>603.0</v>
      </c>
      <c r="O455" s="7">
        <v>331.6</v>
      </c>
      <c r="P455" s="7">
        <v>11.71</v>
      </c>
      <c r="Q455" s="7">
        <v>0.980556</v>
      </c>
      <c r="R455" s="7">
        <v>0.980556</v>
      </c>
      <c r="S455" s="10">
        <f t="shared" si="2"/>
        <v>355</v>
      </c>
      <c r="T455" s="10">
        <f t="shared" si="3"/>
        <v>125.0918268</v>
      </c>
      <c r="U455" s="11">
        <f t="shared" si="4"/>
        <v>0.5600862783</v>
      </c>
      <c r="V455" s="8">
        <f t="shared" ref="V455:V458" si="105">0.2*(8.17*POWER(M455*P455,0.46))+0.8*(0.146*POWER(M455*O455,0.639))</f>
        <v>337.7320258</v>
      </c>
      <c r="W455" s="12">
        <f t="shared" si="5"/>
        <v>4</v>
      </c>
      <c r="X455" s="12">
        <f t="shared" si="6"/>
        <v>1688.660129</v>
      </c>
      <c r="Y455" s="12">
        <f t="shared" si="7"/>
        <v>2.800431391</v>
      </c>
      <c r="Z455" s="8">
        <f t="shared" si="19"/>
        <v>331.4806293</v>
      </c>
      <c r="AA455" s="8">
        <f t="shared" si="100"/>
        <v>450</v>
      </c>
      <c r="AB455" s="13">
        <f t="shared" si="9"/>
        <v>1.267605634</v>
      </c>
      <c r="AC455" s="13">
        <f t="shared" si="10"/>
        <v>1.357545389</v>
      </c>
      <c r="AD455" s="13">
        <f>AA455/vlookup(A455,Max!$A$2:$AP$700,column(Max!$AP$2),false)</f>
        <v>2.5</v>
      </c>
      <c r="AE455" s="8">
        <f t="shared" si="11"/>
        <v>200.7760691</v>
      </c>
      <c r="AF455" s="14">
        <f t="shared" si="12"/>
        <v>1.24781188</v>
      </c>
      <c r="AG455" s="14">
        <f t="shared" si="13"/>
        <v>1.840982841</v>
      </c>
      <c r="AH455" s="14">
        <f t="shared" si="14"/>
        <v>1</v>
      </c>
      <c r="AI455" s="14">
        <f t="shared" si="15"/>
        <v>0.9763218686</v>
      </c>
      <c r="AJ455" s="27">
        <f t="shared" si="16"/>
        <v>49</v>
      </c>
      <c r="AK455" s="15" t="str">
        <f t="shared" si="17"/>
        <v>  @CONFIG[NK-9-2009] {
   %cost = 450
   @cost -= #$../../cost$
  }</v>
      </c>
    </row>
    <row r="456" ht="15.75" customHeight="1">
      <c r="A456" s="7" t="s">
        <v>565</v>
      </c>
      <c r="B456" s="7" t="s">
        <v>566</v>
      </c>
      <c r="C456" s="8">
        <f t="shared" si="1"/>
        <v>1508</v>
      </c>
      <c r="D456" s="7">
        <v>2009.0</v>
      </c>
      <c r="E456" s="7"/>
      <c r="F456" s="7" t="b">
        <v>1</v>
      </c>
      <c r="G456" s="7" t="b">
        <v>0</v>
      </c>
      <c r="H456" s="7" t="b">
        <v>0</v>
      </c>
      <c r="I456" s="7" t="b">
        <v>0</v>
      </c>
      <c r="J456" s="9" t="b">
        <v>0</v>
      </c>
      <c r="K456" s="7">
        <v>858.0</v>
      </c>
      <c r="L456" s="7">
        <v>0.0</v>
      </c>
      <c r="M456" s="7">
        <v>2290.0</v>
      </c>
      <c r="N456" s="7">
        <v>1918.0</v>
      </c>
      <c r="O456" s="7">
        <v>338.0</v>
      </c>
      <c r="P456" s="7">
        <v>20.79</v>
      </c>
      <c r="Q456" s="7">
        <v>0.996354</v>
      </c>
      <c r="R456" s="7">
        <v>0.996354</v>
      </c>
      <c r="S456" s="10">
        <f t="shared" si="2"/>
        <v>858</v>
      </c>
      <c r="T456" s="10">
        <f t="shared" si="3"/>
        <v>85.40679872</v>
      </c>
      <c r="U456" s="11">
        <f t="shared" si="4"/>
        <v>0.4736029368</v>
      </c>
      <c r="V456" s="8">
        <f t="shared" si="105"/>
        <v>908.3704328</v>
      </c>
      <c r="W456" s="12">
        <f t="shared" si="5"/>
        <v>4</v>
      </c>
      <c r="X456" s="12">
        <f t="shared" si="6"/>
        <v>4541.852164</v>
      </c>
      <c r="Y456" s="12">
        <f t="shared" si="7"/>
        <v>2.368014684</v>
      </c>
      <c r="Z456" s="8">
        <f t="shared" si="19"/>
        <v>919.9260795</v>
      </c>
      <c r="AA456" s="8">
        <f t="shared" si="100"/>
        <v>1508</v>
      </c>
      <c r="AB456" s="13">
        <f t="shared" si="9"/>
        <v>1.757575758</v>
      </c>
      <c r="AC456" s="13">
        <f t="shared" si="10"/>
        <v>1.639262147</v>
      </c>
      <c r="AD456" s="13">
        <f>AA456/vlookup(A456,Max!$A$2:$AP$700,column(Max!$AP$2),false)</f>
        <v>2.123943662</v>
      </c>
      <c r="AE456" s="8">
        <f t="shared" si="11"/>
        <v>518.6000954</v>
      </c>
      <c r="AF456" s="14">
        <f t="shared" si="12"/>
        <v>1.308315251</v>
      </c>
      <c r="AG456" s="14">
        <f t="shared" si="13"/>
        <v>2.186950831</v>
      </c>
      <c r="AH456" s="14">
        <f t="shared" si="14"/>
        <v>1</v>
      </c>
      <c r="AI456" s="14">
        <f t="shared" si="15"/>
        <v>1.016122774</v>
      </c>
      <c r="AJ456" s="15">
        <f t="shared" si="16"/>
        <v>0</v>
      </c>
      <c r="AK456" s="15" t="str">
        <f t="shared" si="17"/>
        <v>  @CONFIG[RD-151] {
   %cost = 1508
   @cost -= #$../../cost$
  }</v>
      </c>
    </row>
    <row r="457" ht="15.75" customHeight="1">
      <c r="A457" s="7" t="s">
        <v>1057</v>
      </c>
      <c r="B457" s="7" t="s">
        <v>605</v>
      </c>
      <c r="C457" s="8">
        <f t="shared" si="1"/>
        <v>29</v>
      </c>
      <c r="D457" s="7">
        <v>2009.0</v>
      </c>
      <c r="E457" s="7"/>
      <c r="F457" s="7" t="b">
        <v>1</v>
      </c>
      <c r="G457" s="7" t="b">
        <v>0</v>
      </c>
      <c r="H457" s="7" t="b">
        <v>1</v>
      </c>
      <c r="I457" s="7" t="b">
        <v>0</v>
      </c>
      <c r="J457" s="9" t="b">
        <v>0</v>
      </c>
      <c r="K457" s="7">
        <v>525.0</v>
      </c>
      <c r="L457" s="7">
        <v>300.0</v>
      </c>
      <c r="M457" s="7">
        <v>1436.0</v>
      </c>
      <c r="N457" s="7">
        <v>1922.0</v>
      </c>
      <c r="O457" s="7">
        <v>327.8</v>
      </c>
      <c r="P457" s="7">
        <v>16.6</v>
      </c>
      <c r="Q457" s="7">
        <v>0.999663</v>
      </c>
      <c r="R457" s="7">
        <v>0.999663</v>
      </c>
      <c r="S457" s="10">
        <f t="shared" si="2"/>
        <v>825</v>
      </c>
      <c r="T457" s="10">
        <f t="shared" si="3"/>
        <v>136.4829078</v>
      </c>
      <c r="U457" s="11">
        <f t="shared" si="4"/>
        <v>0.3439116672</v>
      </c>
      <c r="V457" s="8">
        <f t="shared" si="105"/>
        <v>660.9982243</v>
      </c>
      <c r="W457" s="12">
        <f t="shared" si="5"/>
        <v>4</v>
      </c>
      <c r="X457" s="12">
        <f t="shared" si="6"/>
        <v>3304.991121</v>
      </c>
      <c r="Y457" s="12">
        <f t="shared" si="7"/>
        <v>1.719558336</v>
      </c>
      <c r="Z457" s="8">
        <f t="shared" si="19"/>
        <v>673.772751</v>
      </c>
      <c r="AA457" s="8">
        <f t="shared" si="100"/>
        <v>825</v>
      </c>
      <c r="AB457" s="13">
        <f t="shared" si="9"/>
        <v>1</v>
      </c>
      <c r="AC457" s="13">
        <f t="shared" si="10"/>
        <v>1.224448449</v>
      </c>
      <c r="AD457" s="13">
        <f>AA457/vlookup(A457,Max!$A$2:$AP$700,column(Max!$AP$2),false)</f>
        <v>1.195652174</v>
      </c>
      <c r="AE457" s="8">
        <f t="shared" si="11"/>
        <v>388.4158105</v>
      </c>
      <c r="AF457" s="14">
        <f t="shared" si="12"/>
        <v>1.213691867</v>
      </c>
      <c r="AG457" s="14">
        <f t="shared" si="13"/>
        <v>1.709567779</v>
      </c>
      <c r="AH457" s="14">
        <f t="shared" si="14"/>
        <v>1</v>
      </c>
      <c r="AI457" s="14">
        <f t="shared" si="15"/>
        <v>1.023717445</v>
      </c>
      <c r="AJ457" s="27">
        <f t="shared" si="16"/>
        <v>29</v>
      </c>
      <c r="AK457" s="15" t="str">
        <f t="shared" si="17"/>
        <v>  @CONFIG[RD-277M] {
   %cost = 825
   @cost -= #$../../cost$
  }</v>
      </c>
    </row>
    <row r="458" ht="15.75" customHeight="1">
      <c r="A458" s="16" t="s">
        <v>709</v>
      </c>
      <c r="B458" s="16" t="s">
        <v>708</v>
      </c>
      <c r="C458" s="8">
        <f t="shared" si="1"/>
        <v>-56</v>
      </c>
      <c r="D458" s="16">
        <v>2009.0</v>
      </c>
      <c r="E458" s="16"/>
      <c r="F458" s="16" t="b">
        <v>1</v>
      </c>
      <c r="G458" s="16" t="b">
        <v>0</v>
      </c>
      <c r="H458" s="16" t="b">
        <v>0</v>
      </c>
      <c r="I458" s="16" t="b">
        <v>0</v>
      </c>
      <c r="J458" s="9" t="b">
        <v>0</v>
      </c>
      <c r="K458" s="16">
        <v>3000.0</v>
      </c>
      <c r="L458" s="16">
        <v>0.0</v>
      </c>
      <c r="M458" s="16">
        <f>7087*0.95</f>
        <v>6732.65</v>
      </c>
      <c r="N458" s="16">
        <v>4621.29</v>
      </c>
      <c r="O458" s="16">
        <v>337.0</v>
      </c>
      <c r="P458" s="16">
        <v>19.31</v>
      </c>
      <c r="Q458" s="16">
        <v>0.995</v>
      </c>
      <c r="R458" s="16">
        <v>0.995</v>
      </c>
      <c r="S458" s="19">
        <f t="shared" si="2"/>
        <v>3000</v>
      </c>
      <c r="T458" s="19">
        <f t="shared" si="3"/>
        <v>69.99330611</v>
      </c>
      <c r="U458" s="20">
        <f t="shared" si="4"/>
        <v>0.3707027641</v>
      </c>
      <c r="V458" s="17">
        <f t="shared" si="105"/>
        <v>1713.124977</v>
      </c>
      <c r="W458" s="21">
        <f t="shared" si="5"/>
        <v>4</v>
      </c>
      <c r="X458" s="21">
        <f t="shared" si="6"/>
        <v>8565.624883</v>
      </c>
      <c r="Y458" s="21">
        <f t="shared" si="7"/>
        <v>1.85351382</v>
      </c>
      <c r="Z458" s="8">
        <f t="shared" si="19"/>
        <v>1730.299054</v>
      </c>
      <c r="AA458" s="8">
        <f t="shared" si="100"/>
        <v>2856</v>
      </c>
      <c r="AB458" s="13">
        <f t="shared" si="9"/>
        <v>0.952</v>
      </c>
      <c r="AC458" s="13">
        <f t="shared" si="10"/>
        <v>1.650581726</v>
      </c>
      <c r="AD458" s="13">
        <f>AA458/vlookup(A458,Max!$A$2:$AP$700,column(Max!$AP$2),false)</f>
        <v>1.503157895</v>
      </c>
      <c r="AE458" s="8">
        <f t="shared" si="11"/>
        <v>1015.15109</v>
      </c>
      <c r="AF458" s="14">
        <f t="shared" si="12"/>
        <v>1.298602073</v>
      </c>
      <c r="AG458" s="14">
        <f t="shared" si="13"/>
        <v>2.139032358</v>
      </c>
      <c r="AH458" s="14">
        <f t="shared" si="14"/>
        <v>1</v>
      </c>
      <c r="AI458" s="14">
        <f t="shared" si="15"/>
        <v>1.01267413</v>
      </c>
      <c r="AJ458" s="27">
        <f t="shared" si="16"/>
        <v>-56</v>
      </c>
      <c r="AK458" s="15" t="str">
        <f t="shared" si="17"/>
        <v>  @CONFIG[RS-76A] {
   %cost = 2856
   @cost -= #$../../cost$
  }</v>
      </c>
    </row>
    <row r="459" ht="15.75" customHeight="1">
      <c r="A459" s="7" t="s">
        <v>710</v>
      </c>
      <c r="B459" s="7" t="s">
        <v>711</v>
      </c>
      <c r="C459" s="8">
        <f t="shared" si="1"/>
        <v>6910</v>
      </c>
      <c r="D459" s="7">
        <v>2009.0</v>
      </c>
      <c r="E459" s="7" t="b">
        <v>1</v>
      </c>
      <c r="F459" s="7" t="b">
        <v>1</v>
      </c>
      <c r="G459" s="7" t="b">
        <v>0</v>
      </c>
      <c r="H459" s="7" t="b">
        <v>0</v>
      </c>
      <c r="I459" s="7" t="b">
        <v>0</v>
      </c>
      <c r="J459" s="9" t="b">
        <v>0</v>
      </c>
      <c r="K459" s="7">
        <v>5000.0</v>
      </c>
      <c r="L459" s="7">
        <v>0.0</v>
      </c>
      <c r="M459" s="7">
        <v>5800.0</v>
      </c>
      <c r="N459" s="7">
        <v>3300.0</v>
      </c>
      <c r="O459" s="7">
        <v>446.0</v>
      </c>
      <c r="P459" s="7">
        <v>19.31</v>
      </c>
      <c r="Q459" s="7">
        <v>0.995</v>
      </c>
      <c r="R459" s="7">
        <v>0.995</v>
      </c>
      <c r="S459" s="10">
        <f t="shared" si="2"/>
        <v>5000</v>
      </c>
      <c r="T459" s="10">
        <f t="shared" si="3"/>
        <v>58.01833609</v>
      </c>
      <c r="U459" s="11">
        <f t="shared" si="4"/>
        <v>2.412902675</v>
      </c>
      <c r="V459" s="8">
        <f>0.9*(0.00015*M459*O459*P459+797)+0.1*(43.1*POWER(M459,0.549))</f>
        <v>7962.578828</v>
      </c>
      <c r="W459" s="12">
        <f t="shared" si="5"/>
        <v>4</v>
      </c>
      <c r="X459" s="12">
        <f t="shared" si="6"/>
        <v>39812.89414</v>
      </c>
      <c r="Y459" s="12">
        <f t="shared" si="7"/>
        <v>12.06451338</v>
      </c>
      <c r="Z459" s="8">
        <f t="shared" si="19"/>
        <v>8042.403681</v>
      </c>
      <c r="AA459" s="8">
        <f t="shared" si="100"/>
        <v>6910</v>
      </c>
      <c r="AB459" s="13">
        <f t="shared" si="9"/>
        <v>1.382</v>
      </c>
      <c r="AC459" s="13">
        <f t="shared" si="10"/>
        <v>0.8591958666</v>
      </c>
      <c r="AD459" s="13">
        <f>AA459/vlookup(A459,Max!$A$2:$AP$700,column(Max!$AP$2),false)</f>
        <v>1.470212766</v>
      </c>
      <c r="AE459" s="8">
        <f t="shared" si="11"/>
        <v>981.1783202</v>
      </c>
      <c r="AF459" s="14">
        <f t="shared" si="12"/>
        <v>3.251235656</v>
      </c>
      <c r="AG459" s="14">
        <f t="shared" si="13"/>
        <v>2.139032358</v>
      </c>
      <c r="AH459" s="14">
        <f t="shared" si="14"/>
        <v>1</v>
      </c>
      <c r="AI459" s="14">
        <f t="shared" si="15"/>
        <v>1.01267413</v>
      </c>
      <c r="AJ459" s="15">
        <f t="shared" si="16"/>
        <v>0</v>
      </c>
      <c r="AK459" s="15" t="str">
        <f t="shared" si="17"/>
        <v>  @CONFIG[RS-83] {
   %cost = 6910
   @cost -= #$../../cost$
  }</v>
      </c>
    </row>
    <row r="460" ht="15.75" customHeight="1">
      <c r="A460" s="16" t="s">
        <v>712</v>
      </c>
      <c r="B460" s="16" t="s">
        <v>713</v>
      </c>
      <c r="C460" s="8">
        <f t="shared" si="1"/>
        <v>2713</v>
      </c>
      <c r="D460" s="16">
        <v>2009.0</v>
      </c>
      <c r="E460" s="16"/>
      <c r="F460" s="16" t="b">
        <v>1</v>
      </c>
      <c r="G460" s="16" t="b">
        <v>0</v>
      </c>
      <c r="H460" s="16" t="b">
        <v>0</v>
      </c>
      <c r="I460" s="16" t="b">
        <v>0</v>
      </c>
      <c r="J460" s="9" t="b">
        <v>0</v>
      </c>
      <c r="K460" s="16">
        <v>2700.0</v>
      </c>
      <c r="L460" s="16">
        <v>0.0</v>
      </c>
      <c r="M460" s="16">
        <v>7223.0</v>
      </c>
      <c r="N460" s="16">
        <v>5026.49</v>
      </c>
      <c r="O460" s="16">
        <v>324.0</v>
      </c>
      <c r="P460" s="16">
        <v>19.31</v>
      </c>
      <c r="Q460" s="16">
        <v>0.995</v>
      </c>
      <c r="R460" s="16">
        <v>0.995</v>
      </c>
      <c r="S460" s="19">
        <f t="shared" si="2"/>
        <v>2700</v>
      </c>
      <c r="T460" s="19">
        <f t="shared" si="3"/>
        <v>70.96211176</v>
      </c>
      <c r="U460" s="20">
        <f t="shared" si="4"/>
        <v>0.3485725289</v>
      </c>
      <c r="V460" s="17">
        <f t="shared" ref="V460:V461" si="106">0.2*(8.17*POWER(M460*P460,0.46))+0.8*(0.146*POWER(M460*O460,0.639))</f>
        <v>1752.096331</v>
      </c>
      <c r="W460" s="21">
        <f t="shared" si="5"/>
        <v>4</v>
      </c>
      <c r="X460" s="21">
        <f t="shared" si="6"/>
        <v>8760.481653</v>
      </c>
      <c r="Y460" s="21">
        <f t="shared" si="7"/>
        <v>1.742862644</v>
      </c>
      <c r="Z460" s="8">
        <f t="shared" si="19"/>
        <v>1769.661096</v>
      </c>
      <c r="AA460" s="8">
        <f t="shared" si="100"/>
        <v>2713</v>
      </c>
      <c r="AB460" s="13">
        <f t="shared" si="9"/>
        <v>1.004814815</v>
      </c>
      <c r="AC460" s="13">
        <f t="shared" si="10"/>
        <v>1.533061898</v>
      </c>
      <c r="AD460" s="13">
        <f>AA460/vlookup(A460,Max!$A$2:$AP$700,column(Max!$AP$2),false)</f>
        <v>1.695625</v>
      </c>
      <c r="AE460" s="8">
        <f t="shared" si="11"/>
        <v>1060.764587</v>
      </c>
      <c r="AF460" s="14">
        <f t="shared" si="12"/>
        <v>1.180851571</v>
      </c>
      <c r="AG460" s="14">
        <f t="shared" si="13"/>
        <v>2.139032358</v>
      </c>
      <c r="AH460" s="14">
        <f t="shared" si="14"/>
        <v>1</v>
      </c>
      <c r="AI460" s="14">
        <f t="shared" si="15"/>
        <v>1.01267413</v>
      </c>
      <c r="AJ460" s="15">
        <f t="shared" si="16"/>
        <v>0</v>
      </c>
      <c r="AK460" s="15" t="str">
        <f t="shared" si="17"/>
        <v>  @CONFIG[RS-84] {
   %cost = 2713
   @cost -= #$../../cost$
  }</v>
      </c>
    </row>
    <row r="461" ht="15.75" customHeight="1">
      <c r="A461" s="7" t="s">
        <v>783</v>
      </c>
      <c r="B461" s="7" t="s">
        <v>784</v>
      </c>
      <c r="C461" s="8">
        <f t="shared" si="1"/>
        <v>2180</v>
      </c>
      <c r="D461" s="7">
        <v>2009.0</v>
      </c>
      <c r="E461" s="7"/>
      <c r="F461" s="7" t="b">
        <v>1</v>
      </c>
      <c r="G461" s="7" t="b">
        <v>0</v>
      </c>
      <c r="H461" s="7" t="b">
        <v>0</v>
      </c>
      <c r="I461" s="7" t="b">
        <v>0</v>
      </c>
      <c r="J461" s="9" t="b">
        <v>0</v>
      </c>
      <c r="K461" s="7">
        <v>2700.0</v>
      </c>
      <c r="L461" s="7">
        <v>0.0</v>
      </c>
      <c r="M461" s="7">
        <v>5125.0</v>
      </c>
      <c r="N461" s="7">
        <v>5323.0</v>
      </c>
      <c r="O461" s="7">
        <v>327.0</v>
      </c>
      <c r="P461" s="7">
        <v>17.7</v>
      </c>
      <c r="Q461" s="7">
        <v>0.995</v>
      </c>
      <c r="R461" s="7">
        <v>0.995</v>
      </c>
      <c r="S461" s="10">
        <f t="shared" si="2"/>
        <v>2700</v>
      </c>
      <c r="T461" s="10">
        <f t="shared" si="3"/>
        <v>105.9112075</v>
      </c>
      <c r="U461" s="11">
        <f t="shared" si="4"/>
        <v>0.2668089361</v>
      </c>
      <c r="V461" s="8">
        <f t="shared" si="106"/>
        <v>1420.223967</v>
      </c>
      <c r="W461" s="12">
        <f t="shared" si="5"/>
        <v>4</v>
      </c>
      <c r="X461" s="12">
        <f t="shared" si="6"/>
        <v>7101.119835</v>
      </c>
      <c r="Y461" s="12">
        <f t="shared" si="7"/>
        <v>1.334044681</v>
      </c>
      <c r="Z461" s="8">
        <f t="shared" si="19"/>
        <v>1434.461712</v>
      </c>
      <c r="AA461" s="8">
        <f t="shared" si="100"/>
        <v>2180</v>
      </c>
      <c r="AB461" s="13">
        <f t="shared" si="9"/>
        <v>0.8074074074</v>
      </c>
      <c r="AC461" s="13">
        <f t="shared" si="10"/>
        <v>1.519733836</v>
      </c>
      <c r="AD461" s="13">
        <f>AA461/vlookup(A461,Max!$A$2:$AP$700,column(Max!$AP$2),false)</f>
        <v>0.7785714286</v>
      </c>
      <c r="AE461" s="8">
        <f t="shared" si="11"/>
        <v>856.1119062</v>
      </c>
      <c r="AF461" s="14">
        <f t="shared" si="12"/>
        <v>1.206673473</v>
      </c>
      <c r="AG461" s="14">
        <f t="shared" si="13"/>
        <v>2.083889335</v>
      </c>
      <c r="AH461" s="14">
        <f t="shared" si="14"/>
        <v>1</v>
      </c>
      <c r="AI461" s="14">
        <f t="shared" si="15"/>
        <v>1.01267413</v>
      </c>
      <c r="AJ461" s="15">
        <f t="shared" si="16"/>
        <v>0</v>
      </c>
      <c r="AK461" s="15" t="str">
        <f t="shared" si="17"/>
        <v>  @CONFIG[TR-107] {
   %cost = 2180
   @cost -= #$../../cost$
  }</v>
      </c>
    </row>
    <row r="462" ht="15.75" customHeight="1">
      <c r="A462" s="7" t="s">
        <v>231</v>
      </c>
      <c r="B462" s="7" t="s">
        <v>229</v>
      </c>
      <c r="C462" s="8">
        <f t="shared" si="1"/>
        <v>20</v>
      </c>
      <c r="D462" s="7">
        <v>2010.0</v>
      </c>
      <c r="E462" s="7" t="b">
        <v>1</v>
      </c>
      <c r="F462" s="7" t="b">
        <v>1</v>
      </c>
      <c r="G462" s="7" t="b">
        <v>0</v>
      </c>
      <c r="H462" s="7" t="b">
        <v>1</v>
      </c>
      <c r="I462" s="7" t="b">
        <v>0</v>
      </c>
      <c r="J462" s="9" t="b">
        <v>0</v>
      </c>
      <c r="K462" s="7">
        <v>650.0</v>
      </c>
      <c r="L462" s="7">
        <v>0.0</v>
      </c>
      <c r="M462" s="7">
        <v>165.0</v>
      </c>
      <c r="N462" s="7">
        <v>69.55</v>
      </c>
      <c r="O462" s="7">
        <v>452.0</v>
      </c>
      <c r="P462" s="7">
        <v>5.7</v>
      </c>
      <c r="Q462" s="7">
        <v>0.989286</v>
      </c>
      <c r="R462" s="7">
        <v>0.978571</v>
      </c>
      <c r="S462" s="10">
        <f t="shared" si="2"/>
        <v>650</v>
      </c>
      <c r="T462" s="10">
        <f t="shared" si="3"/>
        <v>42.98258328</v>
      </c>
      <c r="U462" s="11">
        <f t="shared" si="4"/>
        <v>12.16089648</v>
      </c>
      <c r="V462" s="8">
        <f>0.9*(0.00015*M462*O462*P462+797)+0.1*(43.1*POWER(M462,0.549))</f>
        <v>845.7903504</v>
      </c>
      <c r="W462" s="12">
        <f t="shared" si="5"/>
        <v>4</v>
      </c>
      <c r="X462" s="12">
        <f t="shared" si="6"/>
        <v>4228.951752</v>
      </c>
      <c r="Y462" s="12">
        <f t="shared" si="7"/>
        <v>60.80448241</v>
      </c>
      <c r="Z462" s="8">
        <f t="shared" si="19"/>
        <v>835.7141034</v>
      </c>
      <c r="AA462" s="45">
        <v>500.0</v>
      </c>
      <c r="AB462" s="13">
        <f t="shared" si="9"/>
        <v>0.7692307692</v>
      </c>
      <c r="AC462" s="13">
        <f t="shared" si="10"/>
        <v>0.5982907288</v>
      </c>
      <c r="AD462" s="13">
        <f>AA462/vlookup(A462,Max!$A$2:$AP$700,column(Max!$AP$2),false)</f>
        <v>2.941176471</v>
      </c>
      <c r="AE462" s="8">
        <f t="shared" si="11"/>
        <v>136.4037756</v>
      </c>
      <c r="AF462" s="14">
        <f t="shared" si="12"/>
        <v>3.438943991</v>
      </c>
      <c r="AG462" s="14">
        <f t="shared" si="13"/>
        <v>1.344107012</v>
      </c>
      <c r="AH462" s="14">
        <f t="shared" si="14"/>
        <v>1</v>
      </c>
      <c r="AI462" s="14">
        <f t="shared" si="15"/>
        <v>0.9455783599</v>
      </c>
      <c r="AJ462" s="27">
        <f t="shared" si="16"/>
        <v>20</v>
      </c>
      <c r="AK462" s="15" t="str">
        <f t="shared" si="17"/>
        <v>  @CONFIG[CE-7.5] {
   %cost = 500
   @cost -= #$../../cost$
  }</v>
      </c>
    </row>
    <row r="463" ht="15.75" customHeight="1">
      <c r="A463" s="16" t="s">
        <v>373</v>
      </c>
      <c r="B463" s="16" t="s">
        <v>369</v>
      </c>
      <c r="C463" s="8">
        <f t="shared" si="1"/>
        <v>91</v>
      </c>
      <c r="D463" s="16">
        <v>2010.0</v>
      </c>
      <c r="E463" s="16"/>
      <c r="F463" s="16" t="b">
        <v>1</v>
      </c>
      <c r="G463" s="16" t="b">
        <v>0</v>
      </c>
      <c r="H463" s="16" t="b">
        <v>1</v>
      </c>
      <c r="I463" s="16" t="b">
        <v>0</v>
      </c>
      <c r="J463" s="9" t="b">
        <v>0</v>
      </c>
      <c r="K463" s="16">
        <v>205.0</v>
      </c>
      <c r="L463" s="16">
        <v>5.0</v>
      </c>
      <c r="M463" s="16">
        <v>760.0</v>
      </c>
      <c r="N463" s="16">
        <v>524.9</v>
      </c>
      <c r="O463" s="16">
        <v>336.0</v>
      </c>
      <c r="P463" s="16">
        <v>6.14</v>
      </c>
      <c r="Q463" s="16">
        <v>0.975</v>
      </c>
      <c r="R463" s="16">
        <v>0.975</v>
      </c>
      <c r="S463" s="19">
        <f t="shared" si="2"/>
        <v>210</v>
      </c>
      <c r="T463" s="19">
        <f t="shared" si="3"/>
        <v>70.42750508</v>
      </c>
      <c r="U463" s="20">
        <f t="shared" si="4"/>
        <v>0.7863265186</v>
      </c>
      <c r="V463" s="17">
        <f>0.2*(8.17*POWER(M463*P463,0.46))+0.8*(0.146*POWER(M463*O463,0.639))</f>
        <v>412.7427896</v>
      </c>
      <c r="W463" s="21">
        <f t="shared" si="5"/>
        <v>4</v>
      </c>
      <c r="X463" s="21">
        <f t="shared" si="6"/>
        <v>2063.713948</v>
      </c>
      <c r="Y463" s="21">
        <f t="shared" si="7"/>
        <v>3.931632593</v>
      </c>
      <c r="Z463" s="8">
        <f t="shared" si="19"/>
        <v>400.6184702</v>
      </c>
      <c r="AA463" s="8">
        <f t="shared" ref="AA463:AA480" si="107">round(AE463*AF463*AG463*AH463*AI463,0)</f>
        <v>418</v>
      </c>
      <c r="AB463" s="13">
        <f t="shared" si="9"/>
        <v>1.99047619</v>
      </c>
      <c r="AC463" s="13">
        <f t="shared" si="10"/>
        <v>1.043386741</v>
      </c>
      <c r="AD463" s="13">
        <f>AA463/vlookup(A463,Max!$A$2:$AP$700,column(Max!$AP$2),false)</f>
        <v>2.985714286</v>
      </c>
      <c r="AE463" s="8">
        <f t="shared" si="11"/>
        <v>262.3523461</v>
      </c>
      <c r="AF463" s="14">
        <f t="shared" si="12"/>
        <v>1.288986506</v>
      </c>
      <c r="AG463" s="14">
        <f t="shared" si="13"/>
        <v>1.366784005</v>
      </c>
      <c r="AH463" s="14">
        <f t="shared" si="14"/>
        <v>1</v>
      </c>
      <c r="AI463" s="14">
        <f t="shared" si="15"/>
        <v>0.9035144278</v>
      </c>
      <c r="AJ463" s="27">
        <f t="shared" si="16"/>
        <v>91</v>
      </c>
      <c r="AK463" s="15" t="str">
        <f t="shared" si="17"/>
        <v>  @CONFIG[Merlin1CVac] {
   %cost = 418
   @cost -= #$../../cost$
  }</v>
      </c>
    </row>
    <row r="464" ht="15.75" customHeight="1">
      <c r="A464" s="7" t="s">
        <v>703</v>
      </c>
      <c r="B464" s="7" t="s">
        <v>702</v>
      </c>
      <c r="C464" s="8">
        <f t="shared" si="1"/>
        <v>89</v>
      </c>
      <c r="D464" s="7">
        <v>2010.0</v>
      </c>
      <c r="E464" s="7" t="b">
        <v>1</v>
      </c>
      <c r="F464" s="7" t="b">
        <v>1</v>
      </c>
      <c r="G464" s="7" t="b">
        <v>0</v>
      </c>
      <c r="H464" s="7" t="b">
        <v>0</v>
      </c>
      <c r="I464" s="7" t="b">
        <v>0</v>
      </c>
      <c r="J464" s="9" t="b">
        <v>0</v>
      </c>
      <c r="K464" s="7">
        <v>2850.0</v>
      </c>
      <c r="L464" s="7">
        <v>200.0</v>
      </c>
      <c r="M464" s="7">
        <v>5497.0</v>
      </c>
      <c r="N464" s="7">
        <v>3570.0</v>
      </c>
      <c r="O464" s="7">
        <v>412.0</v>
      </c>
      <c r="P464" s="7">
        <v>9.9</v>
      </c>
      <c r="Q464" s="7">
        <v>0.996512</v>
      </c>
      <c r="R464" s="7">
        <v>0.996512</v>
      </c>
      <c r="S464" s="10">
        <f t="shared" si="2"/>
        <v>3050</v>
      </c>
      <c r="T464" s="10">
        <f t="shared" si="3"/>
        <v>66.22497489</v>
      </c>
      <c r="U464" s="11">
        <f t="shared" si="4"/>
        <v>1.185285205</v>
      </c>
      <c r="V464" s="8">
        <f>0.9*(0.00015*M464*O464*P464+797)+0.1*(43.1*POWER(M464,0.549))</f>
        <v>4231.468181</v>
      </c>
      <c r="W464" s="12">
        <f t="shared" si="5"/>
        <v>4</v>
      </c>
      <c r="X464" s="12">
        <f t="shared" si="6"/>
        <v>21157.34091</v>
      </c>
      <c r="Y464" s="12">
        <f t="shared" si="7"/>
        <v>5.926426024</v>
      </c>
      <c r="Z464" s="8">
        <f t="shared" si="19"/>
        <v>4286.630304</v>
      </c>
      <c r="AA464" s="8">
        <f t="shared" si="107"/>
        <v>4042</v>
      </c>
      <c r="AB464" s="13">
        <f t="shared" si="9"/>
        <v>1.325245902</v>
      </c>
      <c r="AC464" s="13">
        <f t="shared" si="10"/>
        <v>0.9429317934</v>
      </c>
      <c r="AD464" s="13">
        <f>AA464/vlookup(A464,Max!$A$2:$AP$700,column(Max!$AP$2),false)</f>
        <v>1.303870968</v>
      </c>
      <c r="AE464" s="8">
        <f t="shared" si="11"/>
        <v>950.360099</v>
      </c>
      <c r="AF464" s="14">
        <f t="shared" si="12"/>
        <v>2.390147157</v>
      </c>
      <c r="AG464" s="14">
        <f t="shared" si="13"/>
        <v>1.750544803</v>
      </c>
      <c r="AH464" s="14">
        <f t="shared" si="14"/>
        <v>1</v>
      </c>
      <c r="AI464" s="14">
        <f t="shared" si="15"/>
        <v>1.016525659</v>
      </c>
      <c r="AJ464" s="27">
        <f t="shared" si="16"/>
        <v>89</v>
      </c>
      <c r="AK464" s="15" t="str">
        <f t="shared" si="17"/>
        <v>  @CONFIG[RS-68A] {
   %cost = 4042
   @cost -= #$../../cost$
  }</v>
      </c>
    </row>
    <row r="465" ht="15.75" customHeight="1">
      <c r="A465" s="16" t="s">
        <v>805</v>
      </c>
      <c r="B465" s="16" t="s">
        <v>802</v>
      </c>
      <c r="C465" s="8">
        <f t="shared" si="1"/>
        <v>5</v>
      </c>
      <c r="D465" s="16">
        <v>2010.0</v>
      </c>
      <c r="E465" s="16"/>
      <c r="F465" s="16" t="b">
        <v>1</v>
      </c>
      <c r="G465" s="16" t="b">
        <v>0</v>
      </c>
      <c r="H465" s="16" t="b">
        <v>1</v>
      </c>
      <c r="I465" s="16" t="b">
        <v>0</v>
      </c>
      <c r="J465" s="9" t="b">
        <v>0</v>
      </c>
      <c r="K465" s="16">
        <v>500.0</v>
      </c>
      <c r="L465" s="16">
        <v>0.0</v>
      </c>
      <c r="M465" s="16">
        <v>905.0</v>
      </c>
      <c r="N465" s="16">
        <v>804.5</v>
      </c>
      <c r="O465" s="16">
        <v>301.9</v>
      </c>
      <c r="P465" s="16">
        <v>5.85</v>
      </c>
      <c r="Q465" s="16">
        <v>0.9965</v>
      </c>
      <c r="R465" s="16">
        <v>0.995</v>
      </c>
      <c r="S465" s="19">
        <f t="shared" si="2"/>
        <v>500</v>
      </c>
      <c r="T465" s="19">
        <f t="shared" si="3"/>
        <v>90.64770066</v>
      </c>
      <c r="U465" s="20">
        <f t="shared" si="4"/>
        <v>0.5372382314</v>
      </c>
      <c r="V465" s="17">
        <f>0.2*(8.17*POWER(M465*P465,0.46))+0.8*(0.146*POWER(M465*O465,0.639))</f>
        <v>432.2081572</v>
      </c>
      <c r="W465" s="21">
        <f t="shared" si="5"/>
        <v>4</v>
      </c>
      <c r="X465" s="21">
        <f t="shared" si="6"/>
        <v>2161.040786</v>
      </c>
      <c r="Y465" s="21">
        <f t="shared" si="7"/>
        <v>2.686191157</v>
      </c>
      <c r="Z465" s="8">
        <f t="shared" si="19"/>
        <v>437.1861146</v>
      </c>
      <c r="AA465" s="8">
        <f t="shared" si="107"/>
        <v>399</v>
      </c>
      <c r="AB465" s="13">
        <f t="shared" si="9"/>
        <v>0.798</v>
      </c>
      <c r="AC465" s="13">
        <f t="shared" si="10"/>
        <v>0.9126547862</v>
      </c>
      <c r="AD465" s="13">
        <f>AA465/vlookup(A465,Max!$A$2:$AP$700,column(Max!$AP$2),false)</f>
        <v>2.85</v>
      </c>
      <c r="AE465" s="8">
        <f t="shared" si="11"/>
        <v>292.1199189</v>
      </c>
      <c r="AF465" s="14">
        <f t="shared" si="12"/>
        <v>1.006688354</v>
      </c>
      <c r="AG465" s="14">
        <f t="shared" si="13"/>
        <v>1.351985625</v>
      </c>
      <c r="AH465" s="14">
        <f t="shared" si="14"/>
        <v>1</v>
      </c>
      <c r="AI465" s="14">
        <f t="shared" si="15"/>
        <v>1.003836477</v>
      </c>
      <c r="AJ465" s="27">
        <f t="shared" si="16"/>
        <v>5</v>
      </c>
      <c r="AK465" s="15" t="str">
        <f t="shared" si="17"/>
        <v>  @CONFIG[Vikas-2B] {
   %cost = 399
   @cost -= #$../../cost$
  }</v>
      </c>
    </row>
    <row r="466" ht="15.75" customHeight="1">
      <c r="A466" s="7" t="s">
        <v>195</v>
      </c>
      <c r="B466" s="7" t="s">
        <v>196</v>
      </c>
      <c r="C466" s="8">
        <f t="shared" si="1"/>
        <v>3458</v>
      </c>
      <c r="D466" s="7">
        <v>2012.0</v>
      </c>
      <c r="E466" s="7" t="b">
        <v>1</v>
      </c>
      <c r="F466" s="7" t="b">
        <v>1</v>
      </c>
      <c r="G466" s="7" t="b">
        <v>0</v>
      </c>
      <c r="H466" s="7" t="b">
        <v>0</v>
      </c>
      <c r="I466" s="7" t="b">
        <v>0</v>
      </c>
      <c r="J466" s="9" t="b">
        <v>0</v>
      </c>
      <c r="K466" s="7">
        <v>3310.0</v>
      </c>
      <c r="L466" s="7">
        <v>0.0</v>
      </c>
      <c r="M466" s="7">
        <v>2470.0</v>
      </c>
      <c r="N466" s="7">
        <v>1307.5</v>
      </c>
      <c r="O466" s="7">
        <v>448.0</v>
      </c>
      <c r="P466" s="7">
        <v>9.22</v>
      </c>
      <c r="Q466" s="7">
        <v>0.9999</v>
      </c>
      <c r="R466" s="7">
        <v>0.9999</v>
      </c>
      <c r="S466" s="10">
        <f t="shared" si="2"/>
        <v>3310</v>
      </c>
      <c r="T466" s="10">
        <f t="shared" si="3"/>
        <v>53.97890464</v>
      </c>
      <c r="U466" s="11">
        <f t="shared" si="4"/>
        <v>1.842244898</v>
      </c>
      <c r="V466" s="8">
        <f>0.9*(0.00015*M466*O466*P466+797)+0.1*(43.1*POWER(M466,0.549))</f>
        <v>2408.735204</v>
      </c>
      <c r="W466" s="12">
        <f t="shared" si="5"/>
        <v>4</v>
      </c>
      <c r="X466" s="12">
        <f t="shared" si="6"/>
        <v>12043.67602</v>
      </c>
      <c r="Y466" s="12">
        <f t="shared" si="7"/>
        <v>9.211224489</v>
      </c>
      <c r="Z466" s="8">
        <f t="shared" si="19"/>
        <v>2456.428185</v>
      </c>
      <c r="AA466" s="8">
        <f t="shared" si="107"/>
        <v>3458</v>
      </c>
      <c r="AB466" s="13">
        <f t="shared" si="9"/>
        <v>1.044712991</v>
      </c>
      <c r="AC466" s="13">
        <f t="shared" si="10"/>
        <v>1.407735028</v>
      </c>
      <c r="AD466" s="13">
        <f>AA466/vlookup(A466,Max!$A$2:$AP$700,column(Max!$AP$2),false)</f>
        <v>1.280740741</v>
      </c>
      <c r="AE466" s="8">
        <f t="shared" si="11"/>
        <v>594.3130524</v>
      </c>
      <c r="AF466" s="14">
        <f t="shared" si="12"/>
        <v>3.312441276</v>
      </c>
      <c r="AG466" s="14">
        <f t="shared" si="13"/>
        <v>1.713570388</v>
      </c>
      <c r="AH466" s="14">
        <f t="shared" si="14"/>
        <v>1</v>
      </c>
      <c r="AI466" s="14">
        <f t="shared" si="15"/>
        <v>1.025187812</v>
      </c>
      <c r="AJ466" s="15">
        <f t="shared" si="16"/>
        <v>0</v>
      </c>
      <c r="AK466" s="15" t="str">
        <f t="shared" si="17"/>
        <v>  @CONFIG[J-2X] {
   %cost = 3458
   @cost -= #$../../cost$
  }</v>
      </c>
    </row>
    <row r="467" ht="15.75" customHeight="1">
      <c r="A467" s="16" t="s">
        <v>397</v>
      </c>
      <c r="B467" s="16" t="s">
        <v>393</v>
      </c>
      <c r="C467" s="8">
        <f t="shared" si="1"/>
        <v>195</v>
      </c>
      <c r="D467" s="16">
        <v>2013.0</v>
      </c>
      <c r="E467" s="16"/>
      <c r="F467" s="16" t="b">
        <v>1</v>
      </c>
      <c r="G467" s="16" t="b">
        <v>0</v>
      </c>
      <c r="H467" s="16" t="b">
        <v>0</v>
      </c>
      <c r="I467" s="16" t="b">
        <v>0</v>
      </c>
      <c r="J467" s="9" t="b">
        <v>0</v>
      </c>
      <c r="K467" s="16">
        <v>670.0</v>
      </c>
      <c r="L467" s="16">
        <v>300.0</v>
      </c>
      <c r="M467" s="16">
        <v>1459.0</v>
      </c>
      <c r="N467" s="16">
        <v>1815.0</v>
      </c>
      <c r="O467" s="16">
        <v>331.9</v>
      </c>
      <c r="P467" s="16">
        <v>16.42</v>
      </c>
      <c r="Q467" s="16">
        <v>0.980556</v>
      </c>
      <c r="R467" s="16">
        <v>0.980556</v>
      </c>
      <c r="S467" s="19">
        <f t="shared" si="2"/>
        <v>970</v>
      </c>
      <c r="T467" s="19">
        <f t="shared" si="3"/>
        <v>126.8529761</v>
      </c>
      <c r="U467" s="20">
        <f t="shared" si="4"/>
        <v>0.369354049</v>
      </c>
      <c r="V467" s="17">
        <f t="shared" ref="V467:V471" si="108">0.2*(8.17*POWER(M467*P467,0.46))+0.8*(0.146*POWER(M467*O467,0.639))</f>
        <v>670.3775989</v>
      </c>
      <c r="W467" s="21">
        <f t="shared" si="5"/>
        <v>4</v>
      </c>
      <c r="X467" s="21">
        <f t="shared" si="6"/>
        <v>3351.887995</v>
      </c>
      <c r="Y467" s="21">
        <f t="shared" si="7"/>
        <v>1.846770245</v>
      </c>
      <c r="Z467" s="8">
        <f t="shared" si="19"/>
        <v>657.9689559</v>
      </c>
      <c r="AA467" s="8">
        <f t="shared" si="107"/>
        <v>976</v>
      </c>
      <c r="AB467" s="13">
        <f t="shared" si="9"/>
        <v>1.006185567</v>
      </c>
      <c r="AC467" s="13">
        <f t="shared" si="10"/>
        <v>1.483352659</v>
      </c>
      <c r="AD467" s="13">
        <f>AA467/vlookup(A467,Max!$A$2:$AP$700,column(Max!$AP$2),false)</f>
        <v>1.991836735</v>
      </c>
      <c r="AE467" s="8">
        <f t="shared" si="11"/>
        <v>392.2506814</v>
      </c>
      <c r="AF467" s="14">
        <f t="shared" si="12"/>
        <v>1.250561586</v>
      </c>
      <c r="AG467" s="14">
        <f t="shared" si="13"/>
        <v>2.037485928</v>
      </c>
      <c r="AH467" s="14">
        <f t="shared" si="14"/>
        <v>1</v>
      </c>
      <c r="AI467" s="14">
        <f t="shared" si="15"/>
        <v>0.9763218686</v>
      </c>
      <c r="AJ467" s="27">
        <f t="shared" si="16"/>
        <v>195</v>
      </c>
      <c r="AK467" s="15" t="str">
        <f t="shared" si="17"/>
        <v>  @CONFIG[AJ26-62] {
   %cost = 976
   @cost -= #$../../cost$
  }</v>
      </c>
    </row>
    <row r="468" ht="15.75" customHeight="1">
      <c r="A468" s="16" t="s">
        <v>375</v>
      </c>
      <c r="B468" s="16" t="s">
        <v>369</v>
      </c>
      <c r="C468" s="8">
        <f t="shared" si="1"/>
        <v>43</v>
      </c>
      <c r="D468" s="16">
        <v>2013.0</v>
      </c>
      <c r="E468" s="16"/>
      <c r="F468" s="16" t="b">
        <v>1</v>
      </c>
      <c r="G468" s="16" t="b">
        <v>0</v>
      </c>
      <c r="H468" s="16" t="b">
        <v>0</v>
      </c>
      <c r="I468" s="16" t="b">
        <v>0</v>
      </c>
      <c r="J468" s="9" t="b">
        <v>0</v>
      </c>
      <c r="K468" s="16">
        <v>205.0</v>
      </c>
      <c r="L468" s="16">
        <v>-30.0</v>
      </c>
      <c r="M468" s="16">
        <v>470.0</v>
      </c>
      <c r="N468" s="16">
        <v>742.4</v>
      </c>
      <c r="O468" s="16">
        <v>311.0</v>
      </c>
      <c r="P468" s="16">
        <v>9.72</v>
      </c>
      <c r="Q468" s="16">
        <v>0.997813</v>
      </c>
      <c r="R468" s="16">
        <v>0.997426</v>
      </c>
      <c r="S468" s="19">
        <f t="shared" si="2"/>
        <v>175</v>
      </c>
      <c r="T468" s="19">
        <f t="shared" si="3"/>
        <v>161.071769</v>
      </c>
      <c r="U468" s="20">
        <f t="shared" si="4"/>
        <v>0.4203542214</v>
      </c>
      <c r="V468" s="17">
        <f t="shared" si="108"/>
        <v>312.070974</v>
      </c>
      <c r="W468" s="21">
        <f t="shared" si="5"/>
        <v>4</v>
      </c>
      <c r="X468" s="21">
        <f t="shared" si="6"/>
        <v>1560.35487</v>
      </c>
      <c r="Y468" s="21">
        <f t="shared" si="7"/>
        <v>2.101771107</v>
      </c>
      <c r="Z468" s="8">
        <f t="shared" si="19"/>
        <v>316.8283803</v>
      </c>
      <c r="AA468" s="8">
        <f t="shared" si="107"/>
        <v>370</v>
      </c>
      <c r="AB468" s="13">
        <f t="shared" si="9"/>
        <v>2.114285714</v>
      </c>
      <c r="AC468" s="13">
        <f t="shared" si="10"/>
        <v>1.167824674</v>
      </c>
      <c r="AD468" s="13">
        <f>AA468/vlookup(A468,Max!$A$2:$AP$700,column(Max!$AP$2),false)</f>
        <v>1.15625</v>
      </c>
      <c r="AE468" s="8">
        <f t="shared" si="11"/>
        <v>195.337434</v>
      </c>
      <c r="AF468" s="14">
        <f t="shared" si="12"/>
        <v>1.066630493</v>
      </c>
      <c r="AG468" s="14">
        <f t="shared" si="13"/>
        <v>1.740934981</v>
      </c>
      <c r="AH468" s="14">
        <f t="shared" si="14"/>
        <v>1</v>
      </c>
      <c r="AI468" s="14">
        <f t="shared" si="15"/>
        <v>1.018858154</v>
      </c>
      <c r="AJ468" s="27">
        <f t="shared" si="16"/>
        <v>43</v>
      </c>
      <c r="AK468" s="15" t="str">
        <f t="shared" si="17"/>
        <v>  @CONFIG[Merlin1D] {
   %cost = 370
   @cost -= #$../../cost$
  }</v>
      </c>
    </row>
    <row r="469" ht="15.75" customHeight="1">
      <c r="A469" s="7" t="s">
        <v>374</v>
      </c>
      <c r="B469" s="7" t="s">
        <v>369</v>
      </c>
      <c r="C469" s="8">
        <f t="shared" si="1"/>
        <v>86</v>
      </c>
      <c r="D469" s="7">
        <v>2013.0</v>
      </c>
      <c r="E469" s="7"/>
      <c r="F469" s="7" t="b">
        <v>1</v>
      </c>
      <c r="G469" s="7" t="b">
        <v>0</v>
      </c>
      <c r="H469" s="7" t="b">
        <v>1</v>
      </c>
      <c r="I469" s="7" t="b">
        <v>0</v>
      </c>
      <c r="J469" s="9" t="b">
        <v>0</v>
      </c>
      <c r="K469" s="7">
        <v>205.0</v>
      </c>
      <c r="L469" s="7">
        <v>-5.0</v>
      </c>
      <c r="M469" s="7">
        <v>490.0</v>
      </c>
      <c r="N469" s="7">
        <v>805.0</v>
      </c>
      <c r="O469" s="7">
        <v>345.0</v>
      </c>
      <c r="P469" s="7">
        <v>9.72</v>
      </c>
      <c r="Q469" s="7">
        <v>0.994828</v>
      </c>
      <c r="R469" s="7">
        <v>0.99</v>
      </c>
      <c r="S469" s="10">
        <f t="shared" si="2"/>
        <v>200</v>
      </c>
      <c r="T469" s="10">
        <f t="shared" si="3"/>
        <v>167.5248059</v>
      </c>
      <c r="U469" s="11">
        <f t="shared" si="4"/>
        <v>0.4177752623</v>
      </c>
      <c r="V469" s="8">
        <f t="shared" si="108"/>
        <v>336.3090861</v>
      </c>
      <c r="W469" s="12">
        <f t="shared" si="5"/>
        <v>4</v>
      </c>
      <c r="X469" s="12">
        <f t="shared" si="6"/>
        <v>1681.545431</v>
      </c>
      <c r="Y469" s="12">
        <f t="shared" si="7"/>
        <v>2.088876311</v>
      </c>
      <c r="Z469" s="8">
        <f t="shared" si="19"/>
        <v>337.9501803</v>
      </c>
      <c r="AA469" s="8">
        <f t="shared" si="107"/>
        <v>413</v>
      </c>
      <c r="AB469" s="13">
        <f t="shared" si="9"/>
        <v>2.065</v>
      </c>
      <c r="AC469" s="13">
        <f t="shared" si="10"/>
        <v>1.222073619</v>
      </c>
      <c r="AD469" s="13">
        <f>AA469/vlookup(A469,Max!$A$2:$AP$700,column(Max!$AP$2),false)</f>
        <v>1.116216216</v>
      </c>
      <c r="AE469" s="8">
        <f t="shared" si="11"/>
        <v>200.3879429</v>
      </c>
      <c r="AF469" s="14">
        <f t="shared" si="12"/>
        <v>1.379129451</v>
      </c>
      <c r="AG469" s="14">
        <f t="shared" si="13"/>
        <v>1.515608086</v>
      </c>
      <c r="AH469" s="14">
        <f t="shared" si="14"/>
        <v>1</v>
      </c>
      <c r="AI469" s="14">
        <f t="shared" si="15"/>
        <v>0.9871201122</v>
      </c>
      <c r="AJ469" s="27">
        <f t="shared" si="16"/>
        <v>86</v>
      </c>
      <c r="AK469" s="15" t="str">
        <f t="shared" si="17"/>
        <v>  @CONFIG[Merlin1DVac] {
   %cost = 413
   @cost -= #$../../cost$
  }</v>
      </c>
    </row>
    <row r="470" ht="15.75" customHeight="1">
      <c r="A470" s="7" t="s">
        <v>450</v>
      </c>
      <c r="B470" s="7" t="s">
        <v>451</v>
      </c>
      <c r="C470" s="8">
        <f t="shared" si="1"/>
        <v>188</v>
      </c>
      <c r="D470" s="7">
        <v>2013.0</v>
      </c>
      <c r="E470" s="7"/>
      <c r="F470" s="7" t="b">
        <v>1</v>
      </c>
      <c r="G470" s="7" t="b">
        <v>0</v>
      </c>
      <c r="H470" s="7" t="b">
        <v>0</v>
      </c>
      <c r="I470" s="7" t="b">
        <v>0</v>
      </c>
      <c r="J470" s="9" t="b">
        <v>0</v>
      </c>
      <c r="K470" s="7">
        <v>400.0</v>
      </c>
      <c r="L470" s="7">
        <v>0.0</v>
      </c>
      <c r="M470" s="7">
        <v>140.0</v>
      </c>
      <c r="N470" s="7">
        <v>68.3</v>
      </c>
      <c r="O470" s="7">
        <v>298.0</v>
      </c>
      <c r="P470" s="7">
        <v>15.53</v>
      </c>
      <c r="Q470" s="7">
        <v>0.994</v>
      </c>
      <c r="R470" s="7">
        <v>0.994</v>
      </c>
      <c r="S470" s="10">
        <f t="shared" si="2"/>
        <v>400</v>
      </c>
      <c r="T470" s="10">
        <f t="shared" si="3"/>
        <v>49.74758367</v>
      </c>
      <c r="U470" s="11">
        <f t="shared" si="4"/>
        <v>2.352907429</v>
      </c>
      <c r="V470" s="8">
        <f t="shared" si="108"/>
        <v>160.7035774</v>
      </c>
      <c r="W470" s="12">
        <f t="shared" si="5"/>
        <v>4</v>
      </c>
      <c r="X470" s="12">
        <f t="shared" si="6"/>
        <v>803.5178869</v>
      </c>
      <c r="Y470" s="12">
        <f t="shared" si="7"/>
        <v>11.76453714</v>
      </c>
      <c r="Z470" s="8">
        <f t="shared" si="19"/>
        <v>161.9949913</v>
      </c>
      <c r="AA470" s="8">
        <f t="shared" si="107"/>
        <v>188</v>
      </c>
      <c r="AB470" s="13">
        <f t="shared" si="9"/>
        <v>0.47</v>
      </c>
      <c r="AC470" s="13">
        <f t="shared" si="10"/>
        <v>1.160529708</v>
      </c>
      <c r="AD470" s="13">
        <f>AA470/vlookup(A470,Max!$A$2:$AP$700,column(Max!$AP$2),false)</f>
        <v>7.52</v>
      </c>
      <c r="AE470" s="8">
        <f t="shared" si="11"/>
        <v>93.43744014</v>
      </c>
      <c r="AF470" s="14">
        <f t="shared" si="12"/>
        <v>0.9941121627</v>
      </c>
      <c r="AG470" s="14">
        <f t="shared" si="13"/>
        <v>2.003706508</v>
      </c>
      <c r="AH470" s="14">
        <f t="shared" si="14"/>
        <v>1</v>
      </c>
      <c r="AI470" s="14">
        <f t="shared" si="15"/>
        <v>1.01013164</v>
      </c>
      <c r="AJ470" s="15">
        <f t="shared" si="16"/>
        <v>0</v>
      </c>
      <c r="AK470" s="15" t="str">
        <f t="shared" si="17"/>
        <v>  @CONFIG[RD-0110R] {
   %cost = 188
   @cost -= #$../../cost$
  }</v>
      </c>
    </row>
    <row r="471" ht="15.75" customHeight="1">
      <c r="A471" s="16" t="s">
        <v>567</v>
      </c>
      <c r="B471" s="16" t="s">
        <v>566</v>
      </c>
      <c r="C471" s="8">
        <f t="shared" si="1"/>
        <v>-81</v>
      </c>
      <c r="D471" s="16">
        <v>2013.0</v>
      </c>
      <c r="E471" s="16"/>
      <c r="F471" s="16" t="b">
        <v>1</v>
      </c>
      <c r="G471" s="16" t="b">
        <v>0</v>
      </c>
      <c r="H471" s="16" t="b">
        <v>0</v>
      </c>
      <c r="I471" s="16" t="b">
        <v>0</v>
      </c>
      <c r="J471" s="9" t="b">
        <v>0</v>
      </c>
      <c r="K471" s="16">
        <v>858.0</v>
      </c>
      <c r="L471" s="16">
        <v>0.0</v>
      </c>
      <c r="M471" s="16">
        <v>1900.0</v>
      </c>
      <c r="N471" s="16">
        <v>2085.0</v>
      </c>
      <c r="O471" s="16">
        <v>337.5</v>
      </c>
      <c r="P471" s="16">
        <v>25.75</v>
      </c>
      <c r="Q471" s="16">
        <v>0.996354</v>
      </c>
      <c r="R471" s="16">
        <v>0.996354</v>
      </c>
      <c r="S471" s="19">
        <f t="shared" si="2"/>
        <v>858</v>
      </c>
      <c r="T471" s="19">
        <f t="shared" si="3"/>
        <v>111.9004367</v>
      </c>
      <c r="U471" s="20">
        <f t="shared" si="4"/>
        <v>0.4003039441</v>
      </c>
      <c r="V471" s="17">
        <f t="shared" si="108"/>
        <v>834.6337235</v>
      </c>
      <c r="W471" s="21">
        <f t="shared" si="5"/>
        <v>4</v>
      </c>
      <c r="X471" s="21">
        <f t="shared" si="6"/>
        <v>4173.168618</v>
      </c>
      <c r="Y471" s="21">
        <f t="shared" si="7"/>
        <v>2.001519721</v>
      </c>
      <c r="Z471" s="8">
        <f t="shared" si="19"/>
        <v>845.2513439</v>
      </c>
      <c r="AA471" s="8">
        <f t="shared" si="107"/>
        <v>1427</v>
      </c>
      <c r="AB471" s="13">
        <f t="shared" si="9"/>
        <v>1.663170163</v>
      </c>
      <c r="AC471" s="13">
        <f t="shared" si="10"/>
        <v>1.688255228</v>
      </c>
      <c r="AD471" s="13">
        <f>AA471/vlookup(A471,Max!$A$2:$AP$700,column(Max!$AP$2),false)</f>
        <v>1.640229885</v>
      </c>
      <c r="AE471" s="8">
        <f t="shared" si="11"/>
        <v>461.9117121</v>
      </c>
      <c r="AF471" s="14">
        <f t="shared" si="12"/>
        <v>1.303446396</v>
      </c>
      <c r="AG471" s="14">
        <f t="shared" si="13"/>
        <v>2.331931786</v>
      </c>
      <c r="AH471" s="14">
        <f t="shared" si="14"/>
        <v>1</v>
      </c>
      <c r="AI471" s="14">
        <f t="shared" si="15"/>
        <v>1.016122774</v>
      </c>
      <c r="AJ471" s="27">
        <f t="shared" si="16"/>
        <v>-81</v>
      </c>
      <c r="AK471" s="15" t="str">
        <f t="shared" si="17"/>
        <v>  @CONFIG[RD-193] {
   %cost = 1427
   @cost -= #$../../cost$
  }</v>
      </c>
    </row>
    <row r="472" ht="15.75" customHeight="1">
      <c r="A472" s="16" t="s">
        <v>462</v>
      </c>
      <c r="B472" s="16" t="s">
        <v>461</v>
      </c>
      <c r="C472" s="8">
        <f t="shared" si="1"/>
        <v>182</v>
      </c>
      <c r="D472" s="16">
        <v>2014.0</v>
      </c>
      <c r="E472" s="16" t="b">
        <v>1</v>
      </c>
      <c r="F472" s="16" t="b">
        <v>1</v>
      </c>
      <c r="G472" s="16" t="b">
        <v>0</v>
      </c>
      <c r="H472" s="16" t="b">
        <v>0</v>
      </c>
      <c r="I472" s="16" t="b">
        <v>0</v>
      </c>
      <c r="J472" s="9" t="b">
        <v>0</v>
      </c>
      <c r="K472" s="16">
        <v>1500.0</v>
      </c>
      <c r="L472" s="16"/>
      <c r="M472" s="16">
        <v>242.0</v>
      </c>
      <c r="N472" s="16">
        <v>73.5</v>
      </c>
      <c r="O472" s="16">
        <v>470.0</v>
      </c>
      <c r="P472" s="16">
        <v>5.88</v>
      </c>
      <c r="Q472" s="16">
        <v>0.9995</v>
      </c>
      <c r="R472" s="16">
        <v>0.9852</v>
      </c>
      <c r="S472" s="19">
        <f t="shared" si="2"/>
        <v>1500</v>
      </c>
      <c r="T472" s="19">
        <f t="shared" si="3"/>
        <v>30.9707196</v>
      </c>
      <c r="U472" s="20">
        <f t="shared" si="4"/>
        <v>12.18130144</v>
      </c>
      <c r="V472" s="17">
        <f>0.9*(0.00015*M472*O472*P472+797)+0.1*(43.1*POWER(M472,0.549))</f>
        <v>895.3256556</v>
      </c>
      <c r="W472" s="21">
        <f t="shared" si="5"/>
        <v>4</v>
      </c>
      <c r="X472" s="21">
        <f t="shared" si="6"/>
        <v>4476.628278</v>
      </c>
      <c r="Y472" s="21">
        <f t="shared" si="7"/>
        <v>60.90650718</v>
      </c>
      <c r="Z472" s="8">
        <f t="shared" si="19"/>
        <v>899.5403116</v>
      </c>
      <c r="AA472" s="8">
        <f t="shared" si="107"/>
        <v>1002</v>
      </c>
      <c r="AB472" s="13">
        <f t="shared" si="9"/>
        <v>0.668</v>
      </c>
      <c r="AC472" s="13">
        <f t="shared" si="10"/>
        <v>1.113902276</v>
      </c>
      <c r="AD472" s="13">
        <f>AA472/vlookup(A472,Max!$A$2:$AP$700,column(Max!$AP$2),false)</f>
        <v>4.554545455</v>
      </c>
      <c r="AE472" s="8">
        <f t="shared" si="11"/>
        <v>165.9281086</v>
      </c>
      <c r="AF472" s="14">
        <f t="shared" si="12"/>
        <v>4.082504669</v>
      </c>
      <c r="AG472" s="14">
        <f t="shared" si="13"/>
        <v>1.497255338</v>
      </c>
      <c r="AH472" s="14">
        <f t="shared" si="14"/>
        <v>1</v>
      </c>
      <c r="AI472" s="14">
        <f t="shared" si="15"/>
        <v>0.9879228294</v>
      </c>
      <c r="AJ472" s="27">
        <f t="shared" si="16"/>
        <v>182</v>
      </c>
      <c r="AK472" s="15" t="str">
        <f t="shared" si="17"/>
        <v>  @CONFIG[RD-0146D] {
   %cost = 1002
   @cost -= #$../../cost$
  }</v>
      </c>
    </row>
    <row r="473" ht="15.75" customHeight="1">
      <c r="A473" s="7" t="s">
        <v>568</v>
      </c>
      <c r="B473" s="7" t="s">
        <v>566</v>
      </c>
      <c r="C473" s="8">
        <f t="shared" si="1"/>
        <v>95</v>
      </c>
      <c r="D473" s="7">
        <v>2014.0</v>
      </c>
      <c r="E473" s="7"/>
      <c r="F473" s="7" t="b">
        <v>1</v>
      </c>
      <c r="G473" s="7" t="b">
        <v>0</v>
      </c>
      <c r="H473" s="7" t="b">
        <v>0</v>
      </c>
      <c r="I473" s="7" t="b">
        <v>0</v>
      </c>
      <c r="J473" s="9" t="b">
        <v>0</v>
      </c>
      <c r="K473" s="7">
        <v>858.0</v>
      </c>
      <c r="L473" s="7">
        <v>0.0</v>
      </c>
      <c r="M473" s="7">
        <v>2290.0</v>
      </c>
      <c r="N473" s="7">
        <v>2085.0</v>
      </c>
      <c r="O473" s="7">
        <v>337.5</v>
      </c>
      <c r="P473" s="7">
        <v>25.83</v>
      </c>
      <c r="Q473" s="7">
        <v>0.996354</v>
      </c>
      <c r="R473" s="7">
        <v>0.996354</v>
      </c>
      <c r="S473" s="10">
        <f t="shared" si="2"/>
        <v>858</v>
      </c>
      <c r="T473" s="10">
        <f t="shared" si="3"/>
        <v>92.84315711</v>
      </c>
      <c r="U473" s="11">
        <f t="shared" si="4"/>
        <v>0.4470330086</v>
      </c>
      <c r="V473" s="8">
        <f>0.2*(8.17*POWER(M473*P473,0.46))+0.8*(0.146*POWER(M473*O473,0.639))</f>
        <v>932.063823</v>
      </c>
      <c r="W473" s="12">
        <f t="shared" si="5"/>
        <v>4</v>
      </c>
      <c r="X473" s="12">
        <f t="shared" si="6"/>
        <v>4660.319115</v>
      </c>
      <c r="Y473" s="12">
        <f t="shared" si="7"/>
        <v>2.235165043</v>
      </c>
      <c r="Z473" s="8">
        <f t="shared" si="19"/>
        <v>943.9208802</v>
      </c>
      <c r="AA473" s="8">
        <f t="shared" si="107"/>
        <v>1603</v>
      </c>
      <c r="AB473" s="13">
        <f t="shared" si="9"/>
        <v>1.868298368</v>
      </c>
      <c r="AC473" s="13">
        <f t="shared" si="10"/>
        <v>1.698235555</v>
      </c>
      <c r="AD473" s="13">
        <f>AA473/vlookup(A473,Max!$A$2:$AP$700,column(Max!$AP$2),false)</f>
        <v>1.931325301</v>
      </c>
      <c r="AE473" s="8">
        <f t="shared" si="11"/>
        <v>518.6000954</v>
      </c>
      <c r="AF473" s="14">
        <f t="shared" si="12"/>
        <v>1.303446396</v>
      </c>
      <c r="AG473" s="14">
        <f t="shared" si="13"/>
        <v>2.334102877</v>
      </c>
      <c r="AH473" s="14">
        <f t="shared" si="14"/>
        <v>1</v>
      </c>
      <c r="AI473" s="14">
        <f t="shared" si="15"/>
        <v>1.016122774</v>
      </c>
      <c r="AJ473" s="27">
        <f t="shared" si="16"/>
        <v>95</v>
      </c>
      <c r="AK473" s="15" t="str">
        <f t="shared" si="17"/>
        <v>  @CONFIG[RD-191] {
   %cost = 1603
   @cost -= #$../../cost$
  }</v>
      </c>
    </row>
    <row r="474" ht="15.75" customHeight="1">
      <c r="A474" s="16" t="s">
        <v>674</v>
      </c>
      <c r="B474" s="16" t="s">
        <v>660</v>
      </c>
      <c r="C474" s="8">
        <f t="shared" si="1"/>
        <v>340</v>
      </c>
      <c r="D474" s="16">
        <v>2014.0</v>
      </c>
      <c r="E474" s="16" t="b">
        <v>1</v>
      </c>
      <c r="F474" s="16" t="b">
        <v>1</v>
      </c>
      <c r="G474" s="16" t="b">
        <v>0</v>
      </c>
      <c r="H474" s="16" t="b">
        <v>1</v>
      </c>
      <c r="I474" s="16" t="b">
        <v>0</v>
      </c>
      <c r="J474" s="9" t="b">
        <v>0</v>
      </c>
      <c r="K474" s="16">
        <v>500.0</v>
      </c>
      <c r="L474" s="16">
        <v>1000.0</v>
      </c>
      <c r="M474" s="16">
        <v>191.0</v>
      </c>
      <c r="N474" s="16">
        <v>101.85</v>
      </c>
      <c r="O474" s="16">
        <v>449.7</v>
      </c>
      <c r="P474" s="16">
        <v>4.36</v>
      </c>
      <c r="Q474" s="16">
        <v>0.998454</v>
      </c>
      <c r="R474" s="16">
        <v>0.996939</v>
      </c>
      <c r="S474" s="19">
        <f t="shared" si="2"/>
        <v>1500</v>
      </c>
      <c r="T474" s="19">
        <f t="shared" si="3"/>
        <v>54.37596649</v>
      </c>
      <c r="U474" s="20">
        <f t="shared" si="4"/>
        <v>8.295581878</v>
      </c>
      <c r="V474" s="17">
        <f t="shared" ref="V474:V477" si="109">0.9*(0.00015*M474*O474*P474+797)+0.1*(43.1*POWER(M474,0.549))</f>
        <v>844.9050143</v>
      </c>
      <c r="W474" s="21">
        <f t="shared" si="5"/>
        <v>4</v>
      </c>
      <c r="X474" s="21">
        <f t="shared" si="6"/>
        <v>4224.525071</v>
      </c>
      <c r="Y474" s="21">
        <f t="shared" si="7"/>
        <v>41.47790939</v>
      </c>
      <c r="Z474" s="8">
        <f t="shared" si="19"/>
        <v>857.9146355</v>
      </c>
      <c r="AA474" s="8">
        <f t="shared" si="107"/>
        <v>634</v>
      </c>
      <c r="AB474" s="13">
        <f t="shared" si="9"/>
        <v>0.4226666667</v>
      </c>
      <c r="AC474" s="13">
        <f t="shared" si="10"/>
        <v>0.7390012639</v>
      </c>
      <c r="AD474" s="13">
        <f>AA474/vlookup(A474,Max!$A$2:$AP$700,column(Max!$AP$2),false)</f>
        <v>1.713513514</v>
      </c>
      <c r="AE474" s="8">
        <f t="shared" si="11"/>
        <v>146.9371342</v>
      </c>
      <c r="AF474" s="14">
        <f t="shared" si="12"/>
        <v>3.365528676</v>
      </c>
      <c r="AG474" s="14">
        <f t="shared" si="13"/>
        <v>1.265454295</v>
      </c>
      <c r="AH474" s="14">
        <f t="shared" si="14"/>
        <v>1</v>
      </c>
      <c r="AI474" s="14">
        <f t="shared" si="15"/>
        <v>1.013686426</v>
      </c>
      <c r="AJ474" s="27">
        <f t="shared" si="16"/>
        <v>340</v>
      </c>
      <c r="AK474" s="15" t="str">
        <f t="shared" si="17"/>
        <v>  @CONFIG[RL10C-1] {
   %cost = 634
   @cost -= #$../../cost$
  }</v>
      </c>
    </row>
    <row r="475" ht="15.75" customHeight="1">
      <c r="A475" s="16" t="s">
        <v>704</v>
      </c>
      <c r="B475" s="16" t="s">
        <v>702</v>
      </c>
      <c r="C475" s="8">
        <f t="shared" si="1"/>
        <v>218</v>
      </c>
      <c r="D475" s="16">
        <v>2014.0</v>
      </c>
      <c r="E475" s="16" t="b">
        <v>1</v>
      </c>
      <c r="F475" s="16" t="b">
        <v>1</v>
      </c>
      <c r="G475" s="16" t="b">
        <v>0</v>
      </c>
      <c r="H475" s="16" t="b">
        <v>0</v>
      </c>
      <c r="I475" s="16" t="b">
        <v>0</v>
      </c>
      <c r="J475" s="9" t="b">
        <v>0</v>
      </c>
      <c r="K475" s="16">
        <v>2850.0</v>
      </c>
      <c r="L475" s="16">
        <v>275.0</v>
      </c>
      <c r="M475" s="16">
        <v>5565.0</v>
      </c>
      <c r="N475" s="16">
        <v>3570.0</v>
      </c>
      <c r="O475" s="16">
        <v>414.2</v>
      </c>
      <c r="P475" s="16">
        <v>9.9</v>
      </c>
      <c r="Q475" s="16">
        <v>0.998404</v>
      </c>
      <c r="R475" s="16">
        <v>0.998404</v>
      </c>
      <c r="S475" s="19">
        <f t="shared" si="2"/>
        <v>3125</v>
      </c>
      <c r="T475" s="19">
        <f t="shared" si="3"/>
        <v>65.41575687</v>
      </c>
      <c r="U475" s="20">
        <f t="shared" si="4"/>
        <v>1.201281416</v>
      </c>
      <c r="V475" s="17">
        <f t="shared" si="109"/>
        <v>4288.574653</v>
      </c>
      <c r="W475" s="21">
        <f t="shared" si="5"/>
        <v>4</v>
      </c>
      <c r="X475" s="21">
        <f t="shared" si="6"/>
        <v>21442.87327</v>
      </c>
      <c r="Y475" s="21">
        <f t="shared" si="7"/>
        <v>6.006407078</v>
      </c>
      <c r="Z475" s="8">
        <f t="shared" si="19"/>
        <v>4360.66794</v>
      </c>
      <c r="AA475" s="8">
        <f t="shared" si="107"/>
        <v>4171</v>
      </c>
      <c r="AB475" s="13">
        <f t="shared" si="9"/>
        <v>1.33472</v>
      </c>
      <c r="AC475" s="13">
        <f t="shared" si="10"/>
        <v>0.9565048422</v>
      </c>
      <c r="AD475" s="13">
        <f>AA475/vlookup(A475,Max!$A$2:$AP$700,column(Max!$AP$2),false)</f>
        <v>1.191714286</v>
      </c>
      <c r="AE475" s="8">
        <f t="shared" si="11"/>
        <v>957.3309212</v>
      </c>
      <c r="AF475" s="14">
        <f t="shared" si="12"/>
        <v>2.436867877</v>
      </c>
      <c r="AG475" s="14">
        <f t="shared" si="13"/>
        <v>1.750544803</v>
      </c>
      <c r="AH475" s="14">
        <f t="shared" si="14"/>
        <v>1</v>
      </c>
      <c r="AI475" s="14">
        <f t="shared" si="15"/>
        <v>1.021357528</v>
      </c>
      <c r="AJ475" s="27">
        <f t="shared" si="16"/>
        <v>218</v>
      </c>
      <c r="AK475" s="15" t="str">
        <f t="shared" si="17"/>
        <v>  @CONFIG[RS-68B] {
   %cost = 4171
   @cost -= #$../../cost$
  }</v>
      </c>
    </row>
    <row r="476" ht="15.75" customHeight="1">
      <c r="A476" s="16" t="s">
        <v>114</v>
      </c>
      <c r="B476" s="16" t="s">
        <v>113</v>
      </c>
      <c r="C476" s="8">
        <f t="shared" si="1"/>
        <v>1203</v>
      </c>
      <c r="D476" s="16">
        <v>2015.0</v>
      </c>
      <c r="E476" s="16" t="b">
        <v>1</v>
      </c>
      <c r="F476" s="16" t="b">
        <v>1</v>
      </c>
      <c r="G476" s="16" t="b">
        <v>0</v>
      </c>
      <c r="H476" s="16" t="b">
        <v>1</v>
      </c>
      <c r="I476" s="16" t="b">
        <v>0</v>
      </c>
      <c r="J476" s="9" t="b">
        <v>0</v>
      </c>
      <c r="K476" s="16">
        <v>10000.0</v>
      </c>
      <c r="L476" s="16">
        <v>5000.0</v>
      </c>
      <c r="M476" s="16">
        <v>2371.0</v>
      </c>
      <c r="N476" s="16">
        <v>1500.0</v>
      </c>
      <c r="O476" s="16">
        <v>490.0</v>
      </c>
      <c r="P476" s="16">
        <v>28.2</v>
      </c>
      <c r="Q476" s="16"/>
      <c r="R476" s="16"/>
      <c r="S476" s="19">
        <f t="shared" si="2"/>
        <v>15000</v>
      </c>
      <c r="T476" s="19">
        <f t="shared" si="3"/>
        <v>64.51178047</v>
      </c>
      <c r="U476" s="20">
        <f t="shared" si="4"/>
        <v>3.631572795</v>
      </c>
      <c r="V476" s="17">
        <f t="shared" si="109"/>
        <v>5447.359193</v>
      </c>
      <c r="W476" s="21">
        <f t="shared" si="5"/>
        <v>4</v>
      </c>
      <c r="X476" s="21">
        <f t="shared" si="6"/>
        <v>27236.79597</v>
      </c>
      <c r="Y476" s="21">
        <f t="shared" si="7"/>
        <v>18.15786398</v>
      </c>
      <c r="Z476" s="8">
        <f t="shared" si="19"/>
        <v>5447.359193</v>
      </c>
      <c r="AA476" s="8">
        <f t="shared" si="107"/>
        <v>5552</v>
      </c>
      <c r="AB476" s="13">
        <f t="shared" si="9"/>
        <v>0.3701333333</v>
      </c>
      <c r="AC476" s="13">
        <f t="shared" si="10"/>
        <v>1.019209456</v>
      </c>
      <c r="AD476" s="13">
        <f>AA476/vlookup(A476,Max!$A$2:$AP$700,column(Max!$AP$2),false)</f>
        <v>1.914482759</v>
      </c>
      <c r="AE476" s="8">
        <f t="shared" si="11"/>
        <v>580.4198342</v>
      </c>
      <c r="AF476" s="14">
        <f t="shared" si="12"/>
        <v>4.966431266</v>
      </c>
      <c r="AG476" s="14">
        <f t="shared" si="13"/>
        <v>1.926052201</v>
      </c>
      <c r="AH476" s="14">
        <f t="shared" si="14"/>
        <v>1</v>
      </c>
      <c r="AI476" s="14">
        <f t="shared" si="15"/>
        <v>1</v>
      </c>
      <c r="AJ476" s="27">
        <f t="shared" si="16"/>
        <v>1203</v>
      </c>
      <c r="AK476" s="15" t="str">
        <f t="shared" si="17"/>
        <v>  @CONFIG[ATCRE-BlockII] {
   %cost = 5552
   @cost -= #$../../cost$
  }</v>
      </c>
    </row>
    <row r="477" ht="15.75" customHeight="1">
      <c r="A477" s="7" t="s">
        <v>115</v>
      </c>
      <c r="B477" s="7" t="s">
        <v>115</v>
      </c>
      <c r="C477" s="8">
        <f t="shared" si="1"/>
        <v>917</v>
      </c>
      <c r="D477" s="7">
        <v>2015.0</v>
      </c>
      <c r="E477" s="7" t="b">
        <v>1</v>
      </c>
      <c r="F477" s="7" t="b">
        <v>1</v>
      </c>
      <c r="G477" s="7" t="b">
        <v>0</v>
      </c>
      <c r="H477" s="7" t="b">
        <v>0</v>
      </c>
      <c r="I477" s="7" t="b">
        <v>1</v>
      </c>
      <c r="J477" s="9" t="b">
        <v>0</v>
      </c>
      <c r="K477" s="7">
        <v>3000.0</v>
      </c>
      <c r="L477" s="7">
        <v>0.0</v>
      </c>
      <c r="M477" s="7">
        <v>480.0</v>
      </c>
      <c r="N477" s="7">
        <v>511.3</v>
      </c>
      <c r="O477" s="7">
        <v>360.0</v>
      </c>
      <c r="P477" s="7">
        <v>8.0</v>
      </c>
      <c r="Q477" s="7">
        <v>0.996875</v>
      </c>
      <c r="R477" s="7">
        <v>0.994</v>
      </c>
      <c r="S477" s="10">
        <f t="shared" si="2"/>
        <v>3000</v>
      </c>
      <c r="T477" s="10">
        <f t="shared" si="3"/>
        <v>108.6210205</v>
      </c>
      <c r="U477" s="11">
        <f t="shared" si="4"/>
        <v>2.017814701</v>
      </c>
      <c r="V477" s="8">
        <f t="shared" si="109"/>
        <v>1031.708656</v>
      </c>
      <c r="W477" s="12">
        <f t="shared" si="5"/>
        <v>4</v>
      </c>
      <c r="X477" s="12">
        <f t="shared" si="6"/>
        <v>5158.543282</v>
      </c>
      <c r="Y477" s="12">
        <f t="shared" si="7"/>
        <v>10.0890735</v>
      </c>
      <c r="Z477" s="8">
        <f t="shared" si="19"/>
        <v>1564.421749</v>
      </c>
      <c r="AA477" s="8">
        <f t="shared" si="107"/>
        <v>917</v>
      </c>
      <c r="AB477" s="13">
        <f t="shared" si="9"/>
        <v>0.3056666667</v>
      </c>
      <c r="AC477" s="13">
        <f t="shared" si="10"/>
        <v>0.5861590717</v>
      </c>
      <c r="AD477" s="13">
        <f>AA477/vlookup(A477,Max!$A$2:$AP$700,column(Max!$AP$2),false)</f>
        <v>1.175641026</v>
      </c>
      <c r="AE477" s="8">
        <f t="shared" si="11"/>
        <v>238.0022518</v>
      </c>
      <c r="AF477" s="14">
        <f t="shared" si="12"/>
        <v>1.54894141</v>
      </c>
      <c r="AG477" s="14">
        <f t="shared" si="13"/>
        <v>1.642138065</v>
      </c>
      <c r="AH477" s="14">
        <f t="shared" si="14"/>
        <v>1.5</v>
      </c>
      <c r="AI477" s="14">
        <f t="shared" si="15"/>
        <v>1.01013164</v>
      </c>
      <c r="AJ477" s="15">
        <f t="shared" si="16"/>
        <v>0</v>
      </c>
      <c r="AK477" s="15" t="str">
        <f t="shared" si="17"/>
        <v>  @CONFIG[BE3] {
   %cost = 917
   @cost -= #$../../cost$
  }</v>
      </c>
    </row>
    <row r="478" ht="15.75" customHeight="1">
      <c r="A478" s="16" t="s">
        <v>377</v>
      </c>
      <c r="B478" s="16" t="s">
        <v>369</v>
      </c>
      <c r="C478" s="8">
        <f t="shared" si="1"/>
        <v>56</v>
      </c>
      <c r="D478" s="16">
        <v>2015.0</v>
      </c>
      <c r="E478" s="16"/>
      <c r="F478" s="16" t="b">
        <v>1</v>
      </c>
      <c r="G478" s="16" t="b">
        <v>0</v>
      </c>
      <c r="H478" s="16" t="b">
        <v>0</v>
      </c>
      <c r="I478" s="16" t="b">
        <v>0</v>
      </c>
      <c r="J478" s="9" t="b">
        <v>0</v>
      </c>
      <c r="K478" s="16">
        <v>205.0</v>
      </c>
      <c r="L478" s="16">
        <v>-30.0</v>
      </c>
      <c r="M478" s="16">
        <v>470.0</v>
      </c>
      <c r="N478" s="16">
        <v>825.0</v>
      </c>
      <c r="O478" s="16">
        <v>311.0</v>
      </c>
      <c r="P478" s="16">
        <v>10.8</v>
      </c>
      <c r="Q478" s="16">
        <v>0.999622</v>
      </c>
      <c r="R478" s="16">
        <v>0.999538</v>
      </c>
      <c r="S478" s="19">
        <f t="shared" si="2"/>
        <v>175</v>
      </c>
      <c r="T478" s="19">
        <f t="shared" si="3"/>
        <v>178.992739</v>
      </c>
      <c r="U478" s="20">
        <f t="shared" si="4"/>
        <v>0.3830134572</v>
      </c>
      <c r="V478" s="17">
        <f t="shared" ref="V478:V479" si="110">0.2*(8.17*POWER(M478*P478,0.46))+0.8*(0.146*POWER(M478*O478,0.639))</f>
        <v>315.9861022</v>
      </c>
      <c r="W478" s="21">
        <f t="shared" si="5"/>
        <v>4</v>
      </c>
      <c r="X478" s="21">
        <f t="shared" si="6"/>
        <v>1579.930511</v>
      </c>
      <c r="Y478" s="21">
        <f t="shared" si="7"/>
        <v>1.915067286</v>
      </c>
      <c r="Z478" s="8">
        <f t="shared" si="19"/>
        <v>322.0404511</v>
      </c>
      <c r="AA478" s="8">
        <f t="shared" si="107"/>
        <v>383</v>
      </c>
      <c r="AB478" s="13">
        <f t="shared" si="9"/>
        <v>2.188571429</v>
      </c>
      <c r="AC478" s="13">
        <f t="shared" si="10"/>
        <v>1.189291589</v>
      </c>
      <c r="AD478" s="13">
        <f>AA478/vlookup(A478,Max!$A$2:$AP$700,column(Max!$AP$2),false)</f>
        <v>0.9119047619</v>
      </c>
      <c r="AE478" s="8">
        <f t="shared" si="11"/>
        <v>195.337434</v>
      </c>
      <c r="AF478" s="14">
        <f t="shared" si="12"/>
        <v>1.066630493</v>
      </c>
      <c r="AG478" s="14">
        <f t="shared" si="13"/>
        <v>1.796841621</v>
      </c>
      <c r="AH478" s="14">
        <f t="shared" si="14"/>
        <v>1</v>
      </c>
      <c r="AI478" s="14">
        <f t="shared" si="15"/>
        <v>1.024260176</v>
      </c>
      <c r="AJ478" s="27">
        <f t="shared" si="16"/>
        <v>56</v>
      </c>
      <c r="AK478" s="15" t="str">
        <f t="shared" si="17"/>
        <v>  @CONFIG[Merlin1D+] {
   %cost = 383
   @cost -= #$../../cost$
  }</v>
      </c>
    </row>
    <row r="479" ht="15.75" customHeight="1">
      <c r="A479" s="7" t="s">
        <v>376</v>
      </c>
      <c r="B479" s="7" t="s">
        <v>369</v>
      </c>
      <c r="C479" s="8">
        <f t="shared" si="1"/>
        <v>121</v>
      </c>
      <c r="D479" s="7">
        <v>2015.0</v>
      </c>
      <c r="E479" s="7"/>
      <c r="F479" s="7" t="b">
        <v>1</v>
      </c>
      <c r="G479" s="7" t="b">
        <v>0</v>
      </c>
      <c r="H479" s="7" t="b">
        <v>1</v>
      </c>
      <c r="I479" s="7" t="b">
        <v>0</v>
      </c>
      <c r="J479" s="9" t="b">
        <v>0</v>
      </c>
      <c r="K479" s="7">
        <v>205.0</v>
      </c>
      <c r="L479" s="7">
        <v>-5.0</v>
      </c>
      <c r="M479" s="7">
        <v>490.0</v>
      </c>
      <c r="N479" s="7">
        <v>934.12</v>
      </c>
      <c r="O479" s="7">
        <v>348.0</v>
      </c>
      <c r="P479" s="7">
        <v>10.8</v>
      </c>
      <c r="Q479" s="7">
        <v>0.999315</v>
      </c>
      <c r="R479" s="7">
        <v>0.998636</v>
      </c>
      <c r="S479" s="10">
        <f t="shared" si="2"/>
        <v>200</v>
      </c>
      <c r="T479" s="10">
        <f t="shared" si="3"/>
        <v>194.3953686</v>
      </c>
      <c r="U479" s="11">
        <f t="shared" si="4"/>
        <v>0.3658201546</v>
      </c>
      <c r="V479" s="8">
        <f t="shared" si="110"/>
        <v>341.7199228</v>
      </c>
      <c r="W479" s="12">
        <f t="shared" si="5"/>
        <v>4</v>
      </c>
      <c r="X479" s="12">
        <f t="shared" si="6"/>
        <v>1708.599614</v>
      </c>
      <c r="Y479" s="12">
        <f t="shared" si="7"/>
        <v>1.829100773</v>
      </c>
      <c r="Z479" s="8">
        <f t="shared" si="19"/>
        <v>347.8544564</v>
      </c>
      <c r="AA479" s="8">
        <f t="shared" si="107"/>
        <v>448</v>
      </c>
      <c r="AB479" s="13">
        <f t="shared" si="9"/>
        <v>2.24</v>
      </c>
      <c r="AC479" s="13">
        <f t="shared" si="10"/>
        <v>1.287894956</v>
      </c>
      <c r="AD479" s="13">
        <f>AA479/vlookup(A479,Max!$A$2:$AP$700,column(Max!$AP$2),false)</f>
        <v>0.7724137931</v>
      </c>
      <c r="AE479" s="8">
        <f t="shared" si="11"/>
        <v>200.3879429</v>
      </c>
      <c r="AF479" s="14">
        <f t="shared" si="12"/>
        <v>1.411050429</v>
      </c>
      <c r="AG479" s="14">
        <f t="shared" si="13"/>
        <v>1.551966523</v>
      </c>
      <c r="AH479" s="14">
        <f t="shared" si="14"/>
        <v>1</v>
      </c>
      <c r="AI479" s="14">
        <f t="shared" si="15"/>
        <v>1.020201774</v>
      </c>
      <c r="AJ479" s="27">
        <f t="shared" si="16"/>
        <v>121</v>
      </c>
      <c r="AK479" s="15" t="str">
        <f t="shared" si="17"/>
        <v>  @CONFIG[Merlin1DVac+] {
   %cost = 448
   @cost -= #$../../cost$
  }</v>
      </c>
    </row>
    <row r="480" ht="15.75" customHeight="1">
      <c r="A480" s="7" t="s">
        <v>705</v>
      </c>
      <c r="B480" s="7" t="s">
        <v>702</v>
      </c>
      <c r="C480" s="8">
        <f t="shared" si="1"/>
        <v>37</v>
      </c>
      <c r="D480" s="7">
        <v>2015.0</v>
      </c>
      <c r="E480" s="7" t="b">
        <v>1</v>
      </c>
      <c r="F480" s="7" t="b">
        <v>1</v>
      </c>
      <c r="G480" s="7" t="b">
        <v>0</v>
      </c>
      <c r="H480" s="7" t="b">
        <v>0</v>
      </c>
      <c r="I480" s="7" t="b">
        <v>0</v>
      </c>
      <c r="J480" s="9" t="b">
        <v>0</v>
      </c>
      <c r="K480" s="7">
        <v>2850.0</v>
      </c>
      <c r="L480" s="7">
        <v>2000.0</v>
      </c>
      <c r="M480" s="7">
        <v>4862.0</v>
      </c>
      <c r="N480" s="7">
        <v>3647.0</v>
      </c>
      <c r="O480" s="7">
        <v>418.0</v>
      </c>
      <c r="P480" s="7">
        <v>10.26</v>
      </c>
      <c r="Q480" s="7">
        <v>0.995</v>
      </c>
      <c r="R480" s="7">
        <v>0.995</v>
      </c>
      <c r="S480" s="10">
        <f t="shared" si="2"/>
        <v>4850</v>
      </c>
      <c r="T480" s="10">
        <f t="shared" si="3"/>
        <v>76.48920234</v>
      </c>
      <c r="U480" s="11">
        <f t="shared" si="4"/>
        <v>1.093450411</v>
      </c>
      <c r="V480" s="8">
        <f t="shared" ref="V480:V484" si="111">0.9*(0.00015*M480*O480*P480+797)+0.1*(43.1*POWER(M480,0.549))</f>
        <v>3987.81365</v>
      </c>
      <c r="W480" s="12">
        <f t="shared" si="5"/>
        <v>4</v>
      </c>
      <c r="X480" s="12">
        <f t="shared" si="6"/>
        <v>19939.06825</v>
      </c>
      <c r="Y480" s="12">
        <f t="shared" si="7"/>
        <v>5.467252056</v>
      </c>
      <c r="Z480" s="8">
        <f t="shared" si="19"/>
        <v>4027.791481</v>
      </c>
      <c r="AA480" s="8">
        <f t="shared" si="107"/>
        <v>3990</v>
      </c>
      <c r="AB480" s="13">
        <f t="shared" si="9"/>
        <v>0.8226804124</v>
      </c>
      <c r="AC480" s="13">
        <f t="shared" si="10"/>
        <v>0.9906173193</v>
      </c>
      <c r="AD480" s="13">
        <f>AA480/vlookup(A480,Max!$A$2:$AP$700,column(Max!$AP$2),false)</f>
        <v>1.078378378</v>
      </c>
      <c r="AE480" s="8">
        <f t="shared" si="11"/>
        <v>883.6129301</v>
      </c>
      <c r="AF480" s="14">
        <f t="shared" si="12"/>
        <v>2.520190337</v>
      </c>
      <c r="AG480" s="14">
        <f t="shared" si="13"/>
        <v>1.769403493</v>
      </c>
      <c r="AH480" s="14">
        <f t="shared" si="14"/>
        <v>1</v>
      </c>
      <c r="AI480" s="14">
        <f t="shared" si="15"/>
        <v>1.01267413</v>
      </c>
      <c r="AJ480" s="27">
        <f t="shared" si="16"/>
        <v>37</v>
      </c>
      <c r="AK480" s="15" t="str">
        <f t="shared" si="17"/>
        <v>  @CONFIG[RS-68K] {
   %cost = 3990
   @cost -= #$../../cost$
  }</v>
      </c>
    </row>
    <row r="481" ht="15.75" customHeight="1">
      <c r="A481" s="16" t="s">
        <v>876</v>
      </c>
      <c r="B481" s="16" t="s">
        <v>877</v>
      </c>
      <c r="C481" s="8">
        <f t="shared" si="1"/>
        <v>1600</v>
      </c>
      <c r="D481" s="16">
        <v>2016.0</v>
      </c>
      <c r="E481" s="16" t="b">
        <v>1</v>
      </c>
      <c r="F481" s="16" t="b">
        <v>1</v>
      </c>
      <c r="G481" s="16" t="b">
        <v>0</v>
      </c>
      <c r="H481" s="16" t="b">
        <v>0</v>
      </c>
      <c r="I481" s="16" t="b">
        <v>0</v>
      </c>
      <c r="J481" s="9" t="b">
        <v>0</v>
      </c>
      <c r="K481" s="16">
        <v>1600.0</v>
      </c>
      <c r="L481" s="16">
        <v>0.0</v>
      </c>
      <c r="M481" s="16">
        <v>1375.0</v>
      </c>
      <c r="N481" s="16">
        <v>700.0</v>
      </c>
      <c r="O481" s="16">
        <v>426.0</v>
      </c>
      <c r="P481" s="16">
        <v>10.2</v>
      </c>
      <c r="Q481" s="16">
        <v>0.976667</v>
      </c>
      <c r="R481" s="16">
        <v>0.976667</v>
      </c>
      <c r="S481" s="19">
        <f t="shared" si="2"/>
        <v>1600</v>
      </c>
      <c r="T481" s="19">
        <f t="shared" si="3"/>
        <v>51.91282524</v>
      </c>
      <c r="U481" s="20">
        <f t="shared" si="4"/>
        <v>2.502285703</v>
      </c>
      <c r="V481" s="17">
        <f t="shared" si="111"/>
        <v>1751.599992</v>
      </c>
      <c r="W481" s="21">
        <f t="shared" si="5"/>
        <v>4</v>
      </c>
      <c r="X481" s="21">
        <f t="shared" si="6"/>
        <v>8757.999961</v>
      </c>
      <c r="Y481" s="21">
        <f t="shared" si="7"/>
        <v>12.51142852</v>
      </c>
      <c r="Z481" s="8">
        <f t="shared" si="19"/>
        <v>1705.845449</v>
      </c>
      <c r="AA481" s="45">
        <v>1600.0</v>
      </c>
      <c r="AB481" s="13">
        <f t="shared" si="9"/>
        <v>1</v>
      </c>
      <c r="AC481" s="13">
        <f t="shared" si="10"/>
        <v>0.9379513258</v>
      </c>
      <c r="AD481" s="13">
        <f>AA481/vlookup(A481,Max!$A$2:$AP$700,column(Max!$AP$2),false)</f>
        <v>3.265306122</v>
      </c>
      <c r="AE481" s="8">
        <f t="shared" si="11"/>
        <v>425.1024718</v>
      </c>
      <c r="AF481" s="14">
        <f t="shared" si="12"/>
        <v>2.707066335</v>
      </c>
      <c r="AG481" s="14">
        <f t="shared" si="13"/>
        <v>1.766292902</v>
      </c>
      <c r="AH481" s="14">
        <f t="shared" si="14"/>
        <v>1</v>
      </c>
      <c r="AI481" s="14">
        <f t="shared" si="15"/>
        <v>0.9666701278</v>
      </c>
      <c r="AJ481" s="15">
        <f t="shared" si="16"/>
        <v>0</v>
      </c>
      <c r="AK481" s="15" t="str">
        <f t="shared" si="17"/>
        <v>  @CONFIG[YF-77] {
   %cost = 1600
   @cost -= #$../../cost$
  }</v>
      </c>
    </row>
    <row r="482" ht="15.75" customHeight="1">
      <c r="A482" s="7" t="s">
        <v>676</v>
      </c>
      <c r="B482" s="7" t="s">
        <v>660</v>
      </c>
      <c r="C482" s="8">
        <f t="shared" si="1"/>
        <v>810</v>
      </c>
      <c r="D482" s="7">
        <v>2017.0</v>
      </c>
      <c r="E482" s="7" t="b">
        <v>1</v>
      </c>
      <c r="F482" s="7" t="b">
        <v>1</v>
      </c>
      <c r="G482" s="7" t="b">
        <v>0</v>
      </c>
      <c r="H482" s="7" t="b">
        <v>1</v>
      </c>
      <c r="I482" s="7" t="b">
        <v>1</v>
      </c>
      <c r="J482" s="9" t="b">
        <v>0</v>
      </c>
      <c r="K482" s="7">
        <v>500.0</v>
      </c>
      <c r="L482" s="7">
        <v>1500.0</v>
      </c>
      <c r="M482" s="7">
        <v>210.0</v>
      </c>
      <c r="N482" s="7">
        <v>67.0</v>
      </c>
      <c r="O482" s="7">
        <v>460.0</v>
      </c>
      <c r="P482" s="7">
        <v>4.2</v>
      </c>
      <c r="Q482" s="7">
        <v>0.99995</v>
      </c>
      <c r="R482" s="7">
        <v>0.99995</v>
      </c>
      <c r="S482" s="10">
        <f t="shared" si="2"/>
        <v>2000</v>
      </c>
      <c r="T482" s="10">
        <f t="shared" si="3"/>
        <v>32.53380289</v>
      </c>
      <c r="U482" s="11">
        <f t="shared" si="4"/>
        <v>12.73490275</v>
      </c>
      <c r="V482" s="8">
        <f t="shared" si="111"/>
        <v>853.2384839</v>
      </c>
      <c r="W482" s="12">
        <f t="shared" si="5"/>
        <v>4</v>
      </c>
      <c r="X482" s="12">
        <f t="shared" si="6"/>
        <v>4266.19242</v>
      </c>
      <c r="Y482" s="12">
        <f t="shared" si="7"/>
        <v>63.67451373</v>
      </c>
      <c r="Z482" s="8">
        <f t="shared" si="19"/>
        <v>1305.326898</v>
      </c>
      <c r="AA482" s="8">
        <f t="shared" ref="AA482:AA485" si="112">round(AE482*AF482*AG482*AH482*AI482,0)</f>
        <v>1104</v>
      </c>
      <c r="AB482" s="13">
        <f t="shared" si="9"/>
        <v>0.552</v>
      </c>
      <c r="AC482" s="13">
        <f t="shared" si="10"/>
        <v>0.8457651503</v>
      </c>
      <c r="AD482" s="13">
        <f>AA482/vlookup(A482,Max!$A$2:$AP$700,column(Max!$AP$2),false)</f>
        <v>1.346341463</v>
      </c>
      <c r="AE482" s="8">
        <f t="shared" si="11"/>
        <v>154.2422318</v>
      </c>
      <c r="AF482" s="14">
        <f t="shared" si="12"/>
        <v>3.709244853</v>
      </c>
      <c r="AG482" s="14">
        <f t="shared" si="13"/>
        <v>1.254853697</v>
      </c>
      <c r="AH482" s="14">
        <f t="shared" si="14"/>
        <v>1.5</v>
      </c>
      <c r="AI482" s="14">
        <f t="shared" si="15"/>
        <v>1.025187819</v>
      </c>
      <c r="AJ482" s="27">
        <f t="shared" si="16"/>
        <v>810</v>
      </c>
      <c r="AK482" s="15" t="str">
        <f t="shared" si="17"/>
        <v>  @CONFIG[CECE-Base] {
   %cost = 1104
   @cost -= #$../../cost$
  }</v>
      </c>
    </row>
    <row r="483" ht="15.75" customHeight="1">
      <c r="A483" s="16" t="s">
        <v>675</v>
      </c>
      <c r="B483" s="16" t="s">
        <v>660</v>
      </c>
      <c r="C483" s="8">
        <f t="shared" si="1"/>
        <v>572</v>
      </c>
      <c r="D483" s="16">
        <v>2017.0</v>
      </c>
      <c r="E483" s="16" t="b">
        <v>1</v>
      </c>
      <c r="F483" s="16" t="b">
        <v>1</v>
      </c>
      <c r="G483" s="16" t="b">
        <v>0</v>
      </c>
      <c r="H483" s="16" t="b">
        <v>1</v>
      </c>
      <c r="I483" s="16" t="b">
        <v>0</v>
      </c>
      <c r="J483" s="9" t="b">
        <v>0</v>
      </c>
      <c r="K483" s="16">
        <v>500.0</v>
      </c>
      <c r="L483" s="16">
        <v>1500.0</v>
      </c>
      <c r="M483" s="16">
        <v>256.0</v>
      </c>
      <c r="N483" s="16">
        <v>110.0</v>
      </c>
      <c r="O483" s="16">
        <v>465.0</v>
      </c>
      <c r="P483" s="16">
        <v>4.44</v>
      </c>
      <c r="Q483" s="16">
        <v>0.99995</v>
      </c>
      <c r="R483" s="16">
        <v>0.99995</v>
      </c>
      <c r="S483" s="19">
        <f t="shared" si="2"/>
        <v>2000</v>
      </c>
      <c r="T483" s="19">
        <f t="shared" si="3"/>
        <v>43.8159309</v>
      </c>
      <c r="U483" s="20">
        <f t="shared" si="4"/>
        <v>7.992206037</v>
      </c>
      <c r="V483" s="17">
        <f t="shared" si="111"/>
        <v>879.1426641</v>
      </c>
      <c r="W483" s="21">
        <f t="shared" si="5"/>
        <v>4</v>
      </c>
      <c r="X483" s="21">
        <f t="shared" si="6"/>
        <v>4395.713321</v>
      </c>
      <c r="Y483" s="21">
        <f t="shared" si="7"/>
        <v>39.96103019</v>
      </c>
      <c r="Z483" s="8">
        <f t="shared" si="19"/>
        <v>896.6376053</v>
      </c>
      <c r="AA483" s="8">
        <f t="shared" si="112"/>
        <v>866</v>
      </c>
      <c r="AB483" s="13">
        <f t="shared" si="9"/>
        <v>0.433</v>
      </c>
      <c r="AC483" s="13">
        <f t="shared" si="10"/>
        <v>0.9658305595</v>
      </c>
      <c r="AD483" s="13">
        <f>AA483/vlookup(A483,Max!$A$2:$AP$700,column(Max!$AP$2),false)</f>
        <v>1.139473684</v>
      </c>
      <c r="AE483" s="8">
        <f t="shared" si="11"/>
        <v>170.8302027</v>
      </c>
      <c r="AF483" s="14">
        <f t="shared" si="12"/>
        <v>3.890704653</v>
      </c>
      <c r="AG483" s="14">
        <f t="shared" si="13"/>
        <v>1.2706419</v>
      </c>
      <c r="AH483" s="14">
        <f t="shared" si="14"/>
        <v>1</v>
      </c>
      <c r="AI483" s="14">
        <f t="shared" si="15"/>
        <v>1.025187819</v>
      </c>
      <c r="AJ483" s="27">
        <f t="shared" si="16"/>
        <v>572</v>
      </c>
      <c r="AK483" s="15" t="str">
        <f t="shared" si="17"/>
        <v>  @CONFIG[CECE-High] {
   %cost = 866
   @cost -= #$../../cost$
  }</v>
      </c>
    </row>
    <row r="484" ht="15.75" customHeight="1">
      <c r="A484" s="7" t="s">
        <v>677</v>
      </c>
      <c r="B484" s="7" t="s">
        <v>660</v>
      </c>
      <c r="C484" s="8">
        <f t="shared" si="1"/>
        <v>167</v>
      </c>
      <c r="D484" s="7">
        <v>2017.0</v>
      </c>
      <c r="E484" s="7" t="b">
        <v>1</v>
      </c>
      <c r="F484" s="7" t="b">
        <v>1</v>
      </c>
      <c r="G484" s="7" t="b">
        <v>0</v>
      </c>
      <c r="H484" s="7" t="b">
        <v>1</v>
      </c>
      <c r="I484" s="7" t="b">
        <v>1</v>
      </c>
      <c r="J484" s="9" t="b">
        <v>0</v>
      </c>
      <c r="K484" s="7">
        <v>500.0</v>
      </c>
      <c r="L484" s="7">
        <v>1500.0</v>
      </c>
      <c r="M484" s="7">
        <v>210.0</v>
      </c>
      <c r="N484" s="7">
        <v>67.0</v>
      </c>
      <c r="O484" s="7">
        <v>360.0</v>
      </c>
      <c r="P484" s="7">
        <v>4.2</v>
      </c>
      <c r="Q484" s="7">
        <v>0.99995</v>
      </c>
      <c r="R484" s="7">
        <v>0.99995</v>
      </c>
      <c r="S484" s="10">
        <f t="shared" si="2"/>
        <v>2000</v>
      </c>
      <c r="T484" s="10">
        <f t="shared" si="3"/>
        <v>32.53380289</v>
      </c>
      <c r="U484" s="11">
        <f t="shared" si="4"/>
        <v>12.55718633</v>
      </c>
      <c r="V484" s="8">
        <f t="shared" si="111"/>
        <v>841.3314839</v>
      </c>
      <c r="W484" s="12">
        <f t="shared" si="5"/>
        <v>4</v>
      </c>
      <c r="X484" s="12">
        <f t="shared" si="6"/>
        <v>4206.65742</v>
      </c>
      <c r="Y484" s="12">
        <f t="shared" si="7"/>
        <v>62.78593164</v>
      </c>
      <c r="Z484" s="8">
        <f t="shared" si="19"/>
        <v>1287.110974</v>
      </c>
      <c r="AA484" s="8">
        <f t="shared" si="112"/>
        <v>461</v>
      </c>
      <c r="AB484" s="13">
        <f t="shared" si="9"/>
        <v>0.2305</v>
      </c>
      <c r="AC484" s="13">
        <f t="shared" si="10"/>
        <v>0.3581664747</v>
      </c>
      <c r="AD484" s="13">
        <f>AA484/vlookup(A484,Max!$A$2:$AP$700,column(Max!$AP$2),false)</f>
        <v>2.095454545</v>
      </c>
      <c r="AE484" s="8">
        <f t="shared" si="11"/>
        <v>154.2422318</v>
      </c>
      <c r="AF484" s="14">
        <f t="shared" si="12"/>
        <v>1.54894141</v>
      </c>
      <c r="AG484" s="14">
        <f t="shared" si="13"/>
        <v>1.254853697</v>
      </c>
      <c r="AH484" s="14">
        <f t="shared" si="14"/>
        <v>1.5</v>
      </c>
      <c r="AI484" s="14">
        <f t="shared" si="15"/>
        <v>1.025187819</v>
      </c>
      <c r="AJ484" s="27">
        <f t="shared" si="16"/>
        <v>167</v>
      </c>
      <c r="AK484" s="15" t="str">
        <f t="shared" si="17"/>
        <v>  @CONFIG[CECE-Methane] {
   %cost = 461
   @cost -= #$../../cost$
  }</v>
      </c>
    </row>
    <row r="485" ht="15.75" customHeight="1">
      <c r="A485" s="7" t="s">
        <v>378</v>
      </c>
      <c r="B485" s="7" t="s">
        <v>369</v>
      </c>
      <c r="C485" s="8">
        <f t="shared" si="1"/>
        <v>56</v>
      </c>
      <c r="D485" s="7">
        <v>2017.0</v>
      </c>
      <c r="E485" s="7"/>
      <c r="F485" s="7" t="b">
        <v>1</v>
      </c>
      <c r="G485" s="7" t="b">
        <v>0</v>
      </c>
      <c r="H485" s="7" t="b">
        <v>0</v>
      </c>
      <c r="I485" s="7" t="b">
        <v>0</v>
      </c>
      <c r="J485" s="9" t="b">
        <v>0</v>
      </c>
      <c r="K485" s="7">
        <v>205.0</v>
      </c>
      <c r="L485" s="7">
        <v>-30.0</v>
      </c>
      <c r="M485" s="7">
        <v>470.0</v>
      </c>
      <c r="N485" s="7">
        <v>914.22</v>
      </c>
      <c r="O485" s="7">
        <v>311.0</v>
      </c>
      <c r="P485" s="7">
        <v>10.8</v>
      </c>
      <c r="Q485" s="7">
        <v>0.99976</v>
      </c>
      <c r="R485" s="7">
        <v>0.999276</v>
      </c>
      <c r="S485" s="10">
        <f t="shared" si="2"/>
        <v>175</v>
      </c>
      <c r="T485" s="10">
        <f t="shared" si="3"/>
        <v>198.3499901</v>
      </c>
      <c r="U485" s="11">
        <f t="shared" si="4"/>
        <v>0.3456346418</v>
      </c>
      <c r="V485" s="8">
        <f t="shared" ref="V485:V494" si="113">0.2*(8.17*POWER(M485*P485,0.46))+0.8*(0.146*POWER(M485*O485,0.639))</f>
        <v>315.9861022</v>
      </c>
      <c r="W485" s="12">
        <f t="shared" si="5"/>
        <v>4</v>
      </c>
      <c r="X485" s="12">
        <f t="shared" si="6"/>
        <v>1579.930511</v>
      </c>
      <c r="Y485" s="12">
        <f t="shared" si="7"/>
        <v>1.728173209</v>
      </c>
      <c r="Z485" s="8">
        <f t="shared" si="19"/>
        <v>322.0012686</v>
      </c>
      <c r="AA485" s="8">
        <f t="shared" si="112"/>
        <v>383</v>
      </c>
      <c r="AB485" s="13">
        <f t="shared" si="9"/>
        <v>2.188571429</v>
      </c>
      <c r="AC485" s="13">
        <f t="shared" si="10"/>
        <v>1.189436308</v>
      </c>
      <c r="AD485" s="13">
        <f>AA485/vlookup(A485,Max!$A$2:$AP$700,column(Max!$AP$2),false)</f>
        <v>0.8326086957</v>
      </c>
      <c r="AE485" s="8">
        <f t="shared" si="11"/>
        <v>195.337434</v>
      </c>
      <c r="AF485" s="14">
        <f t="shared" si="12"/>
        <v>1.066630493</v>
      </c>
      <c r="AG485" s="14">
        <f t="shared" si="13"/>
        <v>1.796841621</v>
      </c>
      <c r="AH485" s="14">
        <f t="shared" si="14"/>
        <v>1</v>
      </c>
      <c r="AI485" s="14">
        <f t="shared" si="15"/>
        <v>1.023589108</v>
      </c>
      <c r="AJ485" s="27">
        <f t="shared" si="16"/>
        <v>56</v>
      </c>
      <c r="AK485" s="15" t="str">
        <f t="shared" si="17"/>
        <v>  @CONFIG[Merlin1D++] {
   %cost = 383
   @cost -= #$../../cost$
  }</v>
      </c>
    </row>
    <row r="486" ht="15.75" customHeight="1">
      <c r="A486" s="7" t="s">
        <v>717</v>
      </c>
      <c r="B486" s="7" t="s">
        <v>718</v>
      </c>
      <c r="C486" s="8">
        <f t="shared" si="1"/>
        <v>60</v>
      </c>
      <c r="D486" s="7">
        <v>2017.0</v>
      </c>
      <c r="E486" s="7"/>
      <c r="F486" s="7" t="b">
        <v>1</v>
      </c>
      <c r="G486" s="7" t="b">
        <v>0</v>
      </c>
      <c r="H486" s="7" t="b">
        <v>0</v>
      </c>
      <c r="I486" s="7" t="b">
        <v>0</v>
      </c>
      <c r="J486" s="9" t="b">
        <v>0</v>
      </c>
      <c r="K486" s="7">
        <v>21.0</v>
      </c>
      <c r="L486" s="7">
        <v>0.0</v>
      </c>
      <c r="M486" s="7">
        <v>35.0</v>
      </c>
      <c r="N486" s="7">
        <v>26.19</v>
      </c>
      <c r="O486" s="7">
        <v>317.0</v>
      </c>
      <c r="P486" s="7">
        <v>12.0</v>
      </c>
      <c r="Q486" s="7">
        <v>0.998624</v>
      </c>
      <c r="R486" s="7">
        <v>0.998624</v>
      </c>
      <c r="S486" s="10">
        <f t="shared" si="2"/>
        <v>21</v>
      </c>
      <c r="T486" s="10">
        <f t="shared" si="3"/>
        <v>76.30390726</v>
      </c>
      <c r="U486" s="11">
        <f t="shared" si="4"/>
        <v>2.718703705</v>
      </c>
      <c r="V486" s="8">
        <f t="shared" si="113"/>
        <v>71.20285004</v>
      </c>
      <c r="W486" s="12">
        <f t="shared" si="5"/>
        <v>4</v>
      </c>
      <c r="X486" s="12">
        <f t="shared" si="6"/>
        <v>356.0142502</v>
      </c>
      <c r="Y486" s="12">
        <f t="shared" si="7"/>
        <v>13.59351853</v>
      </c>
      <c r="Z486" s="8">
        <f t="shared" si="19"/>
        <v>72.43109161</v>
      </c>
      <c r="AA486" s="45">
        <v>60.0</v>
      </c>
      <c r="AB486" s="13">
        <f t="shared" si="9"/>
        <v>2.857142857</v>
      </c>
      <c r="AC486" s="13">
        <f t="shared" si="10"/>
        <v>0.8283735433</v>
      </c>
      <c r="AD486" s="13">
        <f>AA486/vlookup(A486,Max!$A$2:$AP$700,column(Max!$AP$2),false)</f>
        <v>2.307692308</v>
      </c>
      <c r="AE486" s="8">
        <f t="shared" si="11"/>
        <v>40.63723408</v>
      </c>
      <c r="AF486" s="14">
        <f t="shared" si="12"/>
        <v>1.123541165</v>
      </c>
      <c r="AG486" s="14">
        <f t="shared" si="13"/>
        <v>1.854543591</v>
      </c>
      <c r="AH486" s="14">
        <f t="shared" si="14"/>
        <v>1</v>
      </c>
      <c r="AI486" s="14">
        <f t="shared" si="15"/>
        <v>1.021920266</v>
      </c>
      <c r="AJ486" s="15">
        <f t="shared" si="16"/>
        <v>0</v>
      </c>
      <c r="AK486" s="15" t="str">
        <f t="shared" si="17"/>
        <v>  @CONFIG[Rutherford-SL] {
   %cost = 60
   @cost -= #$../../cost$
  }</v>
      </c>
    </row>
    <row r="487" ht="15.75" customHeight="1">
      <c r="A487" s="16" t="s">
        <v>719</v>
      </c>
      <c r="B487" s="16" t="s">
        <v>720</v>
      </c>
      <c r="C487" s="8">
        <f t="shared" si="1"/>
        <v>72</v>
      </c>
      <c r="D487" s="16">
        <v>2017.0</v>
      </c>
      <c r="E487" s="16"/>
      <c r="F487" s="16" t="b">
        <v>1</v>
      </c>
      <c r="G487" s="16" t="b">
        <v>0</v>
      </c>
      <c r="H487" s="16" t="b">
        <v>1</v>
      </c>
      <c r="I487" s="16" t="b">
        <v>0</v>
      </c>
      <c r="J487" s="9" t="b">
        <v>0</v>
      </c>
      <c r="K487" s="16">
        <v>28.0</v>
      </c>
      <c r="L487" s="16">
        <v>0.0</v>
      </c>
      <c r="M487" s="16">
        <v>40.0</v>
      </c>
      <c r="N487" s="16">
        <v>25.79</v>
      </c>
      <c r="O487" s="16">
        <v>343.0</v>
      </c>
      <c r="P487" s="16">
        <v>12.0</v>
      </c>
      <c r="Q487" s="16">
        <v>0.998624</v>
      </c>
      <c r="R487" s="16">
        <v>0.998624</v>
      </c>
      <c r="S487" s="19">
        <f t="shared" si="2"/>
        <v>28</v>
      </c>
      <c r="T487" s="19">
        <f t="shared" si="3"/>
        <v>65.74620264</v>
      </c>
      <c r="U487" s="20">
        <f t="shared" si="4"/>
        <v>3.07851905</v>
      </c>
      <c r="V487" s="17">
        <f t="shared" si="113"/>
        <v>79.3950063</v>
      </c>
      <c r="W487" s="21">
        <f t="shared" si="5"/>
        <v>4</v>
      </c>
      <c r="X487" s="21">
        <f t="shared" si="6"/>
        <v>396.9750315</v>
      </c>
      <c r="Y487" s="21">
        <f t="shared" si="7"/>
        <v>15.39259525</v>
      </c>
      <c r="Z487" s="8">
        <f t="shared" si="19"/>
        <v>80.76456169</v>
      </c>
      <c r="AA487" s="45">
        <v>72.0</v>
      </c>
      <c r="AB487" s="13">
        <f t="shared" si="9"/>
        <v>2.571428571</v>
      </c>
      <c r="AC487" s="13">
        <f t="shared" si="10"/>
        <v>0.8914801058</v>
      </c>
      <c r="AD487" s="13">
        <f>AA487/vlookup(A487,Max!$A$2:$AP$700,column(Max!$AP$2),false)</f>
        <v>2.571428571</v>
      </c>
      <c r="AE487" s="8">
        <f t="shared" si="11"/>
        <v>44.00508574</v>
      </c>
      <c r="AF487" s="14">
        <f t="shared" si="12"/>
        <v>1.358382106</v>
      </c>
      <c r="AG487" s="14">
        <f t="shared" si="13"/>
        <v>1.589197175</v>
      </c>
      <c r="AH487" s="14">
        <f t="shared" si="14"/>
        <v>1</v>
      </c>
      <c r="AI487" s="14">
        <f t="shared" si="15"/>
        <v>1.018408487</v>
      </c>
      <c r="AJ487" s="15">
        <f t="shared" si="16"/>
        <v>0</v>
      </c>
      <c r="AK487" s="15" t="str">
        <f t="shared" si="17"/>
        <v>  @CONFIG[Rutherford-Vac] {
   %cost = 72
   @cost -= #$../../cost$
  }</v>
      </c>
    </row>
    <row r="488" ht="15.75" customHeight="1">
      <c r="A488" s="16" t="s">
        <v>52</v>
      </c>
      <c r="B488" s="16" t="s">
        <v>51</v>
      </c>
      <c r="C488" s="8">
        <f t="shared" si="1"/>
        <v>106</v>
      </c>
      <c r="D488" s="16">
        <v>2018.0</v>
      </c>
      <c r="E488" s="16"/>
      <c r="F488" s="16" t="b">
        <v>1</v>
      </c>
      <c r="G488" s="16" t="b">
        <v>0</v>
      </c>
      <c r="H488" s="16" t="b">
        <v>0</v>
      </c>
      <c r="I488" s="16" t="b">
        <v>0</v>
      </c>
      <c r="J488" s="9" t="b">
        <v>0</v>
      </c>
      <c r="K488" s="16"/>
      <c r="L488" s="16">
        <v>100.0</v>
      </c>
      <c r="M488" s="16">
        <v>138.0</v>
      </c>
      <c r="N488" s="16">
        <v>55.4</v>
      </c>
      <c r="O488" s="16">
        <v>340.0</v>
      </c>
      <c r="P488" s="16">
        <v>6.0</v>
      </c>
      <c r="Q488" s="16">
        <v>0.98</v>
      </c>
      <c r="R488" s="16">
        <v>0.985</v>
      </c>
      <c r="S488" s="19">
        <f t="shared" si="2"/>
        <v>100</v>
      </c>
      <c r="T488" s="19">
        <f t="shared" si="3"/>
        <v>40.93643336</v>
      </c>
      <c r="U488" s="20">
        <f t="shared" si="4"/>
        <v>2.685406287</v>
      </c>
      <c r="V488" s="17">
        <f t="shared" si="113"/>
        <v>148.7715083</v>
      </c>
      <c r="W488" s="21">
        <f t="shared" si="5"/>
        <v>4</v>
      </c>
      <c r="X488" s="21">
        <f t="shared" si="6"/>
        <v>743.8575414</v>
      </c>
      <c r="Y488" s="21">
        <f t="shared" si="7"/>
        <v>13.42703143</v>
      </c>
      <c r="Z488" s="8">
        <f t="shared" si="19"/>
        <v>146.5845671</v>
      </c>
      <c r="AA488" s="8">
        <f t="shared" ref="AA488:AA500" si="114">round(AE488*AF488*AG488*AH488*AI488,0)</f>
        <v>183</v>
      </c>
      <c r="AB488" s="13">
        <f t="shared" si="9"/>
        <v>1.83</v>
      </c>
      <c r="AC488" s="13">
        <f t="shared" si="10"/>
        <v>1.248426104</v>
      </c>
      <c r="AD488" s="13">
        <f>AA488/vlookup(A488,Max!$A$2:$AP$700,column(Max!$AP$2),false)</f>
        <v>4.357142857</v>
      </c>
      <c r="AE488" s="8">
        <f t="shared" si="11"/>
        <v>92.62736001</v>
      </c>
      <c r="AF488" s="14">
        <f t="shared" si="12"/>
        <v>1.328038609</v>
      </c>
      <c r="AG488" s="14">
        <f t="shared" si="13"/>
        <v>1.506357476</v>
      </c>
      <c r="AH488" s="14">
        <f t="shared" si="14"/>
        <v>1</v>
      </c>
      <c r="AI488" s="14">
        <f t="shared" si="15"/>
        <v>0.9874215238</v>
      </c>
      <c r="AJ488" s="27">
        <f t="shared" si="16"/>
        <v>106</v>
      </c>
      <c r="AK488" s="15" t="str">
        <f t="shared" si="17"/>
        <v>  @CONFIG[Aestus-II] {
   %cost = 183
   @cost -= #$../../cost$
  }</v>
      </c>
    </row>
    <row r="489" ht="15.75" customHeight="1">
      <c r="A489" s="16" t="s">
        <v>102</v>
      </c>
      <c r="B489" s="16" t="s">
        <v>103</v>
      </c>
      <c r="C489" s="8">
        <f t="shared" si="1"/>
        <v>1852</v>
      </c>
      <c r="D489" s="16">
        <v>2018.0</v>
      </c>
      <c r="E489" s="16" t="b">
        <v>0</v>
      </c>
      <c r="F489" s="16" t="b">
        <v>1</v>
      </c>
      <c r="G489" s="16" t="b">
        <v>0</v>
      </c>
      <c r="H489" s="16" t="b">
        <v>0</v>
      </c>
      <c r="I489" s="16" t="b">
        <v>0</v>
      </c>
      <c r="J489" s="9" t="b">
        <v>0</v>
      </c>
      <c r="K489" s="16">
        <v>1350.0</v>
      </c>
      <c r="L489" s="16">
        <v>0.0</v>
      </c>
      <c r="M489" s="16">
        <v>2850.0</v>
      </c>
      <c r="N489" s="16">
        <v>2487.0</v>
      </c>
      <c r="O489" s="16">
        <v>337.0</v>
      </c>
      <c r="P489" s="16">
        <v>26.66</v>
      </c>
      <c r="Q489" s="16">
        <v>0.9975</v>
      </c>
      <c r="R489" s="16">
        <v>0.9975</v>
      </c>
      <c r="S489" s="19">
        <f t="shared" si="2"/>
        <v>1350</v>
      </c>
      <c r="T489" s="19">
        <f t="shared" si="3"/>
        <v>88.98365664</v>
      </c>
      <c r="U489" s="20">
        <f t="shared" si="4"/>
        <v>0.4278289858</v>
      </c>
      <c r="V489" s="17">
        <f t="shared" si="113"/>
        <v>1064.010688</v>
      </c>
      <c r="W489" s="21">
        <f t="shared" si="5"/>
        <v>4</v>
      </c>
      <c r="X489" s="21">
        <f t="shared" si="6"/>
        <v>5320.053438</v>
      </c>
      <c r="Y489" s="21">
        <f t="shared" si="7"/>
        <v>2.139144929</v>
      </c>
      <c r="Z489" s="8">
        <f t="shared" si="19"/>
        <v>1079.977498</v>
      </c>
      <c r="AA489" s="8">
        <f t="shared" si="114"/>
        <v>1852</v>
      </c>
      <c r="AB489" s="13">
        <f t="shared" si="9"/>
        <v>1.371851852</v>
      </c>
      <c r="AC489" s="13">
        <f t="shared" si="10"/>
        <v>1.714850544</v>
      </c>
      <c r="AD489" s="13">
        <f>AA489/vlookup(A489,Max!$A$2:$AP$700,column(Max!$AP$2),false)</f>
        <v>1.763809524</v>
      </c>
      <c r="AE489" s="8">
        <f t="shared" si="11"/>
        <v>594.0593273</v>
      </c>
      <c r="AF489" s="14">
        <f t="shared" si="12"/>
        <v>1.298602073</v>
      </c>
      <c r="AG489" s="14">
        <f t="shared" si="13"/>
        <v>2.356354975</v>
      </c>
      <c r="AH489" s="14">
        <f t="shared" si="14"/>
        <v>1</v>
      </c>
      <c r="AI489" s="14">
        <f t="shared" si="15"/>
        <v>1.01904714</v>
      </c>
      <c r="AJ489" s="15">
        <f t="shared" si="16"/>
        <v>0</v>
      </c>
      <c r="AK489" s="15" t="str">
        <f t="shared" si="17"/>
        <v>  @CONFIG[AR-1] {
   %cost = 1852
   @cost -= #$../../cost$
  }</v>
      </c>
    </row>
    <row r="490" ht="15.75" customHeight="1">
      <c r="A490" s="7" t="s">
        <v>716</v>
      </c>
      <c r="B490" s="7" t="s">
        <v>715</v>
      </c>
      <c r="C490" s="8">
        <f t="shared" si="1"/>
        <v>166</v>
      </c>
      <c r="D490" s="7">
        <v>2018.0</v>
      </c>
      <c r="E490" s="7"/>
      <c r="F490" s="7" t="b">
        <v>0</v>
      </c>
      <c r="G490" s="7" t="b">
        <v>0</v>
      </c>
      <c r="H490" s="7" t="b">
        <v>0</v>
      </c>
      <c r="I490" s="7" t="b">
        <v>0</v>
      </c>
      <c r="J490" s="9" t="b">
        <v>0</v>
      </c>
      <c r="K490" s="7">
        <v>200.0</v>
      </c>
      <c r="L490" s="7">
        <v>0.0</v>
      </c>
      <c r="M490" s="7">
        <v>250.0</v>
      </c>
      <c r="N490" s="7">
        <v>193.49</v>
      </c>
      <c r="O490" s="7">
        <v>252.0</v>
      </c>
      <c r="P490" s="7">
        <v>4.45</v>
      </c>
      <c r="Q490" s="7"/>
      <c r="R490" s="7"/>
      <c r="S490" s="10">
        <f t="shared" si="2"/>
        <v>200</v>
      </c>
      <c r="T490" s="10">
        <f t="shared" si="3"/>
        <v>78.92195579</v>
      </c>
      <c r="U490" s="11">
        <f t="shared" si="4"/>
        <v>0.9167449896</v>
      </c>
      <c r="V490" s="8">
        <f t="shared" si="113"/>
        <v>177.380988</v>
      </c>
      <c r="W490" s="12">
        <f t="shared" si="5"/>
        <v>1.75</v>
      </c>
      <c r="X490" s="12">
        <f t="shared" si="6"/>
        <v>487.7977171</v>
      </c>
      <c r="Y490" s="12">
        <f t="shared" si="7"/>
        <v>2.521048721</v>
      </c>
      <c r="Z490" s="8">
        <f t="shared" si="19"/>
        <v>177.380988</v>
      </c>
      <c r="AA490" s="8">
        <f t="shared" si="114"/>
        <v>166</v>
      </c>
      <c r="AB490" s="13">
        <f t="shared" si="9"/>
        <v>0.83</v>
      </c>
      <c r="AC490" s="13">
        <f t="shared" si="10"/>
        <v>0.935838738</v>
      </c>
      <c r="AD490" s="13">
        <f>AA490/vlookup(A490,Max!$A$2:$AP$700,column(Max!$AP$2),false)</f>
        <v>2.721311475</v>
      </c>
      <c r="AE490" s="8">
        <f t="shared" si="11"/>
        <v>132.8542115</v>
      </c>
      <c r="AF490" s="14">
        <f t="shared" si="12"/>
        <v>0.9063165642</v>
      </c>
      <c r="AG490" s="14">
        <f t="shared" si="13"/>
        <v>1.3771799</v>
      </c>
      <c r="AH490" s="14">
        <f t="shared" si="14"/>
        <v>1</v>
      </c>
      <c r="AI490" s="14">
        <f t="shared" si="15"/>
        <v>1</v>
      </c>
      <c r="AJ490" s="15">
        <f t="shared" si="16"/>
        <v>0</v>
      </c>
      <c r="AK490" s="15" t="str">
        <f t="shared" si="17"/>
        <v>  @CONFIG[LAE] {
   %cost = 166
   @cost -= #$../../cost$
  }</v>
      </c>
    </row>
    <row r="491" ht="15.75" customHeight="1">
      <c r="A491" s="7" t="s">
        <v>250</v>
      </c>
      <c r="B491" s="7" t="s">
        <v>251</v>
      </c>
      <c r="C491" s="8">
        <f t="shared" si="1"/>
        <v>19</v>
      </c>
      <c r="D491" s="7">
        <v>2018.0</v>
      </c>
      <c r="E491" s="7"/>
      <c r="F491" s="7" t="b">
        <v>0</v>
      </c>
      <c r="G491" s="7" t="b">
        <v>0</v>
      </c>
      <c r="H491" s="7" t="b">
        <v>0</v>
      </c>
      <c r="I491" s="7" t="b">
        <v>0</v>
      </c>
      <c r="J491" s="9" t="b">
        <v>0</v>
      </c>
      <c r="K491" s="7">
        <v>200.0</v>
      </c>
      <c r="L491" s="7">
        <v>0.0</v>
      </c>
      <c r="M491" s="7">
        <v>8.41</v>
      </c>
      <c r="N491" s="7">
        <v>1.1</v>
      </c>
      <c r="O491" s="7">
        <v>323.0</v>
      </c>
      <c r="P491" s="7">
        <v>1.03</v>
      </c>
      <c r="Q491" s="7">
        <v>0.999814</v>
      </c>
      <c r="R491" s="7">
        <v>0.999442</v>
      </c>
      <c r="S491" s="10">
        <f t="shared" si="2"/>
        <v>200</v>
      </c>
      <c r="T491" s="10">
        <f t="shared" si="3"/>
        <v>13.33754853</v>
      </c>
      <c r="U491" s="11">
        <f t="shared" si="4"/>
        <v>20.62045597</v>
      </c>
      <c r="V491" s="8">
        <f t="shared" si="113"/>
        <v>22.68250157</v>
      </c>
      <c r="W491" s="12">
        <f t="shared" si="5"/>
        <v>1.75</v>
      </c>
      <c r="X491" s="12">
        <f t="shared" si="6"/>
        <v>62.37687931</v>
      </c>
      <c r="Y491" s="12">
        <f t="shared" si="7"/>
        <v>56.70625391</v>
      </c>
      <c r="Z491" s="8">
        <f t="shared" si="19"/>
        <v>23.11927817</v>
      </c>
      <c r="AA491" s="8">
        <f t="shared" si="114"/>
        <v>19</v>
      </c>
      <c r="AB491" s="13">
        <f t="shared" si="9"/>
        <v>0.095</v>
      </c>
      <c r="AC491" s="13">
        <f t="shared" si="10"/>
        <v>0.8218249662</v>
      </c>
      <c r="AD491" s="13">
        <f>AA491/vlookup(A491,Max!$A$2:$AP$700,column(Max!$AP$2),false)</f>
        <v>2.087912088</v>
      </c>
      <c r="AE491" s="8">
        <f t="shared" si="11"/>
        <v>17.50977161</v>
      </c>
      <c r="AF491" s="14">
        <f t="shared" si="12"/>
        <v>1.172415801</v>
      </c>
      <c r="AG491" s="14">
        <f t="shared" si="13"/>
        <v>0.8878382257</v>
      </c>
      <c r="AH491" s="14">
        <f t="shared" si="14"/>
        <v>1</v>
      </c>
      <c r="AI491" s="14">
        <f t="shared" si="15"/>
        <v>1.024014258</v>
      </c>
      <c r="AJ491" s="15">
        <f t="shared" si="16"/>
        <v>0</v>
      </c>
      <c r="AK491" s="15" t="str">
        <f t="shared" si="17"/>
        <v>  @CONFIG[LEROS-4] {
   %cost = 19
   @cost -= #$../../cost$
  }</v>
      </c>
    </row>
    <row r="492" ht="15.75" customHeight="1">
      <c r="A492" s="16" t="s">
        <v>569</v>
      </c>
      <c r="B492" s="16" t="s">
        <v>566</v>
      </c>
      <c r="C492" s="8">
        <f t="shared" si="1"/>
        <v>74</v>
      </c>
      <c r="D492" s="16">
        <v>2018.0</v>
      </c>
      <c r="E492" s="16"/>
      <c r="F492" s="16" t="b">
        <v>1</v>
      </c>
      <c r="G492" s="16" t="b">
        <v>0</v>
      </c>
      <c r="H492" s="16" t="b">
        <v>0</v>
      </c>
      <c r="I492" s="16" t="b">
        <v>0</v>
      </c>
      <c r="J492" s="9" t="b">
        <v>0</v>
      </c>
      <c r="K492" s="16">
        <v>858.0</v>
      </c>
      <c r="L492" s="16">
        <v>0.0</v>
      </c>
      <c r="M492" s="16">
        <v>2200.0</v>
      </c>
      <c r="N492" s="16">
        <v>2085.0</v>
      </c>
      <c r="O492" s="16">
        <v>339.2</v>
      </c>
      <c r="P492" s="16">
        <v>25.75</v>
      </c>
      <c r="Q492" s="16">
        <v>0.996354</v>
      </c>
      <c r="R492" s="16">
        <v>0.996354</v>
      </c>
      <c r="S492" s="19">
        <f t="shared" si="2"/>
        <v>858</v>
      </c>
      <c r="T492" s="19">
        <f t="shared" si="3"/>
        <v>96.64128627</v>
      </c>
      <c r="U492" s="20">
        <f t="shared" si="4"/>
        <v>0.4374318681</v>
      </c>
      <c r="V492" s="17">
        <f t="shared" si="113"/>
        <v>912.0454451</v>
      </c>
      <c r="W492" s="21">
        <f t="shared" si="5"/>
        <v>4</v>
      </c>
      <c r="X492" s="21">
        <f t="shared" si="6"/>
        <v>4560.227225</v>
      </c>
      <c r="Y492" s="21">
        <f t="shared" si="7"/>
        <v>2.187159341</v>
      </c>
      <c r="Z492" s="8">
        <f t="shared" si="19"/>
        <v>923.6478427</v>
      </c>
      <c r="AA492" s="8">
        <f t="shared" si="114"/>
        <v>1582</v>
      </c>
      <c r="AB492" s="13">
        <f t="shared" si="9"/>
        <v>1.843822844</v>
      </c>
      <c r="AC492" s="13">
        <f t="shared" si="10"/>
        <v>1.712773989</v>
      </c>
      <c r="AD492" s="13">
        <f>AA492/vlookup(A492,Max!$A$2:$AP$700,column(Max!$AP$2),false)</f>
        <v>1.883333333</v>
      </c>
      <c r="AE492" s="8">
        <f t="shared" si="11"/>
        <v>505.8597677</v>
      </c>
      <c r="AF492" s="14">
        <f t="shared" si="12"/>
        <v>1.320101376</v>
      </c>
      <c r="AG492" s="14">
        <f t="shared" si="13"/>
        <v>2.331931786</v>
      </c>
      <c r="AH492" s="14">
        <f t="shared" si="14"/>
        <v>1</v>
      </c>
      <c r="AI492" s="14">
        <f t="shared" si="15"/>
        <v>1.016122774</v>
      </c>
      <c r="AJ492" s="27">
        <f t="shared" si="16"/>
        <v>74</v>
      </c>
      <c r="AK492" s="15" t="str">
        <f t="shared" si="17"/>
        <v>  @CONFIG[RD-181] {
   %cost = 1582
   @cost -= #$../../cost$
  }</v>
      </c>
    </row>
    <row r="493" ht="15.75" customHeight="1">
      <c r="A493" s="16" t="s">
        <v>714</v>
      </c>
      <c r="B493" s="16" t="s">
        <v>715</v>
      </c>
      <c r="C493" s="8">
        <f t="shared" si="1"/>
        <v>-2</v>
      </c>
      <c r="D493" s="16">
        <v>2018.0</v>
      </c>
      <c r="E493" s="16"/>
      <c r="F493" s="16" t="b">
        <v>0</v>
      </c>
      <c r="G493" s="16" t="b">
        <v>0</v>
      </c>
      <c r="H493" s="16" t="b">
        <v>0</v>
      </c>
      <c r="I493" s="16" t="b">
        <v>0</v>
      </c>
      <c r="J493" s="9" t="b">
        <v>0</v>
      </c>
      <c r="K493" s="16">
        <v>200.0</v>
      </c>
      <c r="L493" s="16">
        <v>0.0</v>
      </c>
      <c r="M493" s="16">
        <v>250.0</v>
      </c>
      <c r="N493" s="16">
        <v>255.77</v>
      </c>
      <c r="O493" s="16">
        <v>244.0</v>
      </c>
      <c r="P493" s="16">
        <v>4.45</v>
      </c>
      <c r="Q493" s="16"/>
      <c r="R493" s="16"/>
      <c r="S493" s="19">
        <f t="shared" si="2"/>
        <v>200</v>
      </c>
      <c r="T493" s="19">
        <f t="shared" si="3"/>
        <v>104.325126</v>
      </c>
      <c r="U493" s="20">
        <f t="shared" si="4"/>
        <v>0.6826513104</v>
      </c>
      <c r="V493" s="17">
        <f t="shared" si="113"/>
        <v>174.6017257</v>
      </c>
      <c r="W493" s="21">
        <f t="shared" si="5"/>
        <v>1.75</v>
      </c>
      <c r="X493" s="21">
        <f t="shared" si="6"/>
        <v>480.1547456</v>
      </c>
      <c r="Y493" s="21">
        <f t="shared" si="7"/>
        <v>1.877291104</v>
      </c>
      <c r="Z493" s="8">
        <f t="shared" si="19"/>
        <v>174.6017257</v>
      </c>
      <c r="AA493" s="8">
        <f t="shared" si="114"/>
        <v>164</v>
      </c>
      <c r="AB493" s="13">
        <f t="shared" si="9"/>
        <v>0.82</v>
      </c>
      <c r="AC493" s="13">
        <f t="shared" si="10"/>
        <v>0.9392805219</v>
      </c>
      <c r="AD493" s="13">
        <f>AA493/vlookup(A493,Max!$A$2:$AP$700,column(Max!$AP$2),false)</f>
        <v>2.075949367</v>
      </c>
      <c r="AE493" s="8">
        <f t="shared" si="11"/>
        <v>132.8542115</v>
      </c>
      <c r="AF493" s="14">
        <f t="shared" si="12"/>
        <v>0.8979541434</v>
      </c>
      <c r="AG493" s="14">
        <f t="shared" si="13"/>
        <v>1.3771799</v>
      </c>
      <c r="AH493" s="14">
        <f t="shared" si="14"/>
        <v>1</v>
      </c>
      <c r="AI493" s="14">
        <f t="shared" si="15"/>
        <v>1</v>
      </c>
      <c r="AJ493" s="27">
        <f t="shared" si="16"/>
        <v>-2</v>
      </c>
      <c r="AK493" s="15" t="str">
        <f t="shared" si="17"/>
        <v>  @CONFIG[RS-88] {
   %cost = 164
   @cost -= #$../../cost$
  }</v>
      </c>
    </row>
    <row r="494" ht="15.75" customHeight="1">
      <c r="A494" s="16" t="s">
        <v>780</v>
      </c>
      <c r="B494" s="16" t="s">
        <v>780</v>
      </c>
      <c r="C494" s="8">
        <f t="shared" si="1"/>
        <v>89</v>
      </c>
      <c r="D494" s="16">
        <v>2018.0</v>
      </c>
      <c r="E494" s="16"/>
      <c r="F494" s="16" t="b">
        <v>0</v>
      </c>
      <c r="G494" s="16" t="b">
        <v>0</v>
      </c>
      <c r="H494" s="16" t="b">
        <v>0</v>
      </c>
      <c r="I494" s="16" t="b">
        <v>0</v>
      </c>
      <c r="J494" s="9" t="b">
        <v>0</v>
      </c>
      <c r="K494" s="16">
        <v>62.0</v>
      </c>
      <c r="L494" s="16">
        <v>0.0</v>
      </c>
      <c r="M494" s="16">
        <v>65.0</v>
      </c>
      <c r="N494" s="16">
        <v>85.0</v>
      </c>
      <c r="O494" s="16">
        <v>280.0</v>
      </c>
      <c r="P494" s="16">
        <v>6.89</v>
      </c>
      <c r="Q494" s="16">
        <v>0.995</v>
      </c>
      <c r="R494" s="16">
        <v>0.995</v>
      </c>
      <c r="S494" s="19">
        <f t="shared" si="2"/>
        <v>62</v>
      </c>
      <c r="T494" s="19">
        <f t="shared" si="3"/>
        <v>133.3475044</v>
      </c>
      <c r="U494" s="20">
        <f t="shared" si="4"/>
        <v>1.043465052</v>
      </c>
      <c r="V494" s="17">
        <f t="shared" si="113"/>
        <v>88.69452944</v>
      </c>
      <c r="W494" s="21">
        <f t="shared" si="5"/>
        <v>1.75</v>
      </c>
      <c r="X494" s="21">
        <f t="shared" si="6"/>
        <v>243.909956</v>
      </c>
      <c r="Y494" s="21">
        <f t="shared" si="7"/>
        <v>2.869528894</v>
      </c>
      <c r="Z494" s="8">
        <f t="shared" si="19"/>
        <v>89.5836921</v>
      </c>
      <c r="AA494" s="8">
        <f t="shared" si="114"/>
        <v>89</v>
      </c>
      <c r="AB494" s="13">
        <f t="shared" si="9"/>
        <v>1.435483871</v>
      </c>
      <c r="AC494" s="13">
        <f t="shared" si="10"/>
        <v>0.9934843933</v>
      </c>
      <c r="AD494" s="13">
        <f>AA494/vlookup(A494,Max!$A$2:$AP$700,column(Max!$AP$2),false)</f>
        <v>1.534482759</v>
      </c>
      <c r="AE494" s="8">
        <f t="shared" si="11"/>
        <v>58.8422958</v>
      </c>
      <c r="AF494" s="14">
        <f t="shared" si="12"/>
        <v>0.9500966329</v>
      </c>
      <c r="AG494" s="14">
        <f t="shared" si="13"/>
        <v>1.570176375</v>
      </c>
      <c r="AH494" s="14">
        <f t="shared" si="14"/>
        <v>1</v>
      </c>
      <c r="AI494" s="14">
        <f t="shared" si="15"/>
        <v>1.01267413</v>
      </c>
      <c r="AJ494" s="15">
        <f t="shared" si="16"/>
        <v>0</v>
      </c>
      <c r="AK494" s="15" t="str">
        <f t="shared" si="17"/>
        <v>  @CONFIG[SuperDraco] {
   %cost = 89
   @cost -= #$../../cost$
  }</v>
      </c>
    </row>
    <row r="495" ht="15.75" customHeight="1">
      <c r="A495" s="7" t="s">
        <v>108</v>
      </c>
      <c r="B495" s="7" t="s">
        <v>109</v>
      </c>
      <c r="C495" s="8">
        <f t="shared" si="1"/>
        <v>5294</v>
      </c>
      <c r="D495" s="7">
        <v>2020.0</v>
      </c>
      <c r="E495" s="7" t="b">
        <v>1</v>
      </c>
      <c r="F495" s="7" t="b">
        <v>1</v>
      </c>
      <c r="G495" s="7" t="b">
        <v>0</v>
      </c>
      <c r="H495" s="7" t="b">
        <v>0</v>
      </c>
      <c r="I495" s="7" t="b">
        <v>0</v>
      </c>
      <c r="J495" s="9" t="b">
        <v>0</v>
      </c>
      <c r="K495" s="7">
        <v>5000.0</v>
      </c>
      <c r="L495" s="7">
        <v>0.0</v>
      </c>
      <c r="M495" s="7">
        <v>3300.0</v>
      </c>
      <c r="N495" s="7">
        <v>2319.9</v>
      </c>
      <c r="O495" s="7">
        <v>452.3</v>
      </c>
      <c r="P495" s="7">
        <v>20.64</v>
      </c>
      <c r="Q495" s="7"/>
      <c r="R495" s="7"/>
      <c r="S495" s="10">
        <f t="shared" si="2"/>
        <v>5000</v>
      </c>
      <c r="T495" s="10">
        <f t="shared" si="3"/>
        <v>71.68604956</v>
      </c>
      <c r="U495" s="11">
        <f t="shared" si="4"/>
        <v>2.260658497</v>
      </c>
      <c r="V495" s="8">
        <f>0.9*(0.00015*M495*O495*P495+797)+0.1*(43.1*POWER(M495,0.549))</f>
        <v>5244.501646</v>
      </c>
      <c r="W495" s="12">
        <f t="shared" si="5"/>
        <v>4</v>
      </c>
      <c r="X495" s="12">
        <f t="shared" si="6"/>
        <v>26222.50823</v>
      </c>
      <c r="Y495" s="12">
        <f t="shared" si="7"/>
        <v>11.30329248</v>
      </c>
      <c r="Z495" s="8">
        <f t="shared" si="19"/>
        <v>5244.501646</v>
      </c>
      <c r="AA495" s="8">
        <f t="shared" si="114"/>
        <v>5294</v>
      </c>
      <c r="AB495" s="13">
        <f t="shared" si="9"/>
        <v>1.0588</v>
      </c>
      <c r="AC495" s="13">
        <f t="shared" si="10"/>
        <v>1.009438142</v>
      </c>
      <c r="AD495" s="13">
        <f>AA495/vlookup(A495,Max!$A$2:$AP$700,column(Max!$AP$2),false)</f>
        <v>2.036153846</v>
      </c>
      <c r="AE495" s="8">
        <f t="shared" si="11"/>
        <v>703.4163436</v>
      </c>
      <c r="AF495" s="14">
        <f t="shared" si="12"/>
        <v>3.448657097</v>
      </c>
      <c r="AG495" s="14">
        <f t="shared" si="13"/>
        <v>2.182205168</v>
      </c>
      <c r="AH495" s="14">
        <f t="shared" si="14"/>
        <v>1</v>
      </c>
      <c r="AI495" s="14">
        <f t="shared" si="15"/>
        <v>1</v>
      </c>
      <c r="AJ495" s="15">
        <f t="shared" si="16"/>
        <v>0</v>
      </c>
      <c r="AK495" s="15" t="str">
        <f t="shared" si="17"/>
        <v>  @CONFIG[AR-22] {
   %cost = 5294
   @cost -= #$../../cost$
  }</v>
      </c>
    </row>
    <row r="496" ht="15.75" customHeight="1">
      <c r="A496" s="16" t="s">
        <v>118</v>
      </c>
      <c r="B496" s="16" t="s">
        <v>119</v>
      </c>
      <c r="C496" s="8">
        <f t="shared" si="1"/>
        <v>1332</v>
      </c>
      <c r="D496" s="16">
        <v>2020.0</v>
      </c>
      <c r="E496" s="16"/>
      <c r="F496" s="16" t="b">
        <v>1</v>
      </c>
      <c r="G496" s="16" t="b">
        <v>0</v>
      </c>
      <c r="H496" s="16" t="b">
        <v>0</v>
      </c>
      <c r="I496" s="16" t="b">
        <v>0</v>
      </c>
      <c r="J496" s="9" t="b">
        <v>0</v>
      </c>
      <c r="K496" s="16">
        <v>2700.0</v>
      </c>
      <c r="L496" s="16">
        <v>0.0</v>
      </c>
      <c r="M496" s="16">
        <v>2250.0</v>
      </c>
      <c r="N496" s="16">
        <v>2647.5</v>
      </c>
      <c r="O496" s="16">
        <v>341.0</v>
      </c>
      <c r="P496" s="16">
        <v>13.4</v>
      </c>
      <c r="Q496" s="16">
        <v>0.995</v>
      </c>
      <c r="R496" s="16">
        <v>0.995</v>
      </c>
      <c r="S496" s="19">
        <f t="shared" si="2"/>
        <v>2700</v>
      </c>
      <c r="T496" s="19">
        <f t="shared" si="3"/>
        <v>119.9866074</v>
      </c>
      <c r="U496" s="20">
        <f t="shared" si="4"/>
        <v>0.3250845096</v>
      </c>
      <c r="V496" s="17">
        <f t="shared" ref="V496:V500" si="115">0.2*(8.17*POWER(M496*P496,0.46))+0.8*(0.146*POWER(M496*O496,0.639))</f>
        <v>860.6612393</v>
      </c>
      <c r="W496" s="21">
        <f t="shared" si="5"/>
        <v>4</v>
      </c>
      <c r="X496" s="21">
        <f t="shared" si="6"/>
        <v>4303.306196</v>
      </c>
      <c r="Y496" s="21">
        <f t="shared" si="7"/>
        <v>1.625422548</v>
      </c>
      <c r="Z496" s="8">
        <f t="shared" si="19"/>
        <v>869.2893682</v>
      </c>
      <c r="AA496" s="8">
        <f t="shared" si="114"/>
        <v>1332</v>
      </c>
      <c r="AB496" s="13">
        <f t="shared" si="9"/>
        <v>0.4933333333</v>
      </c>
      <c r="AC496" s="13">
        <f t="shared" si="10"/>
        <v>1.532286082</v>
      </c>
      <c r="AD496" s="13">
        <f>AA496/vlookup(A496,Max!$A$2:$AP$700,column(Max!$AP$2),false)</f>
        <v>1.024615385</v>
      </c>
      <c r="AE496" s="8">
        <f t="shared" si="11"/>
        <v>512.961176</v>
      </c>
      <c r="AF496" s="14">
        <f t="shared" si="12"/>
        <v>1.338050904</v>
      </c>
      <c r="AG496" s="14">
        <f t="shared" si="13"/>
        <v>1.916964683</v>
      </c>
      <c r="AH496" s="14">
        <f t="shared" si="14"/>
        <v>1</v>
      </c>
      <c r="AI496" s="14">
        <f t="shared" si="15"/>
        <v>1.01267413</v>
      </c>
      <c r="AJ496" s="15">
        <f t="shared" si="16"/>
        <v>0</v>
      </c>
      <c r="AK496" s="15" t="str">
        <f t="shared" si="17"/>
        <v>  @CONFIG[BE-4] {
   %cost = 1332
   @cost -= #$../../cost$
  }</v>
      </c>
    </row>
    <row r="497" ht="15.75" customHeight="1">
      <c r="A497" s="7" t="s">
        <v>465</v>
      </c>
      <c r="B497" s="7" t="s">
        <v>464</v>
      </c>
      <c r="C497" s="8">
        <f t="shared" si="1"/>
        <v>1561</v>
      </c>
      <c r="D497" s="7">
        <v>2020.0</v>
      </c>
      <c r="E497" s="7"/>
      <c r="F497" s="7" t="b">
        <v>1</v>
      </c>
      <c r="G497" s="7" t="b">
        <v>0</v>
      </c>
      <c r="H497" s="7" t="b">
        <v>0</v>
      </c>
      <c r="I497" s="7" t="b">
        <v>0</v>
      </c>
      <c r="J497" s="9" t="b">
        <v>0</v>
      </c>
      <c r="K497" s="7">
        <v>1500.0</v>
      </c>
      <c r="L497" s="7">
        <v>0.0</v>
      </c>
      <c r="M497" s="7">
        <v>2100.0</v>
      </c>
      <c r="N497" s="7">
        <v>2210.0</v>
      </c>
      <c r="O497" s="7">
        <v>356.2</v>
      </c>
      <c r="P497" s="7">
        <v>17.1</v>
      </c>
      <c r="Q497" s="7">
        <v>0.9995</v>
      </c>
      <c r="R497" s="7">
        <v>0.9995</v>
      </c>
      <c r="S497" s="10">
        <f t="shared" si="2"/>
        <v>1500</v>
      </c>
      <c r="T497" s="10">
        <f t="shared" si="3"/>
        <v>107.3129916</v>
      </c>
      <c r="U497" s="11">
        <f t="shared" si="4"/>
        <v>0.3916579673</v>
      </c>
      <c r="V497" s="8">
        <f t="shared" si="115"/>
        <v>865.5641076</v>
      </c>
      <c r="W497" s="12">
        <f t="shared" si="5"/>
        <v>4</v>
      </c>
      <c r="X497" s="12">
        <f t="shared" si="6"/>
        <v>4327.820538</v>
      </c>
      <c r="Y497" s="12">
        <f t="shared" si="7"/>
        <v>1.958289836</v>
      </c>
      <c r="Z497" s="8">
        <f t="shared" si="19"/>
        <v>882.0100421</v>
      </c>
      <c r="AA497" s="8">
        <f t="shared" si="114"/>
        <v>1561</v>
      </c>
      <c r="AB497" s="13">
        <f t="shared" si="9"/>
        <v>1.040666667</v>
      </c>
      <c r="AC497" s="13">
        <f t="shared" si="10"/>
        <v>1.769821119</v>
      </c>
      <c r="AD497" s="13">
        <f>AA497/vlookup(A497,Max!$A$2:$AP$700,column(Max!$AP$2),false)</f>
        <v>1.156296296</v>
      </c>
      <c r="AE497" s="8">
        <f t="shared" si="11"/>
        <v>491.4739576</v>
      </c>
      <c r="AF497" s="14">
        <f t="shared" si="12"/>
        <v>1.50343692</v>
      </c>
      <c r="AG497" s="14">
        <f t="shared" si="13"/>
        <v>2.062440865</v>
      </c>
      <c r="AH497" s="14">
        <f t="shared" si="14"/>
        <v>1</v>
      </c>
      <c r="AI497" s="14">
        <f t="shared" si="15"/>
        <v>1.024162829</v>
      </c>
      <c r="AJ497" s="15">
        <f t="shared" si="16"/>
        <v>0</v>
      </c>
      <c r="AK497" s="15" t="str">
        <f t="shared" si="17"/>
        <v>  @CONFIG[RD-0162] {
   %cost = 1561
   @cost -= #$../../cost$
  }</v>
      </c>
    </row>
    <row r="498" ht="15.75" customHeight="1">
      <c r="A498" s="16" t="s">
        <v>463</v>
      </c>
      <c r="B498" s="16" t="s">
        <v>464</v>
      </c>
      <c r="C498" s="8">
        <f t="shared" si="1"/>
        <v>-68</v>
      </c>
      <c r="D498" s="16">
        <v>2020.0</v>
      </c>
      <c r="E498" s="16"/>
      <c r="F498" s="16" t="b">
        <v>1</v>
      </c>
      <c r="G498" s="16" t="b">
        <v>0</v>
      </c>
      <c r="H498" s="16" t="b">
        <v>1</v>
      </c>
      <c r="I498" s="16" t="b">
        <v>0</v>
      </c>
      <c r="J498" s="9" t="b">
        <v>0</v>
      </c>
      <c r="K498" s="16">
        <v>1500.0</v>
      </c>
      <c r="L498" s="16">
        <v>10.0</v>
      </c>
      <c r="M498" s="16">
        <v>2100.0</v>
      </c>
      <c r="N498" s="16">
        <v>3011.0</v>
      </c>
      <c r="O498" s="16">
        <v>364.7</v>
      </c>
      <c r="P498" s="16">
        <v>23.4</v>
      </c>
      <c r="Q498" s="16">
        <v>0.9995</v>
      </c>
      <c r="R498" s="16">
        <v>0.9995</v>
      </c>
      <c r="S498" s="19">
        <f t="shared" si="2"/>
        <v>1510</v>
      </c>
      <c r="T498" s="19">
        <f t="shared" si="3"/>
        <v>146.2078813</v>
      </c>
      <c r="U498" s="20">
        <f t="shared" si="4"/>
        <v>0.3012977573</v>
      </c>
      <c r="V498" s="17">
        <f t="shared" si="115"/>
        <v>907.2075472</v>
      </c>
      <c r="W498" s="21">
        <f t="shared" si="5"/>
        <v>4</v>
      </c>
      <c r="X498" s="21">
        <f t="shared" si="6"/>
        <v>4536.037736</v>
      </c>
      <c r="Y498" s="21">
        <f t="shared" si="7"/>
        <v>1.506488786</v>
      </c>
      <c r="Z498" s="8">
        <f t="shared" si="19"/>
        <v>924.4447174</v>
      </c>
      <c r="AA498" s="8">
        <f t="shared" si="114"/>
        <v>1493</v>
      </c>
      <c r="AB498" s="13">
        <f t="shared" si="9"/>
        <v>0.9887417219</v>
      </c>
      <c r="AC498" s="13">
        <f t="shared" si="10"/>
        <v>1.615023562</v>
      </c>
      <c r="AD498" s="13">
        <f>AA498/vlookup(A498,Max!$A$2:$AP$700,column(Max!$AP$2),false)</f>
        <v>0.710952381</v>
      </c>
      <c r="AE498" s="8">
        <f t="shared" si="11"/>
        <v>491.4739576</v>
      </c>
      <c r="AF498" s="14">
        <f t="shared" si="12"/>
        <v>1.607727135</v>
      </c>
      <c r="AG498" s="14">
        <f t="shared" si="13"/>
        <v>1.84686679</v>
      </c>
      <c r="AH498" s="14">
        <f t="shared" si="14"/>
        <v>1</v>
      </c>
      <c r="AI498" s="14">
        <f t="shared" si="15"/>
        <v>1.022883106</v>
      </c>
      <c r="AJ498" s="27">
        <f t="shared" si="16"/>
        <v>-68</v>
      </c>
      <c r="AK498" s="15" t="str">
        <f t="shared" si="17"/>
        <v>  @CONFIG[RD-0162A] {
   %cost = 1493
   @cost -= #$../../cost$
  }</v>
      </c>
    </row>
    <row r="499" ht="15.75" customHeight="1">
      <c r="A499" s="7" t="s">
        <v>466</v>
      </c>
      <c r="B499" s="7" t="s">
        <v>467</v>
      </c>
      <c r="C499" s="8">
        <f t="shared" si="1"/>
        <v>1523</v>
      </c>
      <c r="D499" s="7">
        <v>2020.0</v>
      </c>
      <c r="E499" s="7"/>
      <c r="F499" s="7" t="b">
        <v>1</v>
      </c>
      <c r="G499" s="7" t="b">
        <v>0</v>
      </c>
      <c r="H499" s="7" t="b">
        <v>1</v>
      </c>
      <c r="I499" s="7" t="b">
        <v>0</v>
      </c>
      <c r="J499" s="9" t="b">
        <v>0</v>
      </c>
      <c r="K499" s="7">
        <v>1800.0</v>
      </c>
      <c r="L499" s="7">
        <v>0.0</v>
      </c>
      <c r="M499" s="7">
        <v>2675.0</v>
      </c>
      <c r="N499" s="7">
        <v>3831.0</v>
      </c>
      <c r="O499" s="7">
        <v>358.0</v>
      </c>
      <c r="P499" s="7">
        <v>16.6</v>
      </c>
      <c r="Q499" s="7">
        <v>0.9995</v>
      </c>
      <c r="R499" s="7">
        <v>0.9995</v>
      </c>
      <c r="S499" s="10">
        <f t="shared" si="2"/>
        <v>1800</v>
      </c>
      <c r="T499" s="10">
        <f t="shared" si="3"/>
        <v>146.0386094</v>
      </c>
      <c r="U499" s="11">
        <f t="shared" si="4"/>
        <v>0.2609399233</v>
      </c>
      <c r="V499" s="8">
        <f t="shared" si="115"/>
        <v>999.6608462</v>
      </c>
      <c r="W499" s="12">
        <f t="shared" si="5"/>
        <v>4</v>
      </c>
      <c r="X499" s="12">
        <f t="shared" si="6"/>
        <v>4998.304231</v>
      </c>
      <c r="Y499" s="12">
        <f t="shared" si="7"/>
        <v>1.304699617</v>
      </c>
      <c r="Z499" s="8">
        <f t="shared" si="19"/>
        <v>1018.654652</v>
      </c>
      <c r="AA499" s="8">
        <f t="shared" si="114"/>
        <v>1523</v>
      </c>
      <c r="AB499" s="13">
        <f t="shared" si="9"/>
        <v>0.8461111111</v>
      </c>
      <c r="AC499" s="13">
        <f t="shared" si="10"/>
        <v>1.495109257</v>
      </c>
      <c r="AD499" s="13">
        <f>AA499/vlookup(A499,Max!$A$2:$AP$700,column(Max!$AP$2),false)</f>
        <v>0.5439285714</v>
      </c>
      <c r="AE499" s="8">
        <f t="shared" si="11"/>
        <v>571.1243064</v>
      </c>
      <c r="AF499" s="14">
        <f t="shared" si="12"/>
        <v>1.524771488</v>
      </c>
      <c r="AG499" s="14">
        <f t="shared" si="13"/>
        <v>1.709567779</v>
      </c>
      <c r="AH499" s="14">
        <f t="shared" si="14"/>
        <v>1</v>
      </c>
      <c r="AI499" s="14">
        <f t="shared" si="15"/>
        <v>1.022883106</v>
      </c>
      <c r="AJ499" s="15">
        <f t="shared" si="16"/>
        <v>0</v>
      </c>
      <c r="AK499" s="15" t="str">
        <f t="shared" si="17"/>
        <v>  @CONFIG[RD-0164] {
   %cost = 1523
   @cost -= #$../../cost$
  }</v>
      </c>
    </row>
    <row r="500" ht="15.75" customHeight="1">
      <c r="A500" s="16" t="s">
        <v>468</v>
      </c>
      <c r="B500" s="16" t="s">
        <v>469</v>
      </c>
      <c r="C500" s="8">
        <f t="shared" si="1"/>
        <v>912</v>
      </c>
      <c r="D500" s="16">
        <v>2020.0</v>
      </c>
      <c r="E500" s="16"/>
      <c r="F500" s="16" t="b">
        <v>1</v>
      </c>
      <c r="G500" s="16" t="b">
        <v>0</v>
      </c>
      <c r="H500" s="16" t="b">
        <v>1</v>
      </c>
      <c r="I500" s="16" t="b">
        <v>0</v>
      </c>
      <c r="J500" s="9" t="b">
        <v>0</v>
      </c>
      <c r="K500" s="16">
        <v>1000.0</v>
      </c>
      <c r="L500" s="16">
        <v>0.0</v>
      </c>
      <c r="M500" s="16">
        <v>975.0</v>
      </c>
      <c r="N500" s="16">
        <v>716.0</v>
      </c>
      <c r="O500" s="16">
        <v>372.0</v>
      </c>
      <c r="P500" s="16">
        <v>16.6</v>
      </c>
      <c r="Q500" s="16">
        <v>0.9995</v>
      </c>
      <c r="R500" s="16">
        <v>0.9995</v>
      </c>
      <c r="S500" s="19">
        <f t="shared" si="2"/>
        <v>1000</v>
      </c>
      <c r="T500" s="19">
        <f t="shared" si="3"/>
        <v>74.88377501</v>
      </c>
      <c r="U500" s="20">
        <f t="shared" si="4"/>
        <v>0.7792407317</v>
      </c>
      <c r="V500" s="17">
        <f t="shared" si="115"/>
        <v>557.9363639</v>
      </c>
      <c r="W500" s="21">
        <f t="shared" si="5"/>
        <v>4</v>
      </c>
      <c r="X500" s="21">
        <f t="shared" si="6"/>
        <v>2789.681819</v>
      </c>
      <c r="Y500" s="21">
        <f t="shared" si="7"/>
        <v>3.896203658</v>
      </c>
      <c r="Z500" s="8">
        <f t="shared" si="19"/>
        <v>568.5372943</v>
      </c>
      <c r="AA500" s="8">
        <f t="shared" si="114"/>
        <v>912</v>
      </c>
      <c r="AB500" s="13">
        <f t="shared" si="9"/>
        <v>0.912</v>
      </c>
      <c r="AC500" s="13">
        <f t="shared" si="10"/>
        <v>1.604116404</v>
      </c>
      <c r="AD500" s="13">
        <f>AA500/vlookup(A500,Max!$A$2:$AP$700,column(Max!$AP$2),false)</f>
        <v>1.495081967</v>
      </c>
      <c r="AE500" s="8">
        <f t="shared" si="11"/>
        <v>305.8419667</v>
      </c>
      <c r="AF500" s="14">
        <f t="shared" si="12"/>
        <v>1.704848451</v>
      </c>
      <c r="AG500" s="14">
        <f t="shared" si="13"/>
        <v>1.709567779</v>
      </c>
      <c r="AH500" s="14">
        <f t="shared" si="14"/>
        <v>1</v>
      </c>
      <c r="AI500" s="14">
        <f t="shared" si="15"/>
        <v>1.022883106</v>
      </c>
      <c r="AJ500" s="15">
        <f t="shared" si="16"/>
        <v>0</v>
      </c>
      <c r="AK500" s="15" t="str">
        <f t="shared" si="17"/>
        <v>  @CONFIG[RD-0169] {
   %cost = 912
   @cost -= #$../../cost$
  }</v>
      </c>
    </row>
    <row r="501" ht="15.75" customHeight="1">
      <c r="A501" s="7" t="s">
        <v>691</v>
      </c>
      <c r="B501" s="7" t="s">
        <v>691</v>
      </c>
      <c r="C501" s="8">
        <f t="shared" si="1"/>
        <v>1050</v>
      </c>
      <c r="D501" s="7">
        <v>2020.0</v>
      </c>
      <c r="E501" s="7" t="b">
        <v>1</v>
      </c>
      <c r="F501" s="7" t="b">
        <v>1</v>
      </c>
      <c r="G501" s="7" t="b">
        <v>0</v>
      </c>
      <c r="H501" s="7" t="b">
        <v>1</v>
      </c>
      <c r="I501" s="7" t="b">
        <v>0</v>
      </c>
      <c r="J501" s="9" t="b">
        <v>0</v>
      </c>
      <c r="K501" s="7">
        <v>4800.0</v>
      </c>
      <c r="L501" s="7">
        <v>0.0</v>
      </c>
      <c r="M501" s="7">
        <v>499.0</v>
      </c>
      <c r="N501" s="7">
        <v>289.1</v>
      </c>
      <c r="O501" s="7">
        <v>465.0</v>
      </c>
      <c r="P501" s="7">
        <v>8.27</v>
      </c>
      <c r="Q501" s="7">
        <v>0.998454</v>
      </c>
      <c r="R501" s="7">
        <v>0.996939</v>
      </c>
      <c r="S501" s="10">
        <f t="shared" si="2"/>
        <v>4800</v>
      </c>
      <c r="T501" s="10">
        <f t="shared" si="3"/>
        <v>59.07814756</v>
      </c>
      <c r="U501" s="11">
        <f t="shared" si="4"/>
        <v>3.828753818</v>
      </c>
      <c r="V501" s="8">
        <f>0.9*(0.00015*M501*O501*P501+797)+0.1*(43.1*POWER(M501,0.549))</f>
        <v>1106.892729</v>
      </c>
      <c r="W501" s="12">
        <f t="shared" si="5"/>
        <v>4</v>
      </c>
      <c r="X501" s="12">
        <f t="shared" si="6"/>
        <v>5534.463644</v>
      </c>
      <c r="Y501" s="12">
        <f t="shared" si="7"/>
        <v>19.14376909</v>
      </c>
      <c r="Z501" s="8">
        <f t="shared" si="19"/>
        <v>1123.936367</v>
      </c>
      <c r="AA501" s="45">
        <v>1050.0</v>
      </c>
      <c r="AB501" s="13">
        <f t="shared" si="9"/>
        <v>0.21875</v>
      </c>
      <c r="AC501" s="13">
        <f t="shared" si="10"/>
        <v>0.93421659</v>
      </c>
      <c r="AD501" s="13">
        <f>AA501/vlookup(A501,Max!$A$2:$AP$700,column(Max!$AP$2),false)</f>
        <v>1.129032258</v>
      </c>
      <c r="AE501" s="8">
        <f t="shared" si="11"/>
        <v>243.0170978</v>
      </c>
      <c r="AF501" s="14">
        <f t="shared" si="12"/>
        <v>3.890704653</v>
      </c>
      <c r="AG501" s="14">
        <f t="shared" si="13"/>
        <v>1.461506475</v>
      </c>
      <c r="AH501" s="14">
        <f t="shared" si="14"/>
        <v>1</v>
      </c>
      <c r="AI501" s="14">
        <f t="shared" si="15"/>
        <v>1.013686426</v>
      </c>
      <c r="AJ501" s="15">
        <f t="shared" si="16"/>
        <v>0</v>
      </c>
      <c r="AK501" s="15" t="str">
        <f t="shared" si="17"/>
        <v>  @CONFIG[RL60] {
   %cost = 1050
   @cost -= #$../../cost$
  }</v>
      </c>
    </row>
    <row r="502" ht="15.75" customHeight="1">
      <c r="A502" s="7" t="s">
        <v>253</v>
      </c>
      <c r="B502" s="7" t="s">
        <v>252</v>
      </c>
      <c r="C502" s="8">
        <f t="shared" si="1"/>
        <v>46</v>
      </c>
      <c r="D502" s="7">
        <v>2020.0</v>
      </c>
      <c r="E502" s="7"/>
      <c r="F502" s="7" t="b">
        <v>0</v>
      </c>
      <c r="G502" s="7" t="b">
        <v>0</v>
      </c>
      <c r="H502" s="7" t="b">
        <v>1</v>
      </c>
      <c r="I502" s="7" t="b">
        <v>0</v>
      </c>
      <c r="J502" s="9" t="b">
        <v>0</v>
      </c>
      <c r="K502" s="7">
        <v>550.0</v>
      </c>
      <c r="L502" s="7">
        <v>150.0</v>
      </c>
      <c r="M502" s="7">
        <v>95.0</v>
      </c>
      <c r="N502" s="7">
        <v>24.5</v>
      </c>
      <c r="O502" s="7">
        <v>356.0</v>
      </c>
      <c r="P502" s="7">
        <v>1.33</v>
      </c>
      <c r="Q502" s="7">
        <v>0.998889</v>
      </c>
      <c r="R502" s="7">
        <v>0.997778</v>
      </c>
      <c r="S502" s="10">
        <f t="shared" si="2"/>
        <v>700</v>
      </c>
      <c r="T502" s="10">
        <f t="shared" si="3"/>
        <v>26.29794436</v>
      </c>
      <c r="U502" s="11">
        <f t="shared" si="4"/>
        <v>4.35384862</v>
      </c>
      <c r="V502" s="8">
        <f>0.2*(8.17*POWER(M502*P502,0.46))+0.8*(0.146*POWER(M502*O502,0.639))</f>
        <v>106.6692912</v>
      </c>
      <c r="W502" s="12">
        <f t="shared" si="5"/>
        <v>1.75</v>
      </c>
      <c r="X502" s="12">
        <f t="shared" si="6"/>
        <v>293.3405508</v>
      </c>
      <c r="Y502" s="12">
        <f t="shared" si="7"/>
        <v>11.97308371</v>
      </c>
      <c r="Z502" s="8">
        <f t="shared" si="19"/>
        <v>108.4474116</v>
      </c>
      <c r="AA502" s="8">
        <f t="shared" ref="AA502:AA503" si="116">round(AE502*AF502*AG502*AH502*AI502,0)</f>
        <v>109</v>
      </c>
      <c r="AB502" s="13">
        <f t="shared" si="9"/>
        <v>0.1557142857</v>
      </c>
      <c r="AC502" s="13">
        <f t="shared" si="10"/>
        <v>1.00509545</v>
      </c>
      <c r="AD502" s="13">
        <f>AA502/vlookup(A502,Max!$A$2:$AP$700,column(Max!$AP$2),false)</f>
        <v>2.868421053</v>
      </c>
      <c r="AE502" s="8">
        <f t="shared" si="11"/>
        <v>73.92836225</v>
      </c>
      <c r="AF502" s="14">
        <f t="shared" si="12"/>
        <v>1.501090526</v>
      </c>
      <c r="AG502" s="14">
        <f t="shared" si="13"/>
        <v>0.9687877158</v>
      </c>
      <c r="AH502" s="14">
        <f t="shared" si="14"/>
        <v>1</v>
      </c>
      <c r="AI502" s="14">
        <f t="shared" si="15"/>
        <v>1.016927285</v>
      </c>
      <c r="AJ502" s="27">
        <f t="shared" si="16"/>
        <v>46</v>
      </c>
      <c r="AK502" s="15" t="str">
        <f t="shared" si="17"/>
        <v>  @CONFIG[RS-18] {
   %cost = 109
   @cost -= #$../../cost$
  }</v>
      </c>
    </row>
    <row r="503" ht="15.75" customHeight="1">
      <c r="A503" s="16" t="s">
        <v>706</v>
      </c>
      <c r="B503" s="16" t="s">
        <v>702</v>
      </c>
      <c r="C503" s="8">
        <f t="shared" si="1"/>
        <v>1040</v>
      </c>
      <c r="D503" s="16">
        <v>2020.0</v>
      </c>
      <c r="E503" s="16" t="b">
        <v>1</v>
      </c>
      <c r="F503" s="16" t="b">
        <v>1</v>
      </c>
      <c r="G503" s="16" t="b">
        <v>0</v>
      </c>
      <c r="H503" s="16" t="b">
        <v>0</v>
      </c>
      <c r="I503" s="16" t="b">
        <v>0</v>
      </c>
      <c r="J503" s="9" t="b">
        <v>0</v>
      </c>
      <c r="K503" s="16">
        <v>2850.0</v>
      </c>
      <c r="L503" s="16">
        <v>2200.0</v>
      </c>
      <c r="M503" s="16">
        <v>4862.0</v>
      </c>
      <c r="N503" s="16">
        <v>4110.0</v>
      </c>
      <c r="O503" s="16">
        <v>435.0</v>
      </c>
      <c r="P503" s="16">
        <v>13.0</v>
      </c>
      <c r="Q503" s="16">
        <v>0.995</v>
      </c>
      <c r="R503" s="16">
        <v>0.995</v>
      </c>
      <c r="S503" s="19">
        <f t="shared" si="2"/>
        <v>5050</v>
      </c>
      <c r="T503" s="19">
        <f t="shared" si="3"/>
        <v>86.19978657</v>
      </c>
      <c r="U503" s="20">
        <f t="shared" si="4"/>
        <v>1.188473262</v>
      </c>
      <c r="V503" s="17">
        <f t="shared" ref="V503:V507" si="117">0.9*(0.00015*M503*O503*P503+797)+0.1*(43.1*POWER(M503,0.549))</f>
        <v>4884.625108</v>
      </c>
      <c r="W503" s="21">
        <f t="shared" si="5"/>
        <v>4</v>
      </c>
      <c r="X503" s="21">
        <f t="shared" si="6"/>
        <v>24423.12554</v>
      </c>
      <c r="Y503" s="21">
        <f t="shared" si="7"/>
        <v>5.942366311</v>
      </c>
      <c r="Z503" s="8">
        <f t="shared" si="19"/>
        <v>4933.593475</v>
      </c>
      <c r="AA503" s="8">
        <f t="shared" si="116"/>
        <v>4993</v>
      </c>
      <c r="AB503" s="13">
        <f t="shared" si="9"/>
        <v>0.9887128713</v>
      </c>
      <c r="AC503" s="13">
        <f t="shared" si="10"/>
        <v>1.012041228</v>
      </c>
      <c r="AD503" s="13">
        <f>AA503/vlookup(A503,Max!$A$2:$AP$700,column(Max!$AP$2),false)</f>
        <v>1.040208333</v>
      </c>
      <c r="AE503" s="8">
        <f t="shared" si="11"/>
        <v>883.6129301</v>
      </c>
      <c r="AF503" s="14">
        <f t="shared" si="12"/>
        <v>2.937427839</v>
      </c>
      <c r="AG503" s="14">
        <f t="shared" si="13"/>
        <v>1.899615383</v>
      </c>
      <c r="AH503" s="14">
        <f t="shared" si="14"/>
        <v>1</v>
      </c>
      <c r="AI503" s="14">
        <f t="shared" si="15"/>
        <v>1.01267413</v>
      </c>
      <c r="AJ503" s="27">
        <f t="shared" si="16"/>
        <v>1040</v>
      </c>
      <c r="AK503" s="15" t="str">
        <f t="shared" si="17"/>
        <v>  @CONFIG[RS-800] {
   %cost = 4993
   @cost -= #$../../cost$
  }</v>
      </c>
    </row>
    <row r="504" ht="15.75" customHeight="1">
      <c r="A504" s="16" t="s">
        <v>692</v>
      </c>
      <c r="B504" s="16" t="s">
        <v>691</v>
      </c>
      <c r="C504" s="8">
        <f t="shared" si="1"/>
        <v>-60</v>
      </c>
      <c r="D504" s="16">
        <v>2020.0</v>
      </c>
      <c r="E504" s="16" t="b">
        <v>1</v>
      </c>
      <c r="F504" s="16" t="b">
        <v>1</v>
      </c>
      <c r="G504" s="16" t="b">
        <v>0</v>
      </c>
      <c r="H504" s="16" t="b">
        <v>1</v>
      </c>
      <c r="I504" s="16" t="b">
        <v>0</v>
      </c>
      <c r="J504" s="9" t="b">
        <v>0</v>
      </c>
      <c r="K504" s="16">
        <v>4800.0</v>
      </c>
      <c r="L504" s="16">
        <v>0.0</v>
      </c>
      <c r="M504" s="16">
        <v>548.0</v>
      </c>
      <c r="N504" s="16">
        <v>180.0</v>
      </c>
      <c r="O504" s="16">
        <v>465.0</v>
      </c>
      <c r="P504" s="16">
        <v>6.08</v>
      </c>
      <c r="Q504" s="16">
        <v>0.998454</v>
      </c>
      <c r="R504" s="16">
        <v>0.996939</v>
      </c>
      <c r="S504" s="19">
        <f t="shared" si="2"/>
        <v>4800</v>
      </c>
      <c r="T504" s="19">
        <f t="shared" si="3"/>
        <v>33.49432807</v>
      </c>
      <c r="U504" s="20">
        <f t="shared" si="4"/>
        <v>5.910455028</v>
      </c>
      <c r="V504" s="17">
        <f t="shared" si="117"/>
        <v>1063.881905</v>
      </c>
      <c r="W504" s="21">
        <f t="shared" si="5"/>
        <v>4</v>
      </c>
      <c r="X504" s="21">
        <f t="shared" si="6"/>
        <v>5319.409525</v>
      </c>
      <c r="Y504" s="21">
        <f t="shared" si="7"/>
        <v>29.55227514</v>
      </c>
      <c r="Z504" s="8">
        <f t="shared" si="19"/>
        <v>1080.263274</v>
      </c>
      <c r="AA504" s="45">
        <v>990.0</v>
      </c>
      <c r="AB504" s="13">
        <f t="shared" si="9"/>
        <v>0.20625</v>
      </c>
      <c r="AC504" s="13">
        <f t="shared" si="10"/>
        <v>0.9164432634</v>
      </c>
      <c r="AD504" s="13">
        <f>AA504/vlookup(A504,Max!$A$2:$AP$700,column(Max!$AP$2),false)</f>
        <v>1.523076923</v>
      </c>
      <c r="AE504" s="8">
        <f t="shared" si="11"/>
        <v>255.6021738</v>
      </c>
      <c r="AF504" s="14">
        <f t="shared" si="12"/>
        <v>3.890704653</v>
      </c>
      <c r="AG504" s="14">
        <f t="shared" si="13"/>
        <v>1.363767415</v>
      </c>
      <c r="AH504" s="14">
        <f t="shared" si="14"/>
        <v>1</v>
      </c>
      <c r="AI504" s="14">
        <f t="shared" si="15"/>
        <v>1.013686426</v>
      </c>
      <c r="AJ504" s="27">
        <f t="shared" si="16"/>
        <v>-60</v>
      </c>
      <c r="AK504" s="15" t="str">
        <f t="shared" si="17"/>
        <v>  @CONFIG[Vinci-180] {
   %cost = 990
   @cost -= #$../../cost$
  }</v>
      </c>
    </row>
    <row r="505" ht="15.75" customHeight="1">
      <c r="A505" s="7" t="s">
        <v>120</v>
      </c>
      <c r="B505" s="7" t="s">
        <v>120</v>
      </c>
      <c r="C505" s="8">
        <f t="shared" si="1"/>
        <v>4316</v>
      </c>
      <c r="D505" s="7">
        <v>2021.0</v>
      </c>
      <c r="E505" s="7" t="b">
        <v>1</v>
      </c>
      <c r="F505" s="7" t="b">
        <v>1</v>
      </c>
      <c r="G505" s="7" t="b">
        <v>0</v>
      </c>
      <c r="H505" s="7" t="b">
        <v>1</v>
      </c>
      <c r="I505" s="7" t="b">
        <v>0</v>
      </c>
      <c r="J505" s="9" t="b">
        <v>1</v>
      </c>
      <c r="K505" s="7">
        <v>17500.0</v>
      </c>
      <c r="L505" s="7">
        <v>0.0</v>
      </c>
      <c r="M505" s="7">
        <v>2270.0</v>
      </c>
      <c r="N505" s="7">
        <v>66.72</v>
      </c>
      <c r="O505" s="7">
        <v>925.0</v>
      </c>
      <c r="P505" s="7">
        <v>13.79</v>
      </c>
      <c r="Q505" s="7">
        <v>1.0</v>
      </c>
      <c r="R505" s="7">
        <v>1.0</v>
      </c>
      <c r="S505" s="10">
        <f t="shared" si="2"/>
        <v>17500</v>
      </c>
      <c r="T505" s="10">
        <f t="shared" si="3"/>
        <v>2.997157072</v>
      </c>
      <c r="U505" s="11">
        <f t="shared" si="4"/>
        <v>73.83350235</v>
      </c>
      <c r="V505" s="8">
        <f t="shared" si="117"/>
        <v>4926.171276</v>
      </c>
      <c r="W505" s="12">
        <f t="shared" si="5"/>
        <v>4</v>
      </c>
      <c r="X505" s="12">
        <f t="shared" si="6"/>
        <v>24630.85638</v>
      </c>
      <c r="Y505" s="12">
        <f t="shared" si="7"/>
        <v>369.1675117</v>
      </c>
      <c r="Z505" s="8">
        <f t="shared" si="19"/>
        <v>5024.694702</v>
      </c>
      <c r="AA505" s="8">
        <f t="shared" ref="AA505:AA577" si="118">round(AE505*AF505*AG505*AH505*AI505,0)</f>
        <v>4316</v>
      </c>
      <c r="AB505" s="13">
        <f t="shared" si="9"/>
        <v>0.2466285714</v>
      </c>
      <c r="AC505" s="13">
        <f t="shared" si="10"/>
        <v>0.8589576593</v>
      </c>
      <c r="AD505" s="13">
        <f>AA505/vlookup(A505,Max!$A$2:$AP$700,column(Max!$AP$2),false)</f>
        <v>1.438666667</v>
      </c>
      <c r="AE505" s="8">
        <f t="shared" si="11"/>
        <v>566.0142367</v>
      </c>
      <c r="AF505" s="14">
        <f t="shared" si="12"/>
        <v>2.26727083</v>
      </c>
      <c r="AG505" s="14">
        <f t="shared" si="13"/>
        <v>1.639698366</v>
      </c>
      <c r="AH505" s="14">
        <f t="shared" si="14"/>
        <v>2</v>
      </c>
      <c r="AI505" s="14">
        <f t="shared" si="15"/>
        <v>1.025444154</v>
      </c>
      <c r="AJ505" s="15">
        <f t="shared" si="16"/>
        <v>0</v>
      </c>
      <c r="AK505" s="15" t="str">
        <f t="shared" si="17"/>
        <v>  @CONFIG[BNTR] {
   %cost = 4316
   @cost -= #$../../cost$
  }</v>
      </c>
    </row>
    <row r="506" ht="15.75" customHeight="1">
      <c r="A506" s="16" t="s">
        <v>679</v>
      </c>
      <c r="B506" s="16" t="s">
        <v>660</v>
      </c>
      <c r="C506" s="8">
        <f t="shared" si="1"/>
        <v>360</v>
      </c>
      <c r="D506" s="16">
        <v>2021.0</v>
      </c>
      <c r="E506" s="16" t="b">
        <v>1</v>
      </c>
      <c r="F506" s="16" t="b">
        <v>1</v>
      </c>
      <c r="G506" s="16" t="b">
        <v>0</v>
      </c>
      <c r="H506" s="16" t="b">
        <v>1</v>
      </c>
      <c r="I506" s="16" t="b">
        <v>0</v>
      </c>
      <c r="J506" s="9" t="b">
        <v>0</v>
      </c>
      <c r="K506" s="16">
        <v>500.0</v>
      </c>
      <c r="L506" s="16">
        <v>1000.0</v>
      </c>
      <c r="M506" s="16">
        <v>188.0</v>
      </c>
      <c r="N506" s="16">
        <v>105.9</v>
      </c>
      <c r="O506" s="16">
        <v>453.8</v>
      </c>
      <c r="P506" s="16">
        <v>4.36</v>
      </c>
      <c r="Q506" s="16">
        <v>0.998454</v>
      </c>
      <c r="R506" s="16">
        <v>0.996939</v>
      </c>
      <c r="S506" s="19">
        <f t="shared" si="2"/>
        <v>1500</v>
      </c>
      <c r="T506" s="19">
        <f t="shared" si="3"/>
        <v>57.44039715</v>
      </c>
      <c r="U506" s="20">
        <f t="shared" si="4"/>
        <v>7.968818348</v>
      </c>
      <c r="V506" s="17">
        <f t="shared" si="117"/>
        <v>843.897863</v>
      </c>
      <c r="W506" s="21">
        <f t="shared" si="5"/>
        <v>4</v>
      </c>
      <c r="X506" s="21">
        <f t="shared" si="6"/>
        <v>4219.489315</v>
      </c>
      <c r="Y506" s="21">
        <f t="shared" si="7"/>
        <v>39.84409174</v>
      </c>
      <c r="Z506" s="8">
        <f t="shared" si="19"/>
        <v>856.8919764</v>
      </c>
      <c r="AA506" s="8">
        <f t="shared" si="118"/>
        <v>654</v>
      </c>
      <c r="AB506" s="13">
        <f t="shared" si="9"/>
        <v>0.436</v>
      </c>
      <c r="AC506" s="13">
        <f t="shared" si="10"/>
        <v>0.7632233911</v>
      </c>
      <c r="AD506" s="13">
        <f>AA506/vlookup(A506,Max!$A$2:$AP$700,column(Max!$AP$2),false)</f>
        <v>1.635</v>
      </c>
      <c r="AE506" s="8">
        <f t="shared" si="11"/>
        <v>145.755285</v>
      </c>
      <c r="AF506" s="14">
        <f t="shared" si="12"/>
        <v>3.497705225</v>
      </c>
      <c r="AG506" s="14">
        <f t="shared" si="13"/>
        <v>1.265454295</v>
      </c>
      <c r="AH506" s="14">
        <f t="shared" si="14"/>
        <v>1</v>
      </c>
      <c r="AI506" s="14">
        <f t="shared" si="15"/>
        <v>1.013686426</v>
      </c>
      <c r="AJ506" s="27">
        <f t="shared" si="16"/>
        <v>360</v>
      </c>
      <c r="AK506" s="15" t="str">
        <f t="shared" si="17"/>
        <v>  @CONFIG[RL10C-1-1] {
   %cost = 654
   @cost -= #$../../cost$
  }</v>
      </c>
    </row>
    <row r="507" ht="15.75" customHeight="1">
      <c r="A507" s="7" t="s">
        <v>680</v>
      </c>
      <c r="B507" s="7" t="s">
        <v>660</v>
      </c>
      <c r="C507" s="8">
        <f t="shared" si="1"/>
        <v>602</v>
      </c>
      <c r="D507" s="7">
        <v>2021.0</v>
      </c>
      <c r="E507" s="7" t="b">
        <v>1</v>
      </c>
      <c r="F507" s="7" t="b">
        <v>1</v>
      </c>
      <c r="G507" s="7" t="b">
        <v>0</v>
      </c>
      <c r="H507" s="7" t="b">
        <v>1</v>
      </c>
      <c r="I507" s="7" t="b">
        <v>0</v>
      </c>
      <c r="J507" s="9" t="b">
        <v>0</v>
      </c>
      <c r="K507" s="7">
        <v>500.0</v>
      </c>
      <c r="L507" s="7">
        <v>1100.0</v>
      </c>
      <c r="M507" s="7">
        <v>277.0</v>
      </c>
      <c r="N507" s="7">
        <v>111.2</v>
      </c>
      <c r="O507" s="7">
        <v>465.5</v>
      </c>
      <c r="P507" s="7">
        <v>4.44</v>
      </c>
      <c r="Q507" s="7">
        <v>0.998454</v>
      </c>
      <c r="R507" s="7">
        <v>0.996939</v>
      </c>
      <c r="S507" s="10">
        <f t="shared" si="2"/>
        <v>1600</v>
      </c>
      <c r="T507" s="10">
        <f t="shared" si="3"/>
        <v>40.93589984</v>
      </c>
      <c r="U507" s="11">
        <f t="shared" si="4"/>
        <v>7.995337428</v>
      </c>
      <c r="V507" s="8">
        <f t="shared" si="117"/>
        <v>889.081522</v>
      </c>
      <c r="W507" s="12">
        <f t="shared" si="5"/>
        <v>4</v>
      </c>
      <c r="X507" s="12">
        <f t="shared" si="6"/>
        <v>4445.40761</v>
      </c>
      <c r="Y507" s="12">
        <f t="shared" si="7"/>
        <v>39.97668714</v>
      </c>
      <c r="Z507" s="8">
        <f t="shared" si="19"/>
        <v>902.7713613</v>
      </c>
      <c r="AA507" s="8">
        <f t="shared" si="118"/>
        <v>896</v>
      </c>
      <c r="AB507" s="13">
        <f t="shared" si="9"/>
        <v>0.56</v>
      </c>
      <c r="AC507" s="13">
        <f t="shared" si="10"/>
        <v>0.9924993619</v>
      </c>
      <c r="AD507" s="13">
        <f>AA507/vlookup(A507,Max!$A$2:$AP$700,column(Max!$AP$2),false)</f>
        <v>1.866666667</v>
      </c>
      <c r="AE507" s="8">
        <f t="shared" si="11"/>
        <v>177.9739702</v>
      </c>
      <c r="AF507" s="14">
        <f t="shared" si="12"/>
        <v>3.909409191</v>
      </c>
      <c r="AG507" s="14">
        <f t="shared" si="13"/>
        <v>1.2706419</v>
      </c>
      <c r="AH507" s="14">
        <f t="shared" si="14"/>
        <v>1</v>
      </c>
      <c r="AI507" s="14">
        <f t="shared" si="15"/>
        <v>1.013686426</v>
      </c>
      <c r="AJ507" s="27">
        <f t="shared" si="16"/>
        <v>602</v>
      </c>
      <c r="AK507" s="15" t="str">
        <f t="shared" si="17"/>
        <v>  @CONFIG[RL10C-2-1] {
   %cost = 896
   @cost -= #$../../cost$
  }</v>
      </c>
    </row>
    <row r="508" ht="15.75" customHeight="1">
      <c r="A508" s="7" t="s">
        <v>142</v>
      </c>
      <c r="B508" s="7" t="s">
        <v>143</v>
      </c>
      <c r="C508" s="8">
        <f t="shared" si="1"/>
        <v>2125</v>
      </c>
      <c r="D508" s="7">
        <v>2022.0</v>
      </c>
      <c r="E508" s="7"/>
      <c r="F508" s="7" t="b">
        <v>1</v>
      </c>
      <c r="G508" s="7" t="b">
        <v>0</v>
      </c>
      <c r="H508" s="7" t="b">
        <v>0</v>
      </c>
      <c r="I508" s="7" t="b">
        <v>0</v>
      </c>
      <c r="J508" s="9" t="b">
        <v>0</v>
      </c>
      <c r="K508" s="7">
        <v>1488.0</v>
      </c>
      <c r="L508" s="7">
        <v>0.0</v>
      </c>
      <c r="M508" s="7">
        <v>9656.0</v>
      </c>
      <c r="N508" s="7">
        <v>8815.0</v>
      </c>
      <c r="O508" s="7">
        <v>299.0</v>
      </c>
      <c r="P508" s="7">
        <v>8.0</v>
      </c>
      <c r="Q508" s="7">
        <v>0.998</v>
      </c>
      <c r="R508" s="7">
        <v>0.998</v>
      </c>
      <c r="S508" s="10">
        <f t="shared" si="2"/>
        <v>1488</v>
      </c>
      <c r="T508" s="10">
        <f t="shared" si="3"/>
        <v>93.09028988</v>
      </c>
      <c r="U508" s="11">
        <f t="shared" si="4"/>
        <v>0.2108604759</v>
      </c>
      <c r="V508" s="8">
        <f>0.2*(8.17*POWER(M508*P508,0.46))+0.8*(0.146*POWER(M508*O508,0.639))</f>
        <v>1858.735095</v>
      </c>
      <c r="W508" s="12">
        <f t="shared" si="5"/>
        <v>4</v>
      </c>
      <c r="X508" s="12">
        <f t="shared" si="6"/>
        <v>9293.675477</v>
      </c>
      <c r="Y508" s="12">
        <f t="shared" si="7"/>
        <v>1.05430238</v>
      </c>
      <c r="Z508" s="8">
        <f t="shared" si="19"/>
        <v>1888.482292</v>
      </c>
      <c r="AA508" s="8">
        <f t="shared" si="118"/>
        <v>2125</v>
      </c>
      <c r="AB508" s="13">
        <f t="shared" si="9"/>
        <v>1.428091398</v>
      </c>
      <c r="AC508" s="13">
        <f t="shared" si="10"/>
        <v>1.125242217</v>
      </c>
      <c r="AD508" s="13">
        <f>AA508/vlookup(A508,Max!$A$2:$AP$700,column(Max!$AP$2),false)</f>
        <v>0.9659090909</v>
      </c>
      <c r="AE508" s="8">
        <f t="shared" si="11"/>
        <v>1272.131383</v>
      </c>
      <c r="AF508" s="14">
        <f t="shared" si="12"/>
        <v>0.9970282138</v>
      </c>
      <c r="AG508" s="14">
        <f t="shared" si="13"/>
        <v>1.642138065</v>
      </c>
      <c r="AH508" s="14">
        <f t="shared" si="14"/>
        <v>1</v>
      </c>
      <c r="AI508" s="14">
        <f t="shared" si="15"/>
        <v>1.020324621</v>
      </c>
      <c r="AJ508" s="15">
        <f t="shared" si="16"/>
        <v>0</v>
      </c>
      <c r="AK508" s="15" t="str">
        <f t="shared" si="17"/>
        <v>  @CONFIG[F-1B] {
   %cost = 2125
   @cost -= #$../../cost$
  }</v>
      </c>
    </row>
    <row r="509" ht="15.75" customHeight="1">
      <c r="A509" s="7" t="s">
        <v>239</v>
      </c>
      <c r="B509" s="7" t="s">
        <v>235</v>
      </c>
      <c r="C509" s="8">
        <f t="shared" si="1"/>
        <v>108</v>
      </c>
      <c r="D509" s="7">
        <v>2022.0</v>
      </c>
      <c r="E509" s="7" t="b">
        <v>1</v>
      </c>
      <c r="F509" s="7" t="b">
        <v>1</v>
      </c>
      <c r="G509" s="7" t="b">
        <v>0</v>
      </c>
      <c r="H509" s="7" t="b">
        <v>1</v>
      </c>
      <c r="I509" s="7" t="b">
        <v>0</v>
      </c>
      <c r="J509" s="9" t="b">
        <v>0</v>
      </c>
      <c r="K509" s="7">
        <v>2650.0</v>
      </c>
      <c r="L509" s="7">
        <v>-1000.0</v>
      </c>
      <c r="M509" s="7">
        <v>303.0</v>
      </c>
      <c r="N509" s="7">
        <v>137.2</v>
      </c>
      <c r="O509" s="7">
        <v>448.0</v>
      </c>
      <c r="P509" s="7">
        <v>3.61</v>
      </c>
      <c r="Q509" s="7">
        <v>0.998598</v>
      </c>
      <c r="R509" s="7">
        <v>0.997222</v>
      </c>
      <c r="S509" s="10">
        <f t="shared" si="2"/>
        <v>1650</v>
      </c>
      <c r="T509" s="10">
        <f t="shared" si="3"/>
        <v>46.17328845</v>
      </c>
      <c r="U509" s="11">
        <f t="shared" si="4"/>
        <v>6.433806613</v>
      </c>
      <c r="V509" s="8">
        <f t="shared" ref="V509:V511" si="119">0.9*(0.00015*M509*O509*P509+797)+0.1*(43.1*POWER(M509,0.549))</f>
        <v>882.7182673</v>
      </c>
      <c r="W509" s="12">
        <f t="shared" si="5"/>
        <v>4</v>
      </c>
      <c r="X509" s="12">
        <f t="shared" si="6"/>
        <v>4413.591337</v>
      </c>
      <c r="Y509" s="12">
        <f t="shared" si="7"/>
        <v>32.16903307</v>
      </c>
      <c r="Z509" s="8">
        <f t="shared" si="19"/>
        <v>896.6863083</v>
      </c>
      <c r="AA509" s="8">
        <f t="shared" si="118"/>
        <v>760</v>
      </c>
      <c r="AB509" s="13">
        <f t="shared" si="9"/>
        <v>0.4606060606</v>
      </c>
      <c r="AC509" s="13">
        <f t="shared" si="10"/>
        <v>0.8475650771</v>
      </c>
      <c r="AD509" s="13">
        <f>AA509/vlookup(A509,Max!$A$2:$AP$700,column(Max!$AP$2),false)</f>
        <v>1.948717949</v>
      </c>
      <c r="AE509" s="8">
        <f t="shared" si="11"/>
        <v>186.5075796</v>
      </c>
      <c r="AF509" s="14">
        <f t="shared" si="12"/>
        <v>3.312441276</v>
      </c>
      <c r="AG509" s="14">
        <f t="shared" si="13"/>
        <v>1.212833333</v>
      </c>
      <c r="AH509" s="14">
        <f t="shared" si="14"/>
        <v>1</v>
      </c>
      <c r="AI509" s="14">
        <f t="shared" si="15"/>
        <v>1.014771756</v>
      </c>
      <c r="AJ509" s="27">
        <f t="shared" si="16"/>
        <v>108</v>
      </c>
      <c r="AK509" s="15" t="str">
        <f t="shared" si="17"/>
        <v>  @CONFIG[LE-5B-3] {
   %cost = 760
   @cost -= #$../../cost$
  }</v>
      </c>
    </row>
    <row r="510" ht="15.75" customHeight="1">
      <c r="A510" s="7" t="s">
        <v>244</v>
      </c>
      <c r="B510" s="7" t="s">
        <v>245</v>
      </c>
      <c r="C510" s="8">
        <f t="shared" si="1"/>
        <v>2812</v>
      </c>
      <c r="D510" s="7">
        <v>2022.0</v>
      </c>
      <c r="E510" s="7" t="b">
        <v>1</v>
      </c>
      <c r="F510" s="7" t="b">
        <v>1</v>
      </c>
      <c r="G510" s="7" t="b">
        <v>0</v>
      </c>
      <c r="H510" s="7" t="b">
        <v>0</v>
      </c>
      <c r="I510" s="7" t="b">
        <v>0</v>
      </c>
      <c r="J510" s="9" t="b">
        <v>0</v>
      </c>
      <c r="K510" s="7"/>
      <c r="L510" s="7">
        <v>0.0</v>
      </c>
      <c r="M510" s="7">
        <v>2410.0</v>
      </c>
      <c r="N510" s="7">
        <v>1471.0</v>
      </c>
      <c r="O510" s="7">
        <v>425.0</v>
      </c>
      <c r="P510" s="7">
        <v>10.0</v>
      </c>
      <c r="Q510" s="7">
        <v>0.997458</v>
      </c>
      <c r="R510" s="7">
        <v>0.997458</v>
      </c>
      <c r="S510" s="10">
        <f t="shared" si="2"/>
        <v>0</v>
      </c>
      <c r="T510" s="10">
        <f t="shared" si="3"/>
        <v>62.2407695</v>
      </c>
      <c r="U510" s="11">
        <f t="shared" si="4"/>
        <v>1.638290554</v>
      </c>
      <c r="V510" s="8">
        <f t="shared" si="119"/>
        <v>2409.925405</v>
      </c>
      <c r="W510" s="12">
        <f t="shared" si="5"/>
        <v>4</v>
      </c>
      <c r="X510" s="12">
        <f t="shared" si="6"/>
        <v>12049.62703</v>
      </c>
      <c r="Y510" s="12">
        <f t="shared" si="7"/>
        <v>8.191452772</v>
      </c>
      <c r="Z510" s="8">
        <f t="shared" si="19"/>
        <v>2445.887425</v>
      </c>
      <c r="AA510" s="8">
        <f t="shared" si="118"/>
        <v>2812</v>
      </c>
      <c r="AB510" s="13" t="str">
        <f t="shared" si="9"/>
        <v>#N/A</v>
      </c>
      <c r="AC510" s="13">
        <f t="shared" si="10"/>
        <v>1.149684966</v>
      </c>
      <c r="AD510" s="13">
        <f>AA510/vlookup(A510,Max!$A$2:$AP$700,column(Max!$AP$2),false)</f>
        <v>1.814193548</v>
      </c>
      <c r="AE510" s="8">
        <f t="shared" si="11"/>
        <v>585.9190224</v>
      </c>
      <c r="AF510" s="14">
        <f t="shared" si="12"/>
        <v>2.682821306</v>
      </c>
      <c r="AG510" s="14">
        <f t="shared" si="13"/>
        <v>1.755830837</v>
      </c>
      <c r="AH510" s="14">
        <f t="shared" si="14"/>
        <v>1</v>
      </c>
      <c r="AI510" s="14">
        <f t="shared" si="15"/>
        <v>1.018939875</v>
      </c>
      <c r="AJ510" s="15">
        <f t="shared" si="16"/>
        <v>0</v>
      </c>
      <c r="AK510" s="15" t="str">
        <f t="shared" si="17"/>
        <v>  @CONFIG[LE-9] {
   %cost = 2812
   @cost -= #$../../cost$
  }</v>
      </c>
    </row>
    <row r="511" ht="15.75" customHeight="1">
      <c r="A511" s="16" t="s">
        <v>682</v>
      </c>
      <c r="B511" s="16" t="s">
        <v>660</v>
      </c>
      <c r="C511" s="8">
        <f t="shared" si="1"/>
        <v>479</v>
      </c>
      <c r="D511" s="16">
        <v>2024.0</v>
      </c>
      <c r="E511" s="16" t="b">
        <v>1</v>
      </c>
      <c r="F511" s="16" t="b">
        <v>1</v>
      </c>
      <c r="G511" s="16" t="b">
        <v>0</v>
      </c>
      <c r="H511" s="16" t="b">
        <v>1</v>
      </c>
      <c r="I511" s="16" t="b">
        <v>0</v>
      </c>
      <c r="J511" s="9" t="b">
        <v>0</v>
      </c>
      <c r="K511" s="16">
        <v>500.0</v>
      </c>
      <c r="L511" s="16">
        <v>1100.0</v>
      </c>
      <c r="M511" s="16">
        <v>230.0</v>
      </c>
      <c r="N511" s="16">
        <v>108.5</v>
      </c>
      <c r="O511" s="16">
        <v>460.1</v>
      </c>
      <c r="P511" s="16">
        <v>4.44</v>
      </c>
      <c r="Q511" s="16">
        <v>0.998454</v>
      </c>
      <c r="R511" s="16">
        <v>0.996939</v>
      </c>
      <c r="S511" s="19">
        <f t="shared" si="2"/>
        <v>1600</v>
      </c>
      <c r="T511" s="19">
        <f t="shared" si="3"/>
        <v>48.10400382</v>
      </c>
      <c r="U511" s="20">
        <f t="shared" si="4"/>
        <v>7.982057642</v>
      </c>
      <c r="V511" s="17">
        <f t="shared" si="119"/>
        <v>866.0532542</v>
      </c>
      <c r="W511" s="21">
        <f t="shared" si="5"/>
        <v>4</v>
      </c>
      <c r="X511" s="21">
        <f t="shared" si="6"/>
        <v>4330.266271</v>
      </c>
      <c r="Y511" s="21">
        <f t="shared" si="7"/>
        <v>39.91028821</v>
      </c>
      <c r="Z511" s="8">
        <f t="shared" si="19"/>
        <v>879.3885103</v>
      </c>
      <c r="AA511" s="8">
        <f t="shared" si="118"/>
        <v>773</v>
      </c>
      <c r="AB511" s="13">
        <f t="shared" si="9"/>
        <v>0.483125</v>
      </c>
      <c r="AC511" s="13">
        <f t="shared" si="10"/>
        <v>0.8790198995</v>
      </c>
      <c r="AD511" s="13">
        <f>AA511/vlookup(A511,Max!$A$2:$AP$700,column(Max!$AP$2),false)</f>
        <v>1.84047619</v>
      </c>
      <c r="AE511" s="8">
        <f t="shared" si="11"/>
        <v>161.6287499</v>
      </c>
      <c r="AF511" s="14">
        <f t="shared" si="12"/>
        <v>3.712776628</v>
      </c>
      <c r="AG511" s="14">
        <f t="shared" si="13"/>
        <v>1.2706419</v>
      </c>
      <c r="AH511" s="14">
        <f t="shared" si="14"/>
        <v>1</v>
      </c>
      <c r="AI511" s="14">
        <f t="shared" si="15"/>
        <v>1.013686426</v>
      </c>
      <c r="AJ511" s="27">
        <f t="shared" si="16"/>
        <v>479</v>
      </c>
      <c r="AK511" s="15" t="str">
        <f t="shared" si="17"/>
        <v>  @CONFIG[RL10C-3] {
   %cost = 773
   @cost -= #$../../cost$
  }</v>
      </c>
    </row>
    <row r="512" ht="15.75" customHeight="1">
      <c r="A512" s="16" t="s">
        <v>360</v>
      </c>
      <c r="B512" s="16" t="s">
        <v>360</v>
      </c>
      <c r="C512" s="8">
        <f t="shared" si="1"/>
        <v>293</v>
      </c>
      <c r="D512" s="16">
        <v>2026.0</v>
      </c>
      <c r="E512" s="16"/>
      <c r="F512" s="16" t="b">
        <v>1</v>
      </c>
      <c r="G512" s="16" t="b">
        <v>0</v>
      </c>
      <c r="H512" s="16" t="b">
        <v>1</v>
      </c>
      <c r="I512" s="16" t="b">
        <v>0</v>
      </c>
      <c r="J512" s="9" t="b">
        <v>0</v>
      </c>
      <c r="K512" s="16"/>
      <c r="L512" s="16">
        <v>0.0</v>
      </c>
      <c r="M512" s="16">
        <v>242.0</v>
      </c>
      <c r="N512" s="16">
        <v>98.1</v>
      </c>
      <c r="O512" s="16">
        <v>362.0</v>
      </c>
      <c r="P512" s="16">
        <v>7.92</v>
      </c>
      <c r="Q512" s="16">
        <v>0.9995</v>
      </c>
      <c r="R512" s="16">
        <v>0.9852</v>
      </c>
      <c r="S512" s="19">
        <f t="shared" si="2"/>
        <v>0</v>
      </c>
      <c r="T512" s="19">
        <f t="shared" si="3"/>
        <v>41.33642984</v>
      </c>
      <c r="U512" s="20">
        <f t="shared" si="4"/>
        <v>2.253095344</v>
      </c>
      <c r="V512" s="17">
        <f t="shared" ref="V512:V515" si="120">0.2*(8.17*POWER(M512*P512,0.46))+0.8*(0.146*POWER(M512*O512,0.639))</f>
        <v>221.0286532</v>
      </c>
      <c r="W512" s="21">
        <f t="shared" si="5"/>
        <v>4</v>
      </c>
      <c r="X512" s="21">
        <f t="shared" si="6"/>
        <v>1105.143266</v>
      </c>
      <c r="Y512" s="21">
        <f t="shared" si="7"/>
        <v>11.26547672</v>
      </c>
      <c r="Z512" s="8">
        <f t="shared" si="19"/>
        <v>222.0691235</v>
      </c>
      <c r="AA512" s="8">
        <f t="shared" si="118"/>
        <v>293</v>
      </c>
      <c r="AB512" s="13" t="str">
        <f t="shared" si="9"/>
        <v>#N/A</v>
      </c>
      <c r="AC512" s="13">
        <f t="shared" si="10"/>
        <v>1.319408999</v>
      </c>
      <c r="AD512" s="13">
        <f>AA512/vlookup(A512,Max!$A$2:$AP$700,column(Max!$AP$2),false)</f>
        <v>4.373134328</v>
      </c>
      <c r="AE512" s="8">
        <f t="shared" si="11"/>
        <v>130.2500134</v>
      </c>
      <c r="AF512" s="14">
        <f t="shared" si="12"/>
        <v>1.573611022</v>
      </c>
      <c r="AG512" s="14">
        <f t="shared" si="13"/>
        <v>1.447355347</v>
      </c>
      <c r="AH512" s="14">
        <f t="shared" si="14"/>
        <v>1</v>
      </c>
      <c r="AI512" s="14">
        <f t="shared" si="15"/>
        <v>0.9866883889</v>
      </c>
      <c r="AJ512" s="15">
        <f t="shared" si="16"/>
        <v>0</v>
      </c>
      <c r="AK512" s="15" t="str">
        <f t="shared" si="17"/>
        <v>  @CONFIG[M10] {
   %cost = 293
   @cost -= #$../../cost$
  }</v>
      </c>
    </row>
    <row r="513" ht="15.75" customHeight="1">
      <c r="A513" s="16" t="s">
        <v>45</v>
      </c>
      <c r="B513" s="16" t="s">
        <v>44</v>
      </c>
      <c r="C513" s="8">
        <f t="shared" si="1"/>
        <v>156</v>
      </c>
      <c r="D513" s="46">
        <v>2023.0</v>
      </c>
      <c r="E513" s="16"/>
      <c r="F513" s="16" t="b">
        <v>1</v>
      </c>
      <c r="G513" s="16" t="b">
        <v>0</v>
      </c>
      <c r="H513" s="16" t="b">
        <v>0</v>
      </c>
      <c r="I513" s="16" t="b">
        <v>0</v>
      </c>
      <c r="J513" s="9" t="b">
        <v>0</v>
      </c>
      <c r="K513" s="16">
        <v>50.0</v>
      </c>
      <c r="L513" s="16">
        <v>0.0</v>
      </c>
      <c r="M513" s="16">
        <v>117.8</v>
      </c>
      <c r="N513" s="16">
        <v>113.0</v>
      </c>
      <c r="O513" s="16">
        <v>310.0</v>
      </c>
      <c r="P513" s="16">
        <v>10.0</v>
      </c>
      <c r="Q513" s="16"/>
      <c r="R513" s="16"/>
      <c r="S513" s="19">
        <f t="shared" si="2"/>
        <v>50</v>
      </c>
      <c r="T513" s="19">
        <f t="shared" si="3"/>
        <v>97.81658042</v>
      </c>
      <c r="U513" s="20">
        <f t="shared" si="4"/>
        <v>1.224783465</v>
      </c>
      <c r="V513" s="17">
        <f t="shared" si="120"/>
        <v>138.4005316</v>
      </c>
      <c r="W513" s="21">
        <f t="shared" si="5"/>
        <v>4</v>
      </c>
      <c r="X513" s="21">
        <f t="shared" si="6"/>
        <v>692.0026578</v>
      </c>
      <c r="Y513" s="21">
        <f t="shared" si="7"/>
        <v>6.123917325</v>
      </c>
      <c r="Z513" s="8">
        <f t="shared" si="19"/>
        <v>138.4005316</v>
      </c>
      <c r="AA513" s="8">
        <f t="shared" si="118"/>
        <v>156</v>
      </c>
      <c r="AB513" s="13">
        <f t="shared" si="9"/>
        <v>3.12</v>
      </c>
      <c r="AC513" s="13">
        <f t="shared" si="10"/>
        <v>1.127163301</v>
      </c>
      <c r="AD513" s="13">
        <f>AA513/vlookup(A513,Max!$A$2:$AP$700,column(Max!$AP$2),false)</f>
        <v>4.105263158</v>
      </c>
      <c r="AE513" s="8">
        <f t="shared" si="11"/>
        <v>84.17477539</v>
      </c>
      <c r="AF513" s="14">
        <f t="shared" si="12"/>
        <v>1.057751671</v>
      </c>
      <c r="AG513" s="14">
        <f t="shared" si="13"/>
        <v>1.755830837</v>
      </c>
      <c r="AH513" s="14">
        <f t="shared" si="14"/>
        <v>1</v>
      </c>
      <c r="AI513" s="14">
        <f t="shared" si="15"/>
        <v>1</v>
      </c>
      <c r="AJ513" s="15">
        <f t="shared" si="16"/>
        <v>0</v>
      </c>
      <c r="AK513" s="15" t="str">
        <f t="shared" si="17"/>
        <v>  @CONFIG[Aeon1-SL] {
   %cost = 156
   @cost -= #$../../cost$
  }</v>
      </c>
    </row>
    <row r="514" ht="15.75" customHeight="1">
      <c r="A514" s="7" t="s">
        <v>43</v>
      </c>
      <c r="B514" s="7" t="s">
        <v>44</v>
      </c>
      <c r="C514" s="8">
        <f t="shared" si="1"/>
        <v>79</v>
      </c>
      <c r="D514" s="47">
        <v>2023.0</v>
      </c>
      <c r="E514" s="7"/>
      <c r="F514" s="7" t="b">
        <v>1</v>
      </c>
      <c r="G514" s="7" t="b">
        <v>0</v>
      </c>
      <c r="H514" s="7" t="b">
        <v>0</v>
      </c>
      <c r="I514" s="7" t="b">
        <v>0</v>
      </c>
      <c r="J514" s="9" t="b">
        <v>0</v>
      </c>
      <c r="K514" s="7">
        <v>50.0</v>
      </c>
      <c r="L514" s="7">
        <v>10.0</v>
      </c>
      <c r="M514" s="7">
        <v>117.8</v>
      </c>
      <c r="N514" s="7">
        <v>132.5</v>
      </c>
      <c r="O514" s="7">
        <v>363.5</v>
      </c>
      <c r="P514" s="7">
        <v>10.0</v>
      </c>
      <c r="Q514" s="7"/>
      <c r="R514" s="7"/>
      <c r="S514" s="10">
        <f t="shared" si="2"/>
        <v>60</v>
      </c>
      <c r="T514" s="10">
        <f t="shared" si="3"/>
        <v>114.6964328</v>
      </c>
      <c r="U514" s="11">
        <f t="shared" si="4"/>
        <v>1.122230398</v>
      </c>
      <c r="V514" s="8">
        <f t="shared" si="120"/>
        <v>148.6955277</v>
      </c>
      <c r="W514" s="12">
        <f t="shared" si="5"/>
        <v>4</v>
      </c>
      <c r="X514" s="12">
        <f t="shared" si="6"/>
        <v>743.4776385</v>
      </c>
      <c r="Y514" s="12">
        <f t="shared" si="7"/>
        <v>5.611151988</v>
      </c>
      <c r="Z514" s="8">
        <f t="shared" si="19"/>
        <v>148.6955277</v>
      </c>
      <c r="AA514" s="8">
        <f t="shared" si="118"/>
        <v>235</v>
      </c>
      <c r="AB514" s="13">
        <f t="shared" si="9"/>
        <v>3.916666667</v>
      </c>
      <c r="AC514" s="13">
        <f t="shared" si="10"/>
        <v>1.58041068</v>
      </c>
      <c r="AD514" s="13">
        <f>AA514/vlookup(A514,Max!$A$2:$AP$700,column(Max!$AP$2),false)</f>
        <v>2.797619048</v>
      </c>
      <c r="AE514" s="8">
        <f t="shared" si="11"/>
        <v>84.17477539</v>
      </c>
      <c r="AF514" s="14">
        <f t="shared" si="12"/>
        <v>1.592447752</v>
      </c>
      <c r="AG514" s="14">
        <f t="shared" si="13"/>
        <v>1.755830837</v>
      </c>
      <c r="AH514" s="14">
        <f t="shared" si="14"/>
        <v>1</v>
      </c>
      <c r="AI514" s="14">
        <f t="shared" si="15"/>
        <v>1</v>
      </c>
      <c r="AJ514" s="27">
        <f t="shared" si="16"/>
        <v>79</v>
      </c>
      <c r="AK514" s="15" t="str">
        <f t="shared" si="17"/>
        <v>  @CONFIG[Aeon1-Vac] {
   %cost = 235
   @cost -= #$../../cost$
  }</v>
      </c>
    </row>
    <row r="515" ht="15.75" customHeight="1">
      <c r="A515" s="16" t="s">
        <v>97</v>
      </c>
      <c r="B515" s="16" t="s">
        <v>97</v>
      </c>
      <c r="C515" s="8">
        <f t="shared" si="1"/>
        <v>1132</v>
      </c>
      <c r="D515" s="46">
        <v>1972.0</v>
      </c>
      <c r="E515" s="16"/>
      <c r="F515" s="16" t="b">
        <v>0</v>
      </c>
      <c r="G515" s="16" t="b">
        <v>0</v>
      </c>
      <c r="H515" s="16" t="b">
        <v>0</v>
      </c>
      <c r="I515" s="16" t="b">
        <v>0</v>
      </c>
      <c r="J515" s="9" t="b">
        <v>0</v>
      </c>
      <c r="K515" s="16">
        <v>1500.0</v>
      </c>
      <c r="L515" s="16">
        <v>0.0</v>
      </c>
      <c r="M515" s="16">
        <v>7931.0</v>
      </c>
      <c r="N515" s="16">
        <v>6521.1</v>
      </c>
      <c r="O515" s="16">
        <v>289.8</v>
      </c>
      <c r="P515" s="16">
        <v>1.72</v>
      </c>
      <c r="Q515" s="16"/>
      <c r="R515" s="16"/>
      <c r="S515" s="19">
        <f t="shared" si="2"/>
        <v>1500</v>
      </c>
      <c r="T515" s="19">
        <f t="shared" si="3"/>
        <v>83.84404712</v>
      </c>
      <c r="U515" s="20">
        <f t="shared" si="4"/>
        <v>0.2280018378</v>
      </c>
      <c r="V515" s="17">
        <f t="shared" si="120"/>
        <v>1486.822784</v>
      </c>
      <c r="W515" s="21">
        <f t="shared" si="5"/>
        <v>1.75</v>
      </c>
      <c r="X515" s="21">
        <f t="shared" si="6"/>
        <v>4088.762657</v>
      </c>
      <c r="Y515" s="21">
        <f t="shared" si="7"/>
        <v>0.6270050539</v>
      </c>
      <c r="Z515" s="8">
        <f t="shared" si="19"/>
        <v>1486.822784</v>
      </c>
      <c r="AA515" s="8">
        <f t="shared" si="118"/>
        <v>1132</v>
      </c>
      <c r="AB515" s="13">
        <f t="shared" si="9"/>
        <v>0.7546666667</v>
      </c>
      <c r="AC515" s="13">
        <f t="shared" si="10"/>
        <v>0.7613550263</v>
      </c>
      <c r="AD515" s="13">
        <f>AA515/vlookup(A515,Max!$A$2:$AP$700,column(Max!$AP$2),false)</f>
        <v>0.6658823529</v>
      </c>
      <c r="AE515" s="8">
        <f t="shared" si="11"/>
        <v>1124.660842</v>
      </c>
      <c r="AF515" s="14">
        <f t="shared" si="12"/>
        <v>0.9721773138</v>
      </c>
      <c r="AG515" s="14">
        <f t="shared" si="13"/>
        <v>1.035478787</v>
      </c>
      <c r="AH515" s="14">
        <f t="shared" si="14"/>
        <v>1</v>
      </c>
      <c r="AI515" s="14">
        <f t="shared" si="15"/>
        <v>1</v>
      </c>
      <c r="AJ515" s="15">
        <f t="shared" si="16"/>
        <v>0</v>
      </c>
      <c r="AK515" s="15" t="str">
        <f t="shared" si="17"/>
        <v>  @CONFIG[AJ1200] {
   %cost = 1132
   @cost -= #$../../cost$
  }</v>
      </c>
    </row>
    <row r="516" ht="15.75" customHeight="1">
      <c r="A516" s="7" t="s">
        <v>98</v>
      </c>
      <c r="B516" s="7" t="s">
        <v>98</v>
      </c>
      <c r="C516" s="8">
        <f t="shared" si="1"/>
        <v>4527</v>
      </c>
      <c r="D516" s="47">
        <v>2002.0</v>
      </c>
      <c r="E516" s="7" t="b">
        <v>1</v>
      </c>
      <c r="F516" s="7" t="b">
        <v>1</v>
      </c>
      <c r="G516" s="7" t="b">
        <v>0</v>
      </c>
      <c r="H516" s="7" t="b">
        <v>0</v>
      </c>
      <c r="I516" s="7" t="b">
        <v>0</v>
      </c>
      <c r="J516" s="9" t="b">
        <v>0</v>
      </c>
      <c r="K516" s="7">
        <v>6000.0</v>
      </c>
      <c r="L516" s="7">
        <v>0.0</v>
      </c>
      <c r="M516" s="7">
        <v>2001.6</v>
      </c>
      <c r="N516" s="7">
        <v>2165.7</v>
      </c>
      <c r="O516" s="7">
        <v>457.2</v>
      </c>
      <c r="P516" s="7">
        <v>27.58</v>
      </c>
      <c r="Q516" s="7"/>
      <c r="R516" s="7"/>
      <c r="S516" s="10">
        <f t="shared" si="2"/>
        <v>6000</v>
      </c>
      <c r="T516" s="10">
        <f t="shared" si="3"/>
        <v>110.3317044</v>
      </c>
      <c r="U516" s="11">
        <f t="shared" si="4"/>
        <v>2.033737084</v>
      </c>
      <c r="V516" s="8">
        <f t="shared" ref="V516:V517" si="121">0.9*(0.00015*M516*O516*P516+797)+0.1*(43.1*POWER(M516,0.549))</f>
        <v>4404.464403</v>
      </c>
      <c r="W516" s="12">
        <f t="shared" si="5"/>
        <v>4</v>
      </c>
      <c r="X516" s="12">
        <f t="shared" si="6"/>
        <v>22022.32202</v>
      </c>
      <c r="Y516" s="12">
        <f t="shared" si="7"/>
        <v>10.16868542</v>
      </c>
      <c r="Z516" s="8">
        <f t="shared" si="19"/>
        <v>4404.464403</v>
      </c>
      <c r="AA516" s="8">
        <f t="shared" si="118"/>
        <v>4527</v>
      </c>
      <c r="AB516" s="13">
        <f t="shared" si="9"/>
        <v>0.7545</v>
      </c>
      <c r="AC516" s="13">
        <f t="shared" si="10"/>
        <v>1.027820771</v>
      </c>
      <c r="AD516" s="13">
        <f>AA516/vlookup(A516,Max!$A$2:$AP$700,column(Max!$AP$2),false)</f>
        <v>1.561034483</v>
      </c>
      <c r="AE516" s="8">
        <f t="shared" si="11"/>
        <v>526.4780767</v>
      </c>
      <c r="AF516" s="14">
        <f t="shared" si="12"/>
        <v>3.611920473</v>
      </c>
      <c r="AG516" s="14">
        <f t="shared" si="13"/>
        <v>2.380460343</v>
      </c>
      <c r="AH516" s="14">
        <f t="shared" si="14"/>
        <v>1</v>
      </c>
      <c r="AI516" s="14">
        <f t="shared" si="15"/>
        <v>1</v>
      </c>
      <c r="AJ516" s="15">
        <f t="shared" si="16"/>
        <v>0</v>
      </c>
      <c r="AK516" s="15" t="str">
        <f t="shared" si="17"/>
        <v>  @CONFIG[ALCE] {
   %cost = 4527
   @cost -= #$../../cost$
  }</v>
      </c>
    </row>
    <row r="517" ht="15.75" customHeight="1">
      <c r="A517" s="16" t="s">
        <v>121</v>
      </c>
      <c r="B517" s="16" t="s">
        <v>121</v>
      </c>
      <c r="C517" s="8">
        <f t="shared" si="1"/>
        <v>4639</v>
      </c>
      <c r="D517" s="18">
        <v>2016.0</v>
      </c>
      <c r="E517" s="16" t="b">
        <v>1</v>
      </c>
      <c r="F517" s="16" t="b">
        <v>1</v>
      </c>
      <c r="G517" s="16" t="b">
        <v>0</v>
      </c>
      <c r="H517" s="16" t="b">
        <v>1</v>
      </c>
      <c r="I517" s="16" t="b">
        <v>0</v>
      </c>
      <c r="J517" s="9" t="b">
        <v>1</v>
      </c>
      <c r="K517" s="16"/>
      <c r="L517" s="16"/>
      <c r="M517" s="16">
        <v>3670.0</v>
      </c>
      <c r="N517" s="16">
        <v>111.6</v>
      </c>
      <c r="O517" s="16">
        <v>894.0</v>
      </c>
      <c r="P517" s="16">
        <v>6.89</v>
      </c>
      <c r="Q517" s="16">
        <v>1.0</v>
      </c>
      <c r="R517" s="16">
        <v>1.0</v>
      </c>
      <c r="S517" s="19">
        <f t="shared" si="2"/>
        <v>0</v>
      </c>
      <c r="T517" s="19">
        <f t="shared" si="3"/>
        <v>3.100826404</v>
      </c>
      <c r="U517" s="20">
        <f t="shared" si="4"/>
        <v>37.27128852</v>
      </c>
      <c r="V517" s="17">
        <f t="shared" si="121"/>
        <v>4159.475798</v>
      </c>
      <c r="W517" s="21">
        <f t="shared" si="5"/>
        <v>4</v>
      </c>
      <c r="X517" s="21">
        <f t="shared" si="6"/>
        <v>20797.37899</v>
      </c>
      <c r="Y517" s="21">
        <f t="shared" si="7"/>
        <v>186.3564426</v>
      </c>
      <c r="Z517" s="8">
        <f t="shared" si="19"/>
        <v>4242.665314</v>
      </c>
      <c r="AA517" s="8">
        <f t="shared" si="118"/>
        <v>4639</v>
      </c>
      <c r="AB517" s="13" t="str">
        <f t="shared" si="9"/>
        <v>#N/A</v>
      </c>
      <c r="AC517" s="13">
        <f t="shared" si="10"/>
        <v>1.093416439</v>
      </c>
      <c r="AD517" s="13">
        <f>AA517/vlookup(A517,Max!$A$2:$AP$700,column(Max!$AP$2),false)</f>
        <v>1.220789474</v>
      </c>
      <c r="AE517" s="8">
        <f t="shared" si="11"/>
        <v>748.5994825</v>
      </c>
      <c r="AF517" s="14">
        <f t="shared" si="12"/>
        <v>2.154164912</v>
      </c>
      <c r="AG517" s="14">
        <f t="shared" si="13"/>
        <v>1.402688799</v>
      </c>
      <c r="AH517" s="14">
        <f t="shared" si="14"/>
        <v>2</v>
      </c>
      <c r="AI517" s="14">
        <f t="shared" si="15"/>
        <v>1.025444154</v>
      </c>
      <c r="AJ517" s="15">
        <f t="shared" si="16"/>
        <v>0</v>
      </c>
      <c r="AK517" s="15" t="str">
        <f t="shared" si="17"/>
        <v>  @CONFIG[BNTR25k] {
   %cost = 4639
   @cost -= #$../../cost$
  }</v>
      </c>
    </row>
    <row r="518" ht="15.75" customHeight="1">
      <c r="A518" s="16" t="s">
        <v>126</v>
      </c>
      <c r="B518" s="16" t="s">
        <v>127</v>
      </c>
      <c r="C518" s="8">
        <f t="shared" si="1"/>
        <v>1665</v>
      </c>
      <c r="D518" s="18">
        <v>2012.0</v>
      </c>
      <c r="E518" s="16"/>
      <c r="F518" s="16" t="b">
        <v>1</v>
      </c>
      <c r="G518" s="16" t="b">
        <v>0</v>
      </c>
      <c r="H518" s="16" t="b">
        <v>0</v>
      </c>
      <c r="I518" s="16" t="b">
        <v>0</v>
      </c>
      <c r="J518" s="9" t="b">
        <v>0</v>
      </c>
      <c r="K518" s="16"/>
      <c r="L518" s="16"/>
      <c r="M518" s="16">
        <v>4183.4</v>
      </c>
      <c r="N518" s="16">
        <v>2926.0</v>
      </c>
      <c r="O518" s="16">
        <v>249.9</v>
      </c>
      <c r="P518" s="16">
        <v>27.6</v>
      </c>
      <c r="Q518" s="16">
        <v>1.0</v>
      </c>
      <c r="R518" s="16">
        <v>1.0</v>
      </c>
      <c r="S518" s="19">
        <f t="shared" si="2"/>
        <v>0</v>
      </c>
      <c r="T518" s="19">
        <f t="shared" si="3"/>
        <v>71.32212149</v>
      </c>
      <c r="U518" s="20">
        <f t="shared" si="4"/>
        <v>0.3992613402</v>
      </c>
      <c r="V518" s="17">
        <f>0.2*(8.17*POWER(M518*P518,0.46))+0.8*(0.146*POWER(M518*O518,0.639))</f>
        <v>1168.238681</v>
      </c>
      <c r="W518" s="21">
        <f t="shared" si="5"/>
        <v>4</v>
      </c>
      <c r="X518" s="21">
        <f t="shared" si="6"/>
        <v>5841.193407</v>
      </c>
      <c r="Y518" s="21">
        <f t="shared" si="7"/>
        <v>1.996306701</v>
      </c>
      <c r="Z518" s="8">
        <f t="shared" si="19"/>
        <v>1191.603455</v>
      </c>
      <c r="AA518" s="8">
        <f t="shared" si="118"/>
        <v>1665</v>
      </c>
      <c r="AB518" s="13" t="str">
        <f t="shared" si="9"/>
        <v>#N/A</v>
      </c>
      <c r="AC518" s="13">
        <f t="shared" si="10"/>
        <v>1.397276915</v>
      </c>
      <c r="AD518" s="13">
        <f>AA518/vlookup(A518,Max!$A$2:$AP$700,column(Max!$AP$2),false)</f>
        <v>1.074193548</v>
      </c>
      <c r="AE518" s="8">
        <f t="shared" si="11"/>
        <v>754.3212269</v>
      </c>
      <c r="AF518" s="14">
        <f t="shared" si="12"/>
        <v>0.9039680595</v>
      </c>
      <c r="AG518" s="14">
        <f t="shared" si="13"/>
        <v>2.380978078</v>
      </c>
      <c r="AH518" s="14">
        <f t="shared" si="14"/>
        <v>1</v>
      </c>
      <c r="AI518" s="14">
        <f t="shared" si="15"/>
        <v>1.025444154</v>
      </c>
      <c r="AJ518" s="15">
        <f t="shared" si="16"/>
        <v>0</v>
      </c>
      <c r="AK518" s="15" t="str">
        <f t="shared" si="17"/>
        <v>  @CONFIG[DFMMHPE-1] {
   %cost = 1665
   @cost -= #$../../cost$
  }</v>
      </c>
    </row>
    <row r="519" ht="15.75" customHeight="1">
      <c r="A519" s="7" t="s">
        <v>128</v>
      </c>
      <c r="B519" s="7" t="s">
        <v>127</v>
      </c>
      <c r="C519" s="8">
        <f t="shared" si="1"/>
        <v>5001</v>
      </c>
      <c r="D519" s="9">
        <v>2012.0</v>
      </c>
      <c r="E519" s="7" t="b">
        <v>1</v>
      </c>
      <c r="F519" s="7" t="b">
        <v>1</v>
      </c>
      <c r="G519" s="7" t="b">
        <v>0</v>
      </c>
      <c r="H519" s="7" t="b">
        <v>0</v>
      </c>
      <c r="I519" s="7" t="b">
        <v>0</v>
      </c>
      <c r="J519" s="9" t="b">
        <v>0</v>
      </c>
      <c r="K519" s="7"/>
      <c r="L519" s="7"/>
      <c r="M519" s="7">
        <v>4183.4</v>
      </c>
      <c r="N519" s="7">
        <v>2292.0</v>
      </c>
      <c r="O519" s="7">
        <v>459.2</v>
      </c>
      <c r="P519" s="7">
        <v>20.7</v>
      </c>
      <c r="Q519" s="7">
        <v>1.0</v>
      </c>
      <c r="R519" s="7">
        <v>1.0</v>
      </c>
      <c r="S519" s="10">
        <f t="shared" si="2"/>
        <v>0</v>
      </c>
      <c r="T519" s="10">
        <f t="shared" si="3"/>
        <v>55.86818266</v>
      </c>
      <c r="U519" s="11">
        <f t="shared" si="4"/>
        <v>2.838153982</v>
      </c>
      <c r="V519" s="8">
        <f t="shared" ref="V519:V520" si="122">0.9*(0.00015*M519*O519*P519+797)+0.1*(43.1*POWER(M519,0.549))</f>
        <v>6505.048926</v>
      </c>
      <c r="W519" s="12">
        <f t="shared" si="5"/>
        <v>4</v>
      </c>
      <c r="X519" s="12">
        <f t="shared" si="6"/>
        <v>32525.24463</v>
      </c>
      <c r="Y519" s="12">
        <f t="shared" si="7"/>
        <v>14.19076991</v>
      </c>
      <c r="Z519" s="8">
        <f t="shared" si="19"/>
        <v>6635.149904</v>
      </c>
      <c r="AA519" s="8">
        <f t="shared" si="118"/>
        <v>6666</v>
      </c>
      <c r="AB519" s="13" t="str">
        <f t="shared" si="9"/>
        <v>#N/A</v>
      </c>
      <c r="AC519" s="13">
        <f t="shared" si="10"/>
        <v>1.004649495</v>
      </c>
      <c r="AD519" s="13">
        <f>AA519/vlookup(A519,Max!$A$2:$AP$700,column(Max!$AP$2),false)</f>
        <v>1.129830508</v>
      </c>
      <c r="AE519" s="8">
        <f t="shared" si="11"/>
        <v>808.5239442</v>
      </c>
      <c r="AF519" s="14">
        <f t="shared" si="12"/>
        <v>3.681130543</v>
      </c>
      <c r="AG519" s="14">
        <f t="shared" si="13"/>
        <v>2.184106321</v>
      </c>
      <c r="AH519" s="14">
        <f t="shared" si="14"/>
        <v>1</v>
      </c>
      <c r="AI519" s="14">
        <f t="shared" si="15"/>
        <v>1.025444154</v>
      </c>
      <c r="AJ519" s="27">
        <f t="shared" si="16"/>
        <v>5001</v>
      </c>
      <c r="AK519" s="15" t="str">
        <f t="shared" si="17"/>
        <v>  @CONFIG[DFMMHPE-2] {
   %cost = 6666
   @cost -= #$../../cost$
  }</v>
      </c>
    </row>
    <row r="520" ht="15.75" customHeight="1">
      <c r="A520" s="16" t="s">
        <v>181</v>
      </c>
      <c r="B520" s="16" t="s">
        <v>181</v>
      </c>
      <c r="C520" s="8">
        <f t="shared" si="1"/>
        <v>11489</v>
      </c>
      <c r="D520" s="18">
        <v>2018.0</v>
      </c>
      <c r="E520" s="16" t="b">
        <v>1</v>
      </c>
      <c r="F520" s="16" t="b">
        <v>1</v>
      </c>
      <c r="G520" s="16" t="b">
        <v>0</v>
      </c>
      <c r="H520" s="16" t="b">
        <v>1</v>
      </c>
      <c r="I520" s="16" t="b">
        <v>0</v>
      </c>
      <c r="J520" s="9" t="b">
        <v>1</v>
      </c>
      <c r="K520" s="16"/>
      <c r="L520" s="16"/>
      <c r="M520" s="16">
        <v>2900.0</v>
      </c>
      <c r="N520" s="16">
        <v>266.89</v>
      </c>
      <c r="O520" s="16">
        <v>1082.0</v>
      </c>
      <c r="P520" s="16">
        <v>11.19</v>
      </c>
      <c r="Q520" s="16">
        <v>1.0</v>
      </c>
      <c r="R520" s="16">
        <v>1.0</v>
      </c>
      <c r="S520" s="19">
        <f t="shared" si="2"/>
        <v>0</v>
      </c>
      <c r="T520" s="19">
        <f t="shared" si="3"/>
        <v>9.384553769</v>
      </c>
      <c r="U520" s="20">
        <f t="shared" si="4"/>
        <v>21.73348154</v>
      </c>
      <c r="V520" s="17">
        <f t="shared" si="122"/>
        <v>5800.448887</v>
      </c>
      <c r="W520" s="21">
        <f t="shared" si="5"/>
        <v>4</v>
      </c>
      <c r="X520" s="21">
        <f t="shared" si="6"/>
        <v>29002.24444</v>
      </c>
      <c r="Y520" s="21">
        <f t="shared" si="7"/>
        <v>108.6674077</v>
      </c>
      <c r="Z520" s="8">
        <f t="shared" si="19"/>
        <v>5916.457865</v>
      </c>
      <c r="AA520" s="8">
        <f t="shared" si="118"/>
        <v>11489</v>
      </c>
      <c r="AB520" s="13" t="str">
        <f t="shared" si="9"/>
        <v>#N/A</v>
      </c>
      <c r="AC520" s="13">
        <f t="shared" si="10"/>
        <v>1.941871346</v>
      </c>
      <c r="AD520" s="13">
        <f>AA520/vlookup(A520,Max!$A$2:$AP$700,column(Max!$AP$2),false)</f>
        <v>0.8837692308</v>
      </c>
      <c r="AE520" s="8">
        <f t="shared" si="11"/>
        <v>652.33627</v>
      </c>
      <c r="AF520" s="14">
        <f t="shared" si="12"/>
        <v>5.489420734</v>
      </c>
      <c r="AG520" s="14">
        <f t="shared" si="13"/>
        <v>1.564403481</v>
      </c>
      <c r="AH520" s="14">
        <f t="shared" si="14"/>
        <v>2</v>
      </c>
      <c r="AI520" s="14">
        <f t="shared" si="15"/>
        <v>1.025444154</v>
      </c>
      <c r="AJ520" s="15">
        <f t="shared" si="16"/>
        <v>0</v>
      </c>
      <c r="AK520" s="15" t="str">
        <f t="shared" si="17"/>
        <v>  @CONFIG[INsTAR] {
   %cost = 11489
   @cost -= #$../../cost$
  }</v>
      </c>
    </row>
    <row r="521" ht="15.75" customHeight="1">
      <c r="A521" s="7" t="s">
        <v>182</v>
      </c>
      <c r="B521" s="7" t="s">
        <v>183</v>
      </c>
      <c r="C521" s="8">
        <f t="shared" si="1"/>
        <v>7</v>
      </c>
      <c r="D521" s="9">
        <v>2018.0</v>
      </c>
      <c r="E521" s="7"/>
      <c r="F521" s="7" t="b">
        <v>0</v>
      </c>
      <c r="G521" s="7" t="b">
        <v>0</v>
      </c>
      <c r="H521" s="7" t="b">
        <v>0</v>
      </c>
      <c r="I521" s="7" t="b">
        <v>1</v>
      </c>
      <c r="J521" s="9" t="b">
        <v>0</v>
      </c>
      <c r="K521" s="7">
        <v>50.0</v>
      </c>
      <c r="L521" s="7">
        <v>0.0</v>
      </c>
      <c r="M521" s="7">
        <v>0.75</v>
      </c>
      <c r="N521" s="7">
        <v>0.445</v>
      </c>
      <c r="O521" s="7">
        <v>302.0</v>
      </c>
      <c r="P521" s="7">
        <v>1.61</v>
      </c>
      <c r="Q521" s="7">
        <v>1.0</v>
      </c>
      <c r="R521" s="7">
        <v>1.0</v>
      </c>
      <c r="S521" s="10">
        <f t="shared" si="2"/>
        <v>50</v>
      </c>
      <c r="T521" s="10">
        <f t="shared" si="3"/>
        <v>60.50316179</v>
      </c>
      <c r="U521" s="11">
        <f t="shared" si="4"/>
        <v>12.39865643</v>
      </c>
      <c r="V521" s="8">
        <f>0.2*(8.17*POWER(M521*P521,0.46))+0.8*(0.146*POWER(M521*O521,0.639))</f>
        <v>5.51740211</v>
      </c>
      <c r="W521" s="12">
        <f t="shared" si="5"/>
        <v>1.75</v>
      </c>
      <c r="X521" s="12">
        <f t="shared" si="6"/>
        <v>15.1728558</v>
      </c>
      <c r="Y521" s="12">
        <f t="shared" si="7"/>
        <v>34.09630517</v>
      </c>
      <c r="Z521" s="8">
        <f t="shared" si="19"/>
        <v>8.441625228</v>
      </c>
      <c r="AA521" s="8">
        <f t="shared" si="118"/>
        <v>7</v>
      </c>
      <c r="AB521" s="13">
        <f t="shared" si="9"/>
        <v>0.14</v>
      </c>
      <c r="AC521" s="13">
        <f t="shared" si="10"/>
        <v>0.8292242087</v>
      </c>
      <c r="AD521" s="13">
        <f>AA521/vlookup(A521,Max!$A$2:$AP$700,column(Max!$AP$2),false)</f>
        <v>1.272727273</v>
      </c>
      <c r="AE521" s="8">
        <f t="shared" si="11"/>
        <v>4.363808482</v>
      </c>
      <c r="AF521" s="14">
        <f t="shared" si="12"/>
        <v>1.007095326</v>
      </c>
      <c r="AG521" s="14">
        <f t="shared" si="13"/>
        <v>1.015150505</v>
      </c>
      <c r="AH521" s="14">
        <f t="shared" si="14"/>
        <v>1.5</v>
      </c>
      <c r="AI521" s="14">
        <f t="shared" si="15"/>
        <v>1.025444154</v>
      </c>
      <c r="AJ521" s="15">
        <f t="shared" si="16"/>
        <v>0</v>
      </c>
      <c r="AK521" s="15" t="str">
        <f t="shared" si="17"/>
        <v>  @CONFIG[ISE-100] {
   %cost = 7
   @cost -= #$../../cost$
  }</v>
      </c>
    </row>
    <row r="522" ht="15.75" customHeight="1">
      <c r="A522" s="16" t="s">
        <v>207</v>
      </c>
      <c r="B522" s="16" t="s">
        <v>207</v>
      </c>
      <c r="C522" s="8">
        <f t="shared" si="1"/>
        <v>1345</v>
      </c>
      <c r="D522" s="16"/>
      <c r="E522" s="16" t="b">
        <v>1</v>
      </c>
      <c r="F522" s="16" t="b">
        <v>1</v>
      </c>
      <c r="G522" s="16" t="b">
        <v>0</v>
      </c>
      <c r="H522" s="16" t="b">
        <v>1</v>
      </c>
      <c r="I522" s="16" t="b">
        <v>0</v>
      </c>
      <c r="J522" s="9" t="b">
        <v>1</v>
      </c>
      <c r="K522" s="16">
        <v>769.0</v>
      </c>
      <c r="L522" s="16">
        <v>0.0</v>
      </c>
      <c r="M522" s="16">
        <v>12080.0</v>
      </c>
      <c r="N522" s="16">
        <v>29.3</v>
      </c>
      <c r="O522" s="16">
        <v>768.0</v>
      </c>
      <c r="P522" s="16">
        <v>1.415</v>
      </c>
      <c r="Q522" s="16">
        <v>1.0</v>
      </c>
      <c r="R522" s="16">
        <v>1.0</v>
      </c>
      <c r="S522" s="19">
        <f t="shared" si="2"/>
        <v>769</v>
      </c>
      <c r="T522" s="19">
        <f t="shared" si="3"/>
        <v>0.2473318291</v>
      </c>
      <c r="U522" s="20">
        <f t="shared" si="4"/>
        <v>110.5916853</v>
      </c>
      <c r="V522" s="17">
        <f t="shared" ref="V522:V523" si="123">0.9*(0.00015*M522*O522*P522+797)+0.1*(43.1*POWER(M522,0.549))</f>
        <v>3240.33638</v>
      </c>
      <c r="W522" s="21">
        <f t="shared" si="5"/>
        <v>4</v>
      </c>
      <c r="X522" s="21">
        <f t="shared" si="6"/>
        <v>16201.6819</v>
      </c>
      <c r="Y522" s="21">
        <f t="shared" si="7"/>
        <v>552.9584266</v>
      </c>
      <c r="Z522" s="8">
        <f t="shared" si="19"/>
        <v>3305.143107</v>
      </c>
      <c r="AA522" s="8">
        <f t="shared" si="118"/>
        <v>1345</v>
      </c>
      <c r="AB522" s="13">
        <f t="shared" si="9"/>
        <v>1.749024707</v>
      </c>
      <c r="AC522" s="13">
        <f t="shared" si="10"/>
        <v>0.4069415321</v>
      </c>
      <c r="AD522" s="13">
        <f>AA522/vlookup(A522,Max!$A$2:$AP$700,column(Max!$AP$2),false)</f>
        <v>2.537735849</v>
      </c>
      <c r="AE522" s="8">
        <f t="shared" si="11"/>
        <v>1524.980681</v>
      </c>
      <c r="AF522" s="14">
        <f t="shared" si="12"/>
        <v>0.4489806538</v>
      </c>
      <c r="AG522" s="14">
        <f t="shared" si="13"/>
        <v>0.9823860868</v>
      </c>
      <c r="AH522" s="14">
        <f t="shared" si="14"/>
        <v>2</v>
      </c>
      <c r="AI522" s="14">
        <f t="shared" si="15"/>
        <v>1</v>
      </c>
      <c r="AJ522" s="15">
        <f t="shared" si="16"/>
        <v>0</v>
      </c>
      <c r="AK522" s="15" t="str">
        <f t="shared" si="17"/>
        <v>  @CONFIG[KIWIA24] {
   %cost = 1345
   @cost -= #$../../cost$
  }</v>
      </c>
    </row>
    <row r="523" ht="15.75" customHeight="1">
      <c r="A523" s="7" t="s">
        <v>208</v>
      </c>
      <c r="B523" s="7" t="s">
        <v>208</v>
      </c>
      <c r="C523" s="8">
        <f t="shared" si="1"/>
        <v>5437</v>
      </c>
      <c r="D523" s="7"/>
      <c r="E523" s="7" t="b">
        <v>1</v>
      </c>
      <c r="F523" s="7" t="b">
        <v>1</v>
      </c>
      <c r="G523" s="7" t="b">
        <v>0</v>
      </c>
      <c r="H523" s="7" t="b">
        <v>1</v>
      </c>
      <c r="I523" s="7" t="b">
        <v>0</v>
      </c>
      <c r="J523" s="9" t="b">
        <v>1</v>
      </c>
      <c r="K523" s="7">
        <v>1646.0</v>
      </c>
      <c r="L523" s="7">
        <v>0.0</v>
      </c>
      <c r="M523" s="7">
        <v>14890.0</v>
      </c>
      <c r="N523" s="7">
        <v>220.0</v>
      </c>
      <c r="O523" s="7">
        <v>830.0</v>
      </c>
      <c r="P523" s="7">
        <v>3.61</v>
      </c>
      <c r="Q523" s="7">
        <v>1.0</v>
      </c>
      <c r="R523" s="7">
        <v>1.0</v>
      </c>
      <c r="S523" s="10">
        <f t="shared" si="2"/>
        <v>1646</v>
      </c>
      <c r="T523" s="10">
        <f t="shared" si="3"/>
        <v>1.506632412</v>
      </c>
      <c r="U523" s="11">
        <f t="shared" si="4"/>
        <v>34.46580014</v>
      </c>
      <c r="V523" s="8">
        <f t="shared" si="123"/>
        <v>7582.476031</v>
      </c>
      <c r="W523" s="12">
        <f t="shared" si="5"/>
        <v>4</v>
      </c>
      <c r="X523" s="12">
        <f t="shared" si="6"/>
        <v>37912.38016</v>
      </c>
      <c r="Y523" s="12">
        <f t="shared" si="7"/>
        <v>172.3290007</v>
      </c>
      <c r="Z523" s="8">
        <f t="shared" si="19"/>
        <v>7734.125552</v>
      </c>
      <c r="AA523" s="8">
        <f t="shared" si="118"/>
        <v>5437</v>
      </c>
      <c r="AB523" s="13">
        <f t="shared" si="9"/>
        <v>3.303159174</v>
      </c>
      <c r="AC523" s="13">
        <f t="shared" si="10"/>
        <v>0.7029883293</v>
      </c>
      <c r="AD523" s="13">
        <f>AA523/vlookup(A523,Max!$A$2:$AP$700,column(Max!$AP$2),false)</f>
        <v>1.647575758</v>
      </c>
      <c r="AE523" s="8">
        <f t="shared" si="11"/>
        <v>1731.681806</v>
      </c>
      <c r="AF523" s="14">
        <f t="shared" si="12"/>
        <v>1.294270407</v>
      </c>
      <c r="AG523" s="14">
        <f t="shared" si="13"/>
        <v>1.212833333</v>
      </c>
      <c r="AH523" s="14">
        <f t="shared" si="14"/>
        <v>2</v>
      </c>
      <c r="AI523" s="14">
        <f t="shared" si="15"/>
        <v>1</v>
      </c>
      <c r="AJ523" s="15">
        <f t="shared" si="16"/>
        <v>0</v>
      </c>
      <c r="AK523" s="15" t="str">
        <f t="shared" si="17"/>
        <v>  @CONFIG[KIWIB48] {
   %cost = 5437
   @cost -= #$../../cost$
  }</v>
      </c>
    </row>
    <row r="524" ht="15.75" customHeight="1">
      <c r="A524" s="16" t="s">
        <v>209</v>
      </c>
      <c r="B524" s="16" t="s">
        <v>210</v>
      </c>
      <c r="C524" s="8">
        <f t="shared" si="1"/>
        <v>79</v>
      </c>
      <c r="D524" s="18">
        <v>1975.0</v>
      </c>
      <c r="E524" s="16"/>
      <c r="F524" s="16" t="b">
        <v>1</v>
      </c>
      <c r="G524" s="16" t="b">
        <v>0</v>
      </c>
      <c r="H524" s="16" t="b">
        <v>0</v>
      </c>
      <c r="I524" s="16" t="b">
        <v>0</v>
      </c>
      <c r="J524" s="9" t="b">
        <v>0</v>
      </c>
      <c r="K524" s="16"/>
      <c r="L524" s="16"/>
      <c r="M524" s="16">
        <v>52.0</v>
      </c>
      <c r="N524" s="16">
        <v>4.38</v>
      </c>
      <c r="O524" s="16">
        <v>317.0</v>
      </c>
      <c r="P524" s="16">
        <v>3.92</v>
      </c>
      <c r="Q524" s="16">
        <v>0.99966</v>
      </c>
      <c r="R524" s="16">
        <v>0.99966</v>
      </c>
      <c r="S524" s="19">
        <f t="shared" si="2"/>
        <v>0</v>
      </c>
      <c r="T524" s="19">
        <f t="shared" si="3"/>
        <v>8.589148077</v>
      </c>
      <c r="U524" s="20">
        <f t="shared" si="4"/>
        <v>17.50874548</v>
      </c>
      <c r="V524" s="17">
        <f t="shared" ref="V524:V528" si="124">0.2*(8.17*POWER(M524*P524,0.46))+0.8*(0.146*POWER(M524*O524,0.639))</f>
        <v>76.6883052</v>
      </c>
      <c r="W524" s="21">
        <f t="shared" si="5"/>
        <v>4</v>
      </c>
      <c r="X524" s="21">
        <f t="shared" si="6"/>
        <v>383.441526</v>
      </c>
      <c r="Y524" s="21">
        <f t="shared" si="7"/>
        <v>87.54372739</v>
      </c>
      <c r="Z524" s="8">
        <f t="shared" si="19"/>
        <v>78.16993212</v>
      </c>
      <c r="AA524" s="8">
        <f t="shared" si="118"/>
        <v>79</v>
      </c>
      <c r="AB524" s="13" t="str">
        <f t="shared" si="9"/>
        <v>#N/A</v>
      </c>
      <c r="AC524" s="13">
        <f t="shared" si="10"/>
        <v>1.010618762</v>
      </c>
      <c r="AD524" s="13">
        <f>AA524/vlookup(A524,Max!$A$2:$AP$700,column(Max!$AP$2),false)</f>
        <v>6.583333333</v>
      </c>
      <c r="AE524" s="8">
        <f t="shared" si="11"/>
        <v>51.47592973</v>
      </c>
      <c r="AF524" s="14">
        <f t="shared" si="12"/>
        <v>1.123541165</v>
      </c>
      <c r="AG524" s="14">
        <f t="shared" si="13"/>
        <v>1.325770931</v>
      </c>
      <c r="AH524" s="14">
        <f t="shared" si="14"/>
        <v>1</v>
      </c>
      <c r="AI524" s="14">
        <f t="shared" si="15"/>
        <v>1.024572749</v>
      </c>
      <c r="AJ524" s="15">
        <f t="shared" si="16"/>
        <v>0</v>
      </c>
      <c r="AK524" s="15" t="str">
        <f t="shared" si="17"/>
        <v>  @CONFIG[KRD-442] {
   %cost = 79
   @cost -= #$../../cost$
  }</v>
      </c>
    </row>
    <row r="525" ht="15.75" customHeight="1">
      <c r="A525" s="7" t="s">
        <v>211</v>
      </c>
      <c r="B525" s="7" t="s">
        <v>212</v>
      </c>
      <c r="C525" s="8">
        <f t="shared" si="1"/>
        <v>85</v>
      </c>
      <c r="D525" s="9">
        <v>1975.0</v>
      </c>
      <c r="E525" s="7"/>
      <c r="F525" s="7" t="b">
        <v>1</v>
      </c>
      <c r="G525" s="7" t="b">
        <v>0</v>
      </c>
      <c r="H525" s="7" t="b">
        <v>0</v>
      </c>
      <c r="I525" s="7" t="b">
        <v>0</v>
      </c>
      <c r="J525" s="9" t="b">
        <v>0</v>
      </c>
      <c r="K525" s="7"/>
      <c r="L525" s="7"/>
      <c r="M525" s="7">
        <v>42.0</v>
      </c>
      <c r="N525" s="7">
        <v>18.81</v>
      </c>
      <c r="O525" s="7">
        <v>313.0</v>
      </c>
      <c r="P525" s="7">
        <v>9.22</v>
      </c>
      <c r="Q525" s="7">
        <v>0.996512</v>
      </c>
      <c r="R525" s="7">
        <v>0.991176</v>
      </c>
      <c r="S525" s="10">
        <f t="shared" si="2"/>
        <v>0</v>
      </c>
      <c r="T525" s="10">
        <f t="shared" si="3"/>
        <v>45.66871883</v>
      </c>
      <c r="U525" s="11">
        <f t="shared" si="4"/>
        <v>4.007395744</v>
      </c>
      <c r="V525" s="8">
        <f t="shared" si="124"/>
        <v>75.37911394</v>
      </c>
      <c r="W525" s="12">
        <f t="shared" si="5"/>
        <v>4</v>
      </c>
      <c r="X525" s="12">
        <f t="shared" si="6"/>
        <v>376.8955697</v>
      </c>
      <c r="Y525" s="12">
        <f t="shared" si="7"/>
        <v>20.03697872</v>
      </c>
      <c r="Z525" s="8">
        <f t="shared" si="19"/>
        <v>75.96094859</v>
      </c>
      <c r="AA525" s="8">
        <f t="shared" si="118"/>
        <v>85</v>
      </c>
      <c r="AB525" s="13" t="str">
        <f t="shared" si="9"/>
        <v>#N/A</v>
      </c>
      <c r="AC525" s="13">
        <f t="shared" si="10"/>
        <v>1.118996031</v>
      </c>
      <c r="AD525" s="13">
        <f>AA525/vlookup(A525,Max!$A$2:$AP$700,column(Max!$AP$2),false)</f>
        <v>18.47826087</v>
      </c>
      <c r="AE525" s="8">
        <f t="shared" si="11"/>
        <v>45.30552878</v>
      </c>
      <c r="AF525" s="14">
        <f t="shared" si="12"/>
        <v>1.086108856</v>
      </c>
      <c r="AG525" s="14">
        <f t="shared" si="13"/>
        <v>1.713570388</v>
      </c>
      <c r="AH525" s="14">
        <f t="shared" si="14"/>
        <v>1</v>
      </c>
      <c r="AI525" s="14">
        <f t="shared" si="15"/>
        <v>1.002972343</v>
      </c>
      <c r="AJ525" s="15">
        <f t="shared" si="16"/>
        <v>0</v>
      </c>
      <c r="AK525" s="15" t="str">
        <f t="shared" si="17"/>
        <v>  @CONFIG[KRD-61] {
   %cost = 85
   @cost -= #$../../cost$
  }</v>
      </c>
    </row>
    <row r="526" ht="15.75" customHeight="1">
      <c r="A526" s="16" t="s">
        <v>213</v>
      </c>
      <c r="B526" s="16" t="s">
        <v>214</v>
      </c>
      <c r="C526" s="8">
        <f t="shared" si="1"/>
        <v>45</v>
      </c>
      <c r="D526" s="18">
        <v>1975.0</v>
      </c>
      <c r="E526" s="16"/>
      <c r="F526" s="16" t="b">
        <v>0</v>
      </c>
      <c r="G526" s="16" t="b">
        <v>0</v>
      </c>
      <c r="H526" s="16" t="b">
        <v>0</v>
      </c>
      <c r="I526" s="16" t="b">
        <v>0</v>
      </c>
      <c r="J526" s="9" t="b">
        <v>0</v>
      </c>
      <c r="K526" s="16"/>
      <c r="L526" s="16"/>
      <c r="M526" s="16">
        <v>38.5</v>
      </c>
      <c r="N526" s="16">
        <v>3.09</v>
      </c>
      <c r="O526" s="16">
        <v>293.7</v>
      </c>
      <c r="P526" s="16">
        <v>1.75</v>
      </c>
      <c r="Q526" s="16">
        <v>0.99966</v>
      </c>
      <c r="R526" s="16">
        <v>0.99966</v>
      </c>
      <c r="S526" s="19">
        <f t="shared" si="2"/>
        <v>0</v>
      </c>
      <c r="T526" s="19">
        <f t="shared" si="3"/>
        <v>8.184215815</v>
      </c>
      <c r="U526" s="20">
        <f t="shared" si="4"/>
        <v>18.37681985</v>
      </c>
      <c r="V526" s="17">
        <f t="shared" si="124"/>
        <v>56.78437335</v>
      </c>
      <c r="W526" s="21">
        <f t="shared" si="5"/>
        <v>1.75</v>
      </c>
      <c r="X526" s="21">
        <f t="shared" si="6"/>
        <v>156.1570267</v>
      </c>
      <c r="Y526" s="21">
        <f t="shared" si="7"/>
        <v>50.5362546</v>
      </c>
      <c r="Z526" s="8">
        <f t="shared" si="19"/>
        <v>57.88145401</v>
      </c>
      <c r="AA526" s="8">
        <f t="shared" si="118"/>
        <v>45</v>
      </c>
      <c r="AB526" s="13" t="str">
        <f t="shared" si="9"/>
        <v>#N/A</v>
      </c>
      <c r="AC526" s="13">
        <f t="shared" si="10"/>
        <v>0.7774510985</v>
      </c>
      <c r="AD526" s="13">
        <f>AA526/vlookup(A526,Max!$A$2:$AP$700,column(Max!$AP$2),false)</f>
        <v>5</v>
      </c>
      <c r="AE526" s="8">
        <f t="shared" si="11"/>
        <v>43.01298539</v>
      </c>
      <c r="AF526" s="14">
        <f t="shared" si="12"/>
        <v>0.9821842913</v>
      </c>
      <c r="AG526" s="14">
        <f t="shared" si="13"/>
        <v>1.040864237</v>
      </c>
      <c r="AH526" s="14">
        <f t="shared" si="14"/>
        <v>1</v>
      </c>
      <c r="AI526" s="14">
        <f t="shared" si="15"/>
        <v>1.024572749</v>
      </c>
      <c r="AJ526" s="15">
        <f t="shared" si="16"/>
        <v>0</v>
      </c>
      <c r="AK526" s="15" t="str">
        <f t="shared" si="17"/>
        <v>  @CONFIG[KRD-79] {
   %cost = 45
   @cost -= #$../../cost$
  }</v>
      </c>
    </row>
    <row r="527" ht="15.75" customHeight="1">
      <c r="A527" s="7" t="s">
        <v>218</v>
      </c>
      <c r="B527" s="7" t="s">
        <v>219</v>
      </c>
      <c r="C527" s="8">
        <f t="shared" si="1"/>
        <v>123</v>
      </c>
      <c r="D527" s="9">
        <v>1970.0</v>
      </c>
      <c r="E527" s="7"/>
      <c r="F527" s="7" t="b">
        <v>1</v>
      </c>
      <c r="G527" s="7" t="b">
        <v>0</v>
      </c>
      <c r="H527" s="7" t="b">
        <v>0</v>
      </c>
      <c r="I527" s="7" t="b">
        <v>1</v>
      </c>
      <c r="J527" s="9" t="b">
        <v>0</v>
      </c>
      <c r="K527" s="7"/>
      <c r="L527" s="7"/>
      <c r="M527" s="7">
        <v>40.0</v>
      </c>
      <c r="N527" s="7">
        <v>16.37</v>
      </c>
      <c r="O527" s="7">
        <v>314.0</v>
      </c>
      <c r="P527" s="7">
        <v>8.3</v>
      </c>
      <c r="Q527" s="7">
        <v>0.996521</v>
      </c>
      <c r="R527" s="7">
        <v>0.998177</v>
      </c>
      <c r="S527" s="10">
        <f t="shared" si="2"/>
        <v>0</v>
      </c>
      <c r="T527" s="10">
        <f t="shared" si="3"/>
        <v>41.73188589</v>
      </c>
      <c r="U527" s="11">
        <f t="shared" si="4"/>
        <v>4.411134762</v>
      </c>
      <c r="V527" s="8">
        <f t="shared" si="124"/>
        <v>72.21027606</v>
      </c>
      <c r="W527" s="12">
        <f t="shared" si="5"/>
        <v>4</v>
      </c>
      <c r="X527" s="12">
        <f t="shared" si="6"/>
        <v>361.0513803</v>
      </c>
      <c r="Y527" s="12">
        <f t="shared" si="7"/>
        <v>22.05567381</v>
      </c>
      <c r="Z527" s="8">
        <f t="shared" si="19"/>
        <v>109.908121</v>
      </c>
      <c r="AA527" s="8">
        <f t="shared" si="118"/>
        <v>123</v>
      </c>
      <c r="AB527" s="13" t="str">
        <f t="shared" si="9"/>
        <v>#N/A</v>
      </c>
      <c r="AC527" s="13">
        <f t="shared" si="10"/>
        <v>1.119116575</v>
      </c>
      <c r="AD527" s="13">
        <f>AA527/vlookup(A527,Max!$A$2:$AP$700,column(Max!$AP$2),false)</f>
        <v>3.967741935</v>
      </c>
      <c r="AE527" s="8">
        <f t="shared" si="11"/>
        <v>44.00508574</v>
      </c>
      <c r="AF527" s="14">
        <f t="shared" si="12"/>
        <v>1.096711703</v>
      </c>
      <c r="AG527" s="14">
        <f t="shared" si="13"/>
        <v>1.660374672</v>
      </c>
      <c r="AH527" s="14">
        <f t="shared" si="14"/>
        <v>1.5</v>
      </c>
      <c r="AI527" s="14">
        <f t="shared" si="15"/>
        <v>1.02077708</v>
      </c>
      <c r="AJ527" s="15">
        <f t="shared" si="16"/>
        <v>0</v>
      </c>
      <c r="AK527" s="15" t="str">
        <f t="shared" si="17"/>
        <v>  @CONFIG[KTDU-416] {
   %cost = 123
   @cost -= #$../../cost$
  }</v>
      </c>
    </row>
    <row r="528" ht="15.75" customHeight="1">
      <c r="A528" s="16" t="s">
        <v>226</v>
      </c>
      <c r="B528" s="16" t="s">
        <v>227</v>
      </c>
      <c r="C528" s="8">
        <f t="shared" si="1"/>
        <v>68</v>
      </c>
      <c r="D528" s="18">
        <v>1963.0</v>
      </c>
      <c r="E528" s="16"/>
      <c r="F528" s="16" t="b">
        <v>1</v>
      </c>
      <c r="G528" s="16" t="b">
        <v>0</v>
      </c>
      <c r="H528" s="16" t="b">
        <v>0</v>
      </c>
      <c r="I528" s="16" t="b">
        <v>0</v>
      </c>
      <c r="J528" s="9" t="b">
        <v>0</v>
      </c>
      <c r="K528" s="16">
        <v>100.0</v>
      </c>
      <c r="L528" s="16"/>
      <c r="M528" s="16">
        <v>48.0</v>
      </c>
      <c r="N528" s="16">
        <v>45.77</v>
      </c>
      <c r="O528" s="16">
        <v>287.0</v>
      </c>
      <c r="P528" s="16">
        <v>5.47</v>
      </c>
      <c r="Q528" s="16">
        <v>0.981579</v>
      </c>
      <c r="R528" s="16">
        <v>0.980556</v>
      </c>
      <c r="S528" s="19">
        <f t="shared" si="2"/>
        <v>100</v>
      </c>
      <c r="T528" s="19">
        <f t="shared" si="3"/>
        <v>97.23418944</v>
      </c>
      <c r="U528" s="20">
        <f t="shared" si="4"/>
        <v>1.589509916</v>
      </c>
      <c r="V528" s="17">
        <f t="shared" si="124"/>
        <v>72.75186886</v>
      </c>
      <c r="W528" s="21">
        <f t="shared" si="5"/>
        <v>4</v>
      </c>
      <c r="X528" s="21">
        <f t="shared" si="6"/>
        <v>363.7593443</v>
      </c>
      <c r="Y528" s="21">
        <f t="shared" si="7"/>
        <v>7.947549581</v>
      </c>
      <c r="Z528" s="8">
        <f t="shared" si="19"/>
        <v>71.47821484</v>
      </c>
      <c r="AA528" s="8">
        <f t="shared" si="118"/>
        <v>68</v>
      </c>
      <c r="AB528" s="13">
        <f t="shared" si="9"/>
        <v>0.68</v>
      </c>
      <c r="AC528" s="13">
        <f t="shared" si="10"/>
        <v>0.9513388122</v>
      </c>
      <c r="AD528" s="13">
        <f>AA528/vlookup(A528,Max!$A$2:$AP$700,column(Max!$AP$2),false)</f>
        <v>13.33333333</v>
      </c>
      <c r="AE528" s="8">
        <f t="shared" si="11"/>
        <v>49.06878764</v>
      </c>
      <c r="AF528" s="14">
        <f t="shared" si="12"/>
        <v>0.965438477</v>
      </c>
      <c r="AG528" s="14">
        <f t="shared" si="13"/>
        <v>1.465139139</v>
      </c>
      <c r="AH528" s="14">
        <f t="shared" si="14"/>
        <v>1</v>
      </c>
      <c r="AI528" s="14">
        <f t="shared" si="15"/>
        <v>0.9763218686</v>
      </c>
      <c r="AJ528" s="15">
        <f t="shared" si="16"/>
        <v>0</v>
      </c>
      <c r="AK528" s="15" t="str">
        <f t="shared" si="17"/>
        <v>  @CONFIG[KTDU-5A] {
   %cost = 68
   @cost -= #$../../cost$
  }</v>
      </c>
    </row>
    <row r="529" ht="15.75" customHeight="1">
      <c r="A529" s="7" t="s">
        <v>1058</v>
      </c>
      <c r="B529" s="7" t="s">
        <v>259</v>
      </c>
      <c r="C529" s="8">
        <f t="shared" si="1"/>
        <v>1485</v>
      </c>
      <c r="D529" s="7"/>
      <c r="E529" s="7" t="b">
        <v>1</v>
      </c>
      <c r="F529" s="7" t="b">
        <v>0</v>
      </c>
      <c r="G529" s="7" t="b">
        <v>0</v>
      </c>
      <c r="H529" s="7" t="b">
        <v>1</v>
      </c>
      <c r="I529" s="7" t="b">
        <v>0</v>
      </c>
      <c r="J529" s="9" t="b">
        <v>1</v>
      </c>
      <c r="K529" s="7"/>
      <c r="L529" s="7">
        <v>0.0</v>
      </c>
      <c r="M529" s="7">
        <v>2277.0</v>
      </c>
      <c r="N529" s="7">
        <v>47.596</v>
      </c>
      <c r="O529" s="7">
        <v>1037.0</v>
      </c>
      <c r="P529" s="7">
        <v>0.103</v>
      </c>
      <c r="Q529" s="7">
        <v>1.0</v>
      </c>
      <c r="R529" s="7">
        <v>1.0</v>
      </c>
      <c r="S529" s="10">
        <f t="shared" si="2"/>
        <v>0</v>
      </c>
      <c r="T529" s="10">
        <f t="shared" si="3"/>
        <v>2.131506927</v>
      </c>
      <c r="U529" s="11">
        <f t="shared" si="4"/>
        <v>22.07143819</v>
      </c>
      <c r="V529" s="8">
        <f t="shared" ref="V529:V530" si="125">0.9*(0.00015*M529*O529*P529+797)+0.1*(43.1*POWER(M529,0.549))</f>
        <v>1050.512172</v>
      </c>
      <c r="W529" s="12">
        <f t="shared" si="5"/>
        <v>1.75</v>
      </c>
      <c r="X529" s="12">
        <f t="shared" si="6"/>
        <v>2888.908473</v>
      </c>
      <c r="Y529" s="12">
        <f t="shared" si="7"/>
        <v>60.69645502</v>
      </c>
      <c r="Z529" s="8">
        <f t="shared" si="19"/>
        <v>1071.522416</v>
      </c>
      <c r="AA529" s="8">
        <f t="shared" si="118"/>
        <v>1485</v>
      </c>
      <c r="AB529" s="13" t="str">
        <f t="shared" si="9"/>
        <v>#N/A</v>
      </c>
      <c r="AC529" s="13">
        <f t="shared" si="10"/>
        <v>1.385878614</v>
      </c>
      <c r="AD529" s="13">
        <f>AA529/vlookup(A529,Max!$A$2:$AP$700,column(Max!$AP$2),false)</f>
        <v>0.4640625</v>
      </c>
      <c r="AE529" s="8">
        <f t="shared" si="11"/>
        <v>567.0204888</v>
      </c>
      <c r="AF529" s="14">
        <f t="shared" si="12"/>
        <v>2.403068056</v>
      </c>
      <c r="AG529" s="14">
        <f t="shared" si="13"/>
        <v>0.5448166603</v>
      </c>
      <c r="AH529" s="14">
        <f t="shared" si="14"/>
        <v>2</v>
      </c>
      <c r="AI529" s="14">
        <f t="shared" si="15"/>
        <v>1</v>
      </c>
      <c r="AJ529" s="15">
        <f t="shared" si="16"/>
        <v>0</v>
      </c>
      <c r="AK529" s="15" t="str">
        <f t="shared" si="17"/>
        <v>  @CONFIG[LPNTR-3200] {
   %cost = 1485
   @cost -= #$../../cost$
  }</v>
      </c>
    </row>
    <row r="530" ht="15.75" customHeight="1">
      <c r="A530" s="16" t="s">
        <v>1059</v>
      </c>
      <c r="B530" s="16" t="s">
        <v>259</v>
      </c>
      <c r="C530" s="8">
        <f t="shared" si="1"/>
        <v>447</v>
      </c>
      <c r="D530" s="16"/>
      <c r="E530" s="16" t="b">
        <v>1</v>
      </c>
      <c r="F530" s="16" t="b">
        <v>0</v>
      </c>
      <c r="G530" s="16" t="b">
        <v>0</v>
      </c>
      <c r="H530" s="16" t="b">
        <v>1</v>
      </c>
      <c r="I530" s="16" t="b">
        <v>0</v>
      </c>
      <c r="J530" s="9" t="b">
        <v>1</v>
      </c>
      <c r="K530" s="16"/>
      <c r="L530" s="16">
        <v>5000.0</v>
      </c>
      <c r="M530" s="16">
        <v>2277.0</v>
      </c>
      <c r="N530" s="16">
        <v>47.596</v>
      </c>
      <c r="O530" s="16">
        <v>1183.0</v>
      </c>
      <c r="P530" s="16">
        <v>0.103</v>
      </c>
      <c r="Q530" s="16">
        <v>1.0</v>
      </c>
      <c r="R530" s="16">
        <v>1.0</v>
      </c>
      <c r="S530" s="19">
        <f t="shared" si="2"/>
        <v>5000</v>
      </c>
      <c r="T530" s="19">
        <f t="shared" si="3"/>
        <v>2.131506927</v>
      </c>
      <c r="U530" s="20">
        <f t="shared" si="4"/>
        <v>22.16855992</v>
      </c>
      <c r="V530" s="17">
        <f t="shared" si="125"/>
        <v>1055.134778</v>
      </c>
      <c r="W530" s="21">
        <f t="shared" si="5"/>
        <v>1.75</v>
      </c>
      <c r="X530" s="21">
        <f t="shared" si="6"/>
        <v>2901.62064</v>
      </c>
      <c r="Y530" s="21">
        <f t="shared" si="7"/>
        <v>60.96353979</v>
      </c>
      <c r="Z530" s="8">
        <f t="shared" si="19"/>
        <v>1076.237474</v>
      </c>
      <c r="AA530" s="8">
        <f t="shared" si="118"/>
        <v>1932</v>
      </c>
      <c r="AB530" s="13">
        <f t="shared" si="9"/>
        <v>0.3864</v>
      </c>
      <c r="AC530" s="13">
        <f t="shared" si="10"/>
        <v>1.795142845</v>
      </c>
      <c r="AD530" s="13">
        <f>AA530/vlookup(A530,Max!$A$2:$AP$700,column(Max!$AP$2),false)</f>
        <v>0.42</v>
      </c>
      <c r="AE530" s="8">
        <f t="shared" si="11"/>
        <v>567.0204888</v>
      </c>
      <c r="AF530" s="14">
        <f t="shared" si="12"/>
        <v>3.127361222</v>
      </c>
      <c r="AG530" s="14">
        <f t="shared" si="13"/>
        <v>0.5448166603</v>
      </c>
      <c r="AH530" s="14">
        <f t="shared" si="14"/>
        <v>2</v>
      </c>
      <c r="AI530" s="14">
        <f t="shared" si="15"/>
        <v>1</v>
      </c>
      <c r="AJ530" s="27">
        <f t="shared" si="16"/>
        <v>447</v>
      </c>
      <c r="AK530" s="15" t="str">
        <f t="shared" si="17"/>
        <v>  @CONFIG[LPNTR-3600] {
   %cost = 1932
   @cost -= #$../../cost$
  }</v>
      </c>
    </row>
    <row r="531" ht="15.75" customHeight="1">
      <c r="A531" s="16" t="s">
        <v>351</v>
      </c>
      <c r="B531" s="16" t="s">
        <v>351</v>
      </c>
      <c r="C531" s="8">
        <f t="shared" si="1"/>
        <v>2216</v>
      </c>
      <c r="D531" s="18">
        <v>1990.0</v>
      </c>
      <c r="E531" s="16"/>
      <c r="F531" s="16" t="b">
        <v>1</v>
      </c>
      <c r="G531" s="16" t="b">
        <v>0</v>
      </c>
      <c r="H531" s="16" t="b">
        <v>0</v>
      </c>
      <c r="I531" s="16" t="b">
        <v>0</v>
      </c>
      <c r="J531" s="9" t="b">
        <v>0</v>
      </c>
      <c r="K531" s="16"/>
      <c r="L531" s="16"/>
      <c r="M531" s="16">
        <v>3370.0</v>
      </c>
      <c r="N531" s="16">
        <v>2429.0</v>
      </c>
      <c r="O531" s="16">
        <v>355.0</v>
      </c>
      <c r="P531" s="16">
        <v>22.27</v>
      </c>
      <c r="Q531" s="16">
        <v>0.990984</v>
      </c>
      <c r="R531" s="16">
        <v>0.994262</v>
      </c>
      <c r="S531" s="19">
        <f t="shared" si="2"/>
        <v>0</v>
      </c>
      <c r="T531" s="19">
        <f t="shared" si="3"/>
        <v>73.49823959</v>
      </c>
      <c r="U531" s="20">
        <f t="shared" si="4"/>
        <v>0.4855525108</v>
      </c>
      <c r="V531" s="17">
        <f t="shared" ref="V531:V532" si="126">0.2*(8.17*POWER(M531*P531,0.46))+0.8*(0.146*POWER(M531*O531,0.639))</f>
        <v>1179.407049</v>
      </c>
      <c r="W531" s="21">
        <f t="shared" si="5"/>
        <v>4</v>
      </c>
      <c r="X531" s="21">
        <f t="shared" si="6"/>
        <v>5897.035244</v>
      </c>
      <c r="Y531" s="21">
        <f t="shared" si="7"/>
        <v>2.427762554</v>
      </c>
      <c r="Z531" s="8">
        <f t="shared" si="19"/>
        <v>1185.655233</v>
      </c>
      <c r="AA531" s="8">
        <f t="shared" si="118"/>
        <v>2216</v>
      </c>
      <c r="AB531" s="13" t="str">
        <f t="shared" si="9"/>
        <v>#N/A</v>
      </c>
      <c r="AC531" s="13">
        <f t="shared" si="10"/>
        <v>1.869008745</v>
      </c>
      <c r="AD531" s="13">
        <f>AA531/vlookup(A531,Max!$A$2:$AP$700,column(Max!$AP$2),false)</f>
        <v>2.11047619</v>
      </c>
      <c r="AE531" s="8">
        <f t="shared" si="11"/>
        <v>659.3093783</v>
      </c>
      <c r="AF531" s="14">
        <f t="shared" si="12"/>
        <v>1.489430122</v>
      </c>
      <c r="AG531" s="14">
        <f t="shared" si="13"/>
        <v>2.23253737</v>
      </c>
      <c r="AH531" s="14">
        <f t="shared" si="14"/>
        <v>1</v>
      </c>
      <c r="AI531" s="14">
        <f t="shared" si="15"/>
        <v>1.010797401</v>
      </c>
      <c r="AJ531" s="15">
        <f t="shared" si="16"/>
        <v>0</v>
      </c>
      <c r="AK531" s="15" t="str">
        <f t="shared" si="17"/>
        <v>  @CONFIG[LRBE] {
   %cost = 2216
   @cost -= #$../../cost$
  }</v>
      </c>
    </row>
    <row r="532" ht="15.75" customHeight="1">
      <c r="A532" s="7" t="s">
        <v>352</v>
      </c>
      <c r="B532" s="7" t="s">
        <v>351</v>
      </c>
      <c r="C532" s="8">
        <f t="shared" si="1"/>
        <v>31</v>
      </c>
      <c r="D532" s="9">
        <v>2000.0</v>
      </c>
      <c r="E532" s="7"/>
      <c r="F532" s="7" t="b">
        <v>1</v>
      </c>
      <c r="G532" s="7" t="b">
        <v>0</v>
      </c>
      <c r="H532" s="7" t="b">
        <v>0</v>
      </c>
      <c r="I532" s="7" t="b">
        <v>0</v>
      </c>
      <c r="J532" s="9" t="b">
        <v>0</v>
      </c>
      <c r="K532" s="7"/>
      <c r="L532" s="7"/>
      <c r="M532" s="7">
        <v>3586.0</v>
      </c>
      <c r="N532" s="7">
        <v>2473.5</v>
      </c>
      <c r="O532" s="7">
        <v>352.7</v>
      </c>
      <c r="P532" s="7">
        <v>21.02</v>
      </c>
      <c r="Q532" s="7">
        <v>0.998404</v>
      </c>
      <c r="R532" s="7">
        <v>0.998404</v>
      </c>
      <c r="S532" s="10">
        <f t="shared" si="2"/>
        <v>0</v>
      </c>
      <c r="T532" s="10">
        <f t="shared" si="3"/>
        <v>70.33653222</v>
      </c>
      <c r="U532" s="11">
        <f t="shared" si="4"/>
        <v>0.490122392</v>
      </c>
      <c r="V532" s="8">
        <f t="shared" si="126"/>
        <v>1212.317737</v>
      </c>
      <c r="W532" s="12">
        <f t="shared" si="5"/>
        <v>4</v>
      </c>
      <c r="X532" s="12">
        <f t="shared" si="6"/>
        <v>6061.588683</v>
      </c>
      <c r="Y532" s="12">
        <f t="shared" si="7"/>
        <v>2.45061196</v>
      </c>
      <c r="Z532" s="8">
        <f t="shared" si="19"/>
        <v>1232.697461</v>
      </c>
      <c r="AA532" s="8">
        <f t="shared" si="118"/>
        <v>2247</v>
      </c>
      <c r="AB532" s="13" t="str">
        <f t="shared" si="9"/>
        <v>#N/A</v>
      </c>
      <c r="AC532" s="13">
        <f t="shared" si="10"/>
        <v>1.822831693</v>
      </c>
      <c r="AD532" s="13">
        <f>AA532/vlookup(A532,Max!$A$2:$AP$700,column(Max!$AP$2),false)</f>
        <v>1.728461538</v>
      </c>
      <c r="AE532" s="8">
        <f t="shared" si="11"/>
        <v>685.2985682</v>
      </c>
      <c r="AF532" s="14">
        <f t="shared" si="12"/>
        <v>1.463058171</v>
      </c>
      <c r="AG532" s="14">
        <f t="shared" si="13"/>
        <v>2.19418118</v>
      </c>
      <c r="AH532" s="14">
        <f t="shared" si="14"/>
        <v>1</v>
      </c>
      <c r="AI532" s="14">
        <f t="shared" si="15"/>
        <v>1.021357528</v>
      </c>
      <c r="AJ532" s="27">
        <f t="shared" si="16"/>
        <v>31</v>
      </c>
      <c r="AK532" s="15" t="str">
        <f t="shared" si="17"/>
        <v>  @CONFIG[LRBE-BlockII] {
   %cost = 2247
   @cost -= #$../../cost$
  }</v>
      </c>
    </row>
    <row r="533" ht="15.75" customHeight="1">
      <c r="A533" s="16" t="s">
        <v>353</v>
      </c>
      <c r="B533" s="16" t="s">
        <v>353</v>
      </c>
      <c r="C533" s="8">
        <f t="shared" si="1"/>
        <v>17200</v>
      </c>
      <c r="D533" s="16"/>
      <c r="E533" s="16" t="b">
        <v>1</v>
      </c>
      <c r="F533" s="16" t="b">
        <v>1</v>
      </c>
      <c r="G533" s="16" t="b">
        <v>0</v>
      </c>
      <c r="H533" s="16" t="b">
        <v>1</v>
      </c>
      <c r="I533" s="16" t="b">
        <v>0</v>
      </c>
      <c r="J533" s="9" t="b">
        <v>1</v>
      </c>
      <c r="K533" s="16">
        <v>18000.0</v>
      </c>
      <c r="L533" s="16">
        <v>0.0</v>
      </c>
      <c r="M533" s="16">
        <v>7424.0</v>
      </c>
      <c r="N533" s="16">
        <v>145.6</v>
      </c>
      <c r="O533" s="16">
        <v>1400.0</v>
      </c>
      <c r="P533" s="16">
        <v>20.0</v>
      </c>
      <c r="Q533" s="16">
        <v>1.0</v>
      </c>
      <c r="R533" s="16">
        <v>1.0</v>
      </c>
      <c r="S533" s="19">
        <f t="shared" si="2"/>
        <v>18000</v>
      </c>
      <c r="T533" s="19">
        <f t="shared" si="3"/>
        <v>1.999874464</v>
      </c>
      <c r="U533" s="20">
        <f t="shared" si="4"/>
        <v>201.6122362</v>
      </c>
      <c r="V533" s="17">
        <f t="shared" ref="V533:V542" si="127">0.9*(0.00015*M533*O533*P533+797)+0.1*(43.1*POWER(M533,0.549))</f>
        <v>29354.74159</v>
      </c>
      <c r="W533" s="21">
        <f t="shared" si="5"/>
        <v>4</v>
      </c>
      <c r="X533" s="21">
        <f t="shared" si="6"/>
        <v>146773.7079</v>
      </c>
      <c r="Y533" s="21">
        <f t="shared" si="7"/>
        <v>1008.061181</v>
      </c>
      <c r="Z533" s="8">
        <f t="shared" si="19"/>
        <v>29941.83642</v>
      </c>
      <c r="AA533" s="8">
        <f t="shared" si="118"/>
        <v>17200</v>
      </c>
      <c r="AB533" s="13">
        <f t="shared" si="9"/>
        <v>0.9555555556</v>
      </c>
      <c r="AC533" s="13">
        <f t="shared" si="10"/>
        <v>0.5744470632</v>
      </c>
      <c r="AD533" s="13">
        <f>AA533/vlookup(A533,Max!$A$2:$AP$700,column(Max!$AP$2),false)</f>
        <v>1.228571429</v>
      </c>
      <c r="AE533" s="8">
        <f t="shared" si="11"/>
        <v>1137.061391</v>
      </c>
      <c r="AF533" s="14">
        <f t="shared" si="12"/>
        <v>4.242507534</v>
      </c>
      <c r="AG533" s="14">
        <f t="shared" si="13"/>
        <v>1.782763579</v>
      </c>
      <c r="AH533" s="14">
        <f t="shared" si="14"/>
        <v>2</v>
      </c>
      <c r="AI533" s="14">
        <f t="shared" si="15"/>
        <v>1</v>
      </c>
      <c r="AJ533" s="15">
        <f t="shared" si="16"/>
        <v>0</v>
      </c>
      <c r="AK533" s="15" t="str">
        <f t="shared" si="17"/>
        <v>  @CONFIG[LRCLNTR] {
   %cost = 17200
   @cost -= #$../../cost$
  }</v>
      </c>
    </row>
    <row r="534" ht="15.75" customHeight="1">
      <c r="A534" s="16" t="s">
        <v>388</v>
      </c>
      <c r="B534" s="16" t="s">
        <v>388</v>
      </c>
      <c r="C534" s="8">
        <f t="shared" si="1"/>
        <v>5976</v>
      </c>
      <c r="D534" s="16"/>
      <c r="E534" s="16" t="b">
        <v>1</v>
      </c>
      <c r="F534" s="16" t="b">
        <v>1</v>
      </c>
      <c r="G534" s="16" t="b">
        <v>0</v>
      </c>
      <c r="H534" s="16" t="b">
        <v>1</v>
      </c>
      <c r="I534" s="16" t="b">
        <v>0</v>
      </c>
      <c r="J534" s="9" t="b">
        <v>1</v>
      </c>
      <c r="K534" s="16">
        <v>1657.0</v>
      </c>
      <c r="L534" s="16">
        <v>0.0</v>
      </c>
      <c r="M534" s="16">
        <v>11330.0</v>
      </c>
      <c r="N534" s="16">
        <v>243.0</v>
      </c>
      <c r="O534" s="16">
        <v>848.0</v>
      </c>
      <c r="P534" s="16">
        <v>4.15</v>
      </c>
      <c r="Q534" s="16">
        <v>1.0</v>
      </c>
      <c r="R534" s="16">
        <v>1.0</v>
      </c>
      <c r="S534" s="19">
        <f t="shared" si="2"/>
        <v>1657</v>
      </c>
      <c r="T534" s="19">
        <f t="shared" si="3"/>
        <v>2.187034766</v>
      </c>
      <c r="U534" s="20">
        <f t="shared" si="4"/>
        <v>28.08619181</v>
      </c>
      <c r="V534" s="17">
        <f t="shared" si="127"/>
        <v>6824.944609</v>
      </c>
      <c r="W534" s="21">
        <f t="shared" si="5"/>
        <v>4</v>
      </c>
      <c r="X534" s="21">
        <f t="shared" si="6"/>
        <v>34124.72304</v>
      </c>
      <c r="Y534" s="21">
        <f t="shared" si="7"/>
        <v>140.430959</v>
      </c>
      <c r="Z534" s="8">
        <f t="shared" si="19"/>
        <v>6961.443501</v>
      </c>
      <c r="AA534" s="8">
        <f t="shared" si="118"/>
        <v>5976</v>
      </c>
      <c r="AB534" s="13">
        <f t="shared" si="9"/>
        <v>3.606517803</v>
      </c>
      <c r="AC534" s="13">
        <f t="shared" si="10"/>
        <v>0.858442649</v>
      </c>
      <c r="AD534" s="13">
        <f>AA534/vlookup(A534,Max!$A$2:$AP$700,column(Max!$AP$2),false)</f>
        <v>1.067142857</v>
      </c>
      <c r="AE534" s="8">
        <f t="shared" si="11"/>
        <v>1466.884173</v>
      </c>
      <c r="AF534" s="14">
        <f t="shared" si="12"/>
        <v>1.627738858</v>
      </c>
      <c r="AG534" s="14">
        <f t="shared" si="13"/>
        <v>1.251476866</v>
      </c>
      <c r="AH534" s="14">
        <f t="shared" si="14"/>
        <v>2</v>
      </c>
      <c r="AI534" s="14">
        <f t="shared" si="15"/>
        <v>1</v>
      </c>
      <c r="AJ534" s="15">
        <f t="shared" si="16"/>
        <v>0</v>
      </c>
      <c r="AK534" s="15" t="str">
        <f t="shared" si="17"/>
        <v>  @CONFIG[NERVA_NRX] {
   %cost = 5976
   @cost -= #$../../cost$
  }</v>
      </c>
    </row>
    <row r="535" ht="15.75" customHeight="1">
      <c r="A535" s="7" t="s">
        <v>389</v>
      </c>
      <c r="B535" s="7" t="s">
        <v>389</v>
      </c>
      <c r="C535" s="8">
        <f t="shared" si="1"/>
        <v>5788</v>
      </c>
      <c r="D535" s="7"/>
      <c r="E535" s="7" t="b">
        <v>1</v>
      </c>
      <c r="F535" s="7" t="b">
        <v>1</v>
      </c>
      <c r="G535" s="7" t="b">
        <v>0</v>
      </c>
      <c r="H535" s="7" t="b">
        <v>1</v>
      </c>
      <c r="I535" s="7" t="b">
        <v>0</v>
      </c>
      <c r="J535" s="9" t="b">
        <v>1</v>
      </c>
      <c r="K535" s="7">
        <v>1969.0</v>
      </c>
      <c r="L535" s="7">
        <v>0.0</v>
      </c>
      <c r="M535" s="7">
        <v>10380.0</v>
      </c>
      <c r="N535" s="7">
        <v>239.0</v>
      </c>
      <c r="O535" s="7">
        <v>850.0</v>
      </c>
      <c r="P535" s="7">
        <v>3.81</v>
      </c>
      <c r="Q535" s="7">
        <v>1.0</v>
      </c>
      <c r="R535" s="7">
        <v>1.0</v>
      </c>
      <c r="S535" s="10">
        <f t="shared" si="2"/>
        <v>1969</v>
      </c>
      <c r="T535" s="10">
        <f t="shared" si="3"/>
        <v>2.347901485</v>
      </c>
      <c r="U535" s="11">
        <f t="shared" si="4"/>
        <v>24.87965502</v>
      </c>
      <c r="V535" s="8">
        <f t="shared" si="127"/>
        <v>5946.23755</v>
      </c>
      <c r="W535" s="12">
        <f t="shared" si="5"/>
        <v>4</v>
      </c>
      <c r="X535" s="12">
        <f t="shared" si="6"/>
        <v>29731.18775</v>
      </c>
      <c r="Y535" s="12">
        <f t="shared" si="7"/>
        <v>124.3982751</v>
      </c>
      <c r="Z535" s="8">
        <f t="shared" si="19"/>
        <v>6065.162301</v>
      </c>
      <c r="AA535" s="8">
        <f t="shared" si="118"/>
        <v>5788</v>
      </c>
      <c r="AB535" s="13">
        <f t="shared" si="9"/>
        <v>2.93956323</v>
      </c>
      <c r="AC535" s="13">
        <f t="shared" si="10"/>
        <v>0.9543025748</v>
      </c>
      <c r="AD535" s="13">
        <f>AA535/vlookup(A535,Max!$A$2:$AP$700,column(Max!$AP$2),false)</f>
        <v>0.9810169492</v>
      </c>
      <c r="AE535" s="8">
        <f t="shared" si="11"/>
        <v>1391.197753</v>
      </c>
      <c r="AF535" s="14">
        <f t="shared" si="12"/>
        <v>1.69450545</v>
      </c>
      <c r="AG535" s="14">
        <f t="shared" si="13"/>
        <v>1.227637436</v>
      </c>
      <c r="AH535" s="14">
        <f t="shared" si="14"/>
        <v>2</v>
      </c>
      <c r="AI535" s="14">
        <f t="shared" si="15"/>
        <v>1</v>
      </c>
      <c r="AJ535" s="15">
        <f t="shared" si="16"/>
        <v>0</v>
      </c>
      <c r="AK535" s="15" t="str">
        <f t="shared" si="17"/>
        <v>  @CONFIG[NERVA_XE] {
   %cost = 5788
   @cost -= #$../../cost$
  }</v>
      </c>
    </row>
    <row r="536" ht="15.75" customHeight="1">
      <c r="A536" s="7" t="s">
        <v>386</v>
      </c>
      <c r="B536" s="7" t="s">
        <v>387</v>
      </c>
      <c r="C536" s="8">
        <f t="shared" si="1"/>
        <v>7304</v>
      </c>
      <c r="D536" s="7"/>
      <c r="E536" s="7" t="b">
        <v>1</v>
      </c>
      <c r="F536" s="7" t="b">
        <v>1</v>
      </c>
      <c r="G536" s="7" t="b">
        <v>0</v>
      </c>
      <c r="H536" s="7" t="b">
        <v>1</v>
      </c>
      <c r="I536" s="7" t="b">
        <v>0</v>
      </c>
      <c r="J536" s="9" t="b">
        <v>1</v>
      </c>
      <c r="K536" s="7">
        <v>2100.0</v>
      </c>
      <c r="L536" s="7">
        <v>0.0</v>
      </c>
      <c r="M536" s="7">
        <v>10117.0</v>
      </c>
      <c r="N536" s="7">
        <v>334.0</v>
      </c>
      <c r="O536" s="7">
        <v>900.0</v>
      </c>
      <c r="P536" s="7">
        <v>3.1</v>
      </c>
      <c r="Q536" s="7">
        <v>1.0</v>
      </c>
      <c r="R536" s="7">
        <v>1.0</v>
      </c>
      <c r="S536" s="10">
        <f t="shared" si="2"/>
        <v>2100</v>
      </c>
      <c r="T536" s="10">
        <f t="shared" si="3"/>
        <v>3.366464507</v>
      </c>
      <c r="U536" s="11">
        <f t="shared" si="4"/>
        <v>15.59589962</v>
      </c>
      <c r="V536" s="8">
        <f t="shared" si="127"/>
        <v>5209.030472</v>
      </c>
      <c r="W536" s="12">
        <f t="shared" si="5"/>
        <v>4</v>
      </c>
      <c r="X536" s="12">
        <f t="shared" si="6"/>
        <v>26045.15236</v>
      </c>
      <c r="Y536" s="12">
        <f t="shared" si="7"/>
        <v>77.97949808</v>
      </c>
      <c r="Z536" s="8">
        <f t="shared" si="19"/>
        <v>5313.211081</v>
      </c>
      <c r="AA536" s="8">
        <f t="shared" si="118"/>
        <v>7304</v>
      </c>
      <c r="AB536" s="13">
        <f t="shared" si="9"/>
        <v>3.478095238</v>
      </c>
      <c r="AC536" s="13">
        <f t="shared" si="10"/>
        <v>1.374686586</v>
      </c>
      <c r="AD536" s="13">
        <f>AA536/vlookup(A536,Max!$A$2:$AP$700,column(Max!$AP$2),false)</f>
        <v>0.83</v>
      </c>
      <c r="AE536" s="8">
        <f t="shared" si="11"/>
        <v>1369.794632</v>
      </c>
      <c r="AF536" s="14">
        <f t="shared" si="12"/>
        <v>2.274768587</v>
      </c>
      <c r="AG536" s="14">
        <f t="shared" si="13"/>
        <v>1.171975101</v>
      </c>
      <c r="AH536" s="14">
        <f t="shared" si="14"/>
        <v>2</v>
      </c>
      <c r="AI536" s="14">
        <f t="shared" si="15"/>
        <v>1</v>
      </c>
      <c r="AJ536" s="15">
        <f t="shared" si="16"/>
        <v>0</v>
      </c>
      <c r="AK536" s="15" t="str">
        <f t="shared" si="17"/>
        <v>  @CONFIG[NERVA-I] {
   %cost = 7304
   @cost -= #$../../cost$
  }</v>
      </c>
    </row>
    <row r="537" ht="15.75" customHeight="1">
      <c r="A537" s="16" t="s">
        <v>390</v>
      </c>
      <c r="B537" s="16" t="s">
        <v>391</v>
      </c>
      <c r="C537" s="8">
        <f t="shared" si="1"/>
        <v>11596</v>
      </c>
      <c r="D537" s="16"/>
      <c r="E537" s="16" t="b">
        <v>1</v>
      </c>
      <c r="F537" s="16" t="b">
        <v>1</v>
      </c>
      <c r="G537" s="16" t="b">
        <v>0</v>
      </c>
      <c r="H537" s="16" t="b">
        <v>1</v>
      </c>
      <c r="I537" s="16" t="b">
        <v>0</v>
      </c>
      <c r="J537" s="9" t="b">
        <v>1</v>
      </c>
      <c r="K537" s="16">
        <v>7200.0</v>
      </c>
      <c r="L537" s="16">
        <v>0.0</v>
      </c>
      <c r="M537" s="16">
        <v>12940.0</v>
      </c>
      <c r="N537" s="16">
        <v>867.0</v>
      </c>
      <c r="O537" s="16">
        <v>850.0</v>
      </c>
      <c r="P537" s="16">
        <v>4.3</v>
      </c>
      <c r="Q537" s="16">
        <v>1.0</v>
      </c>
      <c r="R537" s="16">
        <v>1.0</v>
      </c>
      <c r="S537" s="19">
        <f t="shared" si="2"/>
        <v>7200</v>
      </c>
      <c r="T537" s="19">
        <f t="shared" si="3"/>
        <v>6.832256214</v>
      </c>
      <c r="U537" s="20">
        <f t="shared" si="4"/>
        <v>9.091029376</v>
      </c>
      <c r="V537" s="17">
        <f t="shared" si="127"/>
        <v>7881.922469</v>
      </c>
      <c r="W537" s="21">
        <f t="shared" si="5"/>
        <v>4</v>
      </c>
      <c r="X537" s="21">
        <f t="shared" si="6"/>
        <v>39409.61234</v>
      </c>
      <c r="Y537" s="21">
        <f t="shared" si="7"/>
        <v>45.45514688</v>
      </c>
      <c r="Z537" s="8">
        <f t="shared" si="19"/>
        <v>8039.560918</v>
      </c>
      <c r="AA537" s="8">
        <f t="shared" si="118"/>
        <v>11596</v>
      </c>
      <c r="AB537" s="13">
        <f t="shared" si="9"/>
        <v>1.610555556</v>
      </c>
      <c r="AC537" s="13">
        <f t="shared" si="10"/>
        <v>1.442367328</v>
      </c>
      <c r="AD537" s="13">
        <f>AA537/vlookup(A537,Max!$A$2:$AP$700,column(Max!$AP$2),false)</f>
        <v>0.6442222222</v>
      </c>
      <c r="AE537" s="8">
        <f t="shared" si="11"/>
        <v>1589.97353</v>
      </c>
      <c r="AF537" s="14">
        <f t="shared" si="12"/>
        <v>2.890580755</v>
      </c>
      <c r="AG537" s="14">
        <f t="shared" si="13"/>
        <v>1.261514964</v>
      </c>
      <c r="AH537" s="14">
        <f t="shared" si="14"/>
        <v>2</v>
      </c>
      <c r="AI537" s="14">
        <f t="shared" si="15"/>
        <v>1</v>
      </c>
      <c r="AJ537" s="15">
        <f t="shared" si="16"/>
        <v>0</v>
      </c>
      <c r="AK537" s="15" t="str">
        <f t="shared" si="17"/>
        <v>  @CONFIG[NERVA-II] {
   %cost = 11596
   @cost -= #$../../cost$
  }</v>
      </c>
    </row>
    <row r="538" ht="15.75" customHeight="1">
      <c r="A538" s="16" t="s">
        <v>417</v>
      </c>
      <c r="B538" s="16" t="s">
        <v>417</v>
      </c>
      <c r="C538" s="8">
        <f t="shared" si="1"/>
        <v>3965</v>
      </c>
      <c r="D538" s="16"/>
      <c r="E538" s="16" t="b">
        <v>1</v>
      </c>
      <c r="F538" s="16" t="b">
        <v>1</v>
      </c>
      <c r="G538" s="16" t="b">
        <v>0</v>
      </c>
      <c r="H538" s="16" t="b">
        <v>1</v>
      </c>
      <c r="I538" s="16" t="b">
        <v>0</v>
      </c>
      <c r="J538" s="9" t="b">
        <v>1</v>
      </c>
      <c r="K538" s="16">
        <v>673.0</v>
      </c>
      <c r="L538" s="16">
        <v>0.0</v>
      </c>
      <c r="M538" s="16">
        <v>2230.0</v>
      </c>
      <c r="N538" s="16">
        <v>111.0</v>
      </c>
      <c r="O538" s="16">
        <v>901.0</v>
      </c>
      <c r="P538" s="16">
        <v>4.34</v>
      </c>
      <c r="Q538" s="16">
        <v>1.0</v>
      </c>
      <c r="R538" s="16">
        <v>1.0</v>
      </c>
      <c r="S538" s="19">
        <f t="shared" si="2"/>
        <v>673</v>
      </c>
      <c r="T538" s="19">
        <f t="shared" si="3"/>
        <v>5.075717458</v>
      </c>
      <c r="U538" s="20">
        <f t="shared" si="4"/>
        <v>19.74294557</v>
      </c>
      <c r="V538" s="17">
        <f t="shared" si="127"/>
        <v>2191.466958</v>
      </c>
      <c r="W538" s="21">
        <f t="shared" si="5"/>
        <v>4</v>
      </c>
      <c r="X538" s="21">
        <f t="shared" si="6"/>
        <v>10957.33479</v>
      </c>
      <c r="Y538" s="21">
        <f t="shared" si="7"/>
        <v>98.71472784</v>
      </c>
      <c r="Z538" s="8">
        <f t="shared" si="19"/>
        <v>2235.296297</v>
      </c>
      <c r="AA538" s="8">
        <f t="shared" si="118"/>
        <v>3965</v>
      </c>
      <c r="AB538" s="13">
        <f t="shared" si="9"/>
        <v>5.891530461</v>
      </c>
      <c r="AC538" s="13">
        <f t="shared" si="10"/>
        <v>1.77381406</v>
      </c>
      <c r="AD538" s="13">
        <f>AA538/vlookup(A538,Max!$A$2:$AP$700,column(Max!$AP$2),false)</f>
        <v>1.166176471</v>
      </c>
      <c r="AE538" s="8">
        <f t="shared" si="11"/>
        <v>560.2411538</v>
      </c>
      <c r="AF538" s="14">
        <f t="shared" si="12"/>
        <v>2.799390502</v>
      </c>
      <c r="AG538" s="14">
        <f t="shared" si="13"/>
        <v>1.264145879</v>
      </c>
      <c r="AH538" s="14">
        <f t="shared" si="14"/>
        <v>2</v>
      </c>
      <c r="AI538" s="14">
        <f t="shared" si="15"/>
        <v>1</v>
      </c>
      <c r="AJ538" s="15">
        <f t="shared" si="16"/>
        <v>0</v>
      </c>
      <c r="AK538" s="15" t="str">
        <f t="shared" si="17"/>
        <v>  @CONFIG[PEWEE100] {
   %cost = 3965
   @cost -= #$../../cost$
  }</v>
      </c>
    </row>
    <row r="539" ht="15.75" customHeight="1">
      <c r="A539" s="7" t="s">
        <v>418</v>
      </c>
      <c r="B539" s="7" t="s">
        <v>418</v>
      </c>
      <c r="C539" s="8">
        <f t="shared" si="1"/>
        <v>6048</v>
      </c>
      <c r="D539" s="7"/>
      <c r="E539" s="7" t="b">
        <v>1</v>
      </c>
      <c r="F539" s="7" t="b">
        <v>1</v>
      </c>
      <c r="G539" s="7" t="b">
        <v>0</v>
      </c>
      <c r="H539" s="7" t="b">
        <v>1</v>
      </c>
      <c r="I539" s="7" t="b">
        <v>0</v>
      </c>
      <c r="J539" s="9" t="b">
        <v>1</v>
      </c>
      <c r="K539" s="7">
        <v>1988.0</v>
      </c>
      <c r="L539" s="7">
        <v>0.0</v>
      </c>
      <c r="M539" s="7">
        <v>9140.0</v>
      </c>
      <c r="N539" s="7">
        <v>299.0</v>
      </c>
      <c r="O539" s="7">
        <v>828.0</v>
      </c>
      <c r="P539" s="7">
        <v>3.77</v>
      </c>
      <c r="Q539" s="7">
        <v>1.0</v>
      </c>
      <c r="R539" s="7">
        <v>1.0</v>
      </c>
      <c r="S539" s="10">
        <f t="shared" si="2"/>
        <v>1988</v>
      </c>
      <c r="T539" s="10">
        <f t="shared" si="3"/>
        <v>3.335833116</v>
      </c>
      <c r="U539" s="11">
        <f t="shared" si="4"/>
        <v>17.43550714</v>
      </c>
      <c r="V539" s="8">
        <f t="shared" si="127"/>
        <v>5213.216634</v>
      </c>
      <c r="W539" s="12">
        <f t="shared" si="5"/>
        <v>4</v>
      </c>
      <c r="X539" s="12">
        <f t="shared" si="6"/>
        <v>26066.08317</v>
      </c>
      <c r="Y539" s="12">
        <f t="shared" si="7"/>
        <v>87.17753569</v>
      </c>
      <c r="Z539" s="8">
        <f t="shared" si="19"/>
        <v>5317.480967</v>
      </c>
      <c r="AA539" s="8">
        <f t="shared" si="118"/>
        <v>6048</v>
      </c>
      <c r="AB539" s="13">
        <f t="shared" si="9"/>
        <v>3.042253521</v>
      </c>
      <c r="AC539" s="13">
        <f t="shared" si="10"/>
        <v>1.137380658</v>
      </c>
      <c r="AD539" s="13">
        <f>AA539/vlookup(A539,Max!$A$2:$AP$700,column(Max!$AP$2),false)</f>
        <v>1.234285714</v>
      </c>
      <c r="AE539" s="8">
        <f t="shared" si="11"/>
        <v>1288.398868</v>
      </c>
      <c r="AF539" s="14">
        <f t="shared" si="12"/>
        <v>1.916584691</v>
      </c>
      <c r="AG539" s="14">
        <f t="shared" si="13"/>
        <v>1.224725634</v>
      </c>
      <c r="AH539" s="14">
        <f t="shared" si="14"/>
        <v>2</v>
      </c>
      <c r="AI539" s="14">
        <f t="shared" si="15"/>
        <v>1</v>
      </c>
      <c r="AJ539" s="15">
        <f t="shared" si="16"/>
        <v>0</v>
      </c>
      <c r="AK539" s="15" t="str">
        <f t="shared" si="17"/>
        <v>  @CONFIG[Phoebus1N50] {
   %cost = 6048
   @cost -= #$../../cost$
  }</v>
      </c>
    </row>
    <row r="540" ht="15.75" customHeight="1">
      <c r="A540" s="16" t="s">
        <v>419</v>
      </c>
      <c r="B540" s="16" t="s">
        <v>419</v>
      </c>
      <c r="C540" s="8">
        <f t="shared" si="1"/>
        <v>10924</v>
      </c>
      <c r="D540" s="16"/>
      <c r="E540" s="16" t="b">
        <v>1</v>
      </c>
      <c r="F540" s="16" t="b">
        <v>1</v>
      </c>
      <c r="G540" s="16" t="b">
        <v>0</v>
      </c>
      <c r="H540" s="16" t="b">
        <v>1</v>
      </c>
      <c r="I540" s="16" t="b">
        <v>0</v>
      </c>
      <c r="J540" s="9" t="b">
        <v>1</v>
      </c>
      <c r="K540" s="16">
        <v>6628.0</v>
      </c>
      <c r="L540" s="16">
        <v>0.0</v>
      </c>
      <c r="M540" s="16">
        <v>16970.0</v>
      </c>
      <c r="N540" s="16">
        <v>913.0</v>
      </c>
      <c r="O540" s="16">
        <v>813.0</v>
      </c>
      <c r="P540" s="16">
        <v>3.83</v>
      </c>
      <c r="Q540" s="16">
        <v>1.0</v>
      </c>
      <c r="R540" s="16">
        <v>1.0</v>
      </c>
      <c r="S540" s="19">
        <f t="shared" si="2"/>
        <v>6628</v>
      </c>
      <c r="T540" s="19">
        <f t="shared" si="3"/>
        <v>5.486157335</v>
      </c>
      <c r="U540" s="20">
        <f t="shared" si="4"/>
        <v>9.590009736</v>
      </c>
      <c r="V540" s="17">
        <f t="shared" si="127"/>
        <v>8755.678889</v>
      </c>
      <c r="W540" s="21">
        <f t="shared" si="5"/>
        <v>4</v>
      </c>
      <c r="X540" s="21">
        <f t="shared" si="6"/>
        <v>43778.39445</v>
      </c>
      <c r="Y540" s="21">
        <f t="shared" si="7"/>
        <v>47.95004868</v>
      </c>
      <c r="Z540" s="8">
        <f t="shared" si="19"/>
        <v>8930.792467</v>
      </c>
      <c r="AA540" s="8">
        <f t="shared" si="118"/>
        <v>10924</v>
      </c>
      <c r="AB540" s="13">
        <f t="shared" si="9"/>
        <v>1.648159324</v>
      </c>
      <c r="AC540" s="13">
        <f t="shared" si="10"/>
        <v>1.223183725</v>
      </c>
      <c r="AD540" s="13">
        <f>AA540/vlookup(A540,Max!$A$2:$AP$700,column(Max!$AP$2),false)</f>
        <v>0.8091851852</v>
      </c>
      <c r="AE540" s="8">
        <f t="shared" si="11"/>
        <v>1875.446584</v>
      </c>
      <c r="AF540" s="14">
        <f t="shared" si="12"/>
        <v>2.369629259</v>
      </c>
      <c r="AG540" s="14">
        <f t="shared" si="13"/>
        <v>1.229084462</v>
      </c>
      <c r="AH540" s="14">
        <f t="shared" si="14"/>
        <v>2</v>
      </c>
      <c r="AI540" s="14">
        <f t="shared" si="15"/>
        <v>1</v>
      </c>
      <c r="AJ540" s="15">
        <f t="shared" si="16"/>
        <v>0</v>
      </c>
      <c r="AK540" s="15" t="str">
        <f t="shared" si="17"/>
        <v>  @CONFIG[Phoebus2N100] {
   %cost = 10924
   @cost -= #$../../cost$
  }</v>
      </c>
    </row>
    <row r="541" ht="15.75" customHeight="1">
      <c r="A541" s="7" t="s">
        <v>420</v>
      </c>
      <c r="B541" s="7" t="s">
        <v>421</v>
      </c>
      <c r="C541" s="8">
        <f t="shared" si="1"/>
        <v>7441</v>
      </c>
      <c r="D541" s="7"/>
      <c r="E541" s="7" t="b">
        <v>1</v>
      </c>
      <c r="F541" s="7" t="b">
        <v>1</v>
      </c>
      <c r="G541" s="7" t="b">
        <v>0</v>
      </c>
      <c r="H541" s="7" t="b">
        <v>1</v>
      </c>
      <c r="I541" s="7" t="b">
        <v>0</v>
      </c>
      <c r="J541" s="9" t="b">
        <v>1</v>
      </c>
      <c r="K541" s="7">
        <v>12600.0</v>
      </c>
      <c r="L541" s="7">
        <v>0.0</v>
      </c>
      <c r="M541" s="7">
        <v>3629.0</v>
      </c>
      <c r="N541" s="7">
        <v>40.88</v>
      </c>
      <c r="O541" s="7">
        <v>1414.0</v>
      </c>
      <c r="P541" s="7">
        <v>10.0</v>
      </c>
      <c r="Q541" s="7">
        <v>1.0</v>
      </c>
      <c r="R541" s="7">
        <v>1.0</v>
      </c>
      <c r="S541" s="10">
        <f t="shared" si="2"/>
        <v>12600</v>
      </c>
      <c r="T541" s="10">
        <f t="shared" si="3"/>
        <v>1.148691063</v>
      </c>
      <c r="U541" s="11">
        <f t="shared" si="4"/>
        <v>196.4938855</v>
      </c>
      <c r="V541" s="8">
        <f t="shared" si="127"/>
        <v>8032.670039</v>
      </c>
      <c r="W541" s="12">
        <f t="shared" si="5"/>
        <v>4</v>
      </c>
      <c r="X541" s="12">
        <f t="shared" si="6"/>
        <v>40163.3502</v>
      </c>
      <c r="Y541" s="12">
        <f t="shared" si="7"/>
        <v>982.4694275</v>
      </c>
      <c r="Z541" s="8">
        <f t="shared" si="19"/>
        <v>8193.32344</v>
      </c>
      <c r="AA541" s="8">
        <f t="shared" si="118"/>
        <v>7441</v>
      </c>
      <c r="AB541" s="13">
        <f t="shared" si="9"/>
        <v>0.5905555556</v>
      </c>
      <c r="AC541" s="13">
        <f t="shared" si="10"/>
        <v>0.9081784766</v>
      </c>
      <c r="AD541" s="13">
        <f>AA541/vlookup(A541,Max!$A$2:$AP$700,column(Max!$AP$2),false)</f>
        <v>1.4882</v>
      </c>
      <c r="AE541" s="8">
        <f t="shared" si="11"/>
        <v>743.6809354</v>
      </c>
      <c r="AF541" s="14">
        <f t="shared" si="12"/>
        <v>3.279937916</v>
      </c>
      <c r="AG541" s="14">
        <f t="shared" si="13"/>
        <v>1.52532365</v>
      </c>
      <c r="AH541" s="14">
        <f t="shared" si="14"/>
        <v>2</v>
      </c>
      <c r="AI541" s="14">
        <f t="shared" si="15"/>
        <v>1</v>
      </c>
      <c r="AJ541" s="15">
        <f t="shared" si="16"/>
        <v>0</v>
      </c>
      <c r="AK541" s="15" t="str">
        <f t="shared" si="17"/>
        <v>  @CONFIG[PrincetonLNTR-WCH] {
   %cost = 7441
   @cost -= #$../../cost$
  }</v>
      </c>
    </row>
    <row r="542" ht="15.75" customHeight="1">
      <c r="A542" s="16" t="s">
        <v>422</v>
      </c>
      <c r="B542" s="16" t="s">
        <v>421</v>
      </c>
      <c r="C542" s="8">
        <f t="shared" si="1"/>
        <v>-813</v>
      </c>
      <c r="D542" s="16"/>
      <c r="E542" s="16" t="b">
        <v>1</v>
      </c>
      <c r="F542" s="16" t="b">
        <v>1</v>
      </c>
      <c r="G542" s="16" t="b">
        <v>0</v>
      </c>
      <c r="H542" s="16" t="b">
        <v>1</v>
      </c>
      <c r="I542" s="16" t="b">
        <v>0</v>
      </c>
      <c r="J542" s="9" t="b">
        <v>1</v>
      </c>
      <c r="K542" s="16">
        <v>12600.0</v>
      </c>
      <c r="L542" s="16">
        <v>0.0</v>
      </c>
      <c r="M542" s="16">
        <v>3629.0</v>
      </c>
      <c r="N542" s="16">
        <v>39.03</v>
      </c>
      <c r="O542" s="16">
        <v>1350.0</v>
      </c>
      <c r="P542" s="16">
        <v>10.0</v>
      </c>
      <c r="Q542" s="16">
        <v>1.0</v>
      </c>
      <c r="R542" s="16">
        <v>1.0</v>
      </c>
      <c r="S542" s="19">
        <f t="shared" si="2"/>
        <v>12600</v>
      </c>
      <c r="T542" s="19">
        <f t="shared" si="3"/>
        <v>1.096707734</v>
      </c>
      <c r="U542" s="20">
        <f t="shared" si="4"/>
        <v>197.7741337</v>
      </c>
      <c r="V542" s="17">
        <f t="shared" si="127"/>
        <v>7719.124439</v>
      </c>
      <c r="W542" s="21">
        <f t="shared" si="5"/>
        <v>4</v>
      </c>
      <c r="X542" s="21">
        <f t="shared" si="6"/>
        <v>38595.6222</v>
      </c>
      <c r="Y542" s="21">
        <f t="shared" si="7"/>
        <v>988.8706686</v>
      </c>
      <c r="Z542" s="8">
        <f t="shared" si="19"/>
        <v>7873.506928</v>
      </c>
      <c r="AA542" s="8">
        <f t="shared" si="118"/>
        <v>6628</v>
      </c>
      <c r="AB542" s="13">
        <f t="shared" si="9"/>
        <v>0.526031746</v>
      </c>
      <c r="AC542" s="13">
        <f t="shared" si="10"/>
        <v>0.8418103979</v>
      </c>
      <c r="AD542" s="13">
        <f>AA542/vlookup(A542,Max!$A$2:$AP$700,column(Max!$AP$2),false)</f>
        <v>1.578095238</v>
      </c>
      <c r="AE542" s="8">
        <f t="shared" si="11"/>
        <v>743.6809354</v>
      </c>
      <c r="AF542" s="14">
        <f t="shared" si="12"/>
        <v>2.921313552</v>
      </c>
      <c r="AG542" s="14">
        <f t="shared" si="13"/>
        <v>1.52532365</v>
      </c>
      <c r="AH542" s="14">
        <f t="shared" si="14"/>
        <v>2</v>
      </c>
      <c r="AI542" s="14">
        <f t="shared" si="15"/>
        <v>1</v>
      </c>
      <c r="AJ542" s="27">
        <f t="shared" si="16"/>
        <v>-813</v>
      </c>
      <c r="AK542" s="15" t="str">
        <f t="shared" si="17"/>
        <v>  @CONFIG[PrincetonLNTR-ZrC] {
   %cost = 6628
   @cost -= #$../../cost$
  }</v>
      </c>
    </row>
    <row r="543" ht="15.75" customHeight="1">
      <c r="A543" s="7" t="s">
        <v>1060</v>
      </c>
      <c r="B543" s="7" t="s">
        <v>430</v>
      </c>
      <c r="C543" s="8">
        <f t="shared" si="1"/>
        <v>-3</v>
      </c>
      <c r="D543" s="7"/>
      <c r="E543" s="7"/>
      <c r="F543" s="7" t="b">
        <v>0</v>
      </c>
      <c r="G543" s="7" t="b">
        <v>0</v>
      </c>
      <c r="H543" s="7" t="b">
        <v>0</v>
      </c>
      <c r="I543" s="7" t="b">
        <v>0</v>
      </c>
      <c r="J543" s="9" t="b">
        <v>0</v>
      </c>
      <c r="K543" s="7"/>
      <c r="L543" s="7">
        <v>0.0</v>
      </c>
      <c r="M543" s="7">
        <v>4.31</v>
      </c>
      <c r="N543" s="7">
        <v>0.49</v>
      </c>
      <c r="O543" s="7">
        <v>315.5</v>
      </c>
      <c r="P543" s="7">
        <v>0.745</v>
      </c>
      <c r="Q543" s="7">
        <v>0.999758</v>
      </c>
      <c r="R543" s="7">
        <v>0.99967</v>
      </c>
      <c r="S543" s="10">
        <f t="shared" si="2"/>
        <v>0</v>
      </c>
      <c r="T543" s="10">
        <f t="shared" si="3"/>
        <v>11.59306132</v>
      </c>
      <c r="U543" s="11">
        <f t="shared" si="4"/>
        <v>29.66589534</v>
      </c>
      <c r="V543" s="8">
        <f t="shared" ref="V543:V549" si="128">0.2*(8.17*POWER(M543*P543,0.46))+0.8*(0.146*POWER(M543*O543,0.639))</f>
        <v>14.53628872</v>
      </c>
      <c r="W543" s="12">
        <f t="shared" si="5"/>
        <v>1.75</v>
      </c>
      <c r="X543" s="12">
        <f t="shared" si="6"/>
        <v>39.97479397</v>
      </c>
      <c r="Y543" s="12">
        <f t="shared" si="7"/>
        <v>81.58121218</v>
      </c>
      <c r="Z543" s="8">
        <f t="shared" si="19"/>
        <v>14.81870089</v>
      </c>
      <c r="AA543" s="8">
        <f t="shared" si="118"/>
        <v>11</v>
      </c>
      <c r="AB543" s="13" t="str">
        <f t="shared" si="9"/>
        <v>#N/A</v>
      </c>
      <c r="AC543" s="13">
        <f t="shared" si="10"/>
        <v>0.7423052857</v>
      </c>
      <c r="AD543" s="13">
        <f>AA543/vlookup(A543,Max!$A$2:$AP$700,column(Max!$AP$2),false)</f>
        <v>1.392405063</v>
      </c>
      <c r="AE543" s="8">
        <f t="shared" si="11"/>
        <v>11.86471588</v>
      </c>
      <c r="AF543" s="14">
        <f t="shared" si="12"/>
        <v>1.111775132</v>
      </c>
      <c r="AG543" s="14">
        <f t="shared" si="13"/>
        <v>0.8056187287</v>
      </c>
      <c r="AH543" s="14">
        <f t="shared" si="14"/>
        <v>1</v>
      </c>
      <c r="AI543" s="14">
        <f t="shared" si="15"/>
        <v>1</v>
      </c>
      <c r="AJ543" s="27">
        <f t="shared" si="16"/>
        <v>-3</v>
      </c>
      <c r="AK543" s="15" t="str">
        <f t="shared" si="17"/>
        <v>  @CONFIG[R-4D-11-300] {
   %cost = 11
   @cost -= #$../../cost$
  }</v>
      </c>
    </row>
    <row r="544" ht="15.75" customHeight="1">
      <c r="A544" s="16" t="s">
        <v>1061</v>
      </c>
      <c r="B544" s="16" t="s">
        <v>430</v>
      </c>
      <c r="C544" s="8">
        <f t="shared" si="1"/>
        <v>-6</v>
      </c>
      <c r="D544" s="16"/>
      <c r="E544" s="16"/>
      <c r="F544" s="16" t="b">
        <v>0</v>
      </c>
      <c r="G544" s="16" t="b">
        <v>0</v>
      </c>
      <c r="H544" s="16" t="b">
        <v>0</v>
      </c>
      <c r="I544" s="16" t="b">
        <v>0</v>
      </c>
      <c r="J544" s="9" t="b">
        <v>0</v>
      </c>
      <c r="K544" s="16"/>
      <c r="L544" s="16">
        <v>0.0</v>
      </c>
      <c r="M544" s="16">
        <v>3.4</v>
      </c>
      <c r="N544" s="16">
        <v>0.49</v>
      </c>
      <c r="O544" s="16">
        <v>300.0</v>
      </c>
      <c r="P544" s="16">
        <v>0.745</v>
      </c>
      <c r="Q544" s="16">
        <v>0.999758</v>
      </c>
      <c r="R544" s="16">
        <v>0.99967</v>
      </c>
      <c r="S544" s="19">
        <f t="shared" si="2"/>
        <v>0</v>
      </c>
      <c r="T544" s="19">
        <f t="shared" si="3"/>
        <v>14.69591009</v>
      </c>
      <c r="U544" s="20">
        <f t="shared" si="4"/>
        <v>25.05440254</v>
      </c>
      <c r="V544" s="17">
        <f t="shared" si="128"/>
        <v>12.27665725</v>
      </c>
      <c r="W544" s="21">
        <f t="shared" si="5"/>
        <v>1.75</v>
      </c>
      <c r="X544" s="21">
        <f t="shared" si="6"/>
        <v>33.76080743</v>
      </c>
      <c r="Y544" s="21">
        <f t="shared" si="7"/>
        <v>68.899607</v>
      </c>
      <c r="Z544" s="8">
        <f t="shared" si="19"/>
        <v>12.51516912</v>
      </c>
      <c r="AA544" s="8">
        <f t="shared" si="118"/>
        <v>8</v>
      </c>
      <c r="AB544" s="13" t="str">
        <f t="shared" si="9"/>
        <v>#N/A</v>
      </c>
      <c r="AC544" s="13">
        <f t="shared" si="10"/>
        <v>0.6392242822</v>
      </c>
      <c r="AD544" s="13">
        <f>AA544/vlookup(A544,Max!$A$2:$AP$700,column(Max!$AP$2),false)</f>
        <v>1.052631579</v>
      </c>
      <c r="AE544" s="8">
        <f t="shared" si="11"/>
        <v>10.34371112</v>
      </c>
      <c r="AF544" s="14">
        <f t="shared" si="12"/>
        <v>1</v>
      </c>
      <c r="AG544" s="14">
        <f t="shared" si="13"/>
        <v>0.8056187287</v>
      </c>
      <c r="AH544" s="14">
        <f t="shared" si="14"/>
        <v>1</v>
      </c>
      <c r="AI544" s="14">
        <f t="shared" si="15"/>
        <v>1</v>
      </c>
      <c r="AJ544" s="27">
        <f t="shared" si="16"/>
        <v>-6</v>
      </c>
      <c r="AK544" s="15" t="str">
        <f t="shared" si="17"/>
        <v>  @CONFIG[R-4D-11-44] {
   %cost = 8
   @cost -= #$../../cost$
  }</v>
      </c>
    </row>
    <row r="545" ht="15.75" customHeight="1">
      <c r="A545" s="16" t="s">
        <v>1062</v>
      </c>
      <c r="B545" s="16" t="s">
        <v>430</v>
      </c>
      <c r="C545" s="8">
        <f t="shared" si="1"/>
        <v>0</v>
      </c>
      <c r="D545" s="16"/>
      <c r="E545" s="16"/>
      <c r="F545" s="16" t="b">
        <v>0</v>
      </c>
      <c r="G545" s="16" t="b">
        <v>0</v>
      </c>
      <c r="H545" s="16" t="b">
        <v>0</v>
      </c>
      <c r="I545" s="16" t="b">
        <v>0</v>
      </c>
      <c r="J545" s="9" t="b">
        <v>0</v>
      </c>
      <c r="K545" s="16"/>
      <c r="L545" s="16">
        <v>0.0</v>
      </c>
      <c r="M545" s="16">
        <v>5.44</v>
      </c>
      <c r="N545" s="16">
        <v>0.445</v>
      </c>
      <c r="O545" s="16">
        <v>322.2</v>
      </c>
      <c r="P545" s="16">
        <v>0.94</v>
      </c>
      <c r="Q545" s="16">
        <v>0.999758</v>
      </c>
      <c r="R545" s="16">
        <v>0.99967</v>
      </c>
      <c r="S545" s="19">
        <f t="shared" si="2"/>
        <v>0</v>
      </c>
      <c r="T545" s="19">
        <f t="shared" si="3"/>
        <v>8.341428556</v>
      </c>
      <c r="U545" s="20">
        <f t="shared" si="4"/>
        <v>38.81161538</v>
      </c>
      <c r="V545" s="17">
        <f t="shared" si="128"/>
        <v>17.27116884</v>
      </c>
      <c r="W545" s="21">
        <f t="shared" si="5"/>
        <v>1.75</v>
      </c>
      <c r="X545" s="21">
        <f t="shared" si="6"/>
        <v>47.49571432</v>
      </c>
      <c r="Y545" s="21">
        <f t="shared" si="7"/>
        <v>106.7319423</v>
      </c>
      <c r="Z545" s="8">
        <f t="shared" si="19"/>
        <v>17.60671449</v>
      </c>
      <c r="AA545" s="8">
        <f t="shared" si="118"/>
        <v>14</v>
      </c>
      <c r="AB545" s="13" t="str">
        <f t="shared" si="9"/>
        <v>#N/A</v>
      </c>
      <c r="AC545" s="13">
        <f t="shared" si="10"/>
        <v>0.7951511912</v>
      </c>
      <c r="AD545" s="13">
        <f>AA545/vlookup(A545,Max!$A$2:$AP$700,column(Max!$AP$2),false)</f>
        <v>1.627906977</v>
      </c>
      <c r="AE545" s="8">
        <f t="shared" si="11"/>
        <v>13.58157397</v>
      </c>
      <c r="AF545" s="14">
        <f t="shared" si="12"/>
        <v>1.165727915</v>
      </c>
      <c r="AG545" s="14">
        <f t="shared" si="13"/>
        <v>0.8638155709</v>
      </c>
      <c r="AH545" s="14">
        <f t="shared" si="14"/>
        <v>1</v>
      </c>
      <c r="AI545" s="14">
        <f t="shared" si="15"/>
        <v>1</v>
      </c>
      <c r="AJ545" s="27">
        <f t="shared" si="16"/>
        <v>0</v>
      </c>
      <c r="AK545" s="15" t="str">
        <f t="shared" si="17"/>
        <v>  @CONFIG[R-4D-15-375] {
   %cost = 14
   @cost -= #$../../cost$
  }</v>
      </c>
    </row>
    <row r="546" ht="15.75" customHeight="1">
      <c r="A546" s="7" t="s">
        <v>1063</v>
      </c>
      <c r="B546" s="7" t="s">
        <v>430</v>
      </c>
      <c r="C546" s="8">
        <f t="shared" si="1"/>
        <v>0</v>
      </c>
      <c r="D546" s="7"/>
      <c r="E546" s="7"/>
      <c r="F546" s="7" t="b">
        <v>0</v>
      </c>
      <c r="G546" s="7" t="b">
        <v>0</v>
      </c>
      <c r="H546" s="7" t="b">
        <v>0</v>
      </c>
      <c r="I546" s="7" t="b">
        <v>0</v>
      </c>
      <c r="J546" s="9" t="b">
        <v>0</v>
      </c>
      <c r="K546" s="7"/>
      <c r="L546" s="7">
        <v>0.0</v>
      </c>
      <c r="M546" s="7">
        <v>5.44</v>
      </c>
      <c r="N546" s="7">
        <v>0.445</v>
      </c>
      <c r="O546" s="7">
        <v>329.0</v>
      </c>
      <c r="P546" s="7">
        <v>0.94</v>
      </c>
      <c r="Q546" s="7">
        <v>0.999758</v>
      </c>
      <c r="R546" s="7">
        <v>0.99967</v>
      </c>
      <c r="S546" s="10">
        <f t="shared" si="2"/>
        <v>0</v>
      </c>
      <c r="T546" s="10">
        <f t="shared" si="3"/>
        <v>8.341428556</v>
      </c>
      <c r="U546" s="11">
        <f t="shared" si="4"/>
        <v>39.22854726</v>
      </c>
      <c r="V546" s="8">
        <f t="shared" si="128"/>
        <v>17.45670353</v>
      </c>
      <c r="W546" s="12">
        <f t="shared" si="5"/>
        <v>1.75</v>
      </c>
      <c r="X546" s="12">
        <f t="shared" si="6"/>
        <v>48.00593471</v>
      </c>
      <c r="Y546" s="12">
        <f t="shared" si="7"/>
        <v>107.878505</v>
      </c>
      <c r="Z546" s="8">
        <f t="shared" si="19"/>
        <v>17.79585376</v>
      </c>
      <c r="AA546" s="8">
        <f t="shared" si="118"/>
        <v>14</v>
      </c>
      <c r="AB546" s="13" t="str">
        <f t="shared" si="9"/>
        <v>#N/A</v>
      </c>
      <c r="AC546" s="13">
        <f t="shared" si="10"/>
        <v>0.7867001037</v>
      </c>
      <c r="AD546" s="13">
        <f>AA546/vlookup(A546,Max!$A$2:$AP$700,column(Max!$AP$2),false)</f>
        <v>1.707317073</v>
      </c>
      <c r="AE546" s="8">
        <f t="shared" si="11"/>
        <v>13.58157397</v>
      </c>
      <c r="AF546" s="14">
        <f t="shared" si="12"/>
        <v>1.224325939</v>
      </c>
      <c r="AG546" s="14">
        <f t="shared" si="13"/>
        <v>0.8638155709</v>
      </c>
      <c r="AH546" s="14">
        <f t="shared" si="14"/>
        <v>1</v>
      </c>
      <c r="AI546" s="14">
        <f t="shared" si="15"/>
        <v>1</v>
      </c>
      <c r="AJ546" s="27">
        <f t="shared" si="16"/>
        <v>0</v>
      </c>
      <c r="AK546" s="15" t="str">
        <f t="shared" si="17"/>
        <v>  @CONFIG[R-4D-15DM-375] {
   %cost = 14
   @cost -= #$../../cost$
  }</v>
      </c>
    </row>
    <row r="547" ht="15.75" customHeight="1">
      <c r="A547" s="16" t="s">
        <v>440</v>
      </c>
      <c r="B547" s="16" t="s">
        <v>440</v>
      </c>
      <c r="C547" s="8">
        <f t="shared" si="1"/>
        <v>1608</v>
      </c>
      <c r="D547" s="18">
        <v>2023.0</v>
      </c>
      <c r="E547" s="16"/>
      <c r="F547" s="16" t="b">
        <v>1</v>
      </c>
      <c r="G547" s="16" t="b">
        <v>0</v>
      </c>
      <c r="H547" s="16" t="b">
        <v>0</v>
      </c>
      <c r="I547" s="16" t="b">
        <v>0</v>
      </c>
      <c r="J547" s="9" t="b">
        <v>0</v>
      </c>
      <c r="K547" s="16"/>
      <c r="L547" s="16"/>
      <c r="M547" s="16">
        <v>1600.0</v>
      </c>
      <c r="N547" s="16">
        <v>1810.0</v>
      </c>
      <c r="O547" s="16">
        <v>363.0</v>
      </c>
      <c r="P547" s="16">
        <v>30.0</v>
      </c>
      <c r="Q547" s="16"/>
      <c r="R547" s="16"/>
      <c r="S547" s="19">
        <f t="shared" si="2"/>
        <v>0</v>
      </c>
      <c r="T547" s="19">
        <f t="shared" si="3"/>
        <v>115.3553963</v>
      </c>
      <c r="U547" s="20">
        <f t="shared" si="4"/>
        <v>0.4396675744</v>
      </c>
      <c r="V547" s="17">
        <f t="shared" si="128"/>
        <v>795.7983096</v>
      </c>
      <c r="W547" s="21">
        <f t="shared" si="5"/>
        <v>4</v>
      </c>
      <c r="X547" s="21">
        <f t="shared" si="6"/>
        <v>3978.991548</v>
      </c>
      <c r="Y547" s="21">
        <f t="shared" si="7"/>
        <v>2.198337872</v>
      </c>
      <c r="Z547" s="8">
        <f t="shared" si="19"/>
        <v>795.7983096</v>
      </c>
      <c r="AA547" s="8">
        <f t="shared" si="118"/>
        <v>1608</v>
      </c>
      <c r="AB547" s="13" t="str">
        <f t="shared" si="9"/>
        <v>#N/A</v>
      </c>
      <c r="AC547" s="13">
        <f t="shared" si="10"/>
        <v>2.020612485</v>
      </c>
      <c r="AD547" s="13">
        <f>AA547/vlookup(A547,Max!$A$2:$AP$700,column(Max!$AP$2),false)</f>
        <v>0.9458823529</v>
      </c>
      <c r="AE547" s="8">
        <f t="shared" si="11"/>
        <v>415.2850023</v>
      </c>
      <c r="AF547" s="14">
        <f t="shared" si="12"/>
        <v>1.586136635</v>
      </c>
      <c r="AG547" s="14">
        <f t="shared" si="13"/>
        <v>2.441288181</v>
      </c>
      <c r="AH547" s="14">
        <f t="shared" si="14"/>
        <v>1</v>
      </c>
      <c r="AI547" s="14">
        <f t="shared" si="15"/>
        <v>1</v>
      </c>
      <c r="AJ547" s="15">
        <f t="shared" si="16"/>
        <v>0</v>
      </c>
      <c r="AK547" s="15" t="str">
        <f t="shared" si="17"/>
        <v>  @CONFIG[Raptor] {
   %cost = 1608
   @cost -= #$../../cost$
  }</v>
      </c>
    </row>
    <row r="548" ht="15.75" customHeight="1">
      <c r="A548" s="7" t="s">
        <v>441</v>
      </c>
      <c r="B548" s="7" t="s">
        <v>440</v>
      </c>
      <c r="C548" s="8">
        <f t="shared" si="1"/>
        <v>0</v>
      </c>
      <c r="D548" s="9">
        <v>2023.0</v>
      </c>
      <c r="E548" s="7"/>
      <c r="F548" s="7" t="b">
        <v>1</v>
      </c>
      <c r="G548" s="7" t="b">
        <v>0</v>
      </c>
      <c r="H548" s="7" t="b">
        <v>0</v>
      </c>
      <c r="I548" s="7" t="b">
        <v>0</v>
      </c>
      <c r="J548" s="9" t="b">
        <v>0</v>
      </c>
      <c r="K548" s="7"/>
      <c r="L548" s="7"/>
      <c r="M548" s="7">
        <v>1600.0</v>
      </c>
      <c r="N548" s="7">
        <v>2300.0</v>
      </c>
      <c r="O548" s="7">
        <v>363.0</v>
      </c>
      <c r="P548" s="7">
        <v>30.0</v>
      </c>
      <c r="Q548" s="7"/>
      <c r="R548" s="7"/>
      <c r="S548" s="10">
        <f t="shared" si="2"/>
        <v>0</v>
      </c>
      <c r="T548" s="10">
        <f t="shared" si="3"/>
        <v>146.5842052</v>
      </c>
      <c r="U548" s="11">
        <f t="shared" si="4"/>
        <v>0.345999265</v>
      </c>
      <c r="V548" s="8">
        <f t="shared" si="128"/>
        <v>795.7983096</v>
      </c>
      <c r="W548" s="12">
        <f t="shared" si="5"/>
        <v>4</v>
      </c>
      <c r="X548" s="12">
        <f t="shared" si="6"/>
        <v>3978.991548</v>
      </c>
      <c r="Y548" s="12">
        <f t="shared" si="7"/>
        <v>1.729996325</v>
      </c>
      <c r="Z548" s="8">
        <f t="shared" si="19"/>
        <v>795.7983096</v>
      </c>
      <c r="AA548" s="8">
        <f t="shared" si="118"/>
        <v>1608</v>
      </c>
      <c r="AB548" s="13" t="str">
        <f t="shared" si="9"/>
        <v>#N/A</v>
      </c>
      <c r="AC548" s="13">
        <f t="shared" si="10"/>
        <v>2.020612485</v>
      </c>
      <c r="AD548" s="13" t="str">
        <f>AA548/vlookup(A548,Max!$A$2:$AP$700,column(Max!$AP$2),false)</f>
        <v>#N/A</v>
      </c>
      <c r="AE548" s="8">
        <f t="shared" si="11"/>
        <v>415.2850023</v>
      </c>
      <c r="AF548" s="14">
        <f t="shared" si="12"/>
        <v>1.586136635</v>
      </c>
      <c r="AG548" s="14">
        <f t="shared" si="13"/>
        <v>2.441288181</v>
      </c>
      <c r="AH548" s="14">
        <f t="shared" si="14"/>
        <v>1</v>
      </c>
      <c r="AI548" s="14">
        <f t="shared" si="15"/>
        <v>1</v>
      </c>
      <c r="AJ548" s="27">
        <f t="shared" si="16"/>
        <v>0</v>
      </c>
      <c r="AK548" s="15" t="str">
        <f t="shared" si="17"/>
        <v>  @CONFIG[Raptor?2] {
   %cost = 1608
   @cost -= #$../../cost$
  }</v>
      </c>
    </row>
    <row r="549" ht="15.75" customHeight="1">
      <c r="A549" s="16" t="s">
        <v>439</v>
      </c>
      <c r="B549" s="16" t="s">
        <v>440</v>
      </c>
      <c r="C549" s="8">
        <f t="shared" si="1"/>
        <v>76</v>
      </c>
      <c r="D549" s="9">
        <v>2023.0</v>
      </c>
      <c r="E549" s="16"/>
      <c r="F549" s="16" t="b">
        <v>1</v>
      </c>
      <c r="G549" s="16" t="b">
        <v>0</v>
      </c>
      <c r="H549" s="16" t="b">
        <v>0</v>
      </c>
      <c r="I549" s="16" t="b">
        <v>0</v>
      </c>
      <c r="J549" s="9" t="b">
        <v>0</v>
      </c>
      <c r="K549" s="16"/>
      <c r="L549" s="16"/>
      <c r="M549" s="16">
        <v>1600.0</v>
      </c>
      <c r="N549" s="16">
        <v>2640.0</v>
      </c>
      <c r="O549" s="16">
        <v>363.0</v>
      </c>
      <c r="P549" s="16">
        <v>35.0</v>
      </c>
      <c r="Q549" s="16"/>
      <c r="R549" s="16"/>
      <c r="S549" s="19">
        <f t="shared" si="2"/>
        <v>0</v>
      </c>
      <c r="T549" s="19">
        <f t="shared" si="3"/>
        <v>168.2531747</v>
      </c>
      <c r="U549" s="20">
        <f t="shared" si="4"/>
        <v>0.3079133264</v>
      </c>
      <c r="V549" s="17">
        <f t="shared" si="128"/>
        <v>812.8911817</v>
      </c>
      <c r="W549" s="21">
        <f t="shared" si="5"/>
        <v>4</v>
      </c>
      <c r="X549" s="21">
        <f t="shared" si="6"/>
        <v>4064.455908</v>
      </c>
      <c r="Y549" s="21">
        <f t="shared" si="7"/>
        <v>1.539566632</v>
      </c>
      <c r="Z549" s="8">
        <f t="shared" si="19"/>
        <v>812.8911817</v>
      </c>
      <c r="AA549" s="8">
        <f t="shared" si="118"/>
        <v>1684</v>
      </c>
      <c r="AB549" s="13" t="str">
        <f t="shared" si="9"/>
        <v>#N/A</v>
      </c>
      <c r="AC549" s="13">
        <f t="shared" si="10"/>
        <v>2.071617995</v>
      </c>
      <c r="AD549" s="13" t="str">
        <f>AA549/vlookup(A549,Max!$A$2:$AP$700,column(Max!$AP$2),false)</f>
        <v>#N/A</v>
      </c>
      <c r="AE549" s="8">
        <f t="shared" si="11"/>
        <v>415.2850023</v>
      </c>
      <c r="AF549" s="14">
        <f t="shared" si="12"/>
        <v>1.586136635</v>
      </c>
      <c r="AG549" s="14">
        <f t="shared" si="13"/>
        <v>2.556837254</v>
      </c>
      <c r="AH549" s="14">
        <f t="shared" si="14"/>
        <v>1</v>
      </c>
      <c r="AI549" s="14">
        <f t="shared" si="15"/>
        <v>1</v>
      </c>
      <c r="AJ549" s="27">
        <f t="shared" si="16"/>
        <v>76</v>
      </c>
      <c r="AK549" s="15" t="str">
        <f t="shared" si="17"/>
        <v>  @CONFIG[Raptor?3] {
   %cost = 1684
   @cost -= #$../../cost$
  }</v>
      </c>
    </row>
    <row r="550" ht="15.75" customHeight="1">
      <c r="A550" s="7" t="s">
        <v>456</v>
      </c>
      <c r="B550" s="7" t="s">
        <v>457</v>
      </c>
      <c r="C550" s="8">
        <f t="shared" si="1"/>
        <v>4149</v>
      </c>
      <c r="D550" s="7"/>
      <c r="E550" s="7" t="b">
        <v>1</v>
      </c>
      <c r="F550" s="7" t="b">
        <v>1</v>
      </c>
      <c r="G550" s="7" t="b">
        <v>0</v>
      </c>
      <c r="H550" s="7" t="b">
        <v>0</v>
      </c>
      <c r="I550" s="7" t="b">
        <v>0</v>
      </c>
      <c r="J550" s="9" t="b">
        <v>0</v>
      </c>
      <c r="K550" s="7"/>
      <c r="L550" s="7"/>
      <c r="M550" s="7">
        <v>3800.0</v>
      </c>
      <c r="N550" s="7">
        <v>1809.8</v>
      </c>
      <c r="O550" s="7">
        <v>418.7</v>
      </c>
      <c r="P550" s="7">
        <v>19.38</v>
      </c>
      <c r="Q550" s="7">
        <v>0.995</v>
      </c>
      <c r="R550" s="7">
        <v>0.995</v>
      </c>
      <c r="S550" s="10">
        <f t="shared" si="2"/>
        <v>0</v>
      </c>
      <c r="T550" s="10">
        <f t="shared" si="3"/>
        <v>48.56532623</v>
      </c>
      <c r="U550" s="11">
        <f t="shared" si="4"/>
        <v>2.916286012</v>
      </c>
      <c r="V550" s="8">
        <f>0.9*(0.00015*M550*O550*P550+797)+0.1*(43.1*POWER(M550,0.549))</f>
        <v>5277.894424</v>
      </c>
      <c r="W550" s="12">
        <f t="shared" si="5"/>
        <v>4</v>
      </c>
      <c r="X550" s="12">
        <f t="shared" si="6"/>
        <v>26389.47212</v>
      </c>
      <c r="Y550" s="12">
        <f t="shared" si="7"/>
        <v>14.58143006</v>
      </c>
      <c r="Z550" s="8">
        <f t="shared" si="19"/>
        <v>5330.805316</v>
      </c>
      <c r="AA550" s="8">
        <f t="shared" si="118"/>
        <v>4149</v>
      </c>
      <c r="AB550" s="13" t="str">
        <f t="shared" si="9"/>
        <v>#N/A</v>
      </c>
      <c r="AC550" s="13">
        <f t="shared" si="10"/>
        <v>0.7783064198</v>
      </c>
      <c r="AD550" s="13">
        <f>AA550/vlookup(A550,Max!$A$2:$AP$700,column(Max!$AP$2),false)</f>
        <v>2.766</v>
      </c>
      <c r="AE550" s="8">
        <f t="shared" si="11"/>
        <v>764.0586851</v>
      </c>
      <c r="AF550" s="14">
        <f t="shared" si="12"/>
        <v>2.535910971</v>
      </c>
      <c r="AG550" s="14">
        <f t="shared" si="13"/>
        <v>2.141355651</v>
      </c>
      <c r="AH550" s="14">
        <f t="shared" si="14"/>
        <v>1</v>
      </c>
      <c r="AI550" s="14">
        <f t="shared" si="15"/>
        <v>1</v>
      </c>
      <c r="AJ550" s="15">
        <f t="shared" si="16"/>
        <v>0</v>
      </c>
      <c r="AK550" s="15" t="str">
        <f t="shared" si="17"/>
        <v>  @CONFIG[RD-0120T] {
   %cost = 4149
   @cost -= #$../../cost$
  }</v>
      </c>
    </row>
    <row r="551" ht="15.75" customHeight="1">
      <c r="A551" s="16" t="s">
        <v>495</v>
      </c>
      <c r="B551" s="16" t="s">
        <v>496</v>
      </c>
      <c r="C551" s="8">
        <f t="shared" si="1"/>
        <v>26</v>
      </c>
      <c r="D551" s="16"/>
      <c r="E551" s="16"/>
      <c r="F551" s="16" t="b">
        <v>1</v>
      </c>
      <c r="G551" s="16" t="b">
        <v>0</v>
      </c>
      <c r="H551" s="16" t="b">
        <v>0</v>
      </c>
      <c r="I551" s="16" t="b">
        <v>0</v>
      </c>
      <c r="J551" s="9" t="b">
        <v>0</v>
      </c>
      <c r="K551" s="16">
        <v>40.0</v>
      </c>
      <c r="L551" s="16"/>
      <c r="M551" s="16">
        <v>23.0</v>
      </c>
      <c r="N551" s="16">
        <v>3.92</v>
      </c>
      <c r="O551" s="16">
        <v>287.0</v>
      </c>
      <c r="P551" s="16">
        <v>0.88</v>
      </c>
      <c r="Q551" s="16">
        <v>0.99966</v>
      </c>
      <c r="R551" s="16">
        <v>0.99966</v>
      </c>
      <c r="S551" s="19">
        <f t="shared" si="2"/>
        <v>40</v>
      </c>
      <c r="T551" s="19">
        <f t="shared" si="3"/>
        <v>17.37951106</v>
      </c>
      <c r="U551" s="20">
        <f t="shared" si="4"/>
        <v>9.883029002</v>
      </c>
      <c r="V551" s="17">
        <f t="shared" ref="V551:V558" si="129">0.2*(8.17*POWER(M551*P551,0.46))+0.8*(0.146*POWER(M551*O551,0.639))</f>
        <v>38.74147369</v>
      </c>
      <c r="W551" s="21">
        <f t="shared" si="5"/>
        <v>4</v>
      </c>
      <c r="X551" s="21">
        <f t="shared" si="6"/>
        <v>193.7073684</v>
      </c>
      <c r="Y551" s="21">
        <f t="shared" si="7"/>
        <v>49.41514501</v>
      </c>
      <c r="Z551" s="8">
        <f t="shared" si="19"/>
        <v>39.48996344</v>
      </c>
      <c r="AA551" s="8">
        <f t="shared" si="118"/>
        <v>26</v>
      </c>
      <c r="AB551" s="13">
        <f t="shared" si="9"/>
        <v>0.65</v>
      </c>
      <c r="AC551" s="13">
        <f t="shared" si="10"/>
        <v>0.6583951398</v>
      </c>
      <c r="AD551" s="13">
        <f>AA551/vlookup(A551,Max!$A$2:$AP$700,column(Max!$AP$2),false)</f>
        <v>2.795698925</v>
      </c>
      <c r="AE551" s="8">
        <f t="shared" si="11"/>
        <v>31.66415719</v>
      </c>
      <c r="AF551" s="14">
        <f t="shared" si="12"/>
        <v>0.965438477</v>
      </c>
      <c r="AG551" s="14">
        <f t="shared" si="13"/>
        <v>0.8468909146</v>
      </c>
      <c r="AH551" s="14">
        <f t="shared" si="14"/>
        <v>1</v>
      </c>
      <c r="AI551" s="14">
        <f t="shared" si="15"/>
        <v>1</v>
      </c>
      <c r="AJ551" s="15">
        <f t="shared" si="16"/>
        <v>0</v>
      </c>
      <c r="AK551" s="15" t="str">
        <f t="shared" si="17"/>
        <v>  @CONFIG[RD-0225] {
   %cost = 26
   @cost -= #$../../cost$
  }</v>
      </c>
    </row>
    <row r="552" ht="15.75" customHeight="1">
      <c r="A552" s="7" t="s">
        <v>591</v>
      </c>
      <c r="B552" s="7" t="s">
        <v>590</v>
      </c>
      <c r="C552" s="8">
        <f t="shared" si="1"/>
        <v>183</v>
      </c>
      <c r="D552" s="7"/>
      <c r="E552" s="7"/>
      <c r="F552" s="7" t="b">
        <v>1</v>
      </c>
      <c r="G552" s="7" t="b">
        <v>0</v>
      </c>
      <c r="H552" s="7" t="b">
        <v>0</v>
      </c>
      <c r="I552" s="7" t="b">
        <v>0</v>
      </c>
      <c r="J552" s="9" t="b">
        <v>0</v>
      </c>
      <c r="K552" s="7"/>
      <c r="L552" s="7"/>
      <c r="M552" s="7">
        <v>790.0</v>
      </c>
      <c r="N552" s="7">
        <v>1088.5</v>
      </c>
      <c r="O552" s="7">
        <v>344.0</v>
      </c>
      <c r="P552" s="7">
        <v>14.7</v>
      </c>
      <c r="Q552" s="7">
        <v>0.997966</v>
      </c>
      <c r="R552" s="7">
        <v>0.997966</v>
      </c>
      <c r="S552" s="10">
        <f t="shared" si="2"/>
        <v>0</v>
      </c>
      <c r="T552" s="10">
        <f t="shared" si="3"/>
        <v>140.5014044</v>
      </c>
      <c r="U552" s="11">
        <f t="shared" si="4"/>
        <v>0.4297124846</v>
      </c>
      <c r="V552" s="8">
        <f t="shared" si="129"/>
        <v>467.7420395</v>
      </c>
      <c r="W552" s="12">
        <f t="shared" si="5"/>
        <v>4</v>
      </c>
      <c r="X552" s="12">
        <f t="shared" si="6"/>
        <v>2338.710198</v>
      </c>
      <c r="Y552" s="12">
        <f t="shared" si="7"/>
        <v>2.148562423</v>
      </c>
      <c r="Z552" s="8">
        <f t="shared" si="19"/>
        <v>475.1960408</v>
      </c>
      <c r="AA552" s="8">
        <f t="shared" si="118"/>
        <v>725</v>
      </c>
      <c r="AB552" s="13" t="str">
        <f t="shared" si="9"/>
        <v>#N/A</v>
      </c>
      <c r="AC552" s="13">
        <f t="shared" si="10"/>
        <v>1.525686112</v>
      </c>
      <c r="AD552" s="13">
        <f>AA552/vlookup(A552,Max!$A$2:$AP$700,column(Max!$AP$2),false)</f>
        <v>1.858974359</v>
      </c>
      <c r="AE552" s="8">
        <f t="shared" si="11"/>
        <v>268.6752425</v>
      </c>
      <c r="AF552" s="14">
        <f t="shared" si="12"/>
        <v>1.368703205</v>
      </c>
      <c r="AG552" s="14">
        <f t="shared" si="13"/>
        <v>1.970960282</v>
      </c>
      <c r="AH552" s="14">
        <f t="shared" si="14"/>
        <v>1</v>
      </c>
      <c r="AI552" s="14">
        <f t="shared" si="15"/>
        <v>1</v>
      </c>
      <c r="AJ552" s="27">
        <f t="shared" si="16"/>
        <v>183</v>
      </c>
      <c r="AK552" s="15" t="str">
        <f t="shared" si="17"/>
        <v>  @CONFIG[RD-112] {
   %cost = 725
   @cost -= #$../../cost$
  }</v>
      </c>
    </row>
    <row r="553" ht="15.75" customHeight="1">
      <c r="A553" s="7" t="s">
        <v>594</v>
      </c>
      <c r="B553" s="7" t="s">
        <v>593</v>
      </c>
      <c r="C553" s="8">
        <f t="shared" si="1"/>
        <v>268</v>
      </c>
      <c r="D553" s="7"/>
      <c r="E553" s="7"/>
      <c r="F553" s="7" t="b">
        <v>1</v>
      </c>
      <c r="G553" s="7" t="b">
        <v>0</v>
      </c>
      <c r="H553" s="7" t="b">
        <v>0</v>
      </c>
      <c r="I553" s="7" t="b">
        <v>0</v>
      </c>
      <c r="J553" s="9" t="b">
        <v>0</v>
      </c>
      <c r="K553" s="7"/>
      <c r="L553" s="7"/>
      <c r="M553" s="7">
        <v>1100.0</v>
      </c>
      <c r="N553" s="7">
        <v>1137.6</v>
      </c>
      <c r="O553" s="7">
        <v>360.0</v>
      </c>
      <c r="P553" s="7">
        <v>14.7</v>
      </c>
      <c r="Q553" s="7">
        <v>0.998397</v>
      </c>
      <c r="R553" s="7">
        <v>0.998397</v>
      </c>
      <c r="S553" s="10">
        <f t="shared" si="2"/>
        <v>0</v>
      </c>
      <c r="T553" s="10">
        <f t="shared" si="3"/>
        <v>105.4571964</v>
      </c>
      <c r="U553" s="11">
        <f t="shared" si="4"/>
        <v>0.5115535032</v>
      </c>
      <c r="V553" s="8">
        <f t="shared" si="129"/>
        <v>581.9432653</v>
      </c>
      <c r="W553" s="12">
        <f t="shared" si="5"/>
        <v>4</v>
      </c>
      <c r="X553" s="12">
        <f t="shared" si="6"/>
        <v>2909.716326</v>
      </c>
      <c r="Y553" s="12">
        <f t="shared" si="7"/>
        <v>2.557767516</v>
      </c>
      <c r="Z553" s="8">
        <f t="shared" si="19"/>
        <v>591.7179158</v>
      </c>
      <c r="AA553" s="8">
        <f t="shared" si="118"/>
        <v>1006</v>
      </c>
      <c r="AB553" s="13" t="str">
        <f t="shared" si="9"/>
        <v>#N/A</v>
      </c>
      <c r="AC553" s="13">
        <f t="shared" si="10"/>
        <v>1.700134427</v>
      </c>
      <c r="AD553" s="13">
        <f>AA553/vlookup(A553,Max!$A$2:$AP$700,column(Max!$AP$2),false)</f>
        <v>2.053061224</v>
      </c>
      <c r="AE553" s="8">
        <f t="shared" si="11"/>
        <v>329.4591778</v>
      </c>
      <c r="AF553" s="14">
        <f t="shared" si="12"/>
        <v>1.54894141</v>
      </c>
      <c r="AG553" s="14">
        <f t="shared" si="13"/>
        <v>1.970960282</v>
      </c>
      <c r="AH553" s="14">
        <f t="shared" si="14"/>
        <v>1</v>
      </c>
      <c r="AI553" s="14">
        <f t="shared" si="15"/>
        <v>1</v>
      </c>
      <c r="AJ553" s="27">
        <f t="shared" si="16"/>
        <v>268</v>
      </c>
      <c r="AK553" s="15" t="str">
        <f t="shared" si="17"/>
        <v>  @CONFIG[RD-113] {
   %cost = 1006
   @cost -= #$../../cost$
  }</v>
      </c>
    </row>
    <row r="554" ht="15.75" customHeight="1">
      <c r="A554" s="16" t="s">
        <v>602</v>
      </c>
      <c r="B554" s="16" t="s">
        <v>596</v>
      </c>
      <c r="C554" s="8">
        <f t="shared" si="1"/>
        <v>136</v>
      </c>
      <c r="D554" s="16"/>
      <c r="E554" s="16"/>
      <c r="F554" s="16" t="b">
        <v>1</v>
      </c>
      <c r="G554" s="16" t="b">
        <v>0</v>
      </c>
      <c r="H554" s="16" t="b">
        <v>0</v>
      </c>
      <c r="I554" s="16" t="b">
        <v>0</v>
      </c>
      <c r="J554" s="9" t="b">
        <v>0</v>
      </c>
      <c r="K554" s="16">
        <v>515.0</v>
      </c>
      <c r="L554" s="16"/>
      <c r="M554" s="16">
        <v>1090.0</v>
      </c>
      <c r="N554" s="16">
        <v>1653.4</v>
      </c>
      <c r="O554" s="16">
        <v>341.0</v>
      </c>
      <c r="P554" s="16">
        <v>14.7</v>
      </c>
      <c r="Q554" s="16">
        <v>0.997966</v>
      </c>
      <c r="R554" s="16">
        <v>0.997966</v>
      </c>
      <c r="S554" s="19">
        <f t="shared" si="2"/>
        <v>515</v>
      </c>
      <c r="T554" s="19">
        <f t="shared" si="3"/>
        <v>154.6787873</v>
      </c>
      <c r="U554" s="20">
        <f t="shared" si="4"/>
        <v>0.3410295905</v>
      </c>
      <c r="V554" s="17">
        <f t="shared" si="129"/>
        <v>563.858325</v>
      </c>
      <c r="W554" s="21">
        <f t="shared" si="5"/>
        <v>4</v>
      </c>
      <c r="X554" s="21">
        <f t="shared" si="6"/>
        <v>2819.291625</v>
      </c>
      <c r="Y554" s="21">
        <f t="shared" si="7"/>
        <v>1.705147953</v>
      </c>
      <c r="Z554" s="8">
        <f t="shared" si="19"/>
        <v>572.8440486</v>
      </c>
      <c r="AA554" s="8">
        <f t="shared" si="118"/>
        <v>864</v>
      </c>
      <c r="AB554" s="13">
        <f t="shared" si="9"/>
        <v>1.677669903</v>
      </c>
      <c r="AC554" s="13">
        <f t="shared" si="10"/>
        <v>1.508263902</v>
      </c>
      <c r="AD554" s="13">
        <f>AA554/vlookup(A554,Max!$A$2:$AP$700,column(Max!$AP$2),false)</f>
        <v>1.329230769</v>
      </c>
      <c r="AE554" s="8">
        <f t="shared" si="11"/>
        <v>327.6082167</v>
      </c>
      <c r="AF554" s="14">
        <f t="shared" si="12"/>
        <v>1.338050904</v>
      </c>
      <c r="AG554" s="14">
        <f t="shared" si="13"/>
        <v>1.970960282</v>
      </c>
      <c r="AH554" s="14">
        <f t="shared" si="14"/>
        <v>1</v>
      </c>
      <c r="AI554" s="14">
        <f t="shared" si="15"/>
        <v>1</v>
      </c>
      <c r="AJ554" s="27">
        <f t="shared" si="16"/>
        <v>136</v>
      </c>
      <c r="AK554" s="15" t="str">
        <f t="shared" si="17"/>
        <v>  @CONFIG[RD-114] {
   %cost = 864
   @cost -= #$../../cost$
  }</v>
      </c>
    </row>
    <row r="555" ht="15.75" customHeight="1">
      <c r="A555" s="16" t="s">
        <v>611</v>
      </c>
      <c r="B555" s="16" t="s">
        <v>605</v>
      </c>
      <c r="C555" s="8">
        <f t="shared" si="1"/>
        <v>188</v>
      </c>
      <c r="D555" s="16"/>
      <c r="E555" s="16"/>
      <c r="F555" s="16" t="b">
        <v>1</v>
      </c>
      <c r="G555" s="16" t="b">
        <v>0</v>
      </c>
      <c r="H555" s="16" t="b">
        <v>1</v>
      </c>
      <c r="I555" s="16" t="b">
        <v>0</v>
      </c>
      <c r="J555" s="9" t="b">
        <v>0</v>
      </c>
      <c r="K555" s="16">
        <v>525.0</v>
      </c>
      <c r="L555" s="16"/>
      <c r="M555" s="16">
        <v>1450.0</v>
      </c>
      <c r="N555" s="16">
        <v>1726.0</v>
      </c>
      <c r="O555" s="16">
        <v>357.0</v>
      </c>
      <c r="P555" s="16">
        <v>14.71</v>
      </c>
      <c r="Q555" s="16">
        <v>0.997966</v>
      </c>
      <c r="R555" s="16">
        <v>0.997966</v>
      </c>
      <c r="S555" s="19">
        <f t="shared" si="2"/>
        <v>525</v>
      </c>
      <c r="T555" s="19">
        <f t="shared" si="3"/>
        <v>121.3813916</v>
      </c>
      <c r="U555" s="20">
        <f t="shared" si="4"/>
        <v>0.3959583113</v>
      </c>
      <c r="V555" s="17">
        <f t="shared" si="129"/>
        <v>683.4240453</v>
      </c>
      <c r="W555" s="21">
        <f t="shared" si="5"/>
        <v>4</v>
      </c>
      <c r="X555" s="21">
        <f t="shared" si="6"/>
        <v>3417.120226</v>
      </c>
      <c r="Y555" s="21">
        <f t="shared" si="7"/>
        <v>1.979791556</v>
      </c>
      <c r="Z555" s="8">
        <f t="shared" si="19"/>
        <v>694.3151846</v>
      </c>
      <c r="AA555" s="8">
        <f t="shared" si="118"/>
        <v>984</v>
      </c>
      <c r="AB555" s="13">
        <f t="shared" si="9"/>
        <v>1.874285714</v>
      </c>
      <c r="AC555" s="13">
        <f t="shared" si="10"/>
        <v>1.417223794</v>
      </c>
      <c r="AD555" s="13">
        <f>AA555/vlookup(A555,Max!$A$2:$AP$700,column(Max!$AP$2),false)</f>
        <v>1.426086957</v>
      </c>
      <c r="AE555" s="8">
        <f t="shared" si="11"/>
        <v>390.7527905</v>
      </c>
      <c r="AF555" s="14">
        <f t="shared" si="12"/>
        <v>1.512870547</v>
      </c>
      <c r="AG555" s="14">
        <f t="shared" si="13"/>
        <v>1.663699383</v>
      </c>
      <c r="AH555" s="14">
        <f t="shared" si="14"/>
        <v>1</v>
      </c>
      <c r="AI555" s="14">
        <f t="shared" si="15"/>
        <v>1</v>
      </c>
      <c r="AJ555" s="27">
        <f t="shared" si="16"/>
        <v>188</v>
      </c>
      <c r="AK555" s="15" t="str">
        <f t="shared" si="17"/>
        <v>  @CONFIG[RD-115] {
   %cost = 984
   @cost -= #$../../cost$
  }</v>
      </c>
    </row>
    <row r="556" ht="15.75" customHeight="1">
      <c r="A556" s="7" t="s">
        <v>603</v>
      </c>
      <c r="B556" s="7" t="s">
        <v>596</v>
      </c>
      <c r="C556" s="8">
        <f t="shared" si="1"/>
        <v>-81</v>
      </c>
      <c r="D556" s="7"/>
      <c r="E556" s="7"/>
      <c r="F556" s="7" t="b">
        <v>1</v>
      </c>
      <c r="G556" s="7" t="b">
        <v>0</v>
      </c>
      <c r="H556" s="7" t="b">
        <v>0</v>
      </c>
      <c r="I556" s="7" t="b">
        <v>0</v>
      </c>
      <c r="J556" s="9" t="b">
        <v>0</v>
      </c>
      <c r="K556" s="7">
        <v>515.0</v>
      </c>
      <c r="L556" s="7"/>
      <c r="M556" s="7">
        <v>1080.0</v>
      </c>
      <c r="N556" s="7">
        <v>1633.8</v>
      </c>
      <c r="O556" s="7">
        <v>302.0</v>
      </c>
      <c r="P556" s="7">
        <v>14.7</v>
      </c>
      <c r="Q556" s="7">
        <v>0.997966</v>
      </c>
      <c r="R556" s="7">
        <v>0.997966</v>
      </c>
      <c r="S556" s="10">
        <f t="shared" si="2"/>
        <v>515</v>
      </c>
      <c r="T556" s="10">
        <f t="shared" si="3"/>
        <v>154.2604022</v>
      </c>
      <c r="U556" s="11">
        <f t="shared" si="4"/>
        <v>0.323995225</v>
      </c>
      <c r="V556" s="8">
        <f t="shared" si="129"/>
        <v>529.3433985</v>
      </c>
      <c r="W556" s="12">
        <f t="shared" si="5"/>
        <v>4</v>
      </c>
      <c r="X556" s="12">
        <f t="shared" si="6"/>
        <v>2646.716993</v>
      </c>
      <c r="Y556" s="12">
        <f t="shared" si="7"/>
        <v>1.619976125</v>
      </c>
      <c r="Z556" s="8">
        <f t="shared" si="19"/>
        <v>537.7790875</v>
      </c>
      <c r="AA556" s="8">
        <f t="shared" si="118"/>
        <v>647</v>
      </c>
      <c r="AB556" s="13">
        <f t="shared" si="9"/>
        <v>1.25631068</v>
      </c>
      <c r="AC556" s="13">
        <f t="shared" si="10"/>
        <v>1.203096243</v>
      </c>
      <c r="AD556" s="13">
        <f>AA556/vlookup(A556,Max!$A$2:$AP$700,column(Max!$AP$2),false)</f>
        <v>1.57804878</v>
      </c>
      <c r="AE556" s="8">
        <f t="shared" si="11"/>
        <v>325.7508777</v>
      </c>
      <c r="AF556" s="14">
        <f t="shared" si="12"/>
        <v>1.007095326</v>
      </c>
      <c r="AG556" s="14">
        <f t="shared" si="13"/>
        <v>1.970960282</v>
      </c>
      <c r="AH556" s="14">
        <f t="shared" si="14"/>
        <v>1</v>
      </c>
      <c r="AI556" s="14">
        <f t="shared" si="15"/>
        <v>1</v>
      </c>
      <c r="AJ556" s="27">
        <f t="shared" si="16"/>
        <v>-81</v>
      </c>
      <c r="AK556" s="15" t="str">
        <f t="shared" si="17"/>
        <v>  @CONFIG[RD-222] {
   %cost = 647
   @cost -= #$../../cost$
  }</v>
      </c>
    </row>
    <row r="557" ht="15.75" customHeight="1">
      <c r="A557" s="7" t="s">
        <v>612</v>
      </c>
      <c r="B557" s="7" t="s">
        <v>605</v>
      </c>
      <c r="C557" s="8">
        <f t="shared" si="1"/>
        <v>-86</v>
      </c>
      <c r="D557" s="7"/>
      <c r="E557" s="7"/>
      <c r="F557" s="7" t="b">
        <v>1</v>
      </c>
      <c r="G557" s="7" t="b">
        <v>0</v>
      </c>
      <c r="H557" s="7" t="b">
        <v>1</v>
      </c>
      <c r="I557" s="7" t="b">
        <v>0</v>
      </c>
      <c r="J557" s="9" t="b">
        <v>0</v>
      </c>
      <c r="K557" s="7">
        <v>525.0</v>
      </c>
      <c r="L557" s="7"/>
      <c r="M557" s="7">
        <v>1440.0</v>
      </c>
      <c r="N557" s="7">
        <v>1696.6</v>
      </c>
      <c r="O557" s="7">
        <v>314.0</v>
      </c>
      <c r="P557" s="7">
        <v>14.71</v>
      </c>
      <c r="Q557" s="7">
        <v>0.997966</v>
      </c>
      <c r="R557" s="7">
        <v>0.997966</v>
      </c>
      <c r="S557" s="10">
        <f t="shared" si="2"/>
        <v>525</v>
      </c>
      <c r="T557" s="10">
        <f t="shared" si="3"/>
        <v>120.1423974</v>
      </c>
      <c r="U557" s="11">
        <f t="shared" si="4"/>
        <v>0.3769821542</v>
      </c>
      <c r="V557" s="8">
        <f t="shared" si="129"/>
        <v>639.5879228</v>
      </c>
      <c r="W557" s="12">
        <f t="shared" si="5"/>
        <v>4</v>
      </c>
      <c r="X557" s="12">
        <f t="shared" si="6"/>
        <v>3197.939614</v>
      </c>
      <c r="Y557" s="12">
        <f t="shared" si="7"/>
        <v>1.884910771</v>
      </c>
      <c r="Z557" s="8">
        <f t="shared" si="19"/>
        <v>649.7804836</v>
      </c>
      <c r="AA557" s="8">
        <f t="shared" si="118"/>
        <v>710</v>
      </c>
      <c r="AB557" s="13">
        <f t="shared" si="9"/>
        <v>1.352380952</v>
      </c>
      <c r="AC557" s="13">
        <f t="shared" si="10"/>
        <v>1.092676708</v>
      </c>
      <c r="AD557" s="13">
        <f>AA557/vlookup(A557,Max!$A$2:$AP$700,column(Max!$AP$2),false)</f>
        <v>1.731707317</v>
      </c>
      <c r="AE557" s="8">
        <f t="shared" si="11"/>
        <v>389.0843849</v>
      </c>
      <c r="AF557" s="14">
        <f t="shared" si="12"/>
        <v>1.096711703</v>
      </c>
      <c r="AG557" s="14">
        <f t="shared" si="13"/>
        <v>1.663699383</v>
      </c>
      <c r="AH557" s="14">
        <f t="shared" si="14"/>
        <v>1</v>
      </c>
      <c r="AI557" s="14">
        <f t="shared" si="15"/>
        <v>1</v>
      </c>
      <c r="AJ557" s="27">
        <f t="shared" si="16"/>
        <v>-86</v>
      </c>
      <c r="AK557" s="15" t="str">
        <f t="shared" si="17"/>
        <v>  @CONFIG[RD-223] {
   %cost = 710
   @cost -= #$../../cost$
  }</v>
      </c>
    </row>
    <row r="558" ht="15.75" customHeight="1">
      <c r="A558" s="7" t="s">
        <v>623</v>
      </c>
      <c r="B558" s="7" t="s">
        <v>624</v>
      </c>
      <c r="C558" s="8">
        <f t="shared" si="1"/>
        <v>383</v>
      </c>
      <c r="D558" s="7"/>
      <c r="E558" s="7"/>
      <c r="F558" s="7" t="b">
        <v>1</v>
      </c>
      <c r="G558" s="7" t="b">
        <v>0</v>
      </c>
      <c r="H558" s="7" t="b">
        <v>1</v>
      </c>
      <c r="I558" s="7" t="b">
        <v>1</v>
      </c>
      <c r="J558" s="9" t="b">
        <v>0</v>
      </c>
      <c r="K558" s="7"/>
      <c r="L558" s="7"/>
      <c r="M558" s="7">
        <v>222.0</v>
      </c>
      <c r="N558" s="7">
        <v>117.68</v>
      </c>
      <c r="O558" s="7">
        <v>331.0</v>
      </c>
      <c r="P558" s="7">
        <v>14.71</v>
      </c>
      <c r="Q558" s="7">
        <v>0.996512</v>
      </c>
      <c r="R558" s="7">
        <v>0.99625</v>
      </c>
      <c r="S558" s="10">
        <f t="shared" si="2"/>
        <v>0</v>
      </c>
      <c r="T558" s="10">
        <f t="shared" si="3"/>
        <v>54.05414576</v>
      </c>
      <c r="U558" s="11">
        <f t="shared" si="4"/>
        <v>1.851196009</v>
      </c>
      <c r="V558" s="8">
        <f t="shared" si="129"/>
        <v>217.8487464</v>
      </c>
      <c r="W558" s="12">
        <f t="shared" si="5"/>
        <v>4</v>
      </c>
      <c r="X558" s="12">
        <f t="shared" si="6"/>
        <v>1089.243732</v>
      </c>
      <c r="Y558" s="12">
        <f t="shared" si="7"/>
        <v>9.255980047</v>
      </c>
      <c r="Z558" s="8">
        <f t="shared" si="19"/>
        <v>330.9476723</v>
      </c>
      <c r="AA558" s="8">
        <f t="shared" si="118"/>
        <v>383</v>
      </c>
      <c r="AB558" s="13" t="str">
        <f t="shared" si="9"/>
        <v>#N/A</v>
      </c>
      <c r="AC558" s="13">
        <f t="shared" si="10"/>
        <v>1.157282652</v>
      </c>
      <c r="AD558" s="13">
        <f>AA558/vlookup(A558,Max!$A$2:$AP$700,column(Max!$AP$2),false)</f>
        <v>2.837037037</v>
      </c>
      <c r="AE558" s="8">
        <f t="shared" si="11"/>
        <v>123.5913636</v>
      </c>
      <c r="AF558" s="14">
        <f t="shared" si="12"/>
        <v>1.242337337</v>
      </c>
      <c r="AG558" s="14">
        <f t="shared" si="13"/>
        <v>1.663699383</v>
      </c>
      <c r="AH558" s="14">
        <f t="shared" si="14"/>
        <v>1.5</v>
      </c>
      <c r="AI558" s="14">
        <f t="shared" si="15"/>
        <v>1</v>
      </c>
      <c r="AJ558" s="15">
        <f t="shared" si="16"/>
        <v>0</v>
      </c>
      <c r="AK558" s="15" t="str">
        <f t="shared" si="17"/>
        <v>  @CONFIG[RD-510] {
   %cost = 383
   @cost -= #$../../cost$
  }</v>
      </c>
    </row>
    <row r="559" ht="15.75" customHeight="1">
      <c r="A559" s="7" t="s">
        <v>690</v>
      </c>
      <c r="B559" s="7" t="s">
        <v>687</v>
      </c>
      <c r="C559" s="8">
        <f t="shared" si="1"/>
        <v>1436</v>
      </c>
      <c r="D559" s="7"/>
      <c r="E559" s="7" t="b">
        <v>1</v>
      </c>
      <c r="F559" s="7" t="b">
        <v>1</v>
      </c>
      <c r="G559" s="7" t="b">
        <v>0</v>
      </c>
      <c r="H559" s="7" t="b">
        <v>1</v>
      </c>
      <c r="I559" s="7" t="b">
        <v>0</v>
      </c>
      <c r="J559" s="9" t="b">
        <v>0</v>
      </c>
      <c r="K559" s="7">
        <v>1300.0</v>
      </c>
      <c r="L559" s="7">
        <v>0.0</v>
      </c>
      <c r="M559" s="7">
        <v>1780.0</v>
      </c>
      <c r="N559" s="7">
        <v>889.644</v>
      </c>
      <c r="O559" s="7">
        <v>422.0</v>
      </c>
      <c r="P559" s="7">
        <v>2.5</v>
      </c>
      <c r="Q559" s="7"/>
      <c r="R559" s="7"/>
      <c r="S559" s="10">
        <f t="shared" si="2"/>
        <v>1300</v>
      </c>
      <c r="T559" s="10">
        <f t="shared" si="3"/>
        <v>50.96541618</v>
      </c>
      <c r="U559" s="11">
        <f t="shared" si="4"/>
        <v>1.386186932</v>
      </c>
      <c r="V559" s="8">
        <f t="shared" ref="V559:V568" si="130">0.9*(0.00015*M559*O559*P559+797)+0.1*(43.1*POWER(M559,0.549))</f>
        <v>1233.212887</v>
      </c>
      <c r="W559" s="12">
        <f t="shared" si="5"/>
        <v>4</v>
      </c>
      <c r="X559" s="12">
        <f t="shared" si="6"/>
        <v>6166.064437</v>
      </c>
      <c r="Y559" s="12">
        <f t="shared" si="7"/>
        <v>6.930934662</v>
      </c>
      <c r="Z559" s="8">
        <f t="shared" si="19"/>
        <v>1233.212887</v>
      </c>
      <c r="AA559" s="8">
        <f t="shared" si="118"/>
        <v>1436</v>
      </c>
      <c r="AB559" s="13">
        <f t="shared" si="9"/>
        <v>1.104615385</v>
      </c>
      <c r="AC559" s="13">
        <f t="shared" si="10"/>
        <v>1.164438042</v>
      </c>
      <c r="AD559" s="13">
        <f>AA559/vlookup(A559,Max!$A$2:$AP$700,column(Max!$AP$2),false)</f>
        <v>2.143283582</v>
      </c>
      <c r="AE559" s="8">
        <f t="shared" si="11"/>
        <v>492.2650132</v>
      </c>
      <c r="AF559" s="14">
        <f t="shared" si="12"/>
        <v>2.611627495</v>
      </c>
      <c r="AG559" s="14">
        <f t="shared" si="13"/>
        <v>1.116602269</v>
      </c>
      <c r="AH559" s="14">
        <f t="shared" si="14"/>
        <v>1</v>
      </c>
      <c r="AI559" s="14">
        <f t="shared" si="15"/>
        <v>1</v>
      </c>
      <c r="AJ559" s="15">
        <f t="shared" si="16"/>
        <v>0</v>
      </c>
      <c r="AK559" s="15" t="str">
        <f t="shared" si="17"/>
        <v>  @CONFIG[RL200-200k] {
   %cost = 1436
   @cost -= #$../../cost$
  }</v>
      </c>
    </row>
    <row r="560" ht="15.75" customHeight="1">
      <c r="A560" s="16" t="s">
        <v>689</v>
      </c>
      <c r="B560" s="16" t="s">
        <v>687</v>
      </c>
      <c r="C560" s="8">
        <f t="shared" si="1"/>
        <v>65</v>
      </c>
      <c r="D560" s="16"/>
      <c r="E560" s="16" t="b">
        <v>1</v>
      </c>
      <c r="F560" s="16" t="b">
        <v>1</v>
      </c>
      <c r="G560" s="16" t="b">
        <v>0</v>
      </c>
      <c r="H560" s="16" t="b">
        <v>1</v>
      </c>
      <c r="I560" s="16" t="b">
        <v>0</v>
      </c>
      <c r="J560" s="9" t="b">
        <v>0</v>
      </c>
      <c r="K560" s="16">
        <v>1300.0</v>
      </c>
      <c r="L560" s="16">
        <v>5.0</v>
      </c>
      <c r="M560" s="16">
        <v>1780.0</v>
      </c>
      <c r="N560" s="16">
        <v>1000.8495</v>
      </c>
      <c r="O560" s="16">
        <v>427.0</v>
      </c>
      <c r="P560" s="16">
        <v>2.5</v>
      </c>
      <c r="Q560" s="16"/>
      <c r="R560" s="16"/>
      <c r="S560" s="19">
        <f t="shared" si="2"/>
        <v>1305</v>
      </c>
      <c r="T560" s="19">
        <f t="shared" si="3"/>
        <v>57.3360932</v>
      </c>
      <c r="U560" s="20">
        <f t="shared" si="4"/>
        <v>1.235167363</v>
      </c>
      <c r="V560" s="17">
        <f t="shared" si="130"/>
        <v>1236.216637</v>
      </c>
      <c r="W560" s="21">
        <f t="shared" si="5"/>
        <v>4</v>
      </c>
      <c r="X560" s="21">
        <f t="shared" si="6"/>
        <v>6181.083187</v>
      </c>
      <c r="Y560" s="21">
        <f t="shared" si="7"/>
        <v>6.175836813</v>
      </c>
      <c r="Z560" s="8">
        <f t="shared" si="19"/>
        <v>1236.216637</v>
      </c>
      <c r="AA560" s="8">
        <f t="shared" si="118"/>
        <v>1501</v>
      </c>
      <c r="AB560" s="13">
        <f t="shared" si="9"/>
        <v>1.150191571</v>
      </c>
      <c r="AC560" s="13">
        <f t="shared" si="10"/>
        <v>1.21418848</v>
      </c>
      <c r="AD560" s="13">
        <f>AA560/vlookup(A560,Max!$A$2:$AP$700,column(Max!$AP$2),false)</f>
        <v>1.830487805</v>
      </c>
      <c r="AE560" s="8">
        <f t="shared" si="11"/>
        <v>492.2650132</v>
      </c>
      <c r="AF560" s="14">
        <f t="shared" si="12"/>
        <v>2.731573217</v>
      </c>
      <c r="AG560" s="14">
        <f t="shared" si="13"/>
        <v>1.116602269</v>
      </c>
      <c r="AH560" s="14">
        <f t="shared" si="14"/>
        <v>1</v>
      </c>
      <c r="AI560" s="14">
        <f t="shared" si="15"/>
        <v>1</v>
      </c>
      <c r="AJ560" s="27">
        <f t="shared" si="16"/>
        <v>65</v>
      </c>
      <c r="AK560" s="15" t="str">
        <f t="shared" si="17"/>
        <v>  @CONFIG[RL200-225k] {
   %cost = 1501
   @cost -= #$../../cost$
  }</v>
      </c>
    </row>
    <row r="561" ht="15.75" customHeight="1">
      <c r="A561" s="7" t="s">
        <v>688</v>
      </c>
      <c r="B561" s="7" t="s">
        <v>687</v>
      </c>
      <c r="C561" s="8">
        <f t="shared" si="1"/>
        <v>179</v>
      </c>
      <c r="D561" s="7"/>
      <c r="E561" s="7" t="b">
        <v>1</v>
      </c>
      <c r="F561" s="7" t="b">
        <v>1</v>
      </c>
      <c r="G561" s="7" t="b">
        <v>0</v>
      </c>
      <c r="H561" s="7" t="b">
        <v>1</v>
      </c>
      <c r="I561" s="7" t="b">
        <v>0</v>
      </c>
      <c r="J561" s="9" t="b">
        <v>0</v>
      </c>
      <c r="K561" s="7">
        <v>1300.0</v>
      </c>
      <c r="L561" s="7">
        <v>10.0</v>
      </c>
      <c r="M561" s="7">
        <v>1780.0</v>
      </c>
      <c r="N561" s="7">
        <v>1023.0906</v>
      </c>
      <c r="O561" s="7">
        <v>435.0</v>
      </c>
      <c r="P561" s="7">
        <v>2.5</v>
      </c>
      <c r="Q561" s="7"/>
      <c r="R561" s="7"/>
      <c r="S561" s="10">
        <f t="shared" si="2"/>
        <v>1310</v>
      </c>
      <c r="T561" s="10">
        <f t="shared" si="3"/>
        <v>58.6102286</v>
      </c>
      <c r="U561" s="11">
        <f t="shared" si="4"/>
        <v>1.213013429</v>
      </c>
      <c r="V561" s="8">
        <f t="shared" si="130"/>
        <v>1241.022637</v>
      </c>
      <c r="W561" s="12">
        <f t="shared" si="5"/>
        <v>4</v>
      </c>
      <c r="X561" s="12">
        <f t="shared" si="6"/>
        <v>6205.113187</v>
      </c>
      <c r="Y561" s="12">
        <f t="shared" si="7"/>
        <v>6.065067147</v>
      </c>
      <c r="Z561" s="8">
        <f t="shared" si="19"/>
        <v>1241.022637</v>
      </c>
      <c r="AA561" s="8">
        <f t="shared" si="118"/>
        <v>1615</v>
      </c>
      <c r="AB561" s="13">
        <f t="shared" si="9"/>
        <v>1.232824427</v>
      </c>
      <c r="AC561" s="13">
        <f t="shared" si="10"/>
        <v>1.301346125</v>
      </c>
      <c r="AD561" s="13">
        <f>AA561/vlookup(A561,Max!$A$2:$AP$700,column(Max!$AP$2),false)</f>
        <v>1.73655914</v>
      </c>
      <c r="AE561" s="8">
        <f t="shared" si="11"/>
        <v>492.2650132</v>
      </c>
      <c r="AF561" s="14">
        <f t="shared" si="12"/>
        <v>2.937427839</v>
      </c>
      <c r="AG561" s="14">
        <f t="shared" si="13"/>
        <v>1.116602269</v>
      </c>
      <c r="AH561" s="14">
        <f t="shared" si="14"/>
        <v>1</v>
      </c>
      <c r="AI561" s="14">
        <f t="shared" si="15"/>
        <v>1</v>
      </c>
      <c r="AJ561" s="27">
        <f t="shared" si="16"/>
        <v>179</v>
      </c>
      <c r="AK561" s="15" t="str">
        <f t="shared" si="17"/>
        <v>  @CONFIG[RL200-230k] {
   %cost = 1615
   @cost -= #$../../cost$
  }</v>
      </c>
    </row>
    <row r="562" ht="15.75" customHeight="1">
      <c r="A562" s="16" t="s">
        <v>686</v>
      </c>
      <c r="B562" s="16" t="s">
        <v>687</v>
      </c>
      <c r="C562" s="8">
        <f t="shared" si="1"/>
        <v>554</v>
      </c>
      <c r="D562" s="16"/>
      <c r="E562" s="16" t="b">
        <v>1</v>
      </c>
      <c r="F562" s="16" t="b">
        <v>1</v>
      </c>
      <c r="G562" s="16" t="b">
        <v>0</v>
      </c>
      <c r="H562" s="16" t="b">
        <v>1</v>
      </c>
      <c r="I562" s="16" t="b">
        <v>0</v>
      </c>
      <c r="J562" s="9" t="b">
        <v>0</v>
      </c>
      <c r="K562" s="16">
        <v>1300.0</v>
      </c>
      <c r="L562" s="16">
        <v>-284.0</v>
      </c>
      <c r="M562" s="16">
        <v>1845.0</v>
      </c>
      <c r="N562" s="16">
        <v>1178.7783</v>
      </c>
      <c r="O562" s="16">
        <v>444.0</v>
      </c>
      <c r="P562" s="16">
        <v>4.0</v>
      </c>
      <c r="Q562" s="16"/>
      <c r="R562" s="16"/>
      <c r="S562" s="19">
        <f t="shared" si="2"/>
        <v>1016</v>
      </c>
      <c r="T562" s="19">
        <f t="shared" si="3"/>
        <v>65.15009976</v>
      </c>
      <c r="U562" s="20">
        <f t="shared" si="4"/>
        <v>1.210805693</v>
      </c>
      <c r="V562" s="17">
        <f t="shared" si="130"/>
        <v>1427.271476</v>
      </c>
      <c r="W562" s="21">
        <f t="shared" si="5"/>
        <v>4</v>
      </c>
      <c r="X562" s="21">
        <f t="shared" si="6"/>
        <v>7136.357381</v>
      </c>
      <c r="Y562" s="21">
        <f t="shared" si="7"/>
        <v>6.054028464</v>
      </c>
      <c r="Z562" s="8">
        <f t="shared" si="19"/>
        <v>1427.271476</v>
      </c>
      <c r="AA562" s="8">
        <f t="shared" si="118"/>
        <v>1990</v>
      </c>
      <c r="AB562" s="13">
        <f t="shared" si="9"/>
        <v>1.958661417</v>
      </c>
      <c r="AC562" s="13">
        <f t="shared" si="10"/>
        <v>1.394268738</v>
      </c>
      <c r="AD562" s="13">
        <f>AA562/vlookup(A562,Max!$A$2:$AP$700,column(Max!$AP$2),false)</f>
        <v>1.658333333</v>
      </c>
      <c r="AE562" s="8">
        <f t="shared" si="11"/>
        <v>502.4631632</v>
      </c>
      <c r="AF562" s="14">
        <f t="shared" si="12"/>
        <v>3.191351771</v>
      </c>
      <c r="AG562" s="14">
        <f t="shared" si="13"/>
        <v>1.241153517</v>
      </c>
      <c r="AH562" s="14">
        <f t="shared" si="14"/>
        <v>1</v>
      </c>
      <c r="AI562" s="14">
        <f t="shared" si="15"/>
        <v>1</v>
      </c>
      <c r="AJ562" s="27">
        <f t="shared" si="16"/>
        <v>554</v>
      </c>
      <c r="AK562" s="15" t="str">
        <f t="shared" si="17"/>
        <v>  @CONFIG[RL200S] {
   %cost = 1990
   @cost -= #$../../cost$
  }</v>
      </c>
    </row>
    <row r="563" ht="15.75" customHeight="1">
      <c r="A563" s="16" t="s">
        <v>771</v>
      </c>
      <c r="B563" s="16" t="s">
        <v>772</v>
      </c>
      <c r="C563" s="8">
        <f t="shared" si="1"/>
        <v>6229</v>
      </c>
      <c r="D563" s="16"/>
      <c r="E563" s="16" t="b">
        <v>1</v>
      </c>
      <c r="F563" s="16" t="b">
        <v>1</v>
      </c>
      <c r="G563" s="16" t="b">
        <v>0</v>
      </c>
      <c r="H563" s="16" t="b">
        <v>1</v>
      </c>
      <c r="I563" s="16" t="b">
        <v>0</v>
      </c>
      <c r="J563" s="9" t="b">
        <v>0</v>
      </c>
      <c r="K563" s="16"/>
      <c r="L563" s="16"/>
      <c r="M563" s="16">
        <v>3962.0</v>
      </c>
      <c r="N563" s="16">
        <v>2093.0</v>
      </c>
      <c r="O563" s="16">
        <v>478.0</v>
      </c>
      <c r="P563" s="16">
        <v>21.02</v>
      </c>
      <c r="Q563" s="16">
        <v>0.998404</v>
      </c>
      <c r="R563" s="16">
        <v>0.998404</v>
      </c>
      <c r="S563" s="19">
        <f t="shared" si="2"/>
        <v>0</v>
      </c>
      <c r="T563" s="19">
        <f t="shared" si="3"/>
        <v>53.86840049</v>
      </c>
      <c r="U563" s="20">
        <f t="shared" si="4"/>
        <v>3.104905722</v>
      </c>
      <c r="V563" s="17">
        <f t="shared" si="130"/>
        <v>6498.567676</v>
      </c>
      <c r="W563" s="21">
        <f t="shared" si="5"/>
        <v>4</v>
      </c>
      <c r="X563" s="21">
        <f t="shared" si="6"/>
        <v>32492.83838</v>
      </c>
      <c r="Y563" s="21">
        <f t="shared" si="7"/>
        <v>15.52452861</v>
      </c>
      <c r="Z563" s="8">
        <f t="shared" si="19"/>
        <v>6607.812155</v>
      </c>
      <c r="AA563" s="8">
        <f t="shared" si="118"/>
        <v>6229</v>
      </c>
      <c r="AB563" s="13" t="str">
        <f t="shared" si="9"/>
        <v>#N/A</v>
      </c>
      <c r="AC563" s="13">
        <f t="shared" si="10"/>
        <v>0.9426720757</v>
      </c>
      <c r="AD563" s="13">
        <f>AA563/vlookup(A563,Max!$A$2:$AP$700,column(Max!$AP$2),false)</f>
        <v>1.483095238</v>
      </c>
      <c r="AE563" s="8">
        <f t="shared" si="11"/>
        <v>783.045131</v>
      </c>
      <c r="AF563" s="14">
        <f t="shared" si="12"/>
        <v>4.412490996</v>
      </c>
      <c r="AG563" s="14">
        <f t="shared" si="13"/>
        <v>1.802828289</v>
      </c>
      <c r="AH563" s="14">
        <f t="shared" si="14"/>
        <v>1</v>
      </c>
      <c r="AI563" s="14">
        <f t="shared" si="15"/>
        <v>1</v>
      </c>
      <c r="AJ563" s="15">
        <f t="shared" si="16"/>
        <v>0</v>
      </c>
      <c r="AK563" s="15" t="str">
        <f t="shared" si="17"/>
        <v>  @CONFIG[RS-25-650] {
   %cost = 6229
   @cost -= #$../../cost$
  }</v>
      </c>
    </row>
    <row r="564" ht="15.75" customHeight="1">
      <c r="A564" s="16" t="s">
        <v>768</v>
      </c>
      <c r="B564" s="16" t="s">
        <v>769</v>
      </c>
      <c r="C564" s="8">
        <f t="shared" si="1"/>
        <v>6802</v>
      </c>
      <c r="D564" s="16"/>
      <c r="E564" s="16" t="b">
        <v>1</v>
      </c>
      <c r="F564" s="16" t="b">
        <v>1</v>
      </c>
      <c r="G564" s="16" t="b">
        <v>0</v>
      </c>
      <c r="H564" s="16" t="b">
        <v>0</v>
      </c>
      <c r="I564" s="16" t="b">
        <v>0</v>
      </c>
      <c r="J564" s="9" t="b">
        <v>0</v>
      </c>
      <c r="K564" s="16"/>
      <c r="L564" s="16"/>
      <c r="M564" s="16">
        <v>4203.0</v>
      </c>
      <c r="N564" s="16">
        <v>2130.0</v>
      </c>
      <c r="O564" s="16">
        <v>464.0</v>
      </c>
      <c r="P564" s="16">
        <v>20.48</v>
      </c>
      <c r="Q564" s="16">
        <v>0.990984</v>
      </c>
      <c r="R564" s="16">
        <v>0.994262</v>
      </c>
      <c r="S564" s="19">
        <f t="shared" si="2"/>
        <v>0</v>
      </c>
      <c r="T564" s="19">
        <f t="shared" si="3"/>
        <v>51.67726689</v>
      </c>
      <c r="U564" s="20">
        <f t="shared" si="4"/>
        <v>3.065603182</v>
      </c>
      <c r="V564" s="17">
        <f t="shared" si="130"/>
        <v>6529.734778</v>
      </c>
      <c r="W564" s="21">
        <f t="shared" si="5"/>
        <v>4</v>
      </c>
      <c r="X564" s="21">
        <f t="shared" si="6"/>
        <v>32648.67389</v>
      </c>
      <c r="Y564" s="21">
        <f t="shared" si="7"/>
        <v>15.32801591</v>
      </c>
      <c r="Z564" s="8">
        <f t="shared" si="19"/>
        <v>6564.327574</v>
      </c>
      <c r="AA564" s="8">
        <f t="shared" si="118"/>
        <v>6802</v>
      </c>
      <c r="AB564" s="13" t="str">
        <f t="shared" si="9"/>
        <v>#N/A</v>
      </c>
      <c r="AC564" s="13">
        <f t="shared" si="10"/>
        <v>1.036206667</v>
      </c>
      <c r="AD564" s="13">
        <f>AA564/vlookup(A564,Max!$A$2:$AP$700,column(Max!$AP$2),false)</f>
        <v>1.65902439</v>
      </c>
      <c r="AE564" s="8">
        <f t="shared" si="11"/>
        <v>810.7546001</v>
      </c>
      <c r="AF564" s="14">
        <f t="shared" si="12"/>
        <v>3.853605075</v>
      </c>
      <c r="AG564" s="14">
        <f t="shared" si="13"/>
        <v>2.177116443</v>
      </c>
      <c r="AH564" s="14">
        <f t="shared" si="14"/>
        <v>1</v>
      </c>
      <c r="AI564" s="14">
        <f t="shared" si="15"/>
        <v>1</v>
      </c>
      <c r="AJ564" s="15">
        <f t="shared" si="16"/>
        <v>0</v>
      </c>
      <c r="AK564" s="15" t="str">
        <f t="shared" si="17"/>
        <v>  @CONFIG[RS-25A-50X] {
   %cost = 6802
   @cost -= #$../../cost$
  }</v>
      </c>
    </row>
    <row r="565" ht="15.75" customHeight="1">
      <c r="A565" s="7" t="s">
        <v>770</v>
      </c>
      <c r="B565" s="7" t="s">
        <v>769</v>
      </c>
      <c r="C565" s="8">
        <f t="shared" si="1"/>
        <v>112</v>
      </c>
      <c r="D565" s="7"/>
      <c r="E565" s="7" t="b">
        <v>1</v>
      </c>
      <c r="F565" s="7" t="b">
        <v>1</v>
      </c>
      <c r="G565" s="7" t="b">
        <v>0</v>
      </c>
      <c r="H565" s="7" t="b">
        <v>0</v>
      </c>
      <c r="I565" s="7" t="b">
        <v>0</v>
      </c>
      <c r="J565" s="9" t="b">
        <v>0</v>
      </c>
      <c r="K565" s="7"/>
      <c r="L565" s="7"/>
      <c r="M565" s="7">
        <v>4476.0</v>
      </c>
      <c r="N565" s="7">
        <v>2364.5</v>
      </c>
      <c r="O565" s="7">
        <v>461.0</v>
      </c>
      <c r="P565" s="7">
        <v>21.02</v>
      </c>
      <c r="Q565" s="7">
        <v>0.997872</v>
      </c>
      <c r="R565" s="7">
        <v>0.997872</v>
      </c>
      <c r="S565" s="10">
        <f t="shared" si="2"/>
        <v>0</v>
      </c>
      <c r="T565" s="10">
        <f t="shared" si="3"/>
        <v>53.86771623</v>
      </c>
      <c r="U565" s="11">
        <f t="shared" si="4"/>
        <v>2.963856907</v>
      </c>
      <c r="V565" s="8">
        <f t="shared" si="130"/>
        <v>7008.039657</v>
      </c>
      <c r="W565" s="12">
        <f t="shared" si="5"/>
        <v>4</v>
      </c>
      <c r="X565" s="12">
        <f t="shared" si="6"/>
        <v>35040.19828</v>
      </c>
      <c r="Y565" s="12">
        <f t="shared" si="7"/>
        <v>14.81928454</v>
      </c>
      <c r="Z565" s="8">
        <f t="shared" si="19"/>
        <v>7118.405968</v>
      </c>
      <c r="AA565" s="8">
        <f t="shared" si="118"/>
        <v>6914</v>
      </c>
      <c r="AB565" s="13" t="str">
        <f t="shared" si="9"/>
        <v>#N/A</v>
      </c>
      <c r="AC565" s="13">
        <f t="shared" si="10"/>
        <v>0.9712848678</v>
      </c>
      <c r="AD565" s="13">
        <f>AA565/vlookup(A565,Max!$A$2:$AP$700,column(Max!$AP$2),false)</f>
        <v>1.355686275</v>
      </c>
      <c r="AE565" s="8">
        <f t="shared" si="11"/>
        <v>841.4263812</v>
      </c>
      <c r="AF565" s="14">
        <f t="shared" si="12"/>
        <v>3.744738719</v>
      </c>
      <c r="AG565" s="14">
        <f t="shared" si="13"/>
        <v>2.19418118</v>
      </c>
      <c r="AH565" s="14">
        <f t="shared" si="14"/>
        <v>1</v>
      </c>
      <c r="AI565" s="14">
        <f t="shared" si="15"/>
        <v>1</v>
      </c>
      <c r="AJ565" s="27">
        <f t="shared" si="16"/>
        <v>112</v>
      </c>
      <c r="AK565" s="15" t="str">
        <f t="shared" si="17"/>
        <v>  @CONFIG[RS-25D-50X] {
   %cost = 6914
   @cost -= #$../../cost$
  }</v>
      </c>
    </row>
    <row r="566" ht="15.75" customHeight="1">
      <c r="A566" s="16" t="s">
        <v>745</v>
      </c>
      <c r="B566" s="16" t="s">
        <v>745</v>
      </c>
      <c r="C566" s="8">
        <f t="shared" si="1"/>
        <v>2836</v>
      </c>
      <c r="D566" s="16"/>
      <c r="E566" s="16" t="b">
        <v>1</v>
      </c>
      <c r="F566" s="16" t="b">
        <v>1</v>
      </c>
      <c r="G566" s="16" t="b">
        <v>0</v>
      </c>
      <c r="H566" s="16" t="b">
        <v>1</v>
      </c>
      <c r="I566" s="16" t="b">
        <v>0</v>
      </c>
      <c r="J566" s="9" t="b">
        <v>1</v>
      </c>
      <c r="K566" s="16"/>
      <c r="L566" s="16"/>
      <c r="M566" s="16">
        <v>2500.0</v>
      </c>
      <c r="N566" s="16">
        <v>72.95</v>
      </c>
      <c r="O566" s="16">
        <v>875.0</v>
      </c>
      <c r="P566" s="16">
        <v>3.1</v>
      </c>
      <c r="Q566" s="16">
        <v>1.0</v>
      </c>
      <c r="R566" s="16">
        <v>1.0</v>
      </c>
      <c r="S566" s="19">
        <f t="shared" si="2"/>
        <v>0</v>
      </c>
      <c r="T566" s="19">
        <f t="shared" si="3"/>
        <v>2.975531901</v>
      </c>
      <c r="U566" s="20">
        <f t="shared" si="4"/>
        <v>26.71634603</v>
      </c>
      <c r="V566" s="17">
        <f t="shared" si="130"/>
        <v>1948.957443</v>
      </c>
      <c r="W566" s="21">
        <f t="shared" si="5"/>
        <v>4</v>
      </c>
      <c r="X566" s="21">
        <f t="shared" si="6"/>
        <v>9744.787213</v>
      </c>
      <c r="Y566" s="21">
        <f t="shared" si="7"/>
        <v>133.5817301</v>
      </c>
      <c r="Z566" s="8">
        <f t="shared" si="19"/>
        <v>1987.936592</v>
      </c>
      <c r="AA566" s="8">
        <f t="shared" si="118"/>
        <v>2836</v>
      </c>
      <c r="AB566" s="13" t="str">
        <f t="shared" si="9"/>
        <v>#N/A</v>
      </c>
      <c r="AC566" s="13">
        <f t="shared" si="10"/>
        <v>1.426604859</v>
      </c>
      <c r="AD566" s="13">
        <f>AA566/vlookup(A566,Max!$A$2:$AP$700,column(Max!$AP$2),false)</f>
        <v>1.05037037</v>
      </c>
      <c r="AE566" s="8">
        <f t="shared" si="11"/>
        <v>598.4806909</v>
      </c>
      <c r="AF566" s="14">
        <f t="shared" si="12"/>
        <v>2.021452751</v>
      </c>
      <c r="AG566" s="14">
        <f t="shared" si="13"/>
        <v>1.171975101</v>
      </c>
      <c r="AH566" s="14">
        <f t="shared" si="14"/>
        <v>2</v>
      </c>
      <c r="AI566" s="14">
        <f t="shared" si="15"/>
        <v>1</v>
      </c>
      <c r="AJ566" s="15">
        <f t="shared" si="16"/>
        <v>0</v>
      </c>
      <c r="AK566" s="15" t="str">
        <f t="shared" si="17"/>
        <v>  @CONFIG[SmallEngine] {
   %cost = 2836
   @cost -= #$../../cost$
  }</v>
      </c>
    </row>
    <row r="567" ht="15.75" customHeight="1">
      <c r="A567" s="7" t="s">
        <v>746</v>
      </c>
      <c r="B567" s="7" t="s">
        <v>747</v>
      </c>
      <c r="C567" s="8">
        <f t="shared" si="1"/>
        <v>7102</v>
      </c>
      <c r="D567" s="7"/>
      <c r="E567" s="7" t="b">
        <v>1</v>
      </c>
      <c r="F567" s="7" t="b">
        <v>1</v>
      </c>
      <c r="G567" s="7" t="b">
        <v>0</v>
      </c>
      <c r="H567" s="7" t="b">
        <v>1</v>
      </c>
      <c r="I567" s="7" t="b">
        <v>0</v>
      </c>
      <c r="J567" s="9" t="b">
        <v>1</v>
      </c>
      <c r="K567" s="7">
        <v>6751.0</v>
      </c>
      <c r="L567" s="7">
        <v>0.0</v>
      </c>
      <c r="M567" s="7">
        <v>1504.0</v>
      </c>
      <c r="N567" s="7">
        <v>245.0</v>
      </c>
      <c r="O567" s="7">
        <v>954.0</v>
      </c>
      <c r="P567" s="7">
        <v>6.8</v>
      </c>
      <c r="Q567" s="7">
        <v>1.0</v>
      </c>
      <c r="R567" s="7">
        <v>1.0</v>
      </c>
      <c r="S567" s="10">
        <f t="shared" si="2"/>
        <v>6751</v>
      </c>
      <c r="T567" s="10">
        <f t="shared" si="3"/>
        <v>16.61106858</v>
      </c>
      <c r="U567" s="11">
        <f t="shared" si="4"/>
        <v>9.280305895</v>
      </c>
      <c r="V567" s="8">
        <f t="shared" si="130"/>
        <v>2273.674944</v>
      </c>
      <c r="W567" s="12">
        <f t="shared" si="5"/>
        <v>4</v>
      </c>
      <c r="X567" s="12">
        <f t="shared" si="6"/>
        <v>11368.37472</v>
      </c>
      <c r="Y567" s="12">
        <f t="shared" si="7"/>
        <v>46.40152948</v>
      </c>
      <c r="Z567" s="8">
        <f t="shared" si="19"/>
        <v>2319.148443</v>
      </c>
      <c r="AA567" s="8">
        <f t="shared" si="118"/>
        <v>7102</v>
      </c>
      <c r="AB567" s="13">
        <f t="shared" si="9"/>
        <v>1.051992297</v>
      </c>
      <c r="AC567" s="13">
        <f t="shared" si="10"/>
        <v>3.062330926</v>
      </c>
      <c r="AD567" s="13">
        <f>AA567/vlookup(A567,Max!$A$2:$AP$700,column(Max!$AP$2),false)</f>
        <v>1.00028169</v>
      </c>
      <c r="AE567" s="8">
        <f t="shared" si="11"/>
        <v>447.2422069</v>
      </c>
      <c r="AF567" s="14">
        <f t="shared" si="12"/>
        <v>5.677546743</v>
      </c>
      <c r="AG567" s="14">
        <f t="shared" si="13"/>
        <v>1.398545208</v>
      </c>
      <c r="AH567" s="14">
        <f t="shared" si="14"/>
        <v>2</v>
      </c>
      <c r="AI567" s="14">
        <f t="shared" si="15"/>
        <v>1</v>
      </c>
      <c r="AJ567" s="15">
        <f t="shared" si="16"/>
        <v>0</v>
      </c>
      <c r="AK567" s="15" t="str">
        <f t="shared" si="17"/>
        <v>  @CONFIG[SNTPPFE100-Hydrogen] {
   %cost = 7102
   @cost -= #$../../cost$
  }</v>
      </c>
    </row>
    <row r="568" ht="15.75" customHeight="1">
      <c r="A568" s="16" t="s">
        <v>748</v>
      </c>
      <c r="B568" s="16" t="s">
        <v>747</v>
      </c>
      <c r="C568" s="8">
        <f t="shared" si="1"/>
        <v>-779</v>
      </c>
      <c r="D568" s="16"/>
      <c r="E568" s="16" t="b">
        <v>1</v>
      </c>
      <c r="F568" s="16" t="b">
        <v>1</v>
      </c>
      <c r="G568" s="16" t="b">
        <v>0</v>
      </c>
      <c r="H568" s="16" t="b">
        <v>1</v>
      </c>
      <c r="I568" s="16" t="b">
        <v>0</v>
      </c>
      <c r="J568" s="9" t="b">
        <v>1</v>
      </c>
      <c r="K568" s="16">
        <v>6751.0</v>
      </c>
      <c r="L568" s="16">
        <v>0.0</v>
      </c>
      <c r="M568" s="16">
        <v>1504.0</v>
      </c>
      <c r="N568" s="16">
        <v>206.0</v>
      </c>
      <c r="O568" s="16">
        <v>940.0</v>
      </c>
      <c r="P568" s="16">
        <v>6.8</v>
      </c>
      <c r="Q568" s="16">
        <v>1.0</v>
      </c>
      <c r="R568" s="16">
        <v>1.0</v>
      </c>
      <c r="S568" s="19">
        <f t="shared" si="2"/>
        <v>6751</v>
      </c>
      <c r="T568" s="19">
        <f t="shared" si="3"/>
        <v>13.96685766</v>
      </c>
      <c r="U568" s="20">
        <f t="shared" si="4"/>
        <v>10.94342493</v>
      </c>
      <c r="V568" s="17">
        <f t="shared" si="130"/>
        <v>2254.345536</v>
      </c>
      <c r="W568" s="21">
        <f t="shared" si="5"/>
        <v>4</v>
      </c>
      <c r="X568" s="21">
        <f t="shared" si="6"/>
        <v>11271.72768</v>
      </c>
      <c r="Y568" s="21">
        <f t="shared" si="7"/>
        <v>54.71712467</v>
      </c>
      <c r="Z568" s="8">
        <f t="shared" si="19"/>
        <v>2299.432447</v>
      </c>
      <c r="AA568" s="8">
        <f t="shared" si="118"/>
        <v>6323</v>
      </c>
      <c r="AB568" s="13">
        <f t="shared" si="9"/>
        <v>0.9366019849</v>
      </c>
      <c r="AC568" s="13">
        <f t="shared" si="10"/>
        <v>2.749808984</v>
      </c>
      <c r="AD568" s="13">
        <f>AA568/vlookup(A568,Max!$A$2:$AP$700,column(Max!$AP$2),false)</f>
        <v>1.317291667</v>
      </c>
      <c r="AE568" s="8">
        <f t="shared" si="11"/>
        <v>447.2422069</v>
      </c>
      <c r="AF568" s="14">
        <f t="shared" si="12"/>
        <v>5.054407398</v>
      </c>
      <c r="AG568" s="14">
        <f t="shared" si="13"/>
        <v>1.398545208</v>
      </c>
      <c r="AH568" s="14">
        <f t="shared" si="14"/>
        <v>2</v>
      </c>
      <c r="AI568" s="14">
        <f t="shared" si="15"/>
        <v>1</v>
      </c>
      <c r="AJ568" s="27">
        <f t="shared" si="16"/>
        <v>-779</v>
      </c>
      <c r="AK568" s="15" t="str">
        <f t="shared" si="17"/>
        <v>  @CONFIG[SNTPPFE100-Prototype] {
   %cost = 6323
   @cost -= #$../../cost$
  }</v>
      </c>
    </row>
    <row r="569" ht="15.75" customHeight="1">
      <c r="A569" s="16" t="s">
        <v>749</v>
      </c>
      <c r="B569" s="16" t="s">
        <v>749</v>
      </c>
      <c r="C569" s="8">
        <f t="shared" si="1"/>
        <v>2427</v>
      </c>
      <c r="D569" s="16"/>
      <c r="E569" s="16"/>
      <c r="F569" s="16" t="b">
        <v>1</v>
      </c>
      <c r="G569" s="16" t="b">
        <v>0</v>
      </c>
      <c r="H569" s="16" t="b">
        <v>0</v>
      </c>
      <c r="I569" s="16" t="b">
        <v>0</v>
      </c>
      <c r="J569" s="9" t="b">
        <v>0</v>
      </c>
      <c r="K569" s="16"/>
      <c r="L569" s="16"/>
      <c r="M569" s="16">
        <v>3655.0</v>
      </c>
      <c r="N569" s="16">
        <v>2265.0</v>
      </c>
      <c r="O569" s="16">
        <v>361.0</v>
      </c>
      <c r="P569" s="16">
        <v>22.58</v>
      </c>
      <c r="Q569" s="16">
        <v>0.990984</v>
      </c>
      <c r="R569" s="16">
        <v>0.994262</v>
      </c>
      <c r="S569" s="19">
        <f t="shared" si="2"/>
        <v>0</v>
      </c>
      <c r="T569" s="19">
        <f t="shared" si="3"/>
        <v>63.19171589</v>
      </c>
      <c r="U569" s="20">
        <f t="shared" si="4"/>
        <v>0.5518281773</v>
      </c>
      <c r="V569" s="17">
        <f t="shared" ref="V569:V577" si="131">0.2*(8.17*POWER(M569*P569,0.46))+0.8*(0.146*POWER(M569*O569,0.639))</f>
        <v>1249.890822</v>
      </c>
      <c r="W569" s="21">
        <f t="shared" si="5"/>
        <v>4</v>
      </c>
      <c r="X569" s="21">
        <f t="shared" si="6"/>
        <v>6249.454108</v>
      </c>
      <c r="Y569" s="21">
        <f t="shared" si="7"/>
        <v>2.759140887</v>
      </c>
      <c r="Z569" s="8">
        <f t="shared" si="19"/>
        <v>1256.512411</v>
      </c>
      <c r="AA569" s="8">
        <f t="shared" si="118"/>
        <v>2427</v>
      </c>
      <c r="AB569" s="13" t="str">
        <f t="shared" si="9"/>
        <v>#N/A</v>
      </c>
      <c r="AC569" s="13">
        <f t="shared" si="10"/>
        <v>1.931536831</v>
      </c>
      <c r="AD569" s="13">
        <f>AA569/vlookup(A569,Max!$A$2:$AP$700,column(Max!$AP$2),false)</f>
        <v>2.311428571</v>
      </c>
      <c r="AE569" s="8">
        <f t="shared" si="11"/>
        <v>693.4774136</v>
      </c>
      <c r="AF569" s="14">
        <f t="shared" si="12"/>
        <v>1.561213074</v>
      </c>
      <c r="AG569" s="14">
        <f t="shared" si="13"/>
        <v>2.241815427</v>
      </c>
      <c r="AH569" s="14">
        <f t="shared" si="14"/>
        <v>1</v>
      </c>
      <c r="AI569" s="14">
        <f t="shared" si="15"/>
        <v>1</v>
      </c>
      <c r="AJ569" s="15">
        <f t="shared" si="16"/>
        <v>0</v>
      </c>
      <c r="AK569" s="15" t="str">
        <f t="shared" si="17"/>
        <v>  @CONFIG[SSBE] {
   %cost = 2427
   @cost -= #$../../cost$
  }</v>
      </c>
    </row>
    <row r="570" ht="15.75" customHeight="1">
      <c r="A570" s="7" t="s">
        <v>750</v>
      </c>
      <c r="B570" s="7" t="s">
        <v>749</v>
      </c>
      <c r="C570" s="8">
        <f t="shared" si="1"/>
        <v>-2</v>
      </c>
      <c r="D570" s="7"/>
      <c r="E570" s="7"/>
      <c r="F570" s="7" t="b">
        <v>1</v>
      </c>
      <c r="G570" s="7" t="b">
        <v>0</v>
      </c>
      <c r="H570" s="7" t="b">
        <v>0</v>
      </c>
      <c r="I570" s="7" t="b">
        <v>0</v>
      </c>
      <c r="J570" s="9" t="b">
        <v>0</v>
      </c>
      <c r="K570" s="7"/>
      <c r="L570" s="7"/>
      <c r="M570" s="7">
        <v>3889.0</v>
      </c>
      <c r="N570" s="7">
        <v>2306.0</v>
      </c>
      <c r="O570" s="7">
        <v>358.7</v>
      </c>
      <c r="P570" s="7">
        <v>21.02</v>
      </c>
      <c r="Q570" s="7">
        <v>0.998404</v>
      </c>
      <c r="R570" s="7">
        <v>0.998404</v>
      </c>
      <c r="S570" s="10">
        <f t="shared" si="2"/>
        <v>0</v>
      </c>
      <c r="T570" s="10">
        <f t="shared" si="3"/>
        <v>60.46453022</v>
      </c>
      <c r="U570" s="11">
        <f t="shared" si="4"/>
        <v>0.5563900917</v>
      </c>
      <c r="V570" s="8">
        <f t="shared" si="131"/>
        <v>1283.035551</v>
      </c>
      <c r="W570" s="12">
        <f t="shared" si="5"/>
        <v>4</v>
      </c>
      <c r="X570" s="12">
        <f t="shared" si="6"/>
        <v>6415.177757</v>
      </c>
      <c r="Y570" s="12">
        <f t="shared" si="7"/>
        <v>2.781950458</v>
      </c>
      <c r="Z570" s="8">
        <f t="shared" si="19"/>
        <v>1304.604081</v>
      </c>
      <c r="AA570" s="8">
        <f t="shared" si="118"/>
        <v>2425</v>
      </c>
      <c r="AB570" s="13" t="str">
        <f t="shared" si="9"/>
        <v>#N/A</v>
      </c>
      <c r="AC570" s="13">
        <f t="shared" si="10"/>
        <v>1.858801482</v>
      </c>
      <c r="AD570" s="13">
        <f>AA570/vlookup(A570,Max!$A$2:$AP$700,column(Max!$AP$2),false)</f>
        <v>1.94</v>
      </c>
      <c r="AE570" s="8">
        <f t="shared" si="11"/>
        <v>720.7982942</v>
      </c>
      <c r="AF570" s="14">
        <f t="shared" si="12"/>
        <v>1.533174797</v>
      </c>
      <c r="AG570" s="14">
        <f t="shared" si="13"/>
        <v>2.19418118</v>
      </c>
      <c r="AH570" s="14">
        <f t="shared" si="14"/>
        <v>1</v>
      </c>
      <c r="AI570" s="14">
        <f t="shared" si="15"/>
        <v>1</v>
      </c>
      <c r="AJ570" s="27">
        <f t="shared" si="16"/>
        <v>-2</v>
      </c>
      <c r="AK570" s="15" t="str">
        <f t="shared" si="17"/>
        <v>  @CONFIG[SSBE-BlockII] {
   %cost = 2425
   @cost -= #$../../cost$
  }</v>
      </c>
    </row>
    <row r="571" ht="15.75" customHeight="1">
      <c r="A571" s="16" t="s">
        <v>785</v>
      </c>
      <c r="B571" s="16" t="s">
        <v>786</v>
      </c>
      <c r="C571" s="8">
        <f t="shared" si="1"/>
        <v>13</v>
      </c>
      <c r="D571" s="16"/>
      <c r="E571" s="16"/>
      <c r="F571" s="16" t="b">
        <v>0</v>
      </c>
      <c r="G571" s="16" t="b">
        <v>0</v>
      </c>
      <c r="H571" s="16" t="b">
        <v>0</v>
      </c>
      <c r="I571" s="16" t="b">
        <v>0</v>
      </c>
      <c r="J571" s="9" t="b">
        <v>0</v>
      </c>
      <c r="K571" s="16">
        <v>50.0</v>
      </c>
      <c r="L571" s="16">
        <v>0.0</v>
      </c>
      <c r="M571" s="16">
        <v>4.76</v>
      </c>
      <c r="N571" s="16">
        <v>0.4715</v>
      </c>
      <c r="O571" s="16">
        <v>322.0</v>
      </c>
      <c r="P571" s="16">
        <v>0.94</v>
      </c>
      <c r="Q571" s="16"/>
      <c r="R571" s="16"/>
      <c r="S571" s="19">
        <f t="shared" si="2"/>
        <v>50</v>
      </c>
      <c r="T571" s="19">
        <f t="shared" si="3"/>
        <v>10.10076036</v>
      </c>
      <c r="U571" s="20">
        <f t="shared" si="4"/>
        <v>33.78675896</v>
      </c>
      <c r="V571" s="17">
        <f t="shared" si="131"/>
        <v>15.93045685</v>
      </c>
      <c r="W571" s="21">
        <f t="shared" si="5"/>
        <v>1.75</v>
      </c>
      <c r="X571" s="21">
        <f t="shared" si="6"/>
        <v>43.80875634</v>
      </c>
      <c r="Y571" s="21">
        <f t="shared" si="7"/>
        <v>92.91358715</v>
      </c>
      <c r="Z571" s="8">
        <f t="shared" si="19"/>
        <v>15.93045685</v>
      </c>
      <c r="AA571" s="8">
        <f t="shared" si="118"/>
        <v>13</v>
      </c>
      <c r="AB571" s="13">
        <f t="shared" si="9"/>
        <v>0.26</v>
      </c>
      <c r="AC571" s="13">
        <f t="shared" si="10"/>
        <v>0.8160469045</v>
      </c>
      <c r="AD571" s="13">
        <f>AA571/vlookup(A571,Max!$A$2:$AP$700,column(Max!$AP$2),false)</f>
        <v>5.416666667</v>
      </c>
      <c r="AE571" s="8">
        <f t="shared" si="11"/>
        <v>12.56801749</v>
      </c>
      <c r="AF571" s="14">
        <f t="shared" si="12"/>
        <v>1.16406432</v>
      </c>
      <c r="AG571" s="14">
        <f t="shared" si="13"/>
        <v>0.8638155709</v>
      </c>
      <c r="AH571" s="14">
        <f t="shared" si="14"/>
        <v>1</v>
      </c>
      <c r="AI571" s="14">
        <f t="shared" si="15"/>
        <v>1</v>
      </c>
      <c r="AJ571" s="15">
        <f t="shared" si="16"/>
        <v>0</v>
      </c>
      <c r="AK571" s="15" t="str">
        <f t="shared" si="17"/>
        <v>  @CONFIG[TR-308] {
   %cost = 13
   @cost -= #$../../cost$
  }</v>
      </c>
    </row>
    <row r="572" ht="15.75" customHeight="1">
      <c r="A572" s="16" t="s">
        <v>788</v>
      </c>
      <c r="B572" s="16" t="s">
        <v>786</v>
      </c>
      <c r="C572" s="8">
        <f t="shared" si="1"/>
        <v>2</v>
      </c>
      <c r="D572" s="16"/>
      <c r="E572" s="16"/>
      <c r="F572" s="16" t="b">
        <v>0</v>
      </c>
      <c r="G572" s="16" t="b">
        <v>0</v>
      </c>
      <c r="H572" s="16" t="b">
        <v>0</v>
      </c>
      <c r="I572" s="16" t="b">
        <v>0</v>
      </c>
      <c r="J572" s="9" t="b">
        <v>0</v>
      </c>
      <c r="K572" s="16">
        <v>50.0</v>
      </c>
      <c r="L572" s="16">
        <v>5.0</v>
      </c>
      <c r="M572" s="16">
        <v>6.03</v>
      </c>
      <c r="N572" s="16">
        <v>0.5026</v>
      </c>
      <c r="O572" s="16">
        <v>325.0</v>
      </c>
      <c r="P572" s="16">
        <v>1.06</v>
      </c>
      <c r="Q572" s="16"/>
      <c r="R572" s="16"/>
      <c r="S572" s="19">
        <f t="shared" si="2"/>
        <v>55</v>
      </c>
      <c r="T572" s="19">
        <f t="shared" si="3"/>
        <v>8.499326155</v>
      </c>
      <c r="U572" s="20">
        <f t="shared" si="4"/>
        <v>37.13939459</v>
      </c>
      <c r="V572" s="17">
        <f t="shared" si="131"/>
        <v>18.66625972</v>
      </c>
      <c r="W572" s="21">
        <f t="shared" si="5"/>
        <v>1.75</v>
      </c>
      <c r="X572" s="21">
        <f t="shared" si="6"/>
        <v>51.33221424</v>
      </c>
      <c r="Y572" s="21">
        <f t="shared" si="7"/>
        <v>102.1333351</v>
      </c>
      <c r="Z572" s="8">
        <f t="shared" si="19"/>
        <v>18.66625972</v>
      </c>
      <c r="AA572" s="8">
        <f t="shared" si="118"/>
        <v>15</v>
      </c>
      <c r="AB572" s="13">
        <f t="shared" si="9"/>
        <v>0.2727272727</v>
      </c>
      <c r="AC572" s="13">
        <f t="shared" si="10"/>
        <v>0.8035889473</v>
      </c>
      <c r="AD572" s="13">
        <f>AA572/vlookup(A572,Max!$A$2:$AP$700,column(Max!$AP$2),false)</f>
        <v>6</v>
      </c>
      <c r="AE572" s="8">
        <f t="shared" si="11"/>
        <v>14.42006506</v>
      </c>
      <c r="AF572" s="14">
        <f t="shared" si="12"/>
        <v>1.189372511</v>
      </c>
      <c r="AG572" s="14">
        <f t="shared" si="13"/>
        <v>0.8955182311</v>
      </c>
      <c r="AH572" s="14">
        <f t="shared" si="14"/>
        <v>1</v>
      </c>
      <c r="AI572" s="14">
        <f t="shared" si="15"/>
        <v>1</v>
      </c>
      <c r="AJ572" s="27">
        <f t="shared" si="16"/>
        <v>2</v>
      </c>
      <c r="AK572" s="15" t="str">
        <f t="shared" si="17"/>
        <v>  @CONFIG[TR-312-100MN] {
   %cost = 15
   @cost -= #$../../cost$
  }</v>
      </c>
    </row>
    <row r="573" ht="15.75" customHeight="1">
      <c r="A573" s="7" t="s">
        <v>787</v>
      </c>
      <c r="B573" s="7" t="s">
        <v>786</v>
      </c>
      <c r="C573" s="8">
        <f t="shared" si="1"/>
        <v>3</v>
      </c>
      <c r="D573" s="7"/>
      <c r="E573" s="7"/>
      <c r="F573" s="7" t="b">
        <v>0</v>
      </c>
      <c r="G573" s="7" t="b">
        <v>0</v>
      </c>
      <c r="H573" s="7" t="b">
        <v>0</v>
      </c>
      <c r="I573" s="7" t="b">
        <v>0</v>
      </c>
      <c r="J573" s="9" t="b">
        <v>0</v>
      </c>
      <c r="K573" s="7">
        <v>50.0</v>
      </c>
      <c r="L573" s="7">
        <v>10.0</v>
      </c>
      <c r="M573" s="7">
        <v>6.03</v>
      </c>
      <c r="N573" s="7">
        <v>0.556</v>
      </c>
      <c r="O573" s="7">
        <v>330.0</v>
      </c>
      <c r="P573" s="7">
        <v>1.06</v>
      </c>
      <c r="Q573" s="7"/>
      <c r="R573" s="7"/>
      <c r="S573" s="10">
        <f t="shared" si="2"/>
        <v>60</v>
      </c>
      <c r="T573" s="10">
        <f t="shared" si="3"/>
        <v>9.402358421</v>
      </c>
      <c r="U573" s="11">
        <f t="shared" si="4"/>
        <v>33.83391004</v>
      </c>
      <c r="V573" s="8">
        <f t="shared" si="131"/>
        <v>18.81165398</v>
      </c>
      <c r="W573" s="12">
        <f t="shared" si="5"/>
        <v>1.75</v>
      </c>
      <c r="X573" s="12">
        <f t="shared" si="6"/>
        <v>51.73204845</v>
      </c>
      <c r="Y573" s="12">
        <f t="shared" si="7"/>
        <v>93.04325261</v>
      </c>
      <c r="Z573" s="8">
        <f t="shared" si="19"/>
        <v>18.81165398</v>
      </c>
      <c r="AA573" s="8">
        <f t="shared" si="118"/>
        <v>16</v>
      </c>
      <c r="AB573" s="13">
        <f t="shared" si="9"/>
        <v>0.2666666667</v>
      </c>
      <c r="AC573" s="13">
        <f t="shared" si="10"/>
        <v>0.8505365884</v>
      </c>
      <c r="AD573" s="13">
        <f>AA573/vlookup(A573,Max!$A$2:$AP$700,column(Max!$AP$2),false)</f>
        <v>5.925925926</v>
      </c>
      <c r="AE573" s="8">
        <f t="shared" si="11"/>
        <v>14.42006506</v>
      </c>
      <c r="AF573" s="14">
        <f t="shared" si="12"/>
        <v>1.233286301</v>
      </c>
      <c r="AG573" s="14">
        <f t="shared" si="13"/>
        <v>0.8955182311</v>
      </c>
      <c r="AH573" s="14">
        <f t="shared" si="14"/>
        <v>1</v>
      </c>
      <c r="AI573" s="14">
        <f t="shared" si="15"/>
        <v>1</v>
      </c>
      <c r="AJ573" s="27">
        <f t="shared" si="16"/>
        <v>3</v>
      </c>
      <c r="AK573" s="15" t="str">
        <f t="shared" si="17"/>
        <v>  @CONFIG[TR-312-100YN] {
   %cost = 16
   @cost -= #$../../cost$
  }</v>
      </c>
    </row>
    <row r="574" ht="15.75" customHeight="1">
      <c r="A574" s="16" t="s">
        <v>1064</v>
      </c>
      <c r="B574" s="16" t="s">
        <v>797</v>
      </c>
      <c r="C574" s="8">
        <f t="shared" si="1"/>
        <v>30</v>
      </c>
      <c r="D574" s="16"/>
      <c r="E574" s="16"/>
      <c r="F574" s="16" t="b">
        <v>0</v>
      </c>
      <c r="G574" s="16" t="b">
        <v>0</v>
      </c>
      <c r="H574" s="16" t="b">
        <v>0</v>
      </c>
      <c r="I574" s="16" t="b">
        <v>0</v>
      </c>
      <c r="J574" s="9" t="b">
        <v>0</v>
      </c>
      <c r="K574" s="16">
        <v>500.0</v>
      </c>
      <c r="L574" s="16"/>
      <c r="M574" s="16">
        <v>252.0</v>
      </c>
      <c r="N574" s="16">
        <v>373.5</v>
      </c>
      <c r="O574" s="16">
        <v>250.0</v>
      </c>
      <c r="P574" s="16">
        <v>1.96</v>
      </c>
      <c r="Q574" s="16">
        <v>0.983333</v>
      </c>
      <c r="R574" s="16">
        <v>0.983333</v>
      </c>
      <c r="S574" s="19">
        <f t="shared" si="2"/>
        <v>500</v>
      </c>
      <c r="T574" s="19">
        <f t="shared" si="3"/>
        <v>151.1365097</v>
      </c>
      <c r="U574" s="20">
        <f t="shared" si="4"/>
        <v>0.440561226</v>
      </c>
      <c r="V574" s="17">
        <f t="shared" si="131"/>
        <v>164.5496179</v>
      </c>
      <c r="W574" s="21">
        <f t="shared" si="5"/>
        <v>1.75</v>
      </c>
      <c r="X574" s="21">
        <f t="shared" si="6"/>
        <v>452.5114492</v>
      </c>
      <c r="Y574" s="21">
        <f t="shared" si="7"/>
        <v>1.211543371</v>
      </c>
      <c r="Z574" s="8">
        <f t="shared" si="19"/>
        <v>162.4012233</v>
      </c>
      <c r="AA574" s="8">
        <f t="shared" si="118"/>
        <v>130</v>
      </c>
      <c r="AB574" s="13">
        <f t="shared" si="9"/>
        <v>0.26</v>
      </c>
      <c r="AC574" s="13">
        <f t="shared" si="10"/>
        <v>0.8004865808</v>
      </c>
      <c r="AD574" s="13">
        <f>AA574/vlookup(A574,Max!$A$2:$AP$700,column(Max!$AP$2),false)</f>
        <v>2.03125</v>
      </c>
      <c r="AE574" s="8">
        <f t="shared" si="11"/>
        <v>133.5002693</v>
      </c>
      <c r="AF574" s="14">
        <f t="shared" si="12"/>
        <v>0.9040773495</v>
      </c>
      <c r="AG574" s="14">
        <f t="shared" si="13"/>
        <v>1.076860615</v>
      </c>
      <c r="AH574" s="14">
        <f t="shared" si="14"/>
        <v>1</v>
      </c>
      <c r="AI574" s="14">
        <f t="shared" si="15"/>
        <v>1</v>
      </c>
      <c r="AJ574" s="27">
        <f t="shared" si="16"/>
        <v>30</v>
      </c>
      <c r="AK574" s="15" t="str">
        <f t="shared" si="17"/>
        <v>  @CONFIG[ValoisB] {
   %cost = 130
   @cost -= #$../../cost$
  }</v>
      </c>
    </row>
    <row r="575" ht="15.75" customHeight="1">
      <c r="A575" s="7" t="s">
        <v>1065</v>
      </c>
      <c r="B575" s="7" t="s">
        <v>797</v>
      </c>
      <c r="C575" s="8">
        <f t="shared" si="1"/>
        <v>4</v>
      </c>
      <c r="D575" s="7"/>
      <c r="E575" s="7"/>
      <c r="F575" s="7" t="b">
        <v>0</v>
      </c>
      <c r="G575" s="7" t="b">
        <v>0</v>
      </c>
      <c r="H575" s="7" t="b">
        <v>0</v>
      </c>
      <c r="I575" s="7" t="b">
        <v>0</v>
      </c>
      <c r="J575" s="9" t="b">
        <v>0</v>
      </c>
      <c r="K575" s="7">
        <v>500.0</v>
      </c>
      <c r="L575" s="7"/>
      <c r="M575" s="7">
        <v>192.0</v>
      </c>
      <c r="N575" s="7">
        <v>262.0</v>
      </c>
      <c r="O575" s="7">
        <v>281.0</v>
      </c>
      <c r="P575" s="7">
        <v>1.38</v>
      </c>
      <c r="Q575" s="7">
        <v>0.978571</v>
      </c>
      <c r="R575" s="7">
        <v>0.921429</v>
      </c>
      <c r="S575" s="10">
        <f t="shared" si="2"/>
        <v>500</v>
      </c>
      <c r="T575" s="10">
        <f t="shared" si="3"/>
        <v>139.1487745</v>
      </c>
      <c r="U575" s="11">
        <f t="shared" si="4"/>
        <v>0.5520735782</v>
      </c>
      <c r="V575" s="8">
        <f t="shared" si="131"/>
        <v>144.6432775</v>
      </c>
      <c r="W575" s="12">
        <f t="shared" si="5"/>
        <v>1.75</v>
      </c>
      <c r="X575" s="12">
        <f t="shared" si="6"/>
        <v>397.7690131</v>
      </c>
      <c r="Y575" s="12">
        <f t="shared" si="7"/>
        <v>1.51820234</v>
      </c>
      <c r="Z575" s="8">
        <f t="shared" si="19"/>
        <v>133.3153509</v>
      </c>
      <c r="AA575" s="8">
        <f t="shared" si="118"/>
        <v>104</v>
      </c>
      <c r="AB575" s="13">
        <f t="shared" si="9"/>
        <v>0.208</v>
      </c>
      <c r="AC575" s="13">
        <f t="shared" si="10"/>
        <v>0.7801052116</v>
      </c>
      <c r="AD575" s="13">
        <f>AA575/vlookup(A575,Max!$A$2:$AP$700,column(Max!$AP$2),false)</f>
        <v>3.851851852</v>
      </c>
      <c r="AE575" s="8">
        <f t="shared" si="11"/>
        <v>113.1555611</v>
      </c>
      <c r="AF575" s="14">
        <f t="shared" si="12"/>
        <v>0.9521631698</v>
      </c>
      <c r="AG575" s="14">
        <f t="shared" si="13"/>
        <v>0.9692736313</v>
      </c>
      <c r="AH575" s="14">
        <f t="shared" si="14"/>
        <v>1</v>
      </c>
      <c r="AI575" s="14">
        <f t="shared" si="15"/>
        <v>1</v>
      </c>
      <c r="AJ575" s="27">
        <f t="shared" si="16"/>
        <v>4</v>
      </c>
      <c r="AK575" s="15" t="str">
        <f t="shared" si="17"/>
        <v>  @CONFIG[VexinA] {
   %cost = 104
   @cost -= #$../../cost$
  }</v>
      </c>
    </row>
    <row r="576" ht="15.75" customHeight="1">
      <c r="A576" s="7" t="s">
        <v>806</v>
      </c>
      <c r="B576" s="7" t="s">
        <v>802</v>
      </c>
      <c r="C576" s="8">
        <f t="shared" si="1"/>
        <v>33</v>
      </c>
      <c r="D576" s="7"/>
      <c r="E576" s="7"/>
      <c r="F576" s="7" t="b">
        <v>1</v>
      </c>
      <c r="G576" s="7" t="b">
        <v>0</v>
      </c>
      <c r="H576" s="7" t="b">
        <v>0</v>
      </c>
      <c r="I576" s="7" t="b">
        <v>0</v>
      </c>
      <c r="J576" s="9" t="b">
        <v>0</v>
      </c>
      <c r="K576" s="7">
        <v>500.0</v>
      </c>
      <c r="L576" s="7"/>
      <c r="M576" s="7">
        <v>876.0</v>
      </c>
      <c r="N576" s="7">
        <v>821.0</v>
      </c>
      <c r="O576" s="7">
        <v>292.9</v>
      </c>
      <c r="P576" s="7">
        <v>6.2</v>
      </c>
      <c r="Q576" s="7">
        <v>0.9965</v>
      </c>
      <c r="R576" s="7">
        <v>0.995</v>
      </c>
      <c r="S576" s="10">
        <f t="shared" si="2"/>
        <v>500</v>
      </c>
      <c r="T576" s="10">
        <f t="shared" si="3"/>
        <v>95.5692932</v>
      </c>
      <c r="U576" s="11">
        <f t="shared" si="4"/>
        <v>0.5109818058</v>
      </c>
      <c r="V576" s="8">
        <f t="shared" si="131"/>
        <v>419.5160626</v>
      </c>
      <c r="W576" s="12">
        <f t="shared" si="5"/>
        <v>4</v>
      </c>
      <c r="X576" s="12">
        <f t="shared" si="6"/>
        <v>2097.580313</v>
      </c>
      <c r="Y576" s="12">
        <f t="shared" si="7"/>
        <v>2.554909029</v>
      </c>
      <c r="Z576" s="8">
        <f t="shared" si="19"/>
        <v>424.3478388</v>
      </c>
      <c r="AA576" s="8">
        <f t="shared" si="118"/>
        <v>427</v>
      </c>
      <c r="AB576" s="13">
        <f t="shared" si="9"/>
        <v>0.854</v>
      </c>
      <c r="AC576" s="13">
        <f t="shared" si="10"/>
        <v>1.00624997</v>
      </c>
      <c r="AD576" s="13">
        <f>AA576/vlookup(A576,Max!$A$2:$AP$700,column(Max!$AP$2),false)</f>
        <v>2.372222222</v>
      </c>
      <c r="AE576" s="8">
        <f t="shared" si="11"/>
        <v>286.3189328</v>
      </c>
      <c r="AF576" s="14">
        <f t="shared" si="12"/>
        <v>0.9800705801</v>
      </c>
      <c r="AG576" s="14">
        <f t="shared" si="13"/>
        <v>1.521248556</v>
      </c>
      <c r="AH576" s="14">
        <f t="shared" si="14"/>
        <v>1</v>
      </c>
      <c r="AI576" s="14">
        <f t="shared" si="15"/>
        <v>1</v>
      </c>
      <c r="AJ576" s="27">
        <f t="shared" si="16"/>
        <v>33</v>
      </c>
      <c r="AK576" s="15" t="str">
        <f t="shared" si="17"/>
        <v>  @CONFIG[Vikas-X] {
   %cost = 427
   @cost -= #$../../cost$
  }</v>
      </c>
    </row>
    <row r="577" ht="15.75" customHeight="1">
      <c r="A577" s="16" t="s">
        <v>840</v>
      </c>
      <c r="B577" s="16" t="s">
        <v>839</v>
      </c>
      <c r="C577" s="8">
        <f t="shared" si="1"/>
        <v>50</v>
      </c>
      <c r="D577" s="18">
        <v>1963.0</v>
      </c>
      <c r="E577" s="16"/>
      <c r="F577" s="16" t="b">
        <v>1</v>
      </c>
      <c r="G577" s="16" t="b">
        <v>0</v>
      </c>
      <c r="H577" s="16" t="b">
        <v>0</v>
      </c>
      <c r="I577" s="16" t="b">
        <v>1</v>
      </c>
      <c r="J577" s="9" t="b">
        <v>0</v>
      </c>
      <c r="K577" s="16">
        <v>1130.0</v>
      </c>
      <c r="L577" s="16">
        <v>100.0</v>
      </c>
      <c r="M577" s="16">
        <f>415*1.1</f>
        <v>456.5</v>
      </c>
      <c r="N577" s="16">
        <v>224.0</v>
      </c>
      <c r="O577" s="16">
        <v>276.0</v>
      </c>
      <c r="P577" s="16">
        <v>4.13</v>
      </c>
      <c r="Q577" s="16">
        <v>0.996</v>
      </c>
      <c r="R577" s="16">
        <v>0.99</v>
      </c>
      <c r="S577" s="19">
        <f t="shared" si="2"/>
        <v>1230</v>
      </c>
      <c r="T577" s="19">
        <f t="shared" si="3"/>
        <v>50.03645806</v>
      </c>
      <c r="U577" s="20">
        <f t="shared" si="4"/>
        <v>1.181183391</v>
      </c>
      <c r="V577" s="17">
        <f t="shared" si="131"/>
        <v>264.5850795</v>
      </c>
      <c r="W577" s="21">
        <f t="shared" si="5"/>
        <v>4</v>
      </c>
      <c r="X577" s="21">
        <f t="shared" si="6"/>
        <v>1322.925398</v>
      </c>
      <c r="Y577" s="21">
        <f t="shared" si="7"/>
        <v>5.905916953</v>
      </c>
      <c r="Z577" s="8">
        <f t="shared" si="19"/>
        <v>399.2747601</v>
      </c>
      <c r="AA577" s="8">
        <f t="shared" si="118"/>
        <v>365</v>
      </c>
      <c r="AB577" s="13">
        <f t="shared" si="9"/>
        <v>0.2967479675</v>
      </c>
      <c r="AC577" s="13">
        <f t="shared" si="10"/>
        <v>0.9141574587</v>
      </c>
      <c r="AD577" s="13">
        <f>AA577/vlookup(A577,Max!$A$2:$AP$700,column(Max!$AP$2),false)</f>
        <v>5.793650794</v>
      </c>
      <c r="AE577" s="8">
        <f t="shared" si="11"/>
        <v>191.8822725</v>
      </c>
      <c r="AF577" s="14">
        <f t="shared" si="12"/>
        <v>0.9422226187</v>
      </c>
      <c r="AG577" s="14">
        <f t="shared" si="13"/>
        <v>1.346690163</v>
      </c>
      <c r="AH577" s="14">
        <f t="shared" si="14"/>
        <v>1.5</v>
      </c>
      <c r="AI577" s="14">
        <f t="shared" si="15"/>
        <v>1</v>
      </c>
      <c r="AJ577" s="27">
        <f t="shared" si="16"/>
        <v>50</v>
      </c>
      <c r="AK577" s="15" t="str">
        <f t="shared" si="17"/>
        <v>  @CONFIG[XLR99-RM-2A] {
   %cost = 365
   @cost -= #$../../cost$
  }</v>
      </c>
    </row>
    <row r="578" ht="15.75" hidden="1" customHeight="1">
      <c r="A578" s="7" t="s">
        <v>878</v>
      </c>
      <c r="B578" s="7" t="s">
        <v>878</v>
      </c>
      <c r="C578" s="7"/>
      <c r="D578" s="7">
        <v>1943.0</v>
      </c>
      <c r="E578" s="7"/>
      <c r="F578" s="7" t="b">
        <v>0</v>
      </c>
      <c r="G578" s="7" t="b">
        <v>1</v>
      </c>
      <c r="H578" s="7" t="b">
        <v>0</v>
      </c>
      <c r="I578" s="7" t="b">
        <v>0</v>
      </c>
      <c r="J578" s="7"/>
      <c r="K578" s="7">
        <v>36.0</v>
      </c>
      <c r="L578" s="7"/>
      <c r="M578" s="7">
        <v>181.437</v>
      </c>
      <c r="N578" s="7">
        <v>146.6</v>
      </c>
      <c r="O578" s="7">
        <v>200.0</v>
      </c>
      <c r="P578" s="7"/>
      <c r="Q578" s="7"/>
      <c r="R578" s="7"/>
      <c r="S578" s="10">
        <f t="shared" si="2"/>
        <v>36</v>
      </c>
      <c r="T578" s="10">
        <f t="shared" si="3"/>
        <v>82.39245379</v>
      </c>
      <c r="U578" s="11">
        <f t="shared" si="4"/>
        <v>0.6531198178</v>
      </c>
      <c r="V578" s="8">
        <f t="shared" ref="V578:V663" si="132">0.2*(8.17*POW(M578*P578,0.46))+0.8*(0.146*POW(M578*O578,0.639))</f>
        <v>95.7473653</v>
      </c>
      <c r="W578" s="12">
        <f t="shared" si="5"/>
        <v>1.05</v>
      </c>
      <c r="X578" s="12">
        <f t="shared" si="6"/>
        <v>196.2820989</v>
      </c>
      <c r="Y578" s="12">
        <f t="shared" si="7"/>
        <v>1.338895627</v>
      </c>
      <c r="Z578" s="8">
        <f t="shared" ref="Z578:Z663" si="133">IF(I578,V578*1.5,V578)*IF(Q578*R578&gt;0,(Q578*R578+0.02),1)</f>
        <v>95.7473653</v>
      </c>
      <c r="AA578" s="13">
        <f t="shared" ref="AA578:AA663" si="134">IFERROR(Z578/S578,#N/A)</f>
        <v>2.659649036</v>
      </c>
      <c r="AB578" s="13">
        <f t="shared" ref="AB578:AB663" si="135">IFERROR(V578/S578,#N/A)</f>
        <v>2.659649036</v>
      </c>
      <c r="AC578" s="8"/>
      <c r="AD578" s="8"/>
      <c r="AE578" s="8">
        <f t="shared" ref="AE578:AE579" si="136">(3.43*M578^0.46+4.47*M578^0.649)</f>
        <v>168.2073576</v>
      </c>
      <c r="AF578" s="13">
        <f t="shared" ref="AF578:AF663" si="137">AE578/Z578</f>
        <v>1.756783146</v>
      </c>
      <c r="AG578" s="13">
        <f t="shared" ref="AG578:AG579" si="138">AH578/AI578</f>
        <v>0</v>
      </c>
      <c r="AH578" s="38">
        <f t="shared" ref="AH578:AH579" si="139">8.17*POWER(M578*P578,0.46)</f>
        <v>0</v>
      </c>
      <c r="AI578" s="38">
        <f t="shared" ref="AI578:AI579" si="140">0.146*POWER(M578*O578,0.639)</f>
        <v>119.6842066</v>
      </c>
      <c r="AJ578" s="15"/>
      <c r="AK578" s="15"/>
    </row>
    <row r="579" ht="15.75" hidden="1" customHeight="1">
      <c r="A579" s="7" t="s">
        <v>879</v>
      </c>
      <c r="B579" s="7" t="s">
        <v>880</v>
      </c>
      <c r="C579" s="7"/>
      <c r="D579" s="7">
        <v>1945.0</v>
      </c>
      <c r="E579" s="7"/>
      <c r="F579" s="7" t="b">
        <v>0</v>
      </c>
      <c r="G579" s="7" t="b">
        <v>1</v>
      </c>
      <c r="H579" s="7" t="b">
        <v>0</v>
      </c>
      <c r="I579" s="7" t="b">
        <v>0</v>
      </c>
      <c r="J579" s="7"/>
      <c r="K579" s="7">
        <v>4.0</v>
      </c>
      <c r="L579" s="7">
        <v>0.0</v>
      </c>
      <c r="M579" s="7">
        <v>11.0</v>
      </c>
      <c r="N579" s="7">
        <v>11.192</v>
      </c>
      <c r="O579" s="7">
        <v>220.0</v>
      </c>
      <c r="P579" s="7">
        <v>5.2689</v>
      </c>
      <c r="Q579" s="7"/>
      <c r="R579" s="7"/>
      <c r="S579" s="10">
        <f t="shared" si="2"/>
        <v>4</v>
      </c>
      <c r="T579" s="10">
        <f t="shared" si="3"/>
        <v>103.7514893</v>
      </c>
      <c r="U579" s="11">
        <f t="shared" si="4"/>
        <v>2.461206952</v>
      </c>
      <c r="V579" s="8">
        <f t="shared" si="132"/>
        <v>27.5458282</v>
      </c>
      <c r="W579" s="12">
        <f t="shared" si="5"/>
        <v>1.05</v>
      </c>
      <c r="X579" s="12">
        <f t="shared" si="6"/>
        <v>56.46894781</v>
      </c>
      <c r="Y579" s="12">
        <f t="shared" si="7"/>
        <v>5.045474251</v>
      </c>
      <c r="Z579" s="8">
        <f t="shared" si="133"/>
        <v>27.5458282</v>
      </c>
      <c r="AA579" s="13">
        <f t="shared" si="134"/>
        <v>6.88645705</v>
      </c>
      <c r="AB579" s="13">
        <f t="shared" si="135"/>
        <v>6.88645705</v>
      </c>
      <c r="AC579" s="8"/>
      <c r="AD579" s="8"/>
      <c r="AE579" s="8">
        <f t="shared" si="136"/>
        <v>31.52754989</v>
      </c>
      <c r="AF579" s="13">
        <f t="shared" si="137"/>
        <v>1.144548991</v>
      </c>
      <c r="AG579" s="13">
        <f t="shared" si="138"/>
        <v>2.492544937</v>
      </c>
      <c r="AH579" s="38">
        <f t="shared" si="139"/>
        <v>52.87542504</v>
      </c>
      <c r="AI579" s="38">
        <f t="shared" si="140"/>
        <v>21.21342899</v>
      </c>
      <c r="AJ579" s="15"/>
      <c r="AK579" s="15"/>
    </row>
    <row r="580" ht="15.75" hidden="1" customHeight="1">
      <c r="A580" s="7" t="s">
        <v>881</v>
      </c>
      <c r="B580" s="7" t="s">
        <v>882</v>
      </c>
      <c r="C580" s="7"/>
      <c r="D580" s="7">
        <v>1950.0</v>
      </c>
      <c r="E580" s="7"/>
      <c r="F580" s="7" t="b">
        <v>0</v>
      </c>
      <c r="G580" s="7" t="b">
        <v>1</v>
      </c>
      <c r="H580" s="7" t="b">
        <v>0</v>
      </c>
      <c r="I580" s="7" t="b">
        <v>0</v>
      </c>
      <c r="J580" s="7"/>
      <c r="K580" s="7">
        <v>30.0</v>
      </c>
      <c r="L580" s="7">
        <v>0.0</v>
      </c>
      <c r="M580" s="7">
        <v>117.9</v>
      </c>
      <c r="N580" s="7">
        <v>82.7</v>
      </c>
      <c r="O580" s="7">
        <v>198.8</v>
      </c>
      <c r="P580" s="7">
        <v>9.24</v>
      </c>
      <c r="Q580" s="7">
        <v>0.97</v>
      </c>
      <c r="R580" s="7">
        <v>0.998</v>
      </c>
      <c r="S580" s="10">
        <f t="shared" si="2"/>
        <v>30</v>
      </c>
      <c r="T580" s="10">
        <f t="shared" si="3"/>
        <v>71.52716757</v>
      </c>
      <c r="U580" s="11">
        <f t="shared" si="4"/>
        <v>1.368639979</v>
      </c>
      <c r="V580" s="8">
        <f t="shared" si="132"/>
        <v>113.1865263</v>
      </c>
      <c r="W580" s="12">
        <f t="shared" si="5"/>
        <v>1.05</v>
      </c>
      <c r="X580" s="12">
        <f t="shared" si="6"/>
        <v>232.0323789</v>
      </c>
      <c r="Y580" s="12">
        <f t="shared" si="7"/>
        <v>2.805711957</v>
      </c>
      <c r="Z580" s="8">
        <f t="shared" si="133"/>
        <v>111.8350792</v>
      </c>
      <c r="AA580" s="13">
        <f t="shared" si="134"/>
        <v>3.727835972</v>
      </c>
      <c r="AB580" s="13">
        <f t="shared" si="135"/>
        <v>3.772884209</v>
      </c>
      <c r="AC580" s="8"/>
      <c r="AD580" s="8"/>
      <c r="AE580" s="8">
        <f t="shared" ref="AE580:AE581" si="141">20*(N580^0.535)*(20/max(20,T580))^0.5*(if(O580/300&lt;1,(O580/300)^0.65,(O580/300)^1.1)*(Max(1,P580-1)^0.25)*if(E580,1.5,1))*IF(I580,1.5,1)*IF(Q580*R580&gt;0,Q580*R580*if(R580&gt;=0.93,1,max(0.5,R580*10-8.3)),1)</f>
        <v>140.8967051</v>
      </c>
      <c r="AF580" s="13">
        <f t="shared" si="137"/>
        <v>1.259861451</v>
      </c>
    </row>
    <row r="581" ht="15.75" hidden="1" customHeight="1">
      <c r="A581" s="16" t="s">
        <v>883</v>
      </c>
      <c r="B581" s="16" t="s">
        <v>884</v>
      </c>
      <c r="C581" s="16"/>
      <c r="D581" s="16">
        <v>1955.0</v>
      </c>
      <c r="E581" s="16"/>
      <c r="F581" s="16" t="b">
        <v>0</v>
      </c>
      <c r="G581" s="16" t="b">
        <v>1</v>
      </c>
      <c r="H581" s="16" t="b">
        <v>0</v>
      </c>
      <c r="I581" s="16" t="b">
        <v>0</v>
      </c>
      <c r="J581" s="16"/>
      <c r="K581" s="16">
        <v>35.0</v>
      </c>
      <c r="L581" s="16">
        <v>0.0</v>
      </c>
      <c r="M581" s="16">
        <v>27.21</v>
      </c>
      <c r="N581" s="16">
        <v>34.09</v>
      </c>
      <c r="O581" s="16">
        <v>238.8</v>
      </c>
      <c r="P581" s="16">
        <v>6.89</v>
      </c>
      <c r="Q581" s="16">
        <v>0.97</v>
      </c>
      <c r="R581" s="16">
        <v>0.998</v>
      </c>
      <c r="S581" s="19">
        <f t="shared" si="2"/>
        <v>35</v>
      </c>
      <c r="T581" s="19">
        <f t="shared" si="3"/>
        <v>127.7549636</v>
      </c>
      <c r="U581" s="20">
        <f t="shared" si="4"/>
        <v>1.468104825</v>
      </c>
      <c r="V581" s="17">
        <f t="shared" si="132"/>
        <v>50.0476935</v>
      </c>
      <c r="W581" s="21">
        <f t="shared" si="5"/>
        <v>1.05</v>
      </c>
      <c r="X581" s="21">
        <f t="shared" si="6"/>
        <v>102.5977717</v>
      </c>
      <c r="Y581" s="21">
        <f t="shared" si="7"/>
        <v>3.009614892</v>
      </c>
      <c r="Z581" s="17">
        <f t="shared" si="133"/>
        <v>49.45012404</v>
      </c>
      <c r="AA581" s="13">
        <f t="shared" si="134"/>
        <v>1.412860687</v>
      </c>
      <c r="AB581" s="22">
        <f t="shared" si="135"/>
        <v>1.4299341</v>
      </c>
      <c r="AC581" s="8"/>
      <c r="AD581" s="8"/>
      <c r="AE581" s="8">
        <f t="shared" si="141"/>
        <v>67.97295354</v>
      </c>
      <c r="AF581" s="13">
        <f t="shared" si="137"/>
        <v>1.374575997</v>
      </c>
    </row>
    <row r="582" ht="15.75" hidden="1" customHeight="1">
      <c r="A582" s="7" t="s">
        <v>885</v>
      </c>
      <c r="B582" s="7" t="s">
        <v>885</v>
      </c>
      <c r="C582" s="7"/>
      <c r="D582" s="7">
        <v>1955.0</v>
      </c>
      <c r="E582" s="7"/>
      <c r="F582" s="7" t="b">
        <v>0</v>
      </c>
      <c r="G582" s="7" t="b">
        <v>1</v>
      </c>
      <c r="H582" s="7" t="b">
        <v>0</v>
      </c>
      <c r="I582" s="7" t="b">
        <v>0</v>
      </c>
      <c r="J582" s="7"/>
      <c r="K582" s="7">
        <v>50.0</v>
      </c>
      <c r="L582" s="7">
        <v>0.0</v>
      </c>
      <c r="M582" s="7">
        <v>195.0</v>
      </c>
      <c r="N582" s="7">
        <v>224.46</v>
      </c>
      <c r="O582" s="7">
        <v>228.0</v>
      </c>
      <c r="P582" s="7"/>
      <c r="Q582" s="7"/>
      <c r="R582" s="7"/>
      <c r="S582" s="10">
        <f t="shared" si="2"/>
        <v>50</v>
      </c>
      <c r="T582" s="10">
        <f t="shared" si="3"/>
        <v>117.3771797</v>
      </c>
      <c r="U582" s="11">
        <f t="shared" si="4"/>
        <v>0.4856868757</v>
      </c>
      <c r="V582" s="8">
        <f t="shared" si="132"/>
        <v>109.0172761</v>
      </c>
      <c r="W582" s="12">
        <f t="shared" si="5"/>
        <v>1.05</v>
      </c>
      <c r="X582" s="12">
        <f t="shared" si="6"/>
        <v>223.4854161</v>
      </c>
      <c r="Y582" s="12">
        <f t="shared" si="7"/>
        <v>0.9956580952</v>
      </c>
      <c r="Z582" s="8">
        <f t="shared" si="133"/>
        <v>109.0172761</v>
      </c>
      <c r="AA582" s="13">
        <f t="shared" si="134"/>
        <v>2.180345523</v>
      </c>
      <c r="AB582" s="13">
        <f t="shared" si="135"/>
        <v>2.180345523</v>
      </c>
      <c r="AC582" s="8"/>
      <c r="AD582" s="8"/>
      <c r="AE582" s="8">
        <f t="shared" ref="AE582:AE663" si="142">(3.43*M582^0.46+4.47*M582^0.649)</f>
        <v>175.7321769</v>
      </c>
      <c r="AF582" s="13">
        <f t="shared" si="137"/>
        <v>1.611966316</v>
      </c>
      <c r="AG582" s="39">
        <f t="shared" ref="AG582:AG663" si="143">AH582/AI582</f>
        <v>0</v>
      </c>
      <c r="AH582" s="40">
        <f t="shared" ref="AH582:AH663" si="144">8.17*POWER(M582*P582,0.46)</f>
        <v>0</v>
      </c>
      <c r="AI582" s="40">
        <f t="shared" ref="AI582:AI663" si="145">0.146*POWER(M582*O582,0.639)</f>
        <v>136.2715952</v>
      </c>
      <c r="AJ582" s="15"/>
      <c r="AK582" s="15"/>
    </row>
    <row r="583" ht="15.75" hidden="1" customHeight="1">
      <c r="A583" s="7" t="s">
        <v>886</v>
      </c>
      <c r="B583" s="7" t="s">
        <v>887</v>
      </c>
      <c r="C583" s="7"/>
      <c r="D583" s="7">
        <v>1956.0</v>
      </c>
      <c r="E583" s="7"/>
      <c r="F583" s="7" t="b">
        <v>0</v>
      </c>
      <c r="G583" s="7" t="b">
        <v>1</v>
      </c>
      <c r="H583" s="7" t="b">
        <v>0</v>
      </c>
      <c r="I583" s="7" t="b">
        <v>0</v>
      </c>
      <c r="J583" s="7"/>
      <c r="K583" s="7">
        <v>30.0</v>
      </c>
      <c r="L583" s="7">
        <v>0.0</v>
      </c>
      <c r="M583" s="7">
        <v>5.07</v>
      </c>
      <c r="N583" s="7">
        <v>8.0</v>
      </c>
      <c r="O583" s="7">
        <v>220.0</v>
      </c>
      <c r="P583" s="7"/>
      <c r="Q583" s="7"/>
      <c r="R583" s="7"/>
      <c r="S583" s="10">
        <f t="shared" si="2"/>
        <v>30</v>
      </c>
      <c r="T583" s="10">
        <f t="shared" si="3"/>
        <v>160.9019661</v>
      </c>
      <c r="U583" s="11">
        <f t="shared" si="4"/>
        <v>1.293186121</v>
      </c>
      <c r="V583" s="8">
        <f t="shared" si="132"/>
        <v>10.34548897</v>
      </c>
      <c r="W583" s="12">
        <f t="shared" si="5"/>
        <v>1.05</v>
      </c>
      <c r="X583" s="12">
        <f t="shared" si="6"/>
        <v>21.20825238</v>
      </c>
      <c r="Y583" s="12">
        <f t="shared" si="7"/>
        <v>2.651031547</v>
      </c>
      <c r="Z583" s="8">
        <f t="shared" si="133"/>
        <v>10.34548897</v>
      </c>
      <c r="AA583" s="13">
        <f t="shared" si="134"/>
        <v>0.3448496322</v>
      </c>
      <c r="AB583" s="13">
        <f t="shared" si="135"/>
        <v>0.3448496322</v>
      </c>
      <c r="AC583" s="8"/>
      <c r="AD583" s="8"/>
      <c r="AE583" s="8">
        <f t="shared" si="142"/>
        <v>20.05675792</v>
      </c>
      <c r="AF583" s="13">
        <f t="shared" si="137"/>
        <v>1.938695985</v>
      </c>
      <c r="AG583" s="39">
        <f t="shared" si="143"/>
        <v>0</v>
      </c>
      <c r="AH583" s="40">
        <f t="shared" si="144"/>
        <v>0</v>
      </c>
      <c r="AI583" s="40">
        <f t="shared" si="145"/>
        <v>12.93186121</v>
      </c>
      <c r="AJ583" s="15"/>
      <c r="AK583" s="15"/>
    </row>
    <row r="584" ht="15.75" hidden="1" customHeight="1">
      <c r="A584" s="7" t="s">
        <v>888</v>
      </c>
      <c r="B584" s="7" t="s">
        <v>889</v>
      </c>
      <c r="C584" s="7"/>
      <c r="D584" s="7">
        <v>1956.0</v>
      </c>
      <c r="E584" s="7"/>
      <c r="F584" s="7" t="b">
        <v>0</v>
      </c>
      <c r="G584" s="7" t="b">
        <v>1</v>
      </c>
      <c r="H584" s="7" t="b">
        <v>0</v>
      </c>
      <c r="I584" s="7" t="b">
        <v>0</v>
      </c>
      <c r="J584" s="7"/>
      <c r="K584" s="7">
        <v>150.0</v>
      </c>
      <c r="L584" s="7">
        <v>0.0</v>
      </c>
      <c r="M584" s="7">
        <v>651.0</v>
      </c>
      <c r="N584" s="7">
        <v>304.3</v>
      </c>
      <c r="O584" s="7">
        <v>214.5</v>
      </c>
      <c r="P584" s="7"/>
      <c r="Q584" s="7"/>
      <c r="R584" s="7"/>
      <c r="S584" s="10">
        <f t="shared" si="2"/>
        <v>150</v>
      </c>
      <c r="T584" s="10">
        <f t="shared" si="3"/>
        <v>47.66507568</v>
      </c>
      <c r="U584" s="11">
        <f t="shared" si="4"/>
        <v>0.7443911215</v>
      </c>
      <c r="V584" s="8">
        <f t="shared" si="132"/>
        <v>226.5182183</v>
      </c>
      <c r="W584" s="12">
        <f t="shared" si="5"/>
        <v>1.05</v>
      </c>
      <c r="X584" s="12">
        <f t="shared" si="6"/>
        <v>464.3623475</v>
      </c>
      <c r="Y584" s="12">
        <f t="shared" si="7"/>
        <v>1.526001799</v>
      </c>
      <c r="Z584" s="8">
        <f t="shared" si="133"/>
        <v>226.5182183</v>
      </c>
      <c r="AA584" s="13">
        <f t="shared" si="134"/>
        <v>1.510121455</v>
      </c>
      <c r="AB584" s="13">
        <f t="shared" si="135"/>
        <v>1.510121455</v>
      </c>
      <c r="AC584" s="8"/>
      <c r="AD584" s="8"/>
      <c r="AE584" s="8">
        <f t="shared" si="142"/>
        <v>366.985055</v>
      </c>
      <c r="AF584" s="13">
        <f t="shared" si="137"/>
        <v>1.620112757</v>
      </c>
      <c r="AG584" s="39">
        <f t="shared" si="143"/>
        <v>0</v>
      </c>
      <c r="AH584" s="40">
        <f t="shared" si="144"/>
        <v>0</v>
      </c>
      <c r="AI584" s="40">
        <f t="shared" si="145"/>
        <v>283.1477729</v>
      </c>
      <c r="AJ584" s="15"/>
      <c r="AK584" s="15"/>
    </row>
    <row r="585" ht="15.75" hidden="1" customHeight="1">
      <c r="A585" s="7" t="s">
        <v>890</v>
      </c>
      <c r="B585" s="7" t="s">
        <v>890</v>
      </c>
      <c r="C585" s="7"/>
      <c r="D585" s="7">
        <v>1957.0</v>
      </c>
      <c r="E585" s="7"/>
      <c r="F585" s="7" t="b">
        <v>0</v>
      </c>
      <c r="G585" s="7" t="b">
        <v>1</v>
      </c>
      <c r="H585" s="7" t="b">
        <v>0</v>
      </c>
      <c r="I585" s="7" t="b">
        <v>0</v>
      </c>
      <c r="J585" s="7"/>
      <c r="K585" s="7">
        <v>150.0</v>
      </c>
      <c r="L585" s="7">
        <v>0.0</v>
      </c>
      <c r="M585" s="7">
        <v>21.7</v>
      </c>
      <c r="N585" s="7">
        <v>17.3</v>
      </c>
      <c r="O585" s="7">
        <v>237.46</v>
      </c>
      <c r="P585" s="7"/>
      <c r="Q585" s="7"/>
      <c r="R585" s="7"/>
      <c r="S585" s="10">
        <f t="shared" si="2"/>
        <v>150</v>
      </c>
      <c r="T585" s="10">
        <f t="shared" si="3"/>
        <v>81.29534762</v>
      </c>
      <c r="U585" s="11">
        <f t="shared" si="4"/>
        <v>1.58999887</v>
      </c>
      <c r="V585" s="8">
        <f t="shared" si="132"/>
        <v>27.50698045</v>
      </c>
      <c r="W585" s="12">
        <f t="shared" si="5"/>
        <v>1.05</v>
      </c>
      <c r="X585" s="12">
        <f t="shared" si="6"/>
        <v>56.38930993</v>
      </c>
      <c r="Y585" s="12">
        <f t="shared" si="7"/>
        <v>3.259497684</v>
      </c>
      <c r="Z585" s="8">
        <f t="shared" si="133"/>
        <v>27.50698045</v>
      </c>
      <c r="AA585" s="13">
        <f t="shared" si="134"/>
        <v>0.1833798697</v>
      </c>
      <c r="AB585" s="13">
        <f t="shared" si="135"/>
        <v>0.1833798697</v>
      </c>
      <c r="AC585" s="8"/>
      <c r="AD585" s="8"/>
      <c r="AE585" s="8">
        <f t="shared" si="142"/>
        <v>47.06343609</v>
      </c>
      <c r="AF585" s="13">
        <f t="shared" si="137"/>
        <v>1.710963374</v>
      </c>
      <c r="AG585" s="39">
        <f t="shared" si="143"/>
        <v>0</v>
      </c>
      <c r="AH585" s="40">
        <f t="shared" si="144"/>
        <v>0</v>
      </c>
      <c r="AI585" s="40">
        <f t="shared" si="145"/>
        <v>34.38372557</v>
      </c>
      <c r="AJ585" s="15"/>
      <c r="AK585" s="15"/>
    </row>
    <row r="586" ht="15.75" hidden="1" customHeight="1">
      <c r="A586" s="16" t="s">
        <v>891</v>
      </c>
      <c r="B586" s="16" t="s">
        <v>887</v>
      </c>
      <c r="C586" s="16"/>
      <c r="D586" s="16">
        <v>1958.0</v>
      </c>
      <c r="E586" s="16"/>
      <c r="F586" s="16" t="b">
        <v>0</v>
      </c>
      <c r="G586" s="16" t="b">
        <v>1</v>
      </c>
      <c r="H586" s="16" t="b">
        <v>0</v>
      </c>
      <c r="I586" s="16" t="b">
        <v>0</v>
      </c>
      <c r="J586" s="16"/>
      <c r="K586" s="16">
        <v>30.0</v>
      </c>
      <c r="L586" s="16">
        <v>30.0</v>
      </c>
      <c r="M586" s="16">
        <v>5.07</v>
      </c>
      <c r="N586" s="16">
        <v>8.0</v>
      </c>
      <c r="O586" s="16">
        <v>235.0</v>
      </c>
      <c r="P586" s="16"/>
      <c r="Q586" s="16"/>
      <c r="R586" s="16"/>
      <c r="S586" s="19">
        <f t="shared" si="2"/>
        <v>60</v>
      </c>
      <c r="T586" s="19">
        <f t="shared" si="3"/>
        <v>160.9019661</v>
      </c>
      <c r="U586" s="20">
        <f t="shared" si="4"/>
        <v>1.348855123</v>
      </c>
      <c r="V586" s="17">
        <f t="shared" si="132"/>
        <v>10.79084099</v>
      </c>
      <c r="W586" s="21">
        <f t="shared" si="5"/>
        <v>1.05</v>
      </c>
      <c r="X586" s="21">
        <f t="shared" si="6"/>
        <v>22.12122402</v>
      </c>
      <c r="Y586" s="21">
        <f t="shared" si="7"/>
        <v>2.765153002</v>
      </c>
      <c r="Z586" s="17">
        <f t="shared" si="133"/>
        <v>10.79084099</v>
      </c>
      <c r="AA586" s="13">
        <f t="shared" si="134"/>
        <v>0.1798473498</v>
      </c>
      <c r="AB586" s="22">
        <f t="shared" si="135"/>
        <v>0.1798473498</v>
      </c>
      <c r="AC586" s="8"/>
      <c r="AD586" s="8"/>
      <c r="AE586" s="8">
        <f t="shared" si="142"/>
        <v>20.05675792</v>
      </c>
      <c r="AF586" s="13">
        <f t="shared" si="137"/>
        <v>1.858683484</v>
      </c>
      <c r="AG586" s="39">
        <f t="shared" si="143"/>
        <v>0</v>
      </c>
      <c r="AH586" s="40">
        <f t="shared" si="144"/>
        <v>0</v>
      </c>
      <c r="AI586" s="40">
        <f t="shared" si="145"/>
        <v>13.48855123</v>
      </c>
      <c r="AJ586" s="15"/>
      <c r="AK586" s="15"/>
    </row>
    <row r="587" ht="15.75" hidden="1" customHeight="1">
      <c r="A587" s="16" t="s">
        <v>892</v>
      </c>
      <c r="B587" s="16" t="s">
        <v>892</v>
      </c>
      <c r="C587" s="16"/>
      <c r="D587" s="16">
        <v>1959.0</v>
      </c>
      <c r="E587" s="16"/>
      <c r="F587" s="16" t="b">
        <v>0</v>
      </c>
      <c r="G587" s="16" t="b">
        <v>1</v>
      </c>
      <c r="H587" s="16" t="b">
        <v>0</v>
      </c>
      <c r="I587" s="16" t="b">
        <v>0</v>
      </c>
      <c r="J587" s="16"/>
      <c r="K587" s="16">
        <v>180.0</v>
      </c>
      <c r="L587" s="16">
        <v>0.0</v>
      </c>
      <c r="M587" s="16">
        <v>22.49816</v>
      </c>
      <c r="N587" s="16">
        <v>16.35</v>
      </c>
      <c r="O587" s="16">
        <v>255.04</v>
      </c>
      <c r="P587" s="16">
        <v>1.49</v>
      </c>
      <c r="Q587" s="16"/>
      <c r="R587" s="16"/>
      <c r="S587" s="19">
        <f t="shared" si="2"/>
        <v>180</v>
      </c>
      <c r="T587" s="19">
        <f t="shared" si="3"/>
        <v>74.1054381</v>
      </c>
      <c r="U587" s="20">
        <f t="shared" si="4"/>
        <v>2.304853096</v>
      </c>
      <c r="V587" s="17">
        <f t="shared" si="132"/>
        <v>37.68434812</v>
      </c>
      <c r="W587" s="21">
        <f t="shared" si="5"/>
        <v>1.05</v>
      </c>
      <c r="X587" s="21">
        <f t="shared" si="6"/>
        <v>77.25291365</v>
      </c>
      <c r="Y587" s="21">
        <f t="shared" si="7"/>
        <v>4.724948847</v>
      </c>
      <c r="Z587" s="17">
        <f t="shared" si="133"/>
        <v>37.68434812</v>
      </c>
      <c r="AA587" s="13">
        <f t="shared" si="134"/>
        <v>0.2093574896</v>
      </c>
      <c r="AB587" s="22">
        <f t="shared" si="135"/>
        <v>0.2093574896</v>
      </c>
      <c r="AC587" s="8"/>
      <c r="AD587" s="8"/>
      <c r="AE587" s="8">
        <f t="shared" si="142"/>
        <v>48.08136517</v>
      </c>
      <c r="AF587" s="13">
        <f t="shared" si="137"/>
        <v>1.27589749</v>
      </c>
      <c r="AG587" s="39">
        <f t="shared" si="143"/>
        <v>1.116035136</v>
      </c>
      <c r="AH587" s="40">
        <f t="shared" si="144"/>
        <v>41.10317409</v>
      </c>
      <c r="AI587" s="40">
        <f t="shared" si="145"/>
        <v>36.82964163</v>
      </c>
      <c r="AJ587" s="15"/>
      <c r="AK587" s="15"/>
    </row>
    <row r="588" ht="15.75" hidden="1" customHeight="1">
      <c r="A588" s="7" t="s">
        <v>893</v>
      </c>
      <c r="B588" s="7" t="s">
        <v>893</v>
      </c>
      <c r="C588" s="7"/>
      <c r="D588" s="7">
        <v>1960.0</v>
      </c>
      <c r="E588" s="7"/>
      <c r="F588" s="7" t="b">
        <v>0</v>
      </c>
      <c r="G588" s="7" t="b">
        <v>1</v>
      </c>
      <c r="H588" s="7" t="b">
        <v>0</v>
      </c>
      <c r="I588" s="7" t="b">
        <v>0</v>
      </c>
      <c r="J588" s="7"/>
      <c r="K588" s="7">
        <v>300.0</v>
      </c>
      <c r="L588" s="7">
        <v>0.0</v>
      </c>
      <c r="M588" s="7">
        <v>1402.325</v>
      </c>
      <c r="N588" s="7">
        <v>493.6442</v>
      </c>
      <c r="O588" s="7">
        <v>241.4</v>
      </c>
      <c r="P588" s="7">
        <v>2.03</v>
      </c>
      <c r="Q588" s="7"/>
      <c r="R588" s="7"/>
      <c r="S588" s="10">
        <f t="shared" si="2"/>
        <v>300</v>
      </c>
      <c r="T588" s="10">
        <f t="shared" si="3"/>
        <v>35.89588667</v>
      </c>
      <c r="U588" s="11">
        <f t="shared" si="4"/>
        <v>0.9365228445</v>
      </c>
      <c r="V588" s="8">
        <f t="shared" si="132"/>
        <v>462.3090704</v>
      </c>
      <c r="W588" s="12">
        <f t="shared" si="5"/>
        <v>1.05</v>
      </c>
      <c r="X588" s="12">
        <f t="shared" si="6"/>
        <v>947.7335943</v>
      </c>
      <c r="Y588" s="12">
        <f t="shared" si="7"/>
        <v>1.919871831</v>
      </c>
      <c r="Z588" s="8">
        <f t="shared" si="133"/>
        <v>462.3090704</v>
      </c>
      <c r="AA588" s="13">
        <f t="shared" si="134"/>
        <v>1.541030235</v>
      </c>
      <c r="AB588" s="13">
        <f t="shared" si="135"/>
        <v>1.541030235</v>
      </c>
      <c r="AC588" s="8"/>
      <c r="AD588" s="8"/>
      <c r="AE588" s="8">
        <f t="shared" si="142"/>
        <v>588.86056</v>
      </c>
      <c r="AF588" s="13">
        <f t="shared" si="137"/>
        <v>1.273737847</v>
      </c>
      <c r="AG588" s="39">
        <f t="shared" si="143"/>
        <v>0.6360076688</v>
      </c>
      <c r="AH588" s="40">
        <f t="shared" si="144"/>
        <v>317.1178038</v>
      </c>
      <c r="AI588" s="40">
        <f t="shared" si="145"/>
        <v>498.606887</v>
      </c>
      <c r="AJ588" s="15"/>
      <c r="AK588" s="15"/>
    </row>
    <row r="589" ht="15.75" hidden="1" customHeight="1">
      <c r="A589" s="7" t="s">
        <v>894</v>
      </c>
      <c r="B589" s="7" t="s">
        <v>894</v>
      </c>
      <c r="C589" s="7"/>
      <c r="D589" s="7">
        <v>1960.0</v>
      </c>
      <c r="E589" s="7"/>
      <c r="F589" s="7" t="b">
        <v>0</v>
      </c>
      <c r="G589" s="7" t="b">
        <v>1</v>
      </c>
      <c r="H589" s="7" t="b">
        <v>0</v>
      </c>
      <c r="I589" s="7" t="b">
        <v>0</v>
      </c>
      <c r="J589" s="7"/>
      <c r="K589" s="7">
        <v>200.0</v>
      </c>
      <c r="L589" s="7">
        <v>0.0</v>
      </c>
      <c r="M589" s="7">
        <v>76.74777</v>
      </c>
      <c r="N589" s="7">
        <v>62.27508</v>
      </c>
      <c r="O589" s="7">
        <v>256.0</v>
      </c>
      <c r="P589" s="7">
        <v>2.03</v>
      </c>
      <c r="Q589" s="7"/>
      <c r="R589" s="7"/>
      <c r="S589" s="10">
        <f t="shared" si="2"/>
        <v>200</v>
      </c>
      <c r="T589" s="10">
        <f t="shared" si="3"/>
        <v>82.74235011</v>
      </c>
      <c r="U589" s="11">
        <f t="shared" si="4"/>
        <v>1.306463909</v>
      </c>
      <c r="V589" s="8">
        <f t="shared" si="132"/>
        <v>81.36014445</v>
      </c>
      <c r="W589" s="12">
        <f t="shared" si="5"/>
        <v>1.05</v>
      </c>
      <c r="X589" s="12">
        <f t="shared" si="6"/>
        <v>166.7882961</v>
      </c>
      <c r="Y589" s="12">
        <f t="shared" si="7"/>
        <v>2.678251014</v>
      </c>
      <c r="Z589" s="8">
        <f t="shared" si="133"/>
        <v>81.36014445</v>
      </c>
      <c r="AA589" s="13">
        <f t="shared" si="134"/>
        <v>0.4068007223</v>
      </c>
      <c r="AB589" s="13">
        <f t="shared" si="135"/>
        <v>0.4068007223</v>
      </c>
      <c r="AC589" s="8"/>
      <c r="AD589" s="8"/>
      <c r="AE589" s="8">
        <f t="shared" si="142"/>
        <v>100.0273818</v>
      </c>
      <c r="AF589" s="13">
        <f t="shared" si="137"/>
        <v>1.22943958</v>
      </c>
      <c r="AG589" s="39">
        <f t="shared" si="143"/>
        <v>1.030446073</v>
      </c>
      <c r="AH589" s="40">
        <f t="shared" si="144"/>
        <v>83.32982812</v>
      </c>
      <c r="AI589" s="40">
        <f t="shared" si="145"/>
        <v>80.86772354</v>
      </c>
      <c r="AJ589" s="15"/>
      <c r="AK589" s="15"/>
    </row>
    <row r="590" ht="15.75" hidden="1" customHeight="1">
      <c r="A590" s="16" t="s">
        <v>895</v>
      </c>
      <c r="B590" s="16" t="s">
        <v>889</v>
      </c>
      <c r="C590" s="16"/>
      <c r="D590" s="16">
        <v>1960.0</v>
      </c>
      <c r="E590" s="16"/>
      <c r="F590" s="16" t="b">
        <v>0</v>
      </c>
      <c r="G590" s="16" t="b">
        <v>1</v>
      </c>
      <c r="H590" s="16" t="b">
        <v>0</v>
      </c>
      <c r="I590" s="16" t="b">
        <v>0</v>
      </c>
      <c r="J590" s="16"/>
      <c r="K590" s="16">
        <v>150.0</v>
      </c>
      <c r="L590" s="16">
        <v>0.0</v>
      </c>
      <c r="M590" s="16">
        <v>651.0</v>
      </c>
      <c r="N590" s="16">
        <v>324.6</v>
      </c>
      <c r="O590" s="16">
        <v>247.0</v>
      </c>
      <c r="P590" s="16">
        <v>2.75</v>
      </c>
      <c r="Q590" s="16"/>
      <c r="R590" s="16"/>
      <c r="S590" s="19">
        <f t="shared" si="2"/>
        <v>150</v>
      </c>
      <c r="T590" s="19">
        <f t="shared" si="3"/>
        <v>50.84483591</v>
      </c>
      <c r="U590" s="20">
        <f t="shared" si="4"/>
        <v>0.9215200805</v>
      </c>
      <c r="V590" s="17">
        <f t="shared" si="132"/>
        <v>299.1254181</v>
      </c>
      <c r="W590" s="21">
        <f t="shared" si="5"/>
        <v>1.05</v>
      </c>
      <c r="X590" s="21">
        <f t="shared" si="6"/>
        <v>613.2071072</v>
      </c>
      <c r="Y590" s="21">
        <f t="shared" si="7"/>
        <v>1.889116165</v>
      </c>
      <c r="Z590" s="17">
        <f t="shared" si="133"/>
        <v>299.1254181</v>
      </c>
      <c r="AA590" s="13">
        <f t="shared" si="134"/>
        <v>1.994169454</v>
      </c>
      <c r="AB590" s="22">
        <f t="shared" si="135"/>
        <v>1.994169454</v>
      </c>
      <c r="AC590" s="8"/>
      <c r="AD590" s="8"/>
      <c r="AE590" s="8">
        <f t="shared" si="142"/>
        <v>366.985055</v>
      </c>
      <c r="AF590" s="13">
        <f t="shared" si="137"/>
        <v>1.226860149</v>
      </c>
      <c r="AG590" s="39">
        <f t="shared" si="143"/>
        <v>0.8267950918</v>
      </c>
      <c r="AH590" s="40">
        <f t="shared" si="144"/>
        <v>256.1901043</v>
      </c>
      <c r="AI590" s="40">
        <f t="shared" si="145"/>
        <v>309.8592466</v>
      </c>
      <c r="AJ590" s="15"/>
      <c r="AK590" s="15"/>
    </row>
    <row r="591" ht="15.75" hidden="1" customHeight="1">
      <c r="A591" s="7" t="s">
        <v>896</v>
      </c>
      <c r="B591" s="7" t="s">
        <v>889</v>
      </c>
      <c r="C591" s="7"/>
      <c r="D591" s="7">
        <v>1960.0</v>
      </c>
      <c r="E591" s="7"/>
      <c r="F591" s="7" t="b">
        <v>0</v>
      </c>
      <c r="G591" s="7" t="b">
        <v>1</v>
      </c>
      <c r="H591" s="7" t="b">
        <v>0</v>
      </c>
      <c r="I591" s="7" t="b">
        <v>0</v>
      </c>
      <c r="J591" s="7"/>
      <c r="K591" s="7">
        <v>150.0</v>
      </c>
      <c r="L591" s="7">
        <v>0.0</v>
      </c>
      <c r="M591" s="7">
        <v>651.0</v>
      </c>
      <c r="N591" s="7">
        <v>349.3</v>
      </c>
      <c r="O591" s="7">
        <v>273.21</v>
      </c>
      <c r="P591" s="7">
        <v>2.75</v>
      </c>
      <c r="Q591" s="7"/>
      <c r="R591" s="7"/>
      <c r="S591" s="10">
        <f t="shared" si="2"/>
        <v>150</v>
      </c>
      <c r="T591" s="10">
        <f t="shared" si="3"/>
        <v>54.71380525</v>
      </c>
      <c r="U591" s="11">
        <f t="shared" si="4"/>
        <v>0.9035970021</v>
      </c>
      <c r="V591" s="8">
        <f t="shared" si="132"/>
        <v>315.6264328</v>
      </c>
      <c r="W591" s="12">
        <f t="shared" si="5"/>
        <v>1.05</v>
      </c>
      <c r="X591" s="12">
        <f t="shared" si="6"/>
        <v>647.0341873</v>
      </c>
      <c r="Y591" s="12">
        <f t="shared" si="7"/>
        <v>1.852373854</v>
      </c>
      <c r="Z591" s="8">
        <f t="shared" si="133"/>
        <v>315.6264328</v>
      </c>
      <c r="AA591" s="13">
        <f t="shared" si="134"/>
        <v>2.104176219</v>
      </c>
      <c r="AB591" s="13">
        <f t="shared" si="135"/>
        <v>2.104176219</v>
      </c>
      <c r="AC591" s="8"/>
      <c r="AD591" s="8"/>
      <c r="AE591" s="8">
        <f t="shared" si="142"/>
        <v>366.985055</v>
      </c>
      <c r="AF591" s="13">
        <f t="shared" si="137"/>
        <v>1.162719649</v>
      </c>
      <c r="AG591" s="39">
        <f t="shared" si="143"/>
        <v>0.7751931405</v>
      </c>
      <c r="AH591" s="40">
        <f t="shared" si="144"/>
        <v>256.1901043</v>
      </c>
      <c r="AI591" s="40">
        <f t="shared" si="145"/>
        <v>330.485515</v>
      </c>
      <c r="AJ591" s="15"/>
      <c r="AK591" s="15"/>
    </row>
    <row r="592" ht="15.75" hidden="1" customHeight="1">
      <c r="A592" s="16" t="s">
        <v>897</v>
      </c>
      <c r="B592" s="16" t="s">
        <v>897</v>
      </c>
      <c r="C592" s="16"/>
      <c r="D592" s="16">
        <v>1962.0</v>
      </c>
      <c r="E592" s="16"/>
      <c r="F592" s="16" t="b">
        <v>0</v>
      </c>
      <c r="G592" s="16" t="b">
        <v>1</v>
      </c>
      <c r="H592" s="16" t="b">
        <v>0</v>
      </c>
      <c r="I592" s="16" t="b">
        <v>0</v>
      </c>
      <c r="J592" s="16"/>
      <c r="K592" s="16">
        <v>350.0</v>
      </c>
      <c r="L592" s="16">
        <v>0.0</v>
      </c>
      <c r="M592" s="16">
        <v>1065.533</v>
      </c>
      <c r="N592" s="16">
        <v>449.02112</v>
      </c>
      <c r="O592" s="16">
        <v>258.88</v>
      </c>
      <c r="P592" s="16"/>
      <c r="Q592" s="16"/>
      <c r="R592" s="16"/>
      <c r="S592" s="19">
        <f t="shared" si="2"/>
        <v>350</v>
      </c>
      <c r="T592" s="19">
        <f t="shared" si="3"/>
        <v>42.97136876</v>
      </c>
      <c r="U592" s="20">
        <f t="shared" si="4"/>
        <v>0.7794015541</v>
      </c>
      <c r="V592" s="17">
        <f t="shared" si="132"/>
        <v>349.9677588</v>
      </c>
      <c r="W592" s="21">
        <f t="shared" si="5"/>
        <v>1.05</v>
      </c>
      <c r="X592" s="21">
        <f t="shared" si="6"/>
        <v>717.4339054</v>
      </c>
      <c r="Y592" s="21">
        <f t="shared" si="7"/>
        <v>1.597773186</v>
      </c>
      <c r="Z592" s="17">
        <f t="shared" si="133"/>
        <v>349.9677588</v>
      </c>
      <c r="AA592" s="13">
        <f t="shared" si="134"/>
        <v>0.9999078821</v>
      </c>
      <c r="AB592" s="22">
        <f t="shared" si="135"/>
        <v>0.9999078821</v>
      </c>
      <c r="AC592" s="8"/>
      <c r="AD592" s="8"/>
      <c r="AE592" s="8">
        <f t="shared" si="142"/>
        <v>497.003708</v>
      </c>
      <c r="AF592" s="13">
        <f t="shared" si="137"/>
        <v>1.420141415</v>
      </c>
      <c r="AG592" s="39">
        <f t="shared" si="143"/>
        <v>0</v>
      </c>
      <c r="AH592" s="40">
        <f t="shared" si="144"/>
        <v>0</v>
      </c>
      <c r="AI592" s="40">
        <f t="shared" si="145"/>
        <v>437.4596984</v>
      </c>
      <c r="AJ592" s="15"/>
      <c r="AK592" s="15"/>
    </row>
    <row r="593" ht="15.75" hidden="1" customHeight="1">
      <c r="A593" s="16" t="s">
        <v>898</v>
      </c>
      <c r="B593" s="16" t="s">
        <v>898</v>
      </c>
      <c r="C593" s="16"/>
      <c r="D593" s="16">
        <v>1962.0</v>
      </c>
      <c r="E593" s="16"/>
      <c r="F593" s="16" t="b">
        <v>0</v>
      </c>
      <c r="G593" s="16" t="b">
        <v>1</v>
      </c>
      <c r="H593" s="16" t="b">
        <v>0</v>
      </c>
      <c r="I593" s="16" t="b">
        <v>0</v>
      </c>
      <c r="J593" s="16"/>
      <c r="K593" s="16">
        <v>230.0</v>
      </c>
      <c r="L593" s="16">
        <v>0.0</v>
      </c>
      <c r="M593" s="16">
        <v>116.0</v>
      </c>
      <c r="N593" s="16">
        <v>93.074555</v>
      </c>
      <c r="O593" s="16">
        <v>281.15</v>
      </c>
      <c r="P593" s="16">
        <v>2.87</v>
      </c>
      <c r="Q593" s="16"/>
      <c r="R593" s="16"/>
      <c r="S593" s="19">
        <f t="shared" si="2"/>
        <v>230</v>
      </c>
      <c r="T593" s="19">
        <f t="shared" si="3"/>
        <v>81.81864868</v>
      </c>
      <c r="U593" s="20">
        <f t="shared" si="4"/>
        <v>1.21480653</v>
      </c>
      <c r="V593" s="17">
        <f t="shared" si="132"/>
        <v>113.0675772</v>
      </c>
      <c r="W593" s="21">
        <f t="shared" si="5"/>
        <v>1.05</v>
      </c>
      <c r="X593" s="21">
        <f t="shared" si="6"/>
        <v>231.7885333</v>
      </c>
      <c r="Y593" s="21">
        <f t="shared" si="7"/>
        <v>2.490353387</v>
      </c>
      <c r="Z593" s="17">
        <f t="shared" si="133"/>
        <v>113.0675772</v>
      </c>
      <c r="AA593" s="13">
        <f t="shared" si="134"/>
        <v>0.4915981618</v>
      </c>
      <c r="AB593" s="22">
        <f t="shared" si="135"/>
        <v>0.4915981618</v>
      </c>
      <c r="AC593" s="8"/>
      <c r="AD593" s="8"/>
      <c r="AE593" s="8">
        <f t="shared" si="142"/>
        <v>128.3007284</v>
      </c>
      <c r="AF593" s="13">
        <f t="shared" si="137"/>
        <v>1.134726077</v>
      </c>
      <c r="AG593" s="39">
        <f t="shared" si="143"/>
        <v>1.057025477</v>
      </c>
      <c r="AH593" s="40">
        <f t="shared" si="144"/>
        <v>118.167597</v>
      </c>
      <c r="AI593" s="40">
        <f t="shared" si="145"/>
        <v>111.7925723</v>
      </c>
      <c r="AJ593" s="15"/>
      <c r="AK593" s="15"/>
    </row>
    <row r="594" ht="15.75" hidden="1" customHeight="1">
      <c r="A594" s="7" t="s">
        <v>899</v>
      </c>
      <c r="B594" s="7" t="s">
        <v>899</v>
      </c>
      <c r="C594" s="7"/>
      <c r="D594" s="7">
        <v>1962.0</v>
      </c>
      <c r="E594" s="7"/>
      <c r="F594" s="7" t="b">
        <v>0</v>
      </c>
      <c r="G594" s="7" t="b">
        <v>1</v>
      </c>
      <c r="H594" s="7" t="b">
        <v>0</v>
      </c>
      <c r="I594" s="7" t="b">
        <v>0</v>
      </c>
      <c r="J594" s="7"/>
      <c r="K594" s="7">
        <v>750.0</v>
      </c>
      <c r="L594" s="7">
        <v>0.0</v>
      </c>
      <c r="M594" s="7">
        <v>2292.0</v>
      </c>
      <c r="N594" s="7">
        <v>876.0</v>
      </c>
      <c r="O594" s="7">
        <v>262.0</v>
      </c>
      <c r="P594" s="7"/>
      <c r="Q594" s="7"/>
      <c r="R594" s="7"/>
      <c r="S594" s="10">
        <f t="shared" si="2"/>
        <v>750</v>
      </c>
      <c r="T594" s="10">
        <f t="shared" si="3"/>
        <v>38.97344677</v>
      </c>
      <c r="U594" s="11">
        <f t="shared" si="4"/>
        <v>0.6567656036</v>
      </c>
      <c r="V594" s="8">
        <f t="shared" si="132"/>
        <v>575.3266688</v>
      </c>
      <c r="W594" s="12">
        <f t="shared" si="5"/>
        <v>1.05</v>
      </c>
      <c r="X594" s="12">
        <f t="shared" si="6"/>
        <v>1179.419671</v>
      </c>
      <c r="Y594" s="12">
        <f t="shared" si="7"/>
        <v>1.346369487</v>
      </c>
      <c r="Z594" s="8">
        <f t="shared" si="133"/>
        <v>575.3266688</v>
      </c>
      <c r="AA594" s="13">
        <f t="shared" si="134"/>
        <v>0.767102225</v>
      </c>
      <c r="AB594" s="13">
        <f t="shared" si="135"/>
        <v>0.767102225</v>
      </c>
      <c r="AC594" s="8"/>
      <c r="AD594" s="8"/>
      <c r="AE594" s="8">
        <f t="shared" si="142"/>
        <v>798.2785767</v>
      </c>
      <c r="AF594" s="13">
        <f t="shared" si="137"/>
        <v>1.38752229</v>
      </c>
      <c r="AG594" s="39">
        <f t="shared" si="143"/>
        <v>0</v>
      </c>
      <c r="AH594" s="40">
        <f t="shared" si="144"/>
        <v>0</v>
      </c>
      <c r="AI594" s="40">
        <f t="shared" si="145"/>
        <v>719.1583359</v>
      </c>
      <c r="AJ594" s="15"/>
      <c r="AK594" s="15"/>
    </row>
    <row r="595" ht="15.75" hidden="1" customHeight="1">
      <c r="A595" s="7" t="s">
        <v>900</v>
      </c>
      <c r="B595" s="7" t="s">
        <v>900</v>
      </c>
      <c r="C595" s="7"/>
      <c r="D595" s="7">
        <v>1963.0</v>
      </c>
      <c r="E595" s="7"/>
      <c r="F595" s="7" t="b">
        <v>0</v>
      </c>
      <c r="G595" s="7" t="b">
        <v>1</v>
      </c>
      <c r="H595" s="7" t="b">
        <v>0</v>
      </c>
      <c r="I595" s="7" t="b">
        <v>0</v>
      </c>
      <c r="J595" s="7"/>
      <c r="K595" s="7">
        <v>195.0</v>
      </c>
      <c r="L595" s="7">
        <v>0.0</v>
      </c>
      <c r="M595" s="7">
        <v>32.7</v>
      </c>
      <c r="N595" s="7">
        <v>29.09</v>
      </c>
      <c r="O595" s="7">
        <v>279.0</v>
      </c>
      <c r="P595" s="7"/>
      <c r="Q595" s="7"/>
      <c r="R595" s="7"/>
      <c r="S595" s="10">
        <f t="shared" si="2"/>
        <v>195</v>
      </c>
      <c r="T595" s="10">
        <f t="shared" si="3"/>
        <v>90.71420351</v>
      </c>
      <c r="U595" s="11">
        <f t="shared" si="4"/>
        <v>1.362185401</v>
      </c>
      <c r="V595" s="8">
        <f t="shared" si="132"/>
        <v>39.6259733</v>
      </c>
      <c r="W595" s="12">
        <f t="shared" si="5"/>
        <v>1.05</v>
      </c>
      <c r="X595" s="12">
        <f t="shared" si="6"/>
        <v>81.23324527</v>
      </c>
      <c r="Y595" s="12">
        <f t="shared" si="7"/>
        <v>2.792480071</v>
      </c>
      <c r="Z595" s="8">
        <f t="shared" si="133"/>
        <v>39.6259733</v>
      </c>
      <c r="AA595" s="13">
        <f t="shared" si="134"/>
        <v>0.2032101195</v>
      </c>
      <c r="AB595" s="13">
        <f t="shared" si="135"/>
        <v>0.2032101195</v>
      </c>
      <c r="AC595" s="8"/>
      <c r="AD595" s="8"/>
      <c r="AE595" s="8">
        <f t="shared" si="142"/>
        <v>60.0385557</v>
      </c>
      <c r="AF595" s="13">
        <f t="shared" si="137"/>
        <v>1.515131382</v>
      </c>
      <c r="AG595" s="39">
        <f t="shared" si="143"/>
        <v>0</v>
      </c>
      <c r="AH595" s="40">
        <f t="shared" si="144"/>
        <v>0</v>
      </c>
      <c r="AI595" s="40">
        <f t="shared" si="145"/>
        <v>49.53246663</v>
      </c>
      <c r="AJ595" s="15"/>
      <c r="AK595" s="15"/>
    </row>
    <row r="596" ht="15.75" hidden="1" customHeight="1">
      <c r="A596" s="16" t="s">
        <v>901</v>
      </c>
      <c r="B596" s="16" t="s">
        <v>902</v>
      </c>
      <c r="C596" s="16"/>
      <c r="D596" s="16">
        <v>1964.0</v>
      </c>
      <c r="E596" s="16"/>
      <c r="F596" s="16" t="b">
        <v>0</v>
      </c>
      <c r="G596" s="16" t="b">
        <v>1</v>
      </c>
      <c r="H596" s="16" t="b">
        <v>0</v>
      </c>
      <c r="I596" s="16" t="b">
        <v>0</v>
      </c>
      <c r="J596" s="16"/>
      <c r="K596" s="16">
        <v>2700.0</v>
      </c>
      <c r="L596" s="16">
        <v>0.0</v>
      </c>
      <c r="M596" s="16">
        <v>2.34</v>
      </c>
      <c r="N596" s="16">
        <v>2.468</v>
      </c>
      <c r="O596" s="16">
        <v>268.1</v>
      </c>
      <c r="P596" s="16">
        <v>9.29</v>
      </c>
      <c r="Q596" s="16"/>
      <c r="R596" s="16"/>
      <c r="S596" s="19">
        <f t="shared" si="2"/>
        <v>2700</v>
      </c>
      <c r="T596" s="19">
        <f t="shared" si="3"/>
        <v>107.5495558</v>
      </c>
      <c r="U596" s="20">
        <f t="shared" si="4"/>
        <v>5.631260468</v>
      </c>
      <c r="V596" s="17">
        <f t="shared" si="132"/>
        <v>13.89795083</v>
      </c>
      <c r="W596" s="21">
        <f t="shared" si="5"/>
        <v>1.05</v>
      </c>
      <c r="X596" s="21">
        <f t="shared" si="6"/>
        <v>28.49079921</v>
      </c>
      <c r="Y596" s="21">
        <f t="shared" si="7"/>
        <v>11.54408396</v>
      </c>
      <c r="Z596" s="17">
        <f t="shared" si="133"/>
        <v>13.89795083</v>
      </c>
      <c r="AA596" s="13">
        <f t="shared" si="134"/>
        <v>0.005147389198</v>
      </c>
      <c r="AB596" s="22">
        <f t="shared" si="135"/>
        <v>0.005147389198</v>
      </c>
      <c r="AC596" s="8"/>
      <c r="AD596" s="8"/>
      <c r="AE596" s="8">
        <f t="shared" si="142"/>
        <v>12.83266013</v>
      </c>
      <c r="AF596" s="13">
        <f t="shared" si="137"/>
        <v>0.9233490812</v>
      </c>
      <c r="AG596" s="39">
        <f t="shared" si="143"/>
        <v>3.761708397</v>
      </c>
      <c r="AH596" s="40">
        <f t="shared" si="144"/>
        <v>33.67817733</v>
      </c>
      <c r="AI596" s="40">
        <f t="shared" si="145"/>
        <v>8.952894211</v>
      </c>
      <c r="AJ596" s="15"/>
      <c r="AK596" s="15"/>
    </row>
    <row r="597" ht="15.75" hidden="1" customHeight="1">
      <c r="A597" s="16" t="s">
        <v>903</v>
      </c>
      <c r="B597" s="16" t="s">
        <v>903</v>
      </c>
      <c r="C597" s="16"/>
      <c r="D597" s="16">
        <v>1965.0</v>
      </c>
      <c r="E597" s="16"/>
      <c r="F597" s="16" t="b">
        <v>0</v>
      </c>
      <c r="G597" s="16" t="b">
        <v>1</v>
      </c>
      <c r="H597" s="16" t="b">
        <v>0</v>
      </c>
      <c r="I597" s="16" t="b">
        <v>0</v>
      </c>
      <c r="J597" s="16"/>
      <c r="K597" s="16">
        <v>215.0</v>
      </c>
      <c r="L597" s="16">
        <v>0.0</v>
      </c>
      <c r="M597" s="16">
        <v>23.16585</v>
      </c>
      <c r="N597" s="16">
        <v>25.227</v>
      </c>
      <c r="O597" s="16">
        <v>284.5</v>
      </c>
      <c r="P597" s="16">
        <v>5.92</v>
      </c>
      <c r="Q597" s="16"/>
      <c r="R597" s="16"/>
      <c r="S597" s="19">
        <f t="shared" si="2"/>
        <v>215</v>
      </c>
      <c r="T597" s="19">
        <f t="shared" si="3"/>
        <v>111.0444073</v>
      </c>
      <c r="U597" s="20">
        <f t="shared" si="4"/>
        <v>1.899063126</v>
      </c>
      <c r="V597" s="17">
        <f t="shared" si="132"/>
        <v>47.90766548</v>
      </c>
      <c r="W597" s="21">
        <f t="shared" si="5"/>
        <v>1.05</v>
      </c>
      <c r="X597" s="21">
        <f t="shared" si="6"/>
        <v>98.21071423</v>
      </c>
      <c r="Y597" s="21">
        <f t="shared" si="7"/>
        <v>3.893079408</v>
      </c>
      <c r="Z597" s="17">
        <f t="shared" si="133"/>
        <v>47.90766548</v>
      </c>
      <c r="AA597" s="13">
        <f t="shared" si="134"/>
        <v>0.2228263511</v>
      </c>
      <c r="AB597" s="22">
        <f t="shared" si="135"/>
        <v>0.2228263511</v>
      </c>
      <c r="AC597" s="8"/>
      <c r="AD597" s="8"/>
      <c r="AE597" s="8">
        <f t="shared" si="142"/>
        <v>48.92199155</v>
      </c>
      <c r="AF597" s="13">
        <f t="shared" si="137"/>
        <v>1.021172521</v>
      </c>
      <c r="AG597" s="39">
        <f t="shared" si="143"/>
        <v>1.952858516</v>
      </c>
      <c r="AH597" s="40">
        <f t="shared" si="144"/>
        <v>78.58148506</v>
      </c>
      <c r="AI597" s="40">
        <f t="shared" si="145"/>
        <v>40.23921058</v>
      </c>
      <c r="AJ597" s="15"/>
      <c r="AK597" s="15"/>
    </row>
    <row r="598" ht="15.75" hidden="1" customHeight="1">
      <c r="A598" s="7" t="s">
        <v>904</v>
      </c>
      <c r="B598" s="7" t="s">
        <v>905</v>
      </c>
      <c r="C598" s="7"/>
      <c r="D598" s="7">
        <v>1965.0</v>
      </c>
      <c r="E598" s="7"/>
      <c r="F598" s="7" t="b">
        <v>0</v>
      </c>
      <c r="G598" s="7" t="b">
        <v>1</v>
      </c>
      <c r="H598" s="7" t="b">
        <v>0</v>
      </c>
      <c r="I598" s="7" t="b">
        <v>0</v>
      </c>
      <c r="J598" s="7"/>
      <c r="K598" s="7">
        <v>180.0</v>
      </c>
      <c r="L598" s="7">
        <v>0.0</v>
      </c>
      <c r="M598" s="7">
        <v>677.0</v>
      </c>
      <c r="N598" s="7">
        <v>369.23</v>
      </c>
      <c r="O598" s="7">
        <v>260.7</v>
      </c>
      <c r="P598" s="7">
        <v>5.51</v>
      </c>
      <c r="Q598" s="7"/>
      <c r="R598" s="7"/>
      <c r="S598" s="10">
        <f t="shared" si="2"/>
        <v>180</v>
      </c>
      <c r="T598" s="10">
        <f t="shared" si="3"/>
        <v>55.61444848</v>
      </c>
      <c r="U598" s="11">
        <f t="shared" si="4"/>
        <v>0.9070510181</v>
      </c>
      <c r="V598" s="8">
        <f t="shared" si="132"/>
        <v>334.9104474</v>
      </c>
      <c r="W598" s="12">
        <f t="shared" si="5"/>
        <v>1.05</v>
      </c>
      <c r="X598" s="12">
        <f t="shared" si="6"/>
        <v>686.5664172</v>
      </c>
      <c r="Y598" s="12">
        <f t="shared" si="7"/>
        <v>1.859454587</v>
      </c>
      <c r="Z598" s="8">
        <f t="shared" si="133"/>
        <v>334.9104474</v>
      </c>
      <c r="AA598" s="13">
        <f t="shared" si="134"/>
        <v>1.860613597</v>
      </c>
      <c r="AB598" s="13">
        <f t="shared" si="135"/>
        <v>1.860613597</v>
      </c>
      <c r="AC598" s="8"/>
      <c r="AD598" s="8"/>
      <c r="AE598" s="8">
        <f t="shared" si="142"/>
        <v>375.9209981</v>
      </c>
      <c r="AF598" s="13">
        <f t="shared" si="137"/>
        <v>1.122452288</v>
      </c>
      <c r="AG598" s="39">
        <f t="shared" si="143"/>
        <v>1.091966828</v>
      </c>
      <c r="AH598" s="40">
        <f t="shared" si="144"/>
        <v>359.1059323</v>
      </c>
      <c r="AI598" s="40">
        <f t="shared" si="145"/>
        <v>328.8615762</v>
      </c>
      <c r="AJ598" s="15"/>
      <c r="AK598" s="15"/>
    </row>
    <row r="599" ht="15.75" hidden="1" customHeight="1">
      <c r="A599" s="16" t="s">
        <v>906</v>
      </c>
      <c r="B599" s="16" t="s">
        <v>905</v>
      </c>
      <c r="C599" s="16"/>
      <c r="D599" s="16">
        <v>1965.0</v>
      </c>
      <c r="E599" s="16"/>
      <c r="F599" s="16" t="b">
        <v>0</v>
      </c>
      <c r="G599" s="16" t="b">
        <v>1</v>
      </c>
      <c r="H599" s="16" t="b">
        <v>0</v>
      </c>
      <c r="I599" s="16" t="b">
        <v>0</v>
      </c>
      <c r="J599" s="16"/>
      <c r="K599" s="16">
        <v>180.0</v>
      </c>
      <c r="L599" s="16">
        <v>0.0</v>
      </c>
      <c r="M599" s="16">
        <v>677.0</v>
      </c>
      <c r="N599" s="16">
        <v>318.1</v>
      </c>
      <c r="O599" s="16">
        <v>282.2</v>
      </c>
      <c r="P599" s="16">
        <v>5.51</v>
      </c>
      <c r="Q599" s="16"/>
      <c r="R599" s="16"/>
      <c r="S599" s="19">
        <f t="shared" si="2"/>
        <v>180</v>
      </c>
      <c r="T599" s="19">
        <f t="shared" si="3"/>
        <v>47.91310582</v>
      </c>
      <c r="U599" s="20">
        <f t="shared" si="4"/>
        <v>1.095805845</v>
      </c>
      <c r="V599" s="17">
        <f t="shared" si="132"/>
        <v>348.5758393</v>
      </c>
      <c r="W599" s="21">
        <f t="shared" si="5"/>
        <v>1.05</v>
      </c>
      <c r="X599" s="21">
        <f t="shared" si="6"/>
        <v>714.5804706</v>
      </c>
      <c r="Y599" s="21">
        <f t="shared" si="7"/>
        <v>2.246401983</v>
      </c>
      <c r="Z599" s="17">
        <f t="shared" si="133"/>
        <v>348.5758393</v>
      </c>
      <c r="AA599" s="13">
        <f t="shared" si="134"/>
        <v>1.936532441</v>
      </c>
      <c r="AB599" s="22">
        <f t="shared" si="135"/>
        <v>1.936532441</v>
      </c>
      <c r="AC599" s="8"/>
      <c r="AD599" s="8"/>
      <c r="AE599" s="8">
        <f t="shared" si="142"/>
        <v>375.9209981</v>
      </c>
      <c r="AF599" s="13">
        <f t="shared" si="137"/>
        <v>1.078448233</v>
      </c>
      <c r="AG599" s="39">
        <f t="shared" si="143"/>
        <v>1.038048477</v>
      </c>
      <c r="AH599" s="40">
        <f t="shared" si="144"/>
        <v>359.1059323</v>
      </c>
      <c r="AI599" s="40">
        <f t="shared" si="145"/>
        <v>345.9433161</v>
      </c>
      <c r="AJ599" s="15"/>
      <c r="AK599" s="15"/>
    </row>
    <row r="600" ht="15.75" hidden="1" customHeight="1">
      <c r="A600" s="16" t="s">
        <v>907</v>
      </c>
      <c r="B600" s="16" t="s">
        <v>907</v>
      </c>
      <c r="C600" s="16"/>
      <c r="D600" s="16">
        <v>1965.0</v>
      </c>
      <c r="E600" s="16"/>
      <c r="F600" s="16" t="b">
        <v>0</v>
      </c>
      <c r="G600" s="16" t="b">
        <v>1</v>
      </c>
      <c r="H600" s="16" t="b">
        <v>0</v>
      </c>
      <c r="I600" s="16" t="b">
        <v>0</v>
      </c>
      <c r="J600" s="16"/>
      <c r="K600" s="16">
        <v>200.0</v>
      </c>
      <c r="L600" s="16">
        <v>0.0</v>
      </c>
      <c r="M600" s="16">
        <v>68.0</v>
      </c>
      <c r="N600" s="16">
        <v>53.0</v>
      </c>
      <c r="O600" s="16">
        <v>274.0</v>
      </c>
      <c r="P600" s="16">
        <v>4.1</v>
      </c>
      <c r="Q600" s="16"/>
      <c r="R600" s="16"/>
      <c r="S600" s="19">
        <f t="shared" si="2"/>
        <v>200</v>
      </c>
      <c r="T600" s="19">
        <f t="shared" si="3"/>
        <v>79.47788107</v>
      </c>
      <c r="U600" s="20">
        <f t="shared" si="4"/>
        <v>1.590918451</v>
      </c>
      <c r="V600" s="17">
        <f t="shared" si="132"/>
        <v>84.3186779</v>
      </c>
      <c r="W600" s="21">
        <f t="shared" si="5"/>
        <v>1.05</v>
      </c>
      <c r="X600" s="21">
        <f t="shared" si="6"/>
        <v>172.8532897</v>
      </c>
      <c r="Y600" s="21">
        <f t="shared" si="7"/>
        <v>3.261382824</v>
      </c>
      <c r="Z600" s="17">
        <f t="shared" si="133"/>
        <v>84.3186779</v>
      </c>
      <c r="AA600" s="13">
        <f t="shared" si="134"/>
        <v>0.4215933895</v>
      </c>
      <c r="AB600" s="22">
        <f t="shared" si="135"/>
        <v>0.4215933895</v>
      </c>
      <c r="AC600" s="8"/>
      <c r="AD600" s="8"/>
      <c r="AE600" s="8">
        <f t="shared" si="142"/>
        <v>93.01209493</v>
      </c>
      <c r="AF600" s="13">
        <f t="shared" si="137"/>
        <v>1.103101913</v>
      </c>
      <c r="AG600" s="39">
        <f t="shared" si="143"/>
        <v>1.39318269</v>
      </c>
      <c r="AH600" s="40">
        <f t="shared" si="144"/>
        <v>108.9072346</v>
      </c>
      <c r="AI600" s="40">
        <f t="shared" si="145"/>
        <v>78.17153872</v>
      </c>
      <c r="AJ600" s="15"/>
      <c r="AK600" s="15"/>
    </row>
    <row r="601" ht="15.75" hidden="1" customHeight="1">
      <c r="A601" s="16" t="s">
        <v>908</v>
      </c>
      <c r="B601" s="16" t="s">
        <v>908</v>
      </c>
      <c r="C601" s="16"/>
      <c r="D601" s="16">
        <v>1965.0</v>
      </c>
      <c r="E601" s="16"/>
      <c r="F601" s="16" t="b">
        <v>0</v>
      </c>
      <c r="G601" s="16" t="b">
        <v>1</v>
      </c>
      <c r="H601" s="16" t="b">
        <v>0</v>
      </c>
      <c r="I601" s="16" t="b">
        <v>0</v>
      </c>
      <c r="J601" s="16"/>
      <c r="K601" s="16">
        <v>200.0</v>
      </c>
      <c r="L601" s="16">
        <v>0.0</v>
      </c>
      <c r="M601" s="16">
        <v>456.0</v>
      </c>
      <c r="N601" s="16">
        <v>156.0</v>
      </c>
      <c r="O601" s="16">
        <v>259.0</v>
      </c>
      <c r="P601" s="16">
        <v>3.5</v>
      </c>
      <c r="Q601" s="16"/>
      <c r="R601" s="16"/>
      <c r="S601" s="19">
        <f t="shared" si="2"/>
        <v>200</v>
      </c>
      <c r="T601" s="19">
        <f t="shared" si="3"/>
        <v>34.88502824</v>
      </c>
      <c r="U601" s="20">
        <f t="shared" si="4"/>
        <v>1.616200222</v>
      </c>
      <c r="V601" s="17">
        <f t="shared" si="132"/>
        <v>252.1272347</v>
      </c>
      <c r="W601" s="21">
        <f t="shared" si="5"/>
        <v>1.05</v>
      </c>
      <c r="X601" s="21">
        <f t="shared" si="6"/>
        <v>516.8608311</v>
      </c>
      <c r="Y601" s="21">
        <f t="shared" si="7"/>
        <v>3.313210456</v>
      </c>
      <c r="Z601" s="17">
        <f t="shared" si="133"/>
        <v>252.1272347</v>
      </c>
      <c r="AA601" s="13">
        <f t="shared" si="134"/>
        <v>1.260636174</v>
      </c>
      <c r="AB601" s="22">
        <f t="shared" si="135"/>
        <v>1.260636174</v>
      </c>
      <c r="AC601" s="8"/>
      <c r="AD601" s="8"/>
      <c r="AE601" s="8">
        <f t="shared" si="142"/>
        <v>295.0054865</v>
      </c>
      <c r="AF601" s="13">
        <f t="shared" si="137"/>
        <v>1.170065927</v>
      </c>
      <c r="AG601" s="39">
        <f t="shared" si="143"/>
        <v>0.955184453</v>
      </c>
      <c r="AH601" s="40">
        <f t="shared" si="144"/>
        <v>243.0061051</v>
      </c>
      <c r="AI601" s="40">
        <f t="shared" si="145"/>
        <v>254.4075171</v>
      </c>
      <c r="AJ601" s="15"/>
      <c r="AK601" s="15"/>
    </row>
    <row r="602" ht="15.75" hidden="1" customHeight="1">
      <c r="A602" s="16" t="s">
        <v>909</v>
      </c>
      <c r="B602" s="16" t="s">
        <v>909</v>
      </c>
      <c r="C602" s="16"/>
      <c r="D602" s="16">
        <v>1965.0</v>
      </c>
      <c r="E602" s="16"/>
      <c r="F602" s="16" t="b">
        <v>0</v>
      </c>
      <c r="G602" s="16" t="b">
        <v>1</v>
      </c>
      <c r="H602" s="16" t="b">
        <v>0</v>
      </c>
      <c r="I602" s="16" t="b">
        <v>0</v>
      </c>
      <c r="J602" s="16"/>
      <c r="K602" s="16">
        <v>1692.0</v>
      </c>
      <c r="L602" s="16">
        <v>0.0</v>
      </c>
      <c r="M602" s="16">
        <v>27839.0</v>
      </c>
      <c r="N602" s="16">
        <v>4151.3</v>
      </c>
      <c r="O602" s="16">
        <v>266.0</v>
      </c>
      <c r="P602" s="16">
        <v>5.5</v>
      </c>
      <c r="Q602" s="16"/>
      <c r="R602" s="16"/>
      <c r="S602" s="19">
        <f t="shared" si="2"/>
        <v>1692</v>
      </c>
      <c r="T602" s="19">
        <f t="shared" si="3"/>
        <v>15.20581882</v>
      </c>
      <c r="U602" s="20">
        <f t="shared" si="4"/>
        <v>0.7856056393</v>
      </c>
      <c r="V602" s="17">
        <f t="shared" si="132"/>
        <v>3261.284691</v>
      </c>
      <c r="W602" s="21">
        <f t="shared" si="5"/>
        <v>1.05</v>
      </c>
      <c r="X602" s="21">
        <f t="shared" si="6"/>
        <v>6685.633616</v>
      </c>
      <c r="Y602" s="21">
        <f t="shared" si="7"/>
        <v>1.610491561</v>
      </c>
      <c r="Z602" s="17">
        <f t="shared" si="133"/>
        <v>3261.284691</v>
      </c>
      <c r="AA602" s="13">
        <f t="shared" si="134"/>
        <v>1.927473221</v>
      </c>
      <c r="AB602" s="22">
        <f t="shared" si="135"/>
        <v>1.927473221</v>
      </c>
      <c r="AC602" s="8"/>
      <c r="AD602" s="8"/>
      <c r="AE602" s="8">
        <f t="shared" si="142"/>
        <v>3806.83668</v>
      </c>
      <c r="AF602" s="13">
        <f t="shared" si="137"/>
        <v>1.167281314</v>
      </c>
      <c r="AG602" s="39">
        <f t="shared" si="143"/>
        <v>0.5537881675</v>
      </c>
      <c r="AH602" s="40">
        <f t="shared" si="144"/>
        <v>1983.031276</v>
      </c>
      <c r="AI602" s="40">
        <f t="shared" si="145"/>
        <v>3580.848044</v>
      </c>
      <c r="AJ602" s="15"/>
      <c r="AK602" s="15"/>
    </row>
    <row r="603" ht="15.75" hidden="1" customHeight="1">
      <c r="A603" s="7" t="s">
        <v>910</v>
      </c>
      <c r="B603" s="7" t="s">
        <v>910</v>
      </c>
      <c r="C603" s="7"/>
      <c r="D603" s="7">
        <v>1965.0</v>
      </c>
      <c r="E603" s="7"/>
      <c r="F603" s="7" t="b">
        <v>0</v>
      </c>
      <c r="G603" s="7" t="b">
        <v>1</v>
      </c>
      <c r="H603" s="7" t="b">
        <v>0</v>
      </c>
      <c r="I603" s="7" t="b">
        <v>0</v>
      </c>
      <c r="J603" s="7"/>
      <c r="K603" s="7">
        <v>1866.0</v>
      </c>
      <c r="L603" s="7">
        <v>0.0</v>
      </c>
      <c r="M603" s="7">
        <v>33798.0</v>
      </c>
      <c r="N603" s="7">
        <v>5338.0</v>
      </c>
      <c r="O603" s="7">
        <v>266.0</v>
      </c>
      <c r="P603" s="7">
        <v>5.5</v>
      </c>
      <c r="Q603" s="7"/>
      <c r="R603" s="7"/>
      <c r="S603" s="10">
        <f t="shared" si="2"/>
        <v>1866</v>
      </c>
      <c r="T603" s="10">
        <f t="shared" si="3"/>
        <v>16.1052285</v>
      </c>
      <c r="U603" s="11">
        <f t="shared" si="4"/>
        <v>0.6887027831</v>
      </c>
      <c r="V603" s="8">
        <f t="shared" si="132"/>
        <v>3676.295456</v>
      </c>
      <c r="W603" s="12">
        <f t="shared" si="5"/>
        <v>1.05</v>
      </c>
      <c r="X603" s="12">
        <f t="shared" si="6"/>
        <v>7536.405685</v>
      </c>
      <c r="Y603" s="12">
        <f t="shared" si="7"/>
        <v>1.411840705</v>
      </c>
      <c r="Z603" s="8">
        <f t="shared" si="133"/>
        <v>3676.295456</v>
      </c>
      <c r="AA603" s="13">
        <f t="shared" si="134"/>
        <v>1.970147619</v>
      </c>
      <c r="AB603" s="13">
        <f t="shared" si="135"/>
        <v>1.970147619</v>
      </c>
      <c r="AC603" s="8"/>
      <c r="AD603" s="8"/>
      <c r="AE603" s="8">
        <f t="shared" si="142"/>
        <v>4302.004438</v>
      </c>
      <c r="AF603" s="13">
        <f t="shared" si="137"/>
        <v>1.170200951</v>
      </c>
      <c r="AG603" s="39">
        <f t="shared" si="143"/>
        <v>0.5348908673</v>
      </c>
      <c r="AH603" s="40">
        <f t="shared" si="144"/>
        <v>2168.097229</v>
      </c>
      <c r="AI603" s="40">
        <f t="shared" si="145"/>
        <v>4053.345013</v>
      </c>
      <c r="AJ603" s="15"/>
      <c r="AK603" s="15"/>
    </row>
    <row r="604" ht="15.75" hidden="1" customHeight="1">
      <c r="A604" s="16" t="s">
        <v>911</v>
      </c>
      <c r="B604" s="16" t="s">
        <v>912</v>
      </c>
      <c r="C604" s="16"/>
      <c r="D604" s="16">
        <v>1966.0</v>
      </c>
      <c r="E604" s="16"/>
      <c r="F604" s="16" t="b">
        <v>0</v>
      </c>
      <c r="G604" s="16" t="b">
        <v>1</v>
      </c>
      <c r="H604" s="16" t="b">
        <v>0</v>
      </c>
      <c r="I604" s="16" t="b">
        <v>0</v>
      </c>
      <c r="J604" s="16"/>
      <c r="K604" s="16">
        <v>6000.0</v>
      </c>
      <c r="L604" s="16">
        <v>0.0</v>
      </c>
      <c r="M604" s="16">
        <v>89174.0</v>
      </c>
      <c r="N604" s="16">
        <v>15866.8</v>
      </c>
      <c r="O604" s="16">
        <v>263.0</v>
      </c>
      <c r="P604" s="16">
        <v>4.15</v>
      </c>
      <c r="Q604" s="16"/>
      <c r="R604" s="16"/>
      <c r="S604" s="19">
        <f t="shared" si="2"/>
        <v>6000</v>
      </c>
      <c r="T604" s="19">
        <f t="shared" si="3"/>
        <v>18.14389078</v>
      </c>
      <c r="U604" s="20">
        <f t="shared" si="4"/>
        <v>0.4146565854</v>
      </c>
      <c r="V604" s="17">
        <f t="shared" si="132"/>
        <v>6579.273109</v>
      </c>
      <c r="W604" s="21">
        <f t="shared" si="5"/>
        <v>1.05</v>
      </c>
      <c r="X604" s="21">
        <f t="shared" si="6"/>
        <v>13487.50987</v>
      </c>
      <c r="Y604" s="21">
        <f t="shared" si="7"/>
        <v>0.8500460001</v>
      </c>
      <c r="Z604" s="17">
        <f t="shared" si="133"/>
        <v>6579.273109</v>
      </c>
      <c r="AA604" s="13">
        <f t="shared" si="134"/>
        <v>1.096545518</v>
      </c>
      <c r="AB604" s="22">
        <f t="shared" si="135"/>
        <v>1.096545518</v>
      </c>
      <c r="AC604" s="8"/>
      <c r="AD604" s="8"/>
      <c r="AE604" s="8">
        <f t="shared" si="142"/>
        <v>7944.016789</v>
      </c>
      <c r="AF604" s="13">
        <f t="shared" si="137"/>
        <v>1.207430769</v>
      </c>
      <c r="AG604" s="39">
        <f t="shared" si="143"/>
        <v>0.3978569561</v>
      </c>
      <c r="AH604" s="40">
        <f t="shared" si="144"/>
        <v>2976.005812</v>
      </c>
      <c r="AI604" s="40">
        <f t="shared" si="145"/>
        <v>7480.089934</v>
      </c>
      <c r="AJ604" s="15"/>
      <c r="AK604" s="15"/>
    </row>
    <row r="605" ht="15.75" hidden="1" customHeight="1">
      <c r="A605" s="7" t="s">
        <v>913</v>
      </c>
      <c r="B605" s="7" t="s">
        <v>914</v>
      </c>
      <c r="C605" s="7"/>
      <c r="D605" s="7">
        <v>1966.0</v>
      </c>
      <c r="E605" s="7"/>
      <c r="F605" s="7" t="b">
        <v>0</v>
      </c>
      <c r="G605" s="7" t="b">
        <v>1</v>
      </c>
      <c r="H605" s="7" t="b">
        <v>0</v>
      </c>
      <c r="I605" s="7" t="b">
        <v>0</v>
      </c>
      <c r="J605" s="7"/>
      <c r="K605" s="7"/>
      <c r="L605" s="7">
        <v>0.0</v>
      </c>
      <c r="M605" s="7">
        <v>63.0</v>
      </c>
      <c r="N605" s="7">
        <v>43.5</v>
      </c>
      <c r="O605" s="7">
        <v>289.0</v>
      </c>
      <c r="P605" s="7"/>
      <c r="Q605" s="7"/>
      <c r="R605" s="7"/>
      <c r="S605" s="10">
        <f t="shared" si="2"/>
        <v>0</v>
      </c>
      <c r="T605" s="10">
        <f t="shared" si="3"/>
        <v>70.4089764</v>
      </c>
      <c r="U605" s="11">
        <f t="shared" si="4"/>
        <v>1.416595698</v>
      </c>
      <c r="V605" s="8">
        <f t="shared" si="132"/>
        <v>61.62191284</v>
      </c>
      <c r="W605" s="12">
        <f t="shared" si="5"/>
        <v>1.05</v>
      </c>
      <c r="X605" s="12">
        <f t="shared" si="6"/>
        <v>126.3249213</v>
      </c>
      <c r="Y605" s="12">
        <f t="shared" si="7"/>
        <v>2.90402118</v>
      </c>
      <c r="Z605" s="8">
        <f t="shared" si="133"/>
        <v>61.62191284</v>
      </c>
      <c r="AA605" s="13" t="str">
        <f t="shared" si="134"/>
        <v>#N/A</v>
      </c>
      <c r="AB605" s="13" t="str">
        <f t="shared" si="135"/>
        <v>#N/A</v>
      </c>
      <c r="AC605" s="8"/>
      <c r="AD605" s="8"/>
      <c r="AE605" s="8">
        <f t="shared" si="142"/>
        <v>88.84481143</v>
      </c>
      <c r="AF605" s="13">
        <f t="shared" si="137"/>
        <v>1.441773021</v>
      </c>
      <c r="AG605" s="39">
        <f t="shared" si="143"/>
        <v>0</v>
      </c>
      <c r="AH605" s="40">
        <f t="shared" si="144"/>
        <v>0</v>
      </c>
      <c r="AI605" s="40">
        <f t="shared" si="145"/>
        <v>77.02739106</v>
      </c>
      <c r="AJ605" s="15"/>
      <c r="AK605" s="15"/>
    </row>
    <row r="606" ht="15.75" hidden="1" customHeight="1">
      <c r="A606" s="16" t="s">
        <v>915</v>
      </c>
      <c r="B606" s="16" t="s">
        <v>916</v>
      </c>
      <c r="C606" s="16"/>
      <c r="D606" s="16">
        <v>1966.0</v>
      </c>
      <c r="E606" s="16"/>
      <c r="F606" s="16" t="b">
        <v>0</v>
      </c>
      <c r="G606" s="16" t="b">
        <v>1</v>
      </c>
      <c r="H606" s="16" t="b">
        <v>0</v>
      </c>
      <c r="I606" s="16" t="b">
        <v>0</v>
      </c>
      <c r="J606" s="16"/>
      <c r="K606" s="16">
        <v>220.0</v>
      </c>
      <c r="L606" s="16">
        <v>0.0</v>
      </c>
      <c r="M606" s="16">
        <v>83.0</v>
      </c>
      <c r="N606" s="16">
        <v>68.8</v>
      </c>
      <c r="O606" s="16">
        <v>284.0</v>
      </c>
      <c r="P606" s="16"/>
      <c r="Q606" s="16"/>
      <c r="R606" s="16"/>
      <c r="S606" s="19">
        <f t="shared" si="2"/>
        <v>220</v>
      </c>
      <c r="T606" s="19">
        <f t="shared" si="3"/>
        <v>84.52587379</v>
      </c>
      <c r="U606" s="20">
        <f t="shared" si="4"/>
        <v>1.056369187</v>
      </c>
      <c r="V606" s="17">
        <f t="shared" si="132"/>
        <v>72.67820006</v>
      </c>
      <c r="W606" s="21">
        <f t="shared" si="5"/>
        <v>1.05</v>
      </c>
      <c r="X606" s="21">
        <f t="shared" si="6"/>
        <v>148.9903101</v>
      </c>
      <c r="Y606" s="21">
        <f t="shared" si="7"/>
        <v>2.165556833</v>
      </c>
      <c r="Z606" s="17">
        <f t="shared" si="133"/>
        <v>72.67820006</v>
      </c>
      <c r="AA606" s="13">
        <f t="shared" si="134"/>
        <v>0.3303554548</v>
      </c>
      <c r="AB606" s="22">
        <f t="shared" si="135"/>
        <v>0.3303554548</v>
      </c>
      <c r="AC606" s="8"/>
      <c r="AD606" s="8"/>
      <c r="AE606" s="8">
        <f t="shared" si="142"/>
        <v>104.8524401</v>
      </c>
      <c r="AF606" s="13">
        <f t="shared" si="137"/>
        <v>1.442694509</v>
      </c>
      <c r="AG606" s="39">
        <f t="shared" si="143"/>
        <v>0</v>
      </c>
      <c r="AH606" s="40">
        <f t="shared" si="144"/>
        <v>0</v>
      </c>
      <c r="AI606" s="40">
        <f t="shared" si="145"/>
        <v>90.84775008</v>
      </c>
      <c r="AJ606" s="15"/>
      <c r="AK606" s="15"/>
    </row>
    <row r="607" ht="15.75" hidden="1" customHeight="1">
      <c r="A607" s="7" t="s">
        <v>917</v>
      </c>
      <c r="B607" s="7" t="s">
        <v>918</v>
      </c>
      <c r="C607" s="7"/>
      <c r="D607" s="7">
        <v>1967.0</v>
      </c>
      <c r="E607" s="7"/>
      <c r="F607" s="7" t="b">
        <v>0</v>
      </c>
      <c r="G607" s="7" t="b">
        <v>1</v>
      </c>
      <c r="H607" s="7" t="b">
        <v>0</v>
      </c>
      <c r="I607" s="7" t="b">
        <v>0</v>
      </c>
      <c r="J607" s="7"/>
      <c r="K607" s="7"/>
      <c r="L607" s="7">
        <v>0.0</v>
      </c>
      <c r="M607" s="7">
        <v>104.0</v>
      </c>
      <c r="N607" s="7">
        <v>102.3</v>
      </c>
      <c r="O607" s="7">
        <v>256.0</v>
      </c>
      <c r="P607" s="7"/>
      <c r="Q607" s="7"/>
      <c r="R607" s="7"/>
      <c r="S607" s="10">
        <f t="shared" si="2"/>
        <v>0</v>
      </c>
      <c r="T607" s="10">
        <f t="shared" si="3"/>
        <v>100.3047772</v>
      </c>
      <c r="U607" s="11">
        <f t="shared" si="4"/>
        <v>0.767921542</v>
      </c>
      <c r="V607" s="8">
        <f t="shared" si="132"/>
        <v>78.55837374</v>
      </c>
      <c r="W607" s="12">
        <f t="shared" si="5"/>
        <v>1.05</v>
      </c>
      <c r="X607" s="12">
        <f t="shared" si="6"/>
        <v>161.0446662</v>
      </c>
      <c r="Y607" s="12">
        <f t="shared" si="7"/>
        <v>1.574239161</v>
      </c>
      <c r="Z607" s="8">
        <f t="shared" si="133"/>
        <v>78.55837374</v>
      </c>
      <c r="AA607" s="13" t="str">
        <f t="shared" si="134"/>
        <v>#N/A</v>
      </c>
      <c r="AB607" s="13" t="str">
        <f t="shared" si="135"/>
        <v>#N/A</v>
      </c>
      <c r="AC607" s="8"/>
      <c r="AD607" s="8"/>
      <c r="AE607" s="8">
        <f t="shared" si="142"/>
        <v>120.1161213</v>
      </c>
      <c r="AF607" s="13">
        <f t="shared" si="137"/>
        <v>1.529004682</v>
      </c>
      <c r="AG607" s="39">
        <f t="shared" si="143"/>
        <v>0</v>
      </c>
      <c r="AH607" s="40">
        <f t="shared" si="144"/>
        <v>0</v>
      </c>
      <c r="AI607" s="40">
        <f t="shared" si="145"/>
        <v>98.19796718</v>
      </c>
      <c r="AJ607" s="15"/>
      <c r="AK607" s="15"/>
    </row>
    <row r="608" ht="15.75" hidden="1" customHeight="1">
      <c r="A608" s="7" t="s">
        <v>919</v>
      </c>
      <c r="B608" s="7" t="s">
        <v>920</v>
      </c>
      <c r="C608" s="7"/>
      <c r="D608" s="7">
        <v>1967.0</v>
      </c>
      <c r="E608" s="7"/>
      <c r="F608" s="7" t="b">
        <v>0</v>
      </c>
      <c r="G608" s="7" t="b">
        <v>1</v>
      </c>
      <c r="H608" s="7" t="b">
        <v>0</v>
      </c>
      <c r="I608" s="7" t="b">
        <v>0</v>
      </c>
      <c r="J608" s="7"/>
      <c r="K608" s="7">
        <v>50.0</v>
      </c>
      <c r="L608" s="7">
        <v>0.0</v>
      </c>
      <c r="M608" s="7">
        <v>5.58</v>
      </c>
      <c r="N608" s="7">
        <v>9.61</v>
      </c>
      <c r="O608" s="7">
        <v>286.6</v>
      </c>
      <c r="P608" s="7">
        <v>5.67</v>
      </c>
      <c r="Q608" s="7"/>
      <c r="R608" s="7"/>
      <c r="S608" s="10">
        <f t="shared" si="2"/>
        <v>50</v>
      </c>
      <c r="T608" s="10">
        <f t="shared" si="3"/>
        <v>175.6177917</v>
      </c>
      <c r="U608" s="11">
        <f t="shared" si="4"/>
        <v>2.188214726</v>
      </c>
      <c r="V608" s="8">
        <f t="shared" si="132"/>
        <v>21.02874351</v>
      </c>
      <c r="W608" s="12">
        <f t="shared" si="5"/>
        <v>1.05</v>
      </c>
      <c r="X608" s="12">
        <f t="shared" si="6"/>
        <v>43.1089242</v>
      </c>
      <c r="Y608" s="12">
        <f t="shared" si="7"/>
        <v>4.485840188</v>
      </c>
      <c r="Z608" s="8">
        <f t="shared" si="133"/>
        <v>21.02874351</v>
      </c>
      <c r="AA608" s="13">
        <f t="shared" si="134"/>
        <v>0.4205748703</v>
      </c>
      <c r="AB608" s="13">
        <f t="shared" si="135"/>
        <v>0.4205748703</v>
      </c>
      <c r="AC608" s="8"/>
      <c r="AD608" s="8"/>
      <c r="AE608" s="8">
        <f t="shared" si="142"/>
        <v>21.20574651</v>
      </c>
      <c r="AF608" s="13">
        <f t="shared" si="137"/>
        <v>1.008417193</v>
      </c>
      <c r="AG608" s="39">
        <f t="shared" si="143"/>
        <v>2.45850108</v>
      </c>
      <c r="AH608" s="40">
        <f t="shared" si="144"/>
        <v>40.02413872</v>
      </c>
      <c r="AI608" s="40">
        <f t="shared" si="145"/>
        <v>16.27989471</v>
      </c>
      <c r="AJ608" s="15"/>
      <c r="AK608" s="15"/>
    </row>
    <row r="609" ht="15.75" hidden="1" customHeight="1">
      <c r="A609" s="16" t="s">
        <v>921</v>
      </c>
      <c r="B609" s="16" t="s">
        <v>921</v>
      </c>
      <c r="C609" s="16"/>
      <c r="D609" s="16">
        <v>1967.0</v>
      </c>
      <c r="E609" s="16"/>
      <c r="F609" s="16" t="b">
        <v>0</v>
      </c>
      <c r="G609" s="16" t="b">
        <v>1</v>
      </c>
      <c r="H609" s="16" t="b">
        <v>0</v>
      </c>
      <c r="I609" s="16" t="b">
        <v>0</v>
      </c>
      <c r="J609" s="16"/>
      <c r="K609" s="16">
        <v>2004.0</v>
      </c>
      <c r="L609" s="16">
        <v>0.0</v>
      </c>
      <c r="M609" s="16">
        <v>39757.0</v>
      </c>
      <c r="N609" s="16">
        <v>6227.0</v>
      </c>
      <c r="O609" s="16">
        <v>265.0</v>
      </c>
      <c r="P609" s="16">
        <v>5.5</v>
      </c>
      <c r="Q609" s="16"/>
      <c r="R609" s="16"/>
      <c r="S609" s="19">
        <f t="shared" si="2"/>
        <v>2004</v>
      </c>
      <c r="T609" s="19">
        <f t="shared" si="3"/>
        <v>15.97145871</v>
      </c>
      <c r="U609" s="20">
        <f t="shared" si="4"/>
        <v>0.6513291583</v>
      </c>
      <c r="V609" s="17">
        <f t="shared" si="132"/>
        <v>4055.826669</v>
      </c>
      <c r="W609" s="21">
        <f t="shared" si="5"/>
        <v>1.05</v>
      </c>
      <c r="X609" s="21">
        <f t="shared" si="6"/>
        <v>8314.444671</v>
      </c>
      <c r="Y609" s="21">
        <f t="shared" si="7"/>
        <v>1.335224775</v>
      </c>
      <c r="Z609" s="17">
        <f t="shared" si="133"/>
        <v>4055.826669</v>
      </c>
      <c r="AA609" s="13">
        <f t="shared" si="134"/>
        <v>2.023865603</v>
      </c>
      <c r="AB609" s="22">
        <f t="shared" si="135"/>
        <v>2.023865603</v>
      </c>
      <c r="AC609" s="8"/>
      <c r="AD609" s="8"/>
      <c r="AE609" s="8">
        <f t="shared" si="142"/>
        <v>4766.179067</v>
      </c>
      <c r="AF609" s="13">
        <f t="shared" si="137"/>
        <v>1.175143678</v>
      </c>
      <c r="AG609" s="39">
        <f t="shared" si="143"/>
        <v>0.5208190836</v>
      </c>
      <c r="AH609" s="40">
        <f t="shared" si="144"/>
        <v>2336.249128</v>
      </c>
      <c r="AI609" s="40">
        <f t="shared" si="145"/>
        <v>4485.721054</v>
      </c>
      <c r="AJ609" s="15"/>
      <c r="AK609" s="15"/>
    </row>
    <row r="610" ht="15.75" hidden="1" customHeight="1">
      <c r="A610" s="16" t="s">
        <v>922</v>
      </c>
      <c r="B610" s="16" t="s">
        <v>922</v>
      </c>
      <c r="C610" s="16"/>
      <c r="D610" s="16">
        <v>1967.0</v>
      </c>
      <c r="E610" s="16"/>
      <c r="F610" s="16" t="b">
        <v>0</v>
      </c>
      <c r="G610" s="16" t="b">
        <v>1</v>
      </c>
      <c r="H610" s="16" t="b">
        <v>0</v>
      </c>
      <c r="I610" s="16" t="b">
        <v>0</v>
      </c>
      <c r="J610" s="16"/>
      <c r="K610" s="16">
        <v>300.0</v>
      </c>
      <c r="L610" s="16">
        <v>0.0</v>
      </c>
      <c r="M610" s="16">
        <v>35.0</v>
      </c>
      <c r="N610" s="16">
        <v>34.35</v>
      </c>
      <c r="O610" s="16">
        <v>278.0</v>
      </c>
      <c r="P610" s="16"/>
      <c r="Q610" s="16"/>
      <c r="R610" s="16"/>
      <c r="S610" s="19">
        <f t="shared" si="2"/>
        <v>300</v>
      </c>
      <c r="T610" s="19">
        <f t="shared" si="3"/>
        <v>100.0778623</v>
      </c>
      <c r="U610" s="20">
        <f t="shared" si="4"/>
        <v>1.202043561</v>
      </c>
      <c r="V610" s="17">
        <f t="shared" si="132"/>
        <v>41.29019631</v>
      </c>
      <c r="W610" s="21">
        <f t="shared" si="5"/>
        <v>1.05</v>
      </c>
      <c r="X610" s="21">
        <f t="shared" si="6"/>
        <v>84.64490244</v>
      </c>
      <c r="Y610" s="21">
        <f t="shared" si="7"/>
        <v>2.4641893</v>
      </c>
      <c r="Z610" s="17">
        <f t="shared" si="133"/>
        <v>41.29019631</v>
      </c>
      <c r="AA610" s="13">
        <f t="shared" si="134"/>
        <v>0.1376339877</v>
      </c>
      <c r="AB610" s="22">
        <f t="shared" si="135"/>
        <v>0.1376339877</v>
      </c>
      <c r="AC610" s="8"/>
      <c r="AD610" s="8"/>
      <c r="AE610" s="8">
        <f t="shared" si="142"/>
        <v>62.51882166</v>
      </c>
      <c r="AF610" s="13">
        <f t="shared" si="137"/>
        <v>1.514132343</v>
      </c>
      <c r="AG610" s="39">
        <f t="shared" si="143"/>
        <v>0</v>
      </c>
      <c r="AH610" s="40">
        <f t="shared" si="144"/>
        <v>0</v>
      </c>
      <c r="AI610" s="40">
        <f t="shared" si="145"/>
        <v>51.61274539</v>
      </c>
      <c r="AJ610" s="15"/>
      <c r="AK610" s="15"/>
    </row>
    <row r="611" ht="15.75" hidden="1" customHeight="1">
      <c r="A611" s="7" t="s">
        <v>923</v>
      </c>
      <c r="B611" s="7" t="s">
        <v>924</v>
      </c>
      <c r="C611" s="7"/>
      <c r="D611" s="7">
        <v>1968.0</v>
      </c>
      <c r="E611" s="7"/>
      <c r="F611" s="7" t="b">
        <v>0</v>
      </c>
      <c r="G611" s="7" t="b">
        <v>1</v>
      </c>
      <c r="H611" s="7" t="b">
        <v>0</v>
      </c>
      <c r="I611" s="7" t="b">
        <v>0</v>
      </c>
      <c r="J611" s="7"/>
      <c r="K611" s="7"/>
      <c r="L611" s="7">
        <v>0.0</v>
      </c>
      <c r="M611" s="7">
        <v>8.53</v>
      </c>
      <c r="N611" s="7">
        <v>12.343</v>
      </c>
      <c r="O611" s="7">
        <v>286.2</v>
      </c>
      <c r="P611" s="7">
        <v>5.54</v>
      </c>
      <c r="Q611" s="7"/>
      <c r="R611" s="7"/>
      <c r="S611" s="10">
        <f t="shared" si="2"/>
        <v>0</v>
      </c>
      <c r="T611" s="10">
        <f t="shared" si="3"/>
        <v>147.5540115</v>
      </c>
      <c r="U611" s="11">
        <f t="shared" si="4"/>
        <v>2.162622234</v>
      </c>
      <c r="V611" s="8">
        <f t="shared" si="132"/>
        <v>26.69324624</v>
      </c>
      <c r="W611" s="12">
        <f t="shared" si="5"/>
        <v>1.05</v>
      </c>
      <c r="X611" s="12">
        <f t="shared" si="6"/>
        <v>54.72115479</v>
      </c>
      <c r="Y611" s="12">
        <f t="shared" si="7"/>
        <v>4.433375581</v>
      </c>
      <c r="Z611" s="8">
        <f t="shared" si="133"/>
        <v>26.69324624</v>
      </c>
      <c r="AA611" s="13" t="str">
        <f t="shared" si="134"/>
        <v>#N/A</v>
      </c>
      <c r="AB611" s="13" t="str">
        <f t="shared" si="135"/>
        <v>#N/A</v>
      </c>
      <c r="AC611" s="8"/>
      <c r="AD611" s="8"/>
      <c r="AE611" s="8">
        <f t="shared" si="142"/>
        <v>27.16229372</v>
      </c>
      <c r="AF611" s="13">
        <f t="shared" si="137"/>
        <v>1.017571766</v>
      </c>
      <c r="AG611" s="39">
        <f t="shared" si="143"/>
        <v>2.256482256</v>
      </c>
      <c r="AH611" s="40">
        <f t="shared" si="144"/>
        <v>48.13634406</v>
      </c>
      <c r="AI611" s="40">
        <f t="shared" si="145"/>
        <v>21.33247179</v>
      </c>
      <c r="AJ611" s="15"/>
      <c r="AK611" s="15"/>
    </row>
    <row r="612" ht="15.75" hidden="1" customHeight="1">
      <c r="A612" s="7" t="s">
        <v>925</v>
      </c>
      <c r="B612" s="7" t="s">
        <v>912</v>
      </c>
      <c r="C612" s="7"/>
      <c r="D612" s="7">
        <v>1969.0</v>
      </c>
      <c r="E612" s="7"/>
      <c r="F612" s="7" t="b">
        <v>0</v>
      </c>
      <c r="G612" s="7" t="b">
        <v>1</v>
      </c>
      <c r="H612" s="7" t="b">
        <v>0</v>
      </c>
      <c r="I612" s="7" t="b">
        <v>0</v>
      </c>
      <c r="J612" s="7"/>
      <c r="K612" s="7">
        <v>6000.0</v>
      </c>
      <c r="L612" s="7">
        <v>0.0</v>
      </c>
      <c r="M612" s="7">
        <v>89174.0</v>
      </c>
      <c r="N612" s="7">
        <v>26708.0</v>
      </c>
      <c r="O612" s="7">
        <v>263.0</v>
      </c>
      <c r="P612" s="7">
        <v>4.14</v>
      </c>
      <c r="Q612" s="7"/>
      <c r="R612" s="7"/>
      <c r="S612" s="10">
        <f t="shared" si="2"/>
        <v>6000</v>
      </c>
      <c r="T612" s="10">
        <f t="shared" si="3"/>
        <v>30.54094303</v>
      </c>
      <c r="U612" s="11">
        <f t="shared" si="4"/>
        <v>0.2463161951</v>
      </c>
      <c r="V612" s="8">
        <f t="shared" si="132"/>
        <v>6578.612938</v>
      </c>
      <c r="W612" s="12">
        <f t="shared" si="5"/>
        <v>1.05</v>
      </c>
      <c r="X612" s="12">
        <f t="shared" si="6"/>
        <v>13486.15652</v>
      </c>
      <c r="Y612" s="12">
        <f t="shared" si="7"/>
        <v>0.5049481999</v>
      </c>
      <c r="Z612" s="8">
        <f t="shared" si="133"/>
        <v>6578.612938</v>
      </c>
      <c r="AA612" s="13">
        <f t="shared" si="134"/>
        <v>1.09643549</v>
      </c>
      <c r="AB612" s="13">
        <f t="shared" si="135"/>
        <v>1.09643549</v>
      </c>
      <c r="AC612" s="8"/>
      <c r="AD612" s="8"/>
      <c r="AE612" s="8">
        <f t="shared" si="142"/>
        <v>7944.016789</v>
      </c>
      <c r="AF612" s="13">
        <f t="shared" si="137"/>
        <v>1.207551936</v>
      </c>
      <c r="AG612" s="39">
        <f t="shared" si="143"/>
        <v>0.3974156707</v>
      </c>
      <c r="AH612" s="40">
        <f t="shared" si="144"/>
        <v>2972.704958</v>
      </c>
      <c r="AI612" s="40">
        <f t="shared" si="145"/>
        <v>7480.089934</v>
      </c>
      <c r="AJ612" s="15"/>
      <c r="AK612" s="15"/>
    </row>
    <row r="613" ht="15.75" hidden="1" customHeight="1">
      <c r="A613" s="16" t="s">
        <v>926</v>
      </c>
      <c r="B613" s="16" t="s">
        <v>927</v>
      </c>
      <c r="C613" s="16"/>
      <c r="D613" s="16">
        <v>1969.0</v>
      </c>
      <c r="E613" s="16"/>
      <c r="F613" s="16" t="b">
        <v>0</v>
      </c>
      <c r="G613" s="16" t="b">
        <v>1</v>
      </c>
      <c r="H613" s="16" t="b">
        <v>0</v>
      </c>
      <c r="I613" s="16" t="b">
        <v>0</v>
      </c>
      <c r="J613" s="16"/>
      <c r="K613" s="16">
        <v>172.0</v>
      </c>
      <c r="L613" s="16">
        <v>0.0</v>
      </c>
      <c r="M613" s="16">
        <v>12.02</v>
      </c>
      <c r="N613" s="16">
        <v>17.4</v>
      </c>
      <c r="O613" s="16">
        <v>286.7</v>
      </c>
      <c r="P613" s="16">
        <v>4.62</v>
      </c>
      <c r="Q613" s="16"/>
      <c r="R613" s="16"/>
      <c r="S613" s="19">
        <f t="shared" si="2"/>
        <v>172</v>
      </c>
      <c r="T613" s="19">
        <f t="shared" si="3"/>
        <v>147.6128291</v>
      </c>
      <c r="U613" s="20">
        <f t="shared" si="4"/>
        <v>1.818428453</v>
      </c>
      <c r="V613" s="17">
        <f t="shared" si="132"/>
        <v>31.64065507</v>
      </c>
      <c r="W613" s="21">
        <f t="shared" si="5"/>
        <v>1.05</v>
      </c>
      <c r="X613" s="21">
        <f t="shared" si="6"/>
        <v>64.8633429</v>
      </c>
      <c r="Y613" s="21">
        <f t="shared" si="7"/>
        <v>3.727778328</v>
      </c>
      <c r="Z613" s="17">
        <f t="shared" si="133"/>
        <v>31.64065507</v>
      </c>
      <c r="AA613" s="13">
        <f t="shared" si="134"/>
        <v>0.1839572969</v>
      </c>
      <c r="AB613" s="22">
        <f t="shared" si="135"/>
        <v>0.1839572969</v>
      </c>
      <c r="AC613" s="8"/>
      <c r="AD613" s="8"/>
      <c r="AE613" s="8">
        <f t="shared" si="142"/>
        <v>33.21326885</v>
      </c>
      <c r="AF613" s="13">
        <f t="shared" si="137"/>
        <v>1.049702314</v>
      </c>
      <c r="AG613" s="39">
        <f t="shared" si="143"/>
        <v>1.949868458</v>
      </c>
      <c r="AH613" s="40">
        <f t="shared" si="144"/>
        <v>51.84578093</v>
      </c>
      <c r="AI613" s="40">
        <f t="shared" si="145"/>
        <v>26.58937361</v>
      </c>
      <c r="AJ613" s="15"/>
      <c r="AK613" s="15"/>
    </row>
    <row r="614" ht="15.75" hidden="1" customHeight="1">
      <c r="A614" s="7" t="s">
        <v>928</v>
      </c>
      <c r="B614" s="7" t="s">
        <v>928</v>
      </c>
      <c r="C614" s="7"/>
      <c r="D614" s="7">
        <v>1970.0</v>
      </c>
      <c r="E614" s="7"/>
      <c r="F614" s="7" t="b">
        <v>0</v>
      </c>
      <c r="G614" s="7" t="b">
        <v>1</v>
      </c>
      <c r="H614" s="7" t="b">
        <v>0</v>
      </c>
      <c r="I614" s="7" t="b">
        <v>0</v>
      </c>
      <c r="J614" s="7"/>
      <c r="K614" s="7"/>
      <c r="L614" s="7">
        <v>0.0</v>
      </c>
      <c r="M614" s="7">
        <v>67.0</v>
      </c>
      <c r="N614" s="7">
        <v>50.0</v>
      </c>
      <c r="O614" s="7">
        <v>275.0</v>
      </c>
      <c r="P614" s="7">
        <v>5.8</v>
      </c>
      <c r="Q614" s="7"/>
      <c r="R614" s="7"/>
      <c r="S614" s="10">
        <f t="shared" si="2"/>
        <v>0</v>
      </c>
      <c r="T614" s="10">
        <f t="shared" si="3"/>
        <v>76.09822463</v>
      </c>
      <c r="U614" s="11">
        <f t="shared" si="4"/>
        <v>1.749367592</v>
      </c>
      <c r="V614" s="8">
        <f t="shared" si="132"/>
        <v>87.46837958</v>
      </c>
      <c r="W614" s="12">
        <f t="shared" si="5"/>
        <v>1.05</v>
      </c>
      <c r="X614" s="12">
        <f t="shared" si="6"/>
        <v>179.3101781</v>
      </c>
      <c r="Y614" s="12">
        <f t="shared" si="7"/>
        <v>3.586203563</v>
      </c>
      <c r="Z614" s="8">
        <f t="shared" si="133"/>
        <v>87.46837958</v>
      </c>
      <c r="AA614" s="13" t="str">
        <f t="shared" si="134"/>
        <v>#N/A</v>
      </c>
      <c r="AB614" s="13" t="str">
        <f t="shared" si="135"/>
        <v>#N/A</v>
      </c>
      <c r="AC614" s="8"/>
      <c r="AD614" s="8"/>
      <c r="AE614" s="8">
        <f t="shared" si="142"/>
        <v>92.18842102</v>
      </c>
      <c r="AF614" s="13">
        <f t="shared" si="137"/>
        <v>1.053962832</v>
      </c>
      <c r="AG614" s="39">
        <f t="shared" si="143"/>
        <v>1.634726477</v>
      </c>
      <c r="AH614" s="40">
        <f t="shared" si="144"/>
        <v>126.8800505</v>
      </c>
      <c r="AI614" s="40">
        <f t="shared" si="145"/>
        <v>77.61546185</v>
      </c>
      <c r="AJ614" s="15"/>
      <c r="AK614" s="15"/>
    </row>
    <row r="615" ht="15.75" hidden="1" customHeight="1">
      <c r="A615" s="7" t="s">
        <v>929</v>
      </c>
      <c r="B615" s="7" t="s">
        <v>929</v>
      </c>
      <c r="C615" s="7"/>
      <c r="D615" s="7">
        <v>1970.0</v>
      </c>
      <c r="E615" s="7"/>
      <c r="F615" s="7" t="b">
        <v>0</v>
      </c>
      <c r="G615" s="7" t="b">
        <v>1</v>
      </c>
      <c r="H615" s="7" t="b">
        <v>0</v>
      </c>
      <c r="I615" s="7" t="b">
        <v>0</v>
      </c>
      <c r="J615" s="7"/>
      <c r="K615" s="7">
        <v>2178.0</v>
      </c>
      <c r="L615" s="7">
        <v>0.0</v>
      </c>
      <c r="M615" s="7">
        <v>40782.0</v>
      </c>
      <c r="N615" s="7">
        <v>7450.0</v>
      </c>
      <c r="O615" s="7">
        <v>269.5</v>
      </c>
      <c r="P615" s="7">
        <v>5.5</v>
      </c>
      <c r="Q615" s="7"/>
      <c r="R615" s="7"/>
      <c r="S615" s="10">
        <f t="shared" si="2"/>
        <v>2178</v>
      </c>
      <c r="T615" s="10">
        <f t="shared" si="3"/>
        <v>18.6280363</v>
      </c>
      <c r="U615" s="11">
        <f t="shared" si="4"/>
        <v>0.5583403342</v>
      </c>
      <c r="V615" s="8">
        <f t="shared" si="132"/>
        <v>4159.63549</v>
      </c>
      <c r="W615" s="12">
        <f t="shared" si="5"/>
        <v>1.05</v>
      </c>
      <c r="X615" s="12">
        <f t="shared" si="6"/>
        <v>8527.252754</v>
      </c>
      <c r="Y615" s="12">
        <f t="shared" si="7"/>
        <v>1.144597685</v>
      </c>
      <c r="Z615" s="8">
        <f t="shared" si="133"/>
        <v>4159.63549</v>
      </c>
      <c r="AA615" s="13">
        <f t="shared" si="134"/>
        <v>1.909841823</v>
      </c>
      <c r="AB615" s="13">
        <f t="shared" si="135"/>
        <v>1.909841823</v>
      </c>
      <c r="AC615" s="8"/>
      <c r="AD615" s="8"/>
      <c r="AE615" s="8">
        <f t="shared" si="142"/>
        <v>4843.386689</v>
      </c>
      <c r="AF615" s="13">
        <f t="shared" si="137"/>
        <v>1.164377672</v>
      </c>
      <c r="AG615" s="39">
        <f t="shared" si="143"/>
        <v>0.512902858</v>
      </c>
      <c r="AH615" s="40">
        <f t="shared" si="144"/>
        <v>2363.765627</v>
      </c>
      <c r="AI615" s="40">
        <f t="shared" si="145"/>
        <v>4608.602955</v>
      </c>
      <c r="AJ615" s="15"/>
      <c r="AK615" s="15"/>
    </row>
    <row r="616" ht="15.75" hidden="1" customHeight="1">
      <c r="A616" s="7" t="s">
        <v>930</v>
      </c>
      <c r="B616" s="7" t="s">
        <v>931</v>
      </c>
      <c r="C616" s="7"/>
      <c r="D616" s="7">
        <v>1972.0</v>
      </c>
      <c r="E616" s="7"/>
      <c r="F616" s="7" t="b">
        <v>0</v>
      </c>
      <c r="G616" s="7" t="b">
        <v>1</v>
      </c>
      <c r="H616" s="7" t="b">
        <v>0</v>
      </c>
      <c r="I616" s="7" t="b">
        <v>0</v>
      </c>
      <c r="J616" s="7"/>
      <c r="K616" s="7">
        <v>9000.0</v>
      </c>
      <c r="L616" s="7">
        <v>0.0</v>
      </c>
      <c r="M616" s="7">
        <v>156126.0</v>
      </c>
      <c r="N616" s="7">
        <v>35391.0</v>
      </c>
      <c r="O616" s="7">
        <v>263.0</v>
      </c>
      <c r="P616" s="7">
        <v>4.15</v>
      </c>
      <c r="Q616" s="7">
        <v>1.0</v>
      </c>
      <c r="R616" s="7">
        <v>0.99712</v>
      </c>
      <c r="S616" s="10">
        <f t="shared" si="2"/>
        <v>9000</v>
      </c>
      <c r="T616" s="10">
        <f t="shared" si="3"/>
        <v>23.11516108</v>
      </c>
      <c r="U616" s="11">
        <f t="shared" si="4"/>
        <v>0.2636024318</v>
      </c>
      <c r="V616" s="8">
        <f t="shared" si="132"/>
        <v>9329.153663</v>
      </c>
      <c r="W616" s="12">
        <f t="shared" si="5"/>
        <v>1.05</v>
      </c>
      <c r="X616" s="12">
        <f t="shared" si="6"/>
        <v>19124.76501</v>
      </c>
      <c r="Y616" s="12">
        <f t="shared" si="7"/>
        <v>0.5403849852</v>
      </c>
      <c r="Z616" s="8">
        <f t="shared" si="133"/>
        <v>9488.868774</v>
      </c>
      <c r="AA616" s="13">
        <f t="shared" si="134"/>
        <v>1.054318753</v>
      </c>
      <c r="AB616" s="13">
        <f t="shared" si="135"/>
        <v>1.036572629</v>
      </c>
      <c r="AC616" s="8"/>
      <c r="AD616" s="8"/>
      <c r="AE616" s="8">
        <f t="shared" si="142"/>
        <v>11332.38035</v>
      </c>
      <c r="AF616" s="13">
        <f t="shared" si="137"/>
        <v>1.194281491</v>
      </c>
      <c r="AG616" s="39">
        <f t="shared" si="143"/>
        <v>0.3599047142</v>
      </c>
      <c r="AH616" s="40">
        <f t="shared" si="144"/>
        <v>3850.550187</v>
      </c>
      <c r="AI616" s="40">
        <f t="shared" si="145"/>
        <v>10698.80453</v>
      </c>
      <c r="AJ616" s="15"/>
      <c r="AK616" s="15"/>
    </row>
    <row r="617" ht="15.75" hidden="1" customHeight="1">
      <c r="A617" s="7" t="s">
        <v>932</v>
      </c>
      <c r="B617" s="7" t="s">
        <v>932</v>
      </c>
      <c r="C617" s="7"/>
      <c r="D617" s="7">
        <v>1972.0</v>
      </c>
      <c r="E617" s="7"/>
      <c r="F617" s="7" t="b">
        <v>0</v>
      </c>
      <c r="G617" s="7" t="b">
        <v>1</v>
      </c>
      <c r="H617" s="7" t="b">
        <v>0</v>
      </c>
      <c r="I617" s="7" t="b">
        <v>0</v>
      </c>
      <c r="J617" s="7"/>
      <c r="K617" s="7">
        <v>400.0</v>
      </c>
      <c r="L617" s="7">
        <v>0.0</v>
      </c>
      <c r="M617" s="7">
        <v>1391.121</v>
      </c>
      <c r="N617" s="7">
        <v>530.25896</v>
      </c>
      <c r="O617" s="7">
        <v>260.289</v>
      </c>
      <c r="P617" s="7">
        <v>6.69</v>
      </c>
      <c r="Q617" s="7"/>
      <c r="R617" s="7"/>
      <c r="S617" s="10">
        <f t="shared" si="2"/>
        <v>400</v>
      </c>
      <c r="T617" s="10">
        <f t="shared" si="3"/>
        <v>38.86891629</v>
      </c>
      <c r="U617" s="11">
        <f t="shared" si="4"/>
        <v>0.9915668793</v>
      </c>
      <c r="V617" s="8">
        <f t="shared" si="132"/>
        <v>525.7872222</v>
      </c>
      <c r="W617" s="12">
        <f t="shared" si="5"/>
        <v>1.05</v>
      </c>
      <c r="X617" s="12">
        <f t="shared" si="6"/>
        <v>1077.863805</v>
      </c>
      <c r="Y617" s="12">
        <f t="shared" si="7"/>
        <v>2.032712102</v>
      </c>
      <c r="Z617" s="8">
        <f t="shared" si="133"/>
        <v>525.7872222</v>
      </c>
      <c r="AA617" s="13">
        <f t="shared" si="134"/>
        <v>1.314468055</v>
      </c>
      <c r="AB617" s="13">
        <f t="shared" si="135"/>
        <v>1.314468055</v>
      </c>
      <c r="AC617" s="8"/>
      <c r="AD617" s="8"/>
      <c r="AE617" s="8">
        <f t="shared" si="142"/>
        <v>585.9479687</v>
      </c>
      <c r="AF617" s="13">
        <f t="shared" si="137"/>
        <v>1.114420328</v>
      </c>
      <c r="AG617" s="39">
        <f t="shared" si="143"/>
        <v>1.050573957</v>
      </c>
      <c r="AH617" s="40">
        <f t="shared" si="144"/>
        <v>546.8471182</v>
      </c>
      <c r="AI617" s="40">
        <f t="shared" si="145"/>
        <v>520.5222482</v>
      </c>
      <c r="AJ617" s="15"/>
      <c r="AK617" s="15"/>
    </row>
    <row r="618" ht="15.75" hidden="1" customHeight="1">
      <c r="A618" s="16" t="s">
        <v>933</v>
      </c>
      <c r="B618" s="16" t="s">
        <v>933</v>
      </c>
      <c r="C618" s="16"/>
      <c r="D618" s="16">
        <v>1974.0</v>
      </c>
      <c r="E618" s="16"/>
      <c r="F618" s="16" t="b">
        <v>0</v>
      </c>
      <c r="G618" s="16" t="b">
        <v>1</v>
      </c>
      <c r="H618" s="16" t="b">
        <v>0</v>
      </c>
      <c r="I618" s="16" t="b">
        <v>0</v>
      </c>
      <c r="J618" s="16"/>
      <c r="K618" s="16">
        <v>4000.0</v>
      </c>
      <c r="L618" s="16">
        <v>0.0</v>
      </c>
      <c r="M618" s="16">
        <v>11.1</v>
      </c>
      <c r="N618" s="16">
        <v>27.491</v>
      </c>
      <c r="O618" s="16">
        <v>271.03</v>
      </c>
      <c r="P618" s="16"/>
      <c r="Q618" s="16"/>
      <c r="R618" s="16"/>
      <c r="S618" s="19">
        <f t="shared" si="2"/>
        <v>4000</v>
      </c>
      <c r="T618" s="19">
        <f t="shared" si="3"/>
        <v>252.5497147</v>
      </c>
      <c r="U618" s="20">
        <f t="shared" si="4"/>
        <v>0.7094336508</v>
      </c>
      <c r="V618" s="17">
        <f t="shared" si="132"/>
        <v>19.5030405</v>
      </c>
      <c r="W618" s="21">
        <f t="shared" si="5"/>
        <v>1.05</v>
      </c>
      <c r="X618" s="21">
        <f t="shared" si="6"/>
        <v>39.98123302</v>
      </c>
      <c r="Y618" s="21">
        <f t="shared" si="7"/>
        <v>1.454338984</v>
      </c>
      <c r="Z618" s="17">
        <f t="shared" si="133"/>
        <v>19.5030405</v>
      </c>
      <c r="AA618" s="13">
        <f t="shared" si="134"/>
        <v>0.004875760124</v>
      </c>
      <c r="AB618" s="22">
        <f t="shared" si="135"/>
        <v>0.004875760124</v>
      </c>
      <c r="AC618" s="8"/>
      <c r="AD618" s="8"/>
      <c r="AE618" s="8">
        <f t="shared" si="142"/>
        <v>31.69549976</v>
      </c>
      <c r="AF618" s="13">
        <f t="shared" si="137"/>
        <v>1.625156845</v>
      </c>
      <c r="AG618" s="39">
        <f t="shared" si="143"/>
        <v>0</v>
      </c>
      <c r="AH618" s="40">
        <f t="shared" si="144"/>
        <v>0</v>
      </c>
      <c r="AI618" s="40">
        <f t="shared" si="145"/>
        <v>24.37880062</v>
      </c>
      <c r="AJ618" s="15"/>
      <c r="AK618" s="15"/>
    </row>
    <row r="619" ht="15.75" hidden="1" customHeight="1">
      <c r="A619" s="7" t="s">
        <v>934</v>
      </c>
      <c r="B619" s="7" t="s">
        <v>935</v>
      </c>
      <c r="C619" s="7"/>
      <c r="D619" s="7">
        <v>1974.0</v>
      </c>
      <c r="E619" s="7"/>
      <c r="F619" s="7" t="b">
        <v>0</v>
      </c>
      <c r="G619" s="7" t="b">
        <v>1</v>
      </c>
      <c r="H619" s="7" t="b">
        <v>0</v>
      </c>
      <c r="I619" s="7" t="b">
        <v>0</v>
      </c>
      <c r="J619" s="7"/>
      <c r="K619" s="7">
        <v>90.0</v>
      </c>
      <c r="L619" s="7">
        <v>0.0</v>
      </c>
      <c r="M619" s="7">
        <v>26.58</v>
      </c>
      <c r="N619" s="7">
        <v>28.9</v>
      </c>
      <c r="O619" s="7">
        <v>286.5</v>
      </c>
      <c r="P619" s="7">
        <v>5.56</v>
      </c>
      <c r="Q619" s="7"/>
      <c r="R619" s="7"/>
      <c r="S619" s="10">
        <f t="shared" si="2"/>
        <v>90</v>
      </c>
      <c r="T619" s="10">
        <f t="shared" si="3"/>
        <v>110.8720785</v>
      </c>
      <c r="U619" s="11">
        <f t="shared" si="4"/>
        <v>1.784464634</v>
      </c>
      <c r="V619" s="8">
        <f t="shared" si="132"/>
        <v>51.57102793</v>
      </c>
      <c r="W619" s="12">
        <f t="shared" si="5"/>
        <v>1.05</v>
      </c>
      <c r="X619" s="12">
        <f t="shared" si="6"/>
        <v>105.7206073</v>
      </c>
      <c r="Y619" s="12">
        <f t="shared" si="7"/>
        <v>3.6581525</v>
      </c>
      <c r="Z619" s="8">
        <f t="shared" si="133"/>
        <v>51.57102793</v>
      </c>
      <c r="AA619" s="13">
        <f t="shared" si="134"/>
        <v>0.5730114215</v>
      </c>
      <c r="AB619" s="13">
        <f t="shared" si="135"/>
        <v>0.5730114215</v>
      </c>
      <c r="AC619" s="8"/>
      <c r="AD619" s="8"/>
      <c r="AE619" s="8">
        <f t="shared" si="142"/>
        <v>53.07941741</v>
      </c>
      <c r="AF619" s="13">
        <f t="shared" si="137"/>
        <v>1.029248777</v>
      </c>
      <c r="AG619" s="39">
        <f t="shared" si="143"/>
        <v>1.84291637</v>
      </c>
      <c r="AH619" s="40">
        <f t="shared" si="144"/>
        <v>81.33018307</v>
      </c>
      <c r="AI619" s="40">
        <f t="shared" si="145"/>
        <v>44.13123915</v>
      </c>
      <c r="AJ619" s="15"/>
      <c r="AK619" s="15"/>
    </row>
    <row r="620" ht="15.75" hidden="1" customHeight="1">
      <c r="A620" s="16" t="s">
        <v>936</v>
      </c>
      <c r="B620" s="16" t="s">
        <v>936</v>
      </c>
      <c r="C620" s="16"/>
      <c r="D620" s="16">
        <v>1975.0</v>
      </c>
      <c r="E620" s="16"/>
      <c r="F620" s="16" t="b">
        <v>0</v>
      </c>
      <c r="G620" s="16" t="b">
        <v>1</v>
      </c>
      <c r="H620" s="16" t="b">
        <v>0</v>
      </c>
      <c r="I620" s="16" t="b">
        <v>0</v>
      </c>
      <c r="J620" s="16"/>
      <c r="K620" s="16">
        <v>361.0</v>
      </c>
      <c r="L620" s="16">
        <v>0.0</v>
      </c>
      <c r="M620" s="16">
        <v>1269.0</v>
      </c>
      <c r="N620" s="16">
        <v>460.0</v>
      </c>
      <c r="O620" s="16">
        <v>261.0</v>
      </c>
      <c r="P620" s="16"/>
      <c r="Q620" s="16"/>
      <c r="R620" s="16"/>
      <c r="S620" s="19">
        <f t="shared" si="2"/>
        <v>361</v>
      </c>
      <c r="T620" s="19">
        <f t="shared" si="3"/>
        <v>36.96370816</v>
      </c>
      <c r="U620" s="20">
        <f t="shared" si="4"/>
        <v>0.855126316</v>
      </c>
      <c r="V620" s="17">
        <f t="shared" si="132"/>
        <v>393.3581054</v>
      </c>
      <c r="W620" s="21">
        <f t="shared" si="5"/>
        <v>1.05</v>
      </c>
      <c r="X620" s="21">
        <f t="shared" si="6"/>
        <v>806.384116</v>
      </c>
      <c r="Y620" s="21">
        <f t="shared" si="7"/>
        <v>1.753008948</v>
      </c>
      <c r="Z620" s="17">
        <f t="shared" si="133"/>
        <v>393.3581054</v>
      </c>
      <c r="AA620" s="13">
        <f t="shared" si="134"/>
        <v>1.089634641</v>
      </c>
      <c r="AB620" s="22">
        <f t="shared" si="135"/>
        <v>1.089634641</v>
      </c>
      <c r="AC620" s="8"/>
      <c r="AD620" s="8"/>
      <c r="AE620" s="8">
        <f t="shared" si="142"/>
        <v>553.6094548</v>
      </c>
      <c r="AF620" s="13">
        <f t="shared" si="137"/>
        <v>1.407393027</v>
      </c>
      <c r="AG620" s="39">
        <f t="shared" si="143"/>
        <v>0</v>
      </c>
      <c r="AH620" s="40">
        <f t="shared" si="144"/>
        <v>0</v>
      </c>
      <c r="AI620" s="40">
        <f t="shared" si="145"/>
        <v>491.6976317</v>
      </c>
      <c r="AJ620" s="15"/>
      <c r="AK620" s="15"/>
    </row>
    <row r="621" ht="15.75" hidden="1" customHeight="1">
      <c r="A621" s="7" t="s">
        <v>937</v>
      </c>
      <c r="B621" s="7" t="s">
        <v>937</v>
      </c>
      <c r="C621" s="7"/>
      <c r="D621" s="7">
        <v>1975.0</v>
      </c>
      <c r="E621" s="7"/>
      <c r="F621" s="7" t="b">
        <v>0</v>
      </c>
      <c r="G621" s="7" t="b">
        <v>1</v>
      </c>
      <c r="H621" s="7" t="b">
        <v>0</v>
      </c>
      <c r="I621" s="7" t="b">
        <v>0</v>
      </c>
      <c r="J621" s="7"/>
      <c r="K621" s="7">
        <v>200.0</v>
      </c>
      <c r="L621" s="7">
        <v>0.0</v>
      </c>
      <c r="M621" s="7">
        <v>745.0</v>
      </c>
      <c r="N621" s="7">
        <v>180.0</v>
      </c>
      <c r="O621" s="7">
        <v>274.0</v>
      </c>
      <c r="P621" s="7">
        <v>5.0</v>
      </c>
      <c r="Q621" s="7"/>
      <c r="R621" s="7"/>
      <c r="S621" s="10">
        <f t="shared" si="2"/>
        <v>200</v>
      </c>
      <c r="T621" s="10">
        <f t="shared" si="3"/>
        <v>24.63743863</v>
      </c>
      <c r="U621" s="11">
        <f t="shared" si="4"/>
        <v>2.002734047</v>
      </c>
      <c r="V621" s="8">
        <f t="shared" si="132"/>
        <v>360.4921284</v>
      </c>
      <c r="W621" s="12">
        <f t="shared" si="5"/>
        <v>1.05</v>
      </c>
      <c r="X621" s="12">
        <f t="shared" si="6"/>
        <v>739.0088633</v>
      </c>
      <c r="Y621" s="12">
        <f t="shared" si="7"/>
        <v>4.105604796</v>
      </c>
      <c r="Z621" s="8">
        <f t="shared" si="133"/>
        <v>360.4921284</v>
      </c>
      <c r="AA621" s="13">
        <f t="shared" si="134"/>
        <v>1.802460642</v>
      </c>
      <c r="AB621" s="13">
        <f t="shared" si="135"/>
        <v>1.802460642</v>
      </c>
      <c r="AC621" s="8"/>
      <c r="AD621" s="8"/>
      <c r="AE621" s="8">
        <f t="shared" si="142"/>
        <v>398.7011115</v>
      </c>
      <c r="AF621" s="13">
        <f t="shared" si="137"/>
        <v>1.105991172</v>
      </c>
      <c r="AG621" s="39">
        <f t="shared" si="143"/>
        <v>0.994390165</v>
      </c>
      <c r="AH621" s="40">
        <f t="shared" si="144"/>
        <v>358.8724702</v>
      </c>
      <c r="AI621" s="40">
        <f t="shared" si="145"/>
        <v>360.897043</v>
      </c>
      <c r="AJ621" s="15"/>
      <c r="AK621" s="15"/>
    </row>
    <row r="622" ht="15.75" hidden="1" customHeight="1">
      <c r="A622" s="7" t="s">
        <v>938</v>
      </c>
      <c r="B622" s="7" t="s">
        <v>939</v>
      </c>
      <c r="C622" s="7"/>
      <c r="D622" s="7">
        <v>1976.0</v>
      </c>
      <c r="E622" s="7"/>
      <c r="F622" s="7" t="b">
        <v>0</v>
      </c>
      <c r="G622" s="7" t="b">
        <v>1</v>
      </c>
      <c r="H622" s="7" t="b">
        <v>0</v>
      </c>
      <c r="I622" s="7" t="b">
        <v>0</v>
      </c>
      <c r="J622" s="7"/>
      <c r="K622" s="7">
        <v>220.0</v>
      </c>
      <c r="L622" s="7">
        <v>0.0</v>
      </c>
      <c r="M622" s="7">
        <v>24.31</v>
      </c>
      <c r="N622" s="7">
        <v>28.2</v>
      </c>
      <c r="O622" s="7">
        <v>287.9</v>
      </c>
      <c r="P622" s="7">
        <v>3.88</v>
      </c>
      <c r="Q622" s="7"/>
      <c r="R622" s="7"/>
      <c r="S622" s="10">
        <f t="shared" si="2"/>
        <v>220</v>
      </c>
      <c r="T622" s="10">
        <f t="shared" si="3"/>
        <v>118.2887582</v>
      </c>
      <c r="U622" s="11">
        <f t="shared" si="4"/>
        <v>1.655387473</v>
      </c>
      <c r="V622" s="8">
        <f t="shared" si="132"/>
        <v>46.68192674</v>
      </c>
      <c r="W622" s="12">
        <f t="shared" si="5"/>
        <v>1.05</v>
      </c>
      <c r="X622" s="12">
        <f t="shared" si="6"/>
        <v>95.69794982</v>
      </c>
      <c r="Y622" s="12">
        <f t="shared" si="7"/>
        <v>3.39354432</v>
      </c>
      <c r="Z622" s="8">
        <f t="shared" si="133"/>
        <v>46.68192674</v>
      </c>
      <c r="AA622" s="13">
        <f t="shared" si="134"/>
        <v>0.2121905761</v>
      </c>
      <c r="AB622" s="13">
        <f t="shared" si="135"/>
        <v>0.2121905761</v>
      </c>
      <c r="AC622" s="8"/>
      <c r="AD622" s="8"/>
      <c r="AE622" s="8">
        <f t="shared" si="142"/>
        <v>50.34058312</v>
      </c>
      <c r="AF622" s="13">
        <f t="shared" si="137"/>
        <v>1.078374151</v>
      </c>
      <c r="AG622" s="39">
        <f t="shared" si="143"/>
        <v>1.582052397</v>
      </c>
      <c r="AH622" s="40">
        <f t="shared" si="144"/>
        <v>66.15241926</v>
      </c>
      <c r="AI622" s="40">
        <f t="shared" si="145"/>
        <v>41.81430362</v>
      </c>
      <c r="AJ622" s="15"/>
      <c r="AK622" s="15"/>
    </row>
    <row r="623" ht="15.75" hidden="1" customHeight="1">
      <c r="A623" s="7" t="s">
        <v>940</v>
      </c>
      <c r="B623" s="7" t="s">
        <v>940</v>
      </c>
      <c r="C623" s="7"/>
      <c r="D623" s="7">
        <v>1981.0</v>
      </c>
      <c r="E623" s="7"/>
      <c r="F623" s="7" t="b">
        <v>0</v>
      </c>
      <c r="G623" s="7" t="b">
        <v>1</v>
      </c>
      <c r="H623" s="7" t="b">
        <v>0</v>
      </c>
      <c r="I623" s="7" t="b">
        <v>0</v>
      </c>
      <c r="J623" s="7"/>
      <c r="K623" s="7">
        <v>0.0</v>
      </c>
      <c r="L623" s="7">
        <v>6780.0</v>
      </c>
      <c r="M623" s="7">
        <v>87518.0</v>
      </c>
      <c r="N623" s="7">
        <v>14819.0</v>
      </c>
      <c r="O623" s="7">
        <v>268.0</v>
      </c>
      <c r="P623" s="7">
        <v>6.24</v>
      </c>
      <c r="Q623" s="7"/>
      <c r="R623" s="7"/>
      <c r="S623" s="10">
        <f t="shared" si="2"/>
        <v>6780</v>
      </c>
      <c r="T623" s="10">
        <f t="shared" si="3"/>
        <v>17.2663618</v>
      </c>
      <c r="U623" s="11">
        <f t="shared" si="4"/>
        <v>0.4518712389</v>
      </c>
      <c r="V623" s="8">
        <f t="shared" si="132"/>
        <v>6696.27989</v>
      </c>
      <c r="W623" s="12">
        <f t="shared" si="5"/>
        <v>1.05</v>
      </c>
      <c r="X623" s="12">
        <f t="shared" si="6"/>
        <v>13727.37377</v>
      </c>
      <c r="Y623" s="12">
        <f t="shared" si="7"/>
        <v>0.9263360398</v>
      </c>
      <c r="Z623" s="8">
        <f t="shared" si="133"/>
        <v>6696.27989</v>
      </c>
      <c r="AA623" s="13">
        <f t="shared" si="134"/>
        <v>0.9876519012</v>
      </c>
      <c r="AB623" s="13">
        <f t="shared" si="135"/>
        <v>0.9876519012</v>
      </c>
      <c r="AC623" s="8"/>
      <c r="AD623" s="8"/>
      <c r="AE623" s="8">
        <f t="shared" si="142"/>
        <v>7850.235479</v>
      </c>
      <c r="AF623" s="13">
        <f t="shared" si="137"/>
        <v>1.172327861</v>
      </c>
      <c r="AG623" s="39">
        <f t="shared" si="143"/>
        <v>0.475817649</v>
      </c>
      <c r="AH623" s="40">
        <f t="shared" si="144"/>
        <v>3559.358763</v>
      </c>
      <c r="AI623" s="40">
        <f t="shared" si="145"/>
        <v>7480.510172</v>
      </c>
      <c r="AJ623" s="15"/>
      <c r="AK623" s="15"/>
    </row>
    <row r="624" ht="15.75" hidden="1" customHeight="1">
      <c r="A624" s="7" t="s">
        <v>941</v>
      </c>
      <c r="B624" s="7" t="s">
        <v>942</v>
      </c>
      <c r="C624" s="7"/>
      <c r="D624" s="7">
        <v>1984.0</v>
      </c>
      <c r="E624" s="7"/>
      <c r="F624" s="7" t="b">
        <v>0</v>
      </c>
      <c r="G624" s="7" t="b">
        <v>1</v>
      </c>
      <c r="H624" s="7" t="b">
        <v>0</v>
      </c>
      <c r="I624" s="7" t="b">
        <v>0</v>
      </c>
      <c r="J624" s="7"/>
      <c r="K624" s="7">
        <v>180.0</v>
      </c>
      <c r="L624" s="7">
        <v>0.0</v>
      </c>
      <c r="M624" s="7">
        <v>73.71</v>
      </c>
      <c r="N624" s="7">
        <v>54.8</v>
      </c>
      <c r="O624" s="7">
        <v>290.0</v>
      </c>
      <c r="P624" s="7">
        <v>3.72</v>
      </c>
      <c r="Q624" s="7"/>
      <c r="R624" s="7"/>
      <c r="S624" s="10">
        <f t="shared" si="2"/>
        <v>180</v>
      </c>
      <c r="T624" s="10">
        <f t="shared" si="3"/>
        <v>75.81121735</v>
      </c>
      <c r="U624" s="11">
        <f t="shared" si="4"/>
        <v>1.640344504</v>
      </c>
      <c r="V624" s="8">
        <f t="shared" si="132"/>
        <v>89.89087881</v>
      </c>
      <c r="W624" s="12">
        <f t="shared" si="5"/>
        <v>1.05</v>
      </c>
      <c r="X624" s="12">
        <f t="shared" si="6"/>
        <v>184.2763016</v>
      </c>
      <c r="Y624" s="12">
        <f t="shared" si="7"/>
        <v>3.362706233</v>
      </c>
      <c r="Z624" s="8">
        <f t="shared" si="133"/>
        <v>89.89087881</v>
      </c>
      <c r="AA624" s="13">
        <f t="shared" si="134"/>
        <v>0.4993937712</v>
      </c>
      <c r="AB624" s="13">
        <f t="shared" si="135"/>
        <v>0.4993937712</v>
      </c>
      <c r="AC624" s="8"/>
      <c r="AD624" s="8"/>
      <c r="AE624" s="8">
        <f t="shared" si="142"/>
        <v>97.62821716</v>
      </c>
      <c r="AF624" s="13">
        <f t="shared" si="137"/>
        <v>1.086074788</v>
      </c>
      <c r="AG624" s="39">
        <f t="shared" si="143"/>
        <v>1.266366475</v>
      </c>
      <c r="AH624" s="40">
        <f t="shared" si="144"/>
        <v>108.0771685</v>
      </c>
      <c r="AI624" s="40">
        <f t="shared" si="145"/>
        <v>85.3443064</v>
      </c>
      <c r="AJ624" s="15"/>
      <c r="AK624" s="15"/>
    </row>
    <row r="625" ht="15.75" hidden="1" customHeight="1">
      <c r="A625" s="16" t="s">
        <v>943</v>
      </c>
      <c r="B625" s="16" t="s">
        <v>944</v>
      </c>
      <c r="C625" s="16"/>
      <c r="D625" s="16">
        <v>1985.0</v>
      </c>
      <c r="E625" s="16"/>
      <c r="F625" s="16" t="b">
        <v>0</v>
      </c>
      <c r="G625" s="16" t="b">
        <v>1</v>
      </c>
      <c r="H625" s="16" t="b">
        <v>0</v>
      </c>
      <c r="I625" s="16" t="b">
        <v>0</v>
      </c>
      <c r="J625" s="16"/>
      <c r="K625" s="16">
        <v>1203.0</v>
      </c>
      <c r="L625" s="16">
        <v>0.0</v>
      </c>
      <c r="M625" s="16">
        <v>116.93</v>
      </c>
      <c r="N625" s="16">
        <v>78.0</v>
      </c>
      <c r="O625" s="16">
        <v>292.1</v>
      </c>
      <c r="P625" s="16">
        <v>3.99</v>
      </c>
      <c r="Q625" s="16"/>
      <c r="R625" s="16"/>
      <c r="S625" s="19">
        <f t="shared" si="2"/>
        <v>1203</v>
      </c>
      <c r="T625" s="19">
        <f t="shared" si="3"/>
        <v>68.02177746</v>
      </c>
      <c r="U625" s="20">
        <f t="shared" si="4"/>
        <v>1.534815175</v>
      </c>
      <c r="V625" s="17">
        <f t="shared" si="132"/>
        <v>119.7155836</v>
      </c>
      <c r="W625" s="21">
        <f t="shared" si="5"/>
        <v>1.05</v>
      </c>
      <c r="X625" s="21">
        <f t="shared" si="6"/>
        <v>245.4169465</v>
      </c>
      <c r="Y625" s="21">
        <f t="shared" si="7"/>
        <v>3.146371108</v>
      </c>
      <c r="Z625" s="17">
        <f t="shared" si="133"/>
        <v>119.7155836</v>
      </c>
      <c r="AA625" s="13">
        <f t="shared" si="134"/>
        <v>0.09951420086</v>
      </c>
      <c r="AB625" s="22">
        <f t="shared" si="135"/>
        <v>0.09951420086</v>
      </c>
      <c r="AC625" s="8"/>
      <c r="AD625" s="8"/>
      <c r="AE625" s="8">
        <f t="shared" si="142"/>
        <v>128.9210614</v>
      </c>
      <c r="AF625" s="13">
        <f t="shared" si="137"/>
        <v>1.076894565</v>
      </c>
      <c r="AG625" s="39">
        <f t="shared" si="143"/>
        <v>1.198624976</v>
      </c>
      <c r="AH625" s="40">
        <f t="shared" si="144"/>
        <v>138.0115792</v>
      </c>
      <c r="AI625" s="40">
        <f t="shared" si="145"/>
        <v>115.1415847</v>
      </c>
      <c r="AJ625" s="15"/>
      <c r="AK625" s="15"/>
    </row>
    <row r="626" ht="15.75" hidden="1" customHeight="1">
      <c r="A626" s="7" t="s">
        <v>945</v>
      </c>
      <c r="B626" s="7" t="s">
        <v>944</v>
      </c>
      <c r="C626" s="7"/>
      <c r="D626" s="7">
        <v>1985.0</v>
      </c>
      <c r="E626" s="7"/>
      <c r="F626" s="7" t="b">
        <v>0</v>
      </c>
      <c r="G626" s="7" t="b">
        <v>1</v>
      </c>
      <c r="H626" s="7" t="b">
        <v>0</v>
      </c>
      <c r="I626" s="7" t="b">
        <v>0</v>
      </c>
      <c r="J626" s="7"/>
      <c r="K626" s="7">
        <v>1203.0</v>
      </c>
      <c r="L626" s="7">
        <v>0.0</v>
      </c>
      <c r="M626" s="7">
        <v>111.31</v>
      </c>
      <c r="N626" s="7">
        <v>76.1</v>
      </c>
      <c r="O626" s="7">
        <v>286.0</v>
      </c>
      <c r="P626" s="7">
        <v>3.99</v>
      </c>
      <c r="Q626" s="7"/>
      <c r="R626" s="7"/>
      <c r="S626" s="10">
        <f t="shared" si="2"/>
        <v>1203</v>
      </c>
      <c r="T626" s="10">
        <f t="shared" si="3"/>
        <v>69.71557235</v>
      </c>
      <c r="U626" s="11">
        <f t="shared" si="4"/>
        <v>1.511793229</v>
      </c>
      <c r="V626" s="8">
        <f t="shared" si="132"/>
        <v>115.0474647</v>
      </c>
      <c r="W626" s="12">
        <f t="shared" si="5"/>
        <v>1.05</v>
      </c>
      <c r="X626" s="12">
        <f t="shared" si="6"/>
        <v>235.8473027</v>
      </c>
      <c r="Y626" s="12">
        <f t="shared" si="7"/>
        <v>3.09917612</v>
      </c>
      <c r="Z626" s="8">
        <f t="shared" si="133"/>
        <v>115.0474647</v>
      </c>
      <c r="AA626" s="13">
        <f t="shared" si="134"/>
        <v>0.09563380278</v>
      </c>
      <c r="AB626" s="13">
        <f t="shared" si="135"/>
        <v>0.09563380278</v>
      </c>
      <c r="AC626" s="8"/>
      <c r="AD626" s="8"/>
      <c r="AE626" s="8">
        <f t="shared" si="142"/>
        <v>125.1426876</v>
      </c>
      <c r="AF626" s="13">
        <f t="shared" si="137"/>
        <v>1.087748329</v>
      </c>
      <c r="AG626" s="39">
        <f t="shared" si="143"/>
        <v>1.225657759</v>
      </c>
      <c r="AH626" s="40">
        <f t="shared" si="144"/>
        <v>134.9196832</v>
      </c>
      <c r="AI626" s="40">
        <f t="shared" si="145"/>
        <v>110.0794101</v>
      </c>
      <c r="AJ626" s="15"/>
      <c r="AK626" s="15"/>
    </row>
    <row r="627" ht="15.75" hidden="1" customHeight="1">
      <c r="A627" s="16" t="s">
        <v>946</v>
      </c>
      <c r="B627" s="16" t="s">
        <v>944</v>
      </c>
      <c r="C627" s="16"/>
      <c r="D627" s="16">
        <v>1985.0</v>
      </c>
      <c r="E627" s="16"/>
      <c r="F627" s="16" t="b">
        <v>0</v>
      </c>
      <c r="G627" s="16" t="b">
        <v>1</v>
      </c>
      <c r="H627" s="16" t="b">
        <v>0</v>
      </c>
      <c r="I627" s="16" t="b">
        <v>0</v>
      </c>
      <c r="J627" s="16"/>
      <c r="K627" s="16">
        <v>1203.0</v>
      </c>
      <c r="L627" s="16">
        <v>0.0</v>
      </c>
      <c r="M627" s="16">
        <v>138.57</v>
      </c>
      <c r="N627" s="16">
        <v>78.0</v>
      </c>
      <c r="O627" s="16">
        <v>282.1</v>
      </c>
      <c r="P627" s="16">
        <v>3.99</v>
      </c>
      <c r="Q627" s="16"/>
      <c r="R627" s="16"/>
      <c r="S627" s="19">
        <f t="shared" si="2"/>
        <v>1203</v>
      </c>
      <c r="T627" s="19">
        <f t="shared" si="3"/>
        <v>57.39905057</v>
      </c>
      <c r="U627" s="20">
        <f t="shared" si="4"/>
        <v>1.669932462</v>
      </c>
      <c r="V627" s="17">
        <f t="shared" si="132"/>
        <v>130.2547321</v>
      </c>
      <c r="W627" s="21">
        <f t="shared" si="5"/>
        <v>1.05</v>
      </c>
      <c r="X627" s="21">
        <f t="shared" si="6"/>
        <v>267.0222007</v>
      </c>
      <c r="Y627" s="21">
        <f t="shared" si="7"/>
        <v>3.423361548</v>
      </c>
      <c r="Z627" s="17">
        <f t="shared" si="133"/>
        <v>130.2547321</v>
      </c>
      <c r="AA627" s="13">
        <f t="shared" si="134"/>
        <v>0.1082749228</v>
      </c>
      <c r="AB627" s="22">
        <f t="shared" si="135"/>
        <v>0.1082749228</v>
      </c>
      <c r="AC627" s="8"/>
      <c r="AD627" s="8"/>
      <c r="AE627" s="8">
        <f t="shared" si="142"/>
        <v>142.859523</v>
      </c>
      <c r="AF627" s="13">
        <f t="shared" si="137"/>
        <v>1.096770311</v>
      </c>
      <c r="AG627" s="39">
        <f t="shared" si="143"/>
        <v>1.188913808</v>
      </c>
      <c r="AH627" s="40">
        <f t="shared" si="144"/>
        <v>149.2235709</v>
      </c>
      <c r="AI627" s="40">
        <f t="shared" si="145"/>
        <v>125.5125224</v>
      </c>
      <c r="AJ627" s="15"/>
      <c r="AK627" s="15"/>
    </row>
    <row r="628" ht="15.75" hidden="1" customHeight="1">
      <c r="A628" s="16" t="s">
        <v>947</v>
      </c>
      <c r="B628" s="16" t="s">
        <v>948</v>
      </c>
      <c r="C628" s="16"/>
      <c r="D628" s="16">
        <v>1985.0</v>
      </c>
      <c r="E628" s="16"/>
      <c r="F628" s="16" t="b">
        <v>0</v>
      </c>
      <c r="G628" s="16" t="b">
        <v>1</v>
      </c>
      <c r="H628" s="16" t="b">
        <v>0</v>
      </c>
      <c r="I628" s="16" t="b">
        <v>0</v>
      </c>
      <c r="J628" s="16"/>
      <c r="K628" s="16">
        <v>150.0</v>
      </c>
      <c r="L628" s="16">
        <v>0.0</v>
      </c>
      <c r="M628" s="16">
        <v>230.42</v>
      </c>
      <c r="N628" s="16">
        <v>119.0</v>
      </c>
      <c r="O628" s="16">
        <v>283.0</v>
      </c>
      <c r="P628" s="16">
        <v>4.18</v>
      </c>
      <c r="Q628" s="16"/>
      <c r="R628" s="16"/>
      <c r="S628" s="19">
        <f t="shared" si="2"/>
        <v>150</v>
      </c>
      <c r="T628" s="19">
        <f t="shared" si="3"/>
        <v>52.66306266</v>
      </c>
      <c r="U628" s="20">
        <f t="shared" si="4"/>
        <v>1.493886723</v>
      </c>
      <c r="V628" s="17">
        <f t="shared" si="132"/>
        <v>177.77252</v>
      </c>
      <c r="W628" s="21">
        <f t="shared" si="5"/>
        <v>1.05</v>
      </c>
      <c r="X628" s="21">
        <f t="shared" si="6"/>
        <v>364.4336661</v>
      </c>
      <c r="Y628" s="21">
        <f t="shared" si="7"/>
        <v>3.062467782</v>
      </c>
      <c r="Z628" s="17">
        <f t="shared" si="133"/>
        <v>177.77252</v>
      </c>
      <c r="AA628" s="13">
        <f t="shared" si="134"/>
        <v>1.185150134</v>
      </c>
      <c r="AB628" s="22">
        <f t="shared" si="135"/>
        <v>1.185150134</v>
      </c>
      <c r="AC628" s="8"/>
      <c r="AD628" s="8"/>
      <c r="AE628" s="8">
        <f t="shared" si="142"/>
        <v>194.4945492</v>
      </c>
      <c r="AF628" s="13">
        <f t="shared" si="137"/>
        <v>1.094064196</v>
      </c>
      <c r="AG628" s="39">
        <f t="shared" si="143"/>
        <v>1.106694234</v>
      </c>
      <c r="AH628" s="40">
        <f t="shared" si="144"/>
        <v>192.629335</v>
      </c>
      <c r="AI628" s="40">
        <f t="shared" si="145"/>
        <v>174.0583163</v>
      </c>
      <c r="AJ628" s="15"/>
      <c r="AK628" s="15"/>
    </row>
    <row r="629" ht="15.75" hidden="1" customHeight="1">
      <c r="A629" s="7" t="s">
        <v>949</v>
      </c>
      <c r="B629" s="7" t="s">
        <v>950</v>
      </c>
      <c r="C629" s="7"/>
      <c r="D629" s="7">
        <v>1985.0</v>
      </c>
      <c r="E629" s="7"/>
      <c r="F629" s="7" t="b">
        <v>0</v>
      </c>
      <c r="G629" s="7" t="b">
        <v>1</v>
      </c>
      <c r="H629" s="7" t="b">
        <v>0</v>
      </c>
      <c r="I629" s="7" t="b">
        <v>0</v>
      </c>
      <c r="J629" s="7"/>
      <c r="K629" s="7">
        <v>5.0</v>
      </c>
      <c r="L629" s="7">
        <v>0.0</v>
      </c>
      <c r="M629" s="7">
        <v>4.04</v>
      </c>
      <c r="N629" s="7">
        <v>2.82</v>
      </c>
      <c r="O629" s="7">
        <v>269.0</v>
      </c>
      <c r="P629" s="7">
        <v>6.25</v>
      </c>
      <c r="Q629" s="7"/>
      <c r="R629" s="7"/>
      <c r="S629" s="10">
        <f t="shared" si="2"/>
        <v>5</v>
      </c>
      <c r="T629" s="10">
        <f t="shared" si="3"/>
        <v>71.1782107</v>
      </c>
      <c r="U629" s="11">
        <f t="shared" si="4"/>
        <v>6.166978238</v>
      </c>
      <c r="V629" s="8">
        <f t="shared" si="132"/>
        <v>17.39087863</v>
      </c>
      <c r="W629" s="12">
        <f t="shared" si="5"/>
        <v>1.05</v>
      </c>
      <c r="X629" s="12">
        <f t="shared" si="6"/>
        <v>35.6513012</v>
      </c>
      <c r="Y629" s="12">
        <f t="shared" si="7"/>
        <v>12.64230539</v>
      </c>
      <c r="Z629" s="8">
        <f t="shared" si="133"/>
        <v>17.39087863</v>
      </c>
      <c r="AA629" s="13">
        <f t="shared" si="134"/>
        <v>3.478175726</v>
      </c>
      <c r="AB629" s="13">
        <f t="shared" si="135"/>
        <v>3.478175726</v>
      </c>
      <c r="AC629" s="8"/>
      <c r="AD629" s="8"/>
      <c r="AE629" s="8">
        <f t="shared" si="142"/>
        <v>17.58212068</v>
      </c>
      <c r="AF629" s="13">
        <f t="shared" si="137"/>
        <v>1.010996687</v>
      </c>
      <c r="AG629" s="39">
        <f t="shared" si="143"/>
        <v>2.836743298</v>
      </c>
      <c r="AH629" s="40">
        <f t="shared" si="144"/>
        <v>36.07964805</v>
      </c>
      <c r="AI629" s="40">
        <f t="shared" si="145"/>
        <v>12.71868628</v>
      </c>
      <c r="AJ629" s="15"/>
      <c r="AK629" s="15"/>
    </row>
    <row r="630" ht="15.75" hidden="1" customHeight="1">
      <c r="A630" s="16" t="s">
        <v>951</v>
      </c>
      <c r="B630" s="16" t="s">
        <v>951</v>
      </c>
      <c r="C630" s="16"/>
      <c r="D630" s="16">
        <v>1989.0</v>
      </c>
      <c r="E630" s="16"/>
      <c r="F630" s="16" t="b">
        <v>0</v>
      </c>
      <c r="G630" s="16" t="b">
        <v>1</v>
      </c>
      <c r="H630" s="16" t="b">
        <v>0</v>
      </c>
      <c r="I630" s="16" t="b">
        <v>0</v>
      </c>
      <c r="J630" s="16"/>
      <c r="K630" s="16">
        <v>750.0</v>
      </c>
      <c r="L630" s="16">
        <v>0.0</v>
      </c>
      <c r="M630" s="16">
        <v>4350.0</v>
      </c>
      <c r="N630" s="16">
        <v>1875.0</v>
      </c>
      <c r="O630" s="16">
        <v>280.0</v>
      </c>
      <c r="P630" s="16"/>
      <c r="Q630" s="16"/>
      <c r="R630" s="16"/>
      <c r="S630" s="19">
        <f t="shared" si="2"/>
        <v>750</v>
      </c>
      <c r="T630" s="19">
        <f t="shared" si="3"/>
        <v>43.95328491</v>
      </c>
      <c r="U630" s="20">
        <f t="shared" si="4"/>
        <v>0.4821366966</v>
      </c>
      <c r="V630" s="17">
        <f t="shared" si="132"/>
        <v>904.0063061</v>
      </c>
      <c r="W630" s="21">
        <f t="shared" si="5"/>
        <v>1.05</v>
      </c>
      <c r="X630" s="21">
        <f t="shared" si="6"/>
        <v>1853.212927</v>
      </c>
      <c r="Y630" s="21">
        <f t="shared" si="7"/>
        <v>0.988380228</v>
      </c>
      <c r="Z630" s="17">
        <f t="shared" si="133"/>
        <v>904.0063061</v>
      </c>
      <c r="AA630" s="13">
        <f t="shared" si="134"/>
        <v>1.205341741</v>
      </c>
      <c r="AB630" s="22">
        <f t="shared" si="135"/>
        <v>1.205341741</v>
      </c>
      <c r="AC630" s="8"/>
      <c r="AD630" s="8"/>
      <c r="AE630" s="8">
        <f t="shared" si="142"/>
        <v>1189.083482</v>
      </c>
      <c r="AF630" s="13">
        <f t="shared" si="137"/>
        <v>1.315348659</v>
      </c>
      <c r="AG630" s="39">
        <f t="shared" si="143"/>
        <v>0</v>
      </c>
      <c r="AH630" s="40">
        <f t="shared" si="144"/>
        <v>0</v>
      </c>
      <c r="AI630" s="40">
        <f t="shared" si="145"/>
        <v>1130.007883</v>
      </c>
      <c r="AJ630" s="15"/>
      <c r="AK630" s="15"/>
    </row>
    <row r="631" ht="15.75" hidden="1" customHeight="1">
      <c r="A631" s="7" t="s">
        <v>952</v>
      </c>
      <c r="B631" s="7" t="s">
        <v>952</v>
      </c>
      <c r="C631" s="7"/>
      <c r="D631" s="7">
        <v>1989.0</v>
      </c>
      <c r="E631" s="7"/>
      <c r="F631" s="7" t="b">
        <v>0</v>
      </c>
      <c r="G631" s="7" t="b">
        <v>1</v>
      </c>
      <c r="H631" s="7" t="b">
        <v>0</v>
      </c>
      <c r="I631" s="7" t="b">
        <v>0</v>
      </c>
      <c r="J631" s="7"/>
      <c r="K631" s="7"/>
      <c r="L631" s="7">
        <v>0.0</v>
      </c>
      <c r="M631" s="7">
        <v>1457.0</v>
      </c>
      <c r="N631" s="7">
        <v>538.0</v>
      </c>
      <c r="O631" s="7">
        <v>265.0</v>
      </c>
      <c r="P631" s="7"/>
      <c r="Q631" s="7"/>
      <c r="R631" s="7"/>
      <c r="S631" s="10">
        <f t="shared" si="2"/>
        <v>0</v>
      </c>
      <c r="T631" s="10">
        <f t="shared" si="3"/>
        <v>37.65321352</v>
      </c>
      <c r="U631" s="11">
        <f t="shared" si="4"/>
        <v>0.8064275091</v>
      </c>
      <c r="V631" s="8">
        <f t="shared" si="132"/>
        <v>433.8579999</v>
      </c>
      <c r="W631" s="12">
        <f t="shared" si="5"/>
        <v>1.05</v>
      </c>
      <c r="X631" s="12">
        <f t="shared" si="6"/>
        <v>889.4088998</v>
      </c>
      <c r="Y631" s="12">
        <f t="shared" si="7"/>
        <v>1.653176394</v>
      </c>
      <c r="Z631" s="8">
        <f t="shared" si="133"/>
        <v>433.8579999</v>
      </c>
      <c r="AA631" s="13" t="str">
        <f t="shared" si="134"/>
        <v>#N/A</v>
      </c>
      <c r="AB631" s="13" t="str">
        <f t="shared" si="135"/>
        <v>#N/A</v>
      </c>
      <c r="AC631" s="8"/>
      <c r="AD631" s="8"/>
      <c r="AE631" s="8">
        <f t="shared" si="142"/>
        <v>602.9509475</v>
      </c>
      <c r="AF631" s="13">
        <f t="shared" si="137"/>
        <v>1.389742606</v>
      </c>
      <c r="AG631" s="39">
        <f t="shared" si="143"/>
        <v>0</v>
      </c>
      <c r="AH631" s="40">
        <f t="shared" si="144"/>
        <v>0</v>
      </c>
      <c r="AI631" s="40">
        <f t="shared" si="145"/>
        <v>542.3224999</v>
      </c>
      <c r="AJ631" s="15"/>
      <c r="AK631" s="15"/>
    </row>
    <row r="632" ht="15.75" hidden="1" customHeight="1">
      <c r="A632" s="7" t="s">
        <v>953</v>
      </c>
      <c r="B632" s="7" t="s">
        <v>953</v>
      </c>
      <c r="C632" s="7"/>
      <c r="D632" s="7">
        <v>1989.0</v>
      </c>
      <c r="E632" s="7"/>
      <c r="F632" s="7" t="b">
        <v>0</v>
      </c>
      <c r="G632" s="7" t="b">
        <v>1</v>
      </c>
      <c r="H632" s="7" t="b">
        <v>0</v>
      </c>
      <c r="I632" s="7" t="b">
        <v>0</v>
      </c>
      <c r="J632" s="7"/>
      <c r="K632" s="7">
        <v>2500.0</v>
      </c>
      <c r="L632" s="7">
        <v>0.0</v>
      </c>
      <c r="M632" s="7">
        <v>36214.5</v>
      </c>
      <c r="N632" s="7">
        <v>8233.777</v>
      </c>
      <c r="O632" s="7">
        <v>281.0</v>
      </c>
      <c r="P632" s="7">
        <v>5.93</v>
      </c>
      <c r="Q632" s="7"/>
      <c r="R632" s="7"/>
      <c r="S632" s="10">
        <f t="shared" si="2"/>
        <v>2500</v>
      </c>
      <c r="T632" s="10">
        <f t="shared" si="3"/>
        <v>23.1844037</v>
      </c>
      <c r="U632" s="11">
        <f t="shared" si="4"/>
        <v>0.4825567731</v>
      </c>
      <c r="V632" s="8">
        <f t="shared" si="132"/>
        <v>3973.26486</v>
      </c>
      <c r="W632" s="12">
        <f t="shared" si="5"/>
        <v>1.05</v>
      </c>
      <c r="X632" s="12">
        <f t="shared" si="6"/>
        <v>8145.192962</v>
      </c>
      <c r="Y632" s="12">
        <f t="shared" si="7"/>
        <v>0.9892413849</v>
      </c>
      <c r="Z632" s="8">
        <f t="shared" si="133"/>
        <v>3973.26486</v>
      </c>
      <c r="AA632" s="13">
        <f t="shared" si="134"/>
        <v>1.589305944</v>
      </c>
      <c r="AB632" s="13">
        <f t="shared" si="135"/>
        <v>1.589305944</v>
      </c>
      <c r="AC632" s="8"/>
      <c r="AD632" s="8"/>
      <c r="AE632" s="8">
        <f t="shared" si="142"/>
        <v>4493.565358</v>
      </c>
      <c r="AF632" s="13">
        <f t="shared" si="137"/>
        <v>1.130950369</v>
      </c>
      <c r="AG632" s="39">
        <f t="shared" si="143"/>
        <v>0.5280937832</v>
      </c>
      <c r="AH632" s="40">
        <f t="shared" si="144"/>
        <v>2316.931331</v>
      </c>
      <c r="AI632" s="40">
        <f t="shared" si="145"/>
        <v>4387.348242</v>
      </c>
      <c r="AJ632" s="15"/>
      <c r="AK632" s="15"/>
    </row>
    <row r="633" ht="15.75" hidden="1" customHeight="1">
      <c r="A633" s="16" t="s">
        <v>954</v>
      </c>
      <c r="B633" s="16" t="s">
        <v>954</v>
      </c>
      <c r="C633" s="16"/>
      <c r="D633" s="16">
        <v>1989.0</v>
      </c>
      <c r="E633" s="16"/>
      <c r="F633" s="16" t="b">
        <v>0</v>
      </c>
      <c r="G633" s="16" t="b">
        <v>1</v>
      </c>
      <c r="H633" s="16" t="b">
        <v>0</v>
      </c>
      <c r="I633" s="16" t="b">
        <v>0</v>
      </c>
      <c r="J633" s="16"/>
      <c r="K633" s="16">
        <v>2472.0</v>
      </c>
      <c r="L633" s="16">
        <v>0.0</v>
      </c>
      <c r="M633" s="16">
        <v>44734.74</v>
      </c>
      <c r="N633" s="16">
        <v>8487.0</v>
      </c>
      <c r="O633" s="16">
        <v>269.5</v>
      </c>
      <c r="P633" s="16">
        <v>5.5</v>
      </c>
      <c r="Q633" s="16"/>
      <c r="R633" s="16"/>
      <c r="S633" s="19">
        <f t="shared" si="2"/>
        <v>2472</v>
      </c>
      <c r="T633" s="19">
        <f t="shared" si="3"/>
        <v>19.34588527</v>
      </c>
      <c r="U633" s="20">
        <f t="shared" si="4"/>
        <v>0.518994102</v>
      </c>
      <c r="V633" s="17">
        <f t="shared" si="132"/>
        <v>4404.702944</v>
      </c>
      <c r="W633" s="21">
        <f t="shared" si="5"/>
        <v>1.05</v>
      </c>
      <c r="X633" s="21">
        <f t="shared" si="6"/>
        <v>9029.641035</v>
      </c>
      <c r="Y633" s="21">
        <f t="shared" si="7"/>
        <v>1.063937909</v>
      </c>
      <c r="Z633" s="17">
        <f t="shared" si="133"/>
        <v>4404.702944</v>
      </c>
      <c r="AA633" s="13">
        <f t="shared" si="134"/>
        <v>1.78183776</v>
      </c>
      <c r="AB633" s="22">
        <f t="shared" si="135"/>
        <v>1.78183776</v>
      </c>
      <c r="AC633" s="8"/>
      <c r="AD633" s="8"/>
      <c r="AE633" s="8">
        <f t="shared" si="142"/>
        <v>5134.746488</v>
      </c>
      <c r="AF633" s="13">
        <f t="shared" si="137"/>
        <v>1.165741834</v>
      </c>
      <c r="AG633" s="39">
        <f t="shared" si="143"/>
        <v>0.5044795244</v>
      </c>
      <c r="AH633" s="40">
        <f t="shared" si="144"/>
        <v>2466.525193</v>
      </c>
      <c r="AI633" s="40">
        <f t="shared" si="145"/>
        <v>4889.247381</v>
      </c>
      <c r="AJ633" s="15"/>
      <c r="AK633" s="15"/>
    </row>
    <row r="634" ht="15.75" hidden="1" customHeight="1">
      <c r="A634" s="16" t="s">
        <v>955</v>
      </c>
      <c r="B634" s="16" t="s">
        <v>956</v>
      </c>
      <c r="C634" s="16"/>
      <c r="D634" s="16">
        <v>1990.0</v>
      </c>
      <c r="E634" s="16"/>
      <c r="F634" s="16" t="b">
        <v>0</v>
      </c>
      <c r="G634" s="16" t="b">
        <v>1</v>
      </c>
      <c r="H634" s="16" t="b">
        <v>0</v>
      </c>
      <c r="I634" s="16" t="b">
        <v>0</v>
      </c>
      <c r="J634" s="16"/>
      <c r="K634" s="16">
        <v>900.0</v>
      </c>
      <c r="L634" s="16">
        <v>0.0</v>
      </c>
      <c r="M634" s="16">
        <f>1196*1.010708</f>
        <v>1208.806768</v>
      </c>
      <c r="N634" s="16">
        <v>666.0</v>
      </c>
      <c r="O634" s="16">
        <v>283.4</v>
      </c>
      <c r="P634" s="16"/>
      <c r="Q634" s="16"/>
      <c r="R634" s="16"/>
      <c r="S634" s="19">
        <f t="shared" si="2"/>
        <v>900</v>
      </c>
      <c r="T634" s="19">
        <f t="shared" si="3"/>
        <v>56.18193195</v>
      </c>
      <c r="U634" s="20">
        <f t="shared" si="4"/>
        <v>0.6035012352</v>
      </c>
      <c r="V634" s="17">
        <f t="shared" si="132"/>
        <v>401.9318227</v>
      </c>
      <c r="W634" s="21">
        <f t="shared" si="5"/>
        <v>1.05</v>
      </c>
      <c r="X634" s="21">
        <f t="shared" si="6"/>
        <v>823.9602364</v>
      </c>
      <c r="Y634" s="21">
        <f t="shared" si="7"/>
        <v>1.237177532</v>
      </c>
      <c r="Z634" s="17">
        <f t="shared" si="133"/>
        <v>401.9318227</v>
      </c>
      <c r="AA634" s="13">
        <f t="shared" si="134"/>
        <v>0.4465909141</v>
      </c>
      <c r="AB634" s="22">
        <f t="shared" si="135"/>
        <v>0.4465909141</v>
      </c>
      <c r="AC634" s="8"/>
      <c r="AD634" s="8"/>
      <c r="AE634" s="8">
        <f t="shared" si="142"/>
        <v>537.2427386</v>
      </c>
      <c r="AF634" s="13">
        <f t="shared" si="137"/>
        <v>1.336651413</v>
      </c>
      <c r="AG634" s="39">
        <f t="shared" si="143"/>
        <v>0</v>
      </c>
      <c r="AH634" s="40">
        <f t="shared" si="144"/>
        <v>0</v>
      </c>
      <c r="AI634" s="40">
        <f t="shared" si="145"/>
        <v>502.4147783</v>
      </c>
      <c r="AJ634" s="15"/>
      <c r="AK634" s="15"/>
    </row>
    <row r="635" ht="15.75" hidden="1" customHeight="1">
      <c r="A635" s="7" t="s">
        <v>957</v>
      </c>
      <c r="B635" s="7" t="s">
        <v>956</v>
      </c>
      <c r="C635" s="7"/>
      <c r="D635" s="7">
        <v>1990.0</v>
      </c>
      <c r="E635" s="7"/>
      <c r="F635" s="7" t="b">
        <v>0</v>
      </c>
      <c r="G635" s="7" t="b">
        <v>1</v>
      </c>
      <c r="H635" s="7" t="b">
        <v>0</v>
      </c>
      <c r="I635" s="7" t="b">
        <v>0</v>
      </c>
      <c r="J635" s="7"/>
      <c r="K635" s="7">
        <v>900.0</v>
      </c>
      <c r="L635" s="7">
        <v>0.0</v>
      </c>
      <c r="M635" s="7">
        <v>1196.0</v>
      </c>
      <c r="N635" s="7">
        <v>644.0</v>
      </c>
      <c r="O635" s="7">
        <v>274.0</v>
      </c>
      <c r="P635" s="7"/>
      <c r="Q635" s="7"/>
      <c r="R635" s="7"/>
      <c r="S635" s="10">
        <f t="shared" si="2"/>
        <v>900</v>
      </c>
      <c r="T635" s="10">
        <f t="shared" si="3"/>
        <v>54.90779592</v>
      </c>
      <c r="U635" s="11">
        <f t="shared" si="4"/>
        <v>0.6066662135</v>
      </c>
      <c r="V635" s="8">
        <f t="shared" si="132"/>
        <v>390.6930415</v>
      </c>
      <c r="W635" s="12">
        <f t="shared" si="5"/>
        <v>1.05</v>
      </c>
      <c r="X635" s="12">
        <f t="shared" si="6"/>
        <v>800.9207351</v>
      </c>
      <c r="Y635" s="12">
        <f t="shared" si="7"/>
        <v>1.243665738</v>
      </c>
      <c r="Z635" s="8">
        <f t="shared" si="133"/>
        <v>390.6930415</v>
      </c>
      <c r="AA635" s="13">
        <f t="shared" si="134"/>
        <v>0.4341033794</v>
      </c>
      <c r="AB635" s="13">
        <f t="shared" si="135"/>
        <v>0.4341033794</v>
      </c>
      <c r="AC635" s="8"/>
      <c r="AD635" s="8"/>
      <c r="AE635" s="8">
        <f t="shared" si="142"/>
        <v>533.7214957</v>
      </c>
      <c r="AF635" s="13">
        <f t="shared" si="137"/>
        <v>1.366089075</v>
      </c>
      <c r="AG635" s="39">
        <f t="shared" si="143"/>
        <v>0</v>
      </c>
      <c r="AH635" s="40">
        <f t="shared" si="144"/>
        <v>0</v>
      </c>
      <c r="AI635" s="40">
        <f t="shared" si="145"/>
        <v>488.3663019</v>
      </c>
      <c r="AJ635" s="15"/>
      <c r="AK635" s="15"/>
    </row>
    <row r="636" ht="15.75" hidden="1" customHeight="1">
      <c r="A636" s="16" t="s">
        <v>958</v>
      </c>
      <c r="B636" s="16" t="s">
        <v>940</v>
      </c>
      <c r="C636" s="16"/>
      <c r="D636" s="16">
        <v>1992.0</v>
      </c>
      <c r="E636" s="16"/>
      <c r="F636" s="16" t="b">
        <v>0</v>
      </c>
      <c r="G636" s="16" t="b">
        <v>1</v>
      </c>
      <c r="H636" s="16" t="b">
        <v>0</v>
      </c>
      <c r="I636" s="16" t="b">
        <v>0</v>
      </c>
      <c r="J636" s="16"/>
      <c r="K636" s="16">
        <v>0.0</v>
      </c>
      <c r="L636" s="16">
        <v>6780.0</v>
      </c>
      <c r="M636" s="16">
        <v>74818.0</v>
      </c>
      <c r="N636" s="16">
        <v>14819.0</v>
      </c>
      <c r="O636" s="16">
        <v>268.0</v>
      </c>
      <c r="P636" s="16">
        <v>6.24</v>
      </c>
      <c r="Q636" s="16"/>
      <c r="R636" s="16"/>
      <c r="S636" s="19">
        <f t="shared" si="2"/>
        <v>6780</v>
      </c>
      <c r="T636" s="19">
        <f t="shared" si="3"/>
        <v>20.19724467</v>
      </c>
      <c r="U636" s="20">
        <f t="shared" si="4"/>
        <v>0.4100307804</v>
      </c>
      <c r="V636" s="17">
        <f t="shared" si="132"/>
        <v>6076.246135</v>
      </c>
      <c r="W636" s="21">
        <f t="shared" si="5"/>
        <v>1.05</v>
      </c>
      <c r="X636" s="21">
        <f t="shared" si="6"/>
        <v>12456.30458</v>
      </c>
      <c r="Y636" s="21">
        <f t="shared" si="7"/>
        <v>0.8405630998</v>
      </c>
      <c r="Z636" s="17">
        <f t="shared" si="133"/>
        <v>6076.246135</v>
      </c>
      <c r="AA636" s="13">
        <f t="shared" si="134"/>
        <v>0.8962014948</v>
      </c>
      <c r="AB636" s="22">
        <f t="shared" si="135"/>
        <v>0.8962014948</v>
      </c>
      <c r="AC636" s="8"/>
      <c r="AD636" s="8"/>
      <c r="AE636" s="8">
        <f t="shared" si="142"/>
        <v>7108.223845</v>
      </c>
      <c r="AF636" s="13">
        <f t="shared" si="137"/>
        <v>1.169838036</v>
      </c>
      <c r="AG636" s="39">
        <f t="shared" si="143"/>
        <v>0.4893604735</v>
      </c>
      <c r="AH636" s="40">
        <f t="shared" si="144"/>
        <v>3311.690722</v>
      </c>
      <c r="AI636" s="40">
        <f t="shared" si="145"/>
        <v>6767.384988</v>
      </c>
      <c r="AJ636" s="15"/>
      <c r="AK636" s="15"/>
    </row>
    <row r="637" ht="15.75" hidden="1" customHeight="1">
      <c r="A637" s="7" t="s">
        <v>959</v>
      </c>
      <c r="B637" s="7" t="s">
        <v>960</v>
      </c>
      <c r="C637" s="7"/>
      <c r="D637" s="7">
        <v>1993.0</v>
      </c>
      <c r="E637" s="7"/>
      <c r="F637" s="7" t="b">
        <v>0</v>
      </c>
      <c r="G637" s="7" t="b">
        <v>1</v>
      </c>
      <c r="H637" s="7" t="b">
        <v>0</v>
      </c>
      <c r="I637" s="7" t="b">
        <v>0</v>
      </c>
      <c r="J637" s="7"/>
      <c r="K637" s="7">
        <v>20.0</v>
      </c>
      <c r="L637" s="7">
        <v>0.0</v>
      </c>
      <c r="M637" s="7">
        <v>4.13</v>
      </c>
      <c r="N637" s="7">
        <v>5.83</v>
      </c>
      <c r="O637" s="7">
        <v>289.1</v>
      </c>
      <c r="P637" s="7">
        <v>7.39</v>
      </c>
      <c r="Q637" s="7"/>
      <c r="R637" s="7"/>
      <c r="S637" s="10">
        <f t="shared" si="2"/>
        <v>20</v>
      </c>
      <c r="T637" s="10">
        <f t="shared" si="3"/>
        <v>143.9454117</v>
      </c>
      <c r="U637" s="11">
        <f t="shared" si="4"/>
        <v>3.203937013</v>
      </c>
      <c r="V637" s="8">
        <f t="shared" si="132"/>
        <v>18.67895279</v>
      </c>
      <c r="W637" s="12">
        <f t="shared" si="5"/>
        <v>1.05</v>
      </c>
      <c r="X637" s="12">
        <f t="shared" si="6"/>
        <v>38.29185321</v>
      </c>
      <c r="Y637" s="12">
        <f t="shared" si="7"/>
        <v>6.568070877</v>
      </c>
      <c r="Z637" s="8">
        <f t="shared" si="133"/>
        <v>18.67895279</v>
      </c>
      <c r="AA637" s="13">
        <f t="shared" si="134"/>
        <v>0.9339476394</v>
      </c>
      <c r="AB637" s="13">
        <f t="shared" si="135"/>
        <v>0.9339476394</v>
      </c>
      <c r="AC637" s="8"/>
      <c r="AD637" s="8"/>
      <c r="AE637" s="8">
        <f t="shared" si="142"/>
        <v>17.80785451</v>
      </c>
      <c r="AF637" s="13">
        <f t="shared" si="137"/>
        <v>0.9533647154</v>
      </c>
      <c r="AG637" s="39">
        <f t="shared" si="143"/>
        <v>2.914612698</v>
      </c>
      <c r="AH637" s="40">
        <f t="shared" si="144"/>
        <v>39.36729022</v>
      </c>
      <c r="AI637" s="40">
        <f t="shared" si="145"/>
        <v>13.50686843</v>
      </c>
      <c r="AJ637" s="15"/>
      <c r="AK637" s="15"/>
    </row>
    <row r="638" ht="15.75" hidden="1" customHeight="1">
      <c r="A638" s="7" t="s">
        <v>961</v>
      </c>
      <c r="B638" s="7" t="s">
        <v>962</v>
      </c>
      <c r="C638" s="7"/>
      <c r="D638" s="7">
        <v>1996.0</v>
      </c>
      <c r="E638" s="7"/>
      <c r="F638" s="7" t="b">
        <v>0</v>
      </c>
      <c r="G638" s="7" t="b">
        <v>1</v>
      </c>
      <c r="H638" s="7" t="b">
        <v>0</v>
      </c>
      <c r="I638" s="7" t="b">
        <v>0</v>
      </c>
      <c r="J638" s="7"/>
      <c r="K638" s="7">
        <v>50.0</v>
      </c>
      <c r="L638" s="7">
        <v>0.0</v>
      </c>
      <c r="M638" s="7">
        <v>3.23</v>
      </c>
      <c r="N638" s="7">
        <v>6.272</v>
      </c>
      <c r="O638" s="7">
        <v>256.0</v>
      </c>
      <c r="P638" s="7">
        <v>8.96</v>
      </c>
      <c r="Q638" s="7"/>
      <c r="R638" s="7"/>
      <c r="S638" s="10">
        <f t="shared" si="2"/>
        <v>50</v>
      </c>
      <c r="T638" s="10">
        <f t="shared" si="3"/>
        <v>198.0080517</v>
      </c>
      <c r="U638" s="11">
        <f t="shared" si="4"/>
        <v>2.58734412</v>
      </c>
      <c r="V638" s="8">
        <f t="shared" si="132"/>
        <v>16.22782232</v>
      </c>
      <c r="W638" s="12">
        <f t="shared" si="5"/>
        <v>1.05</v>
      </c>
      <c r="X638" s="12">
        <f t="shared" si="6"/>
        <v>33.26703575</v>
      </c>
      <c r="Y638" s="12">
        <f t="shared" si="7"/>
        <v>5.304055446</v>
      </c>
      <c r="Z638" s="8">
        <f t="shared" si="133"/>
        <v>16.22782232</v>
      </c>
      <c r="AA638" s="13">
        <f t="shared" si="134"/>
        <v>0.3245564464</v>
      </c>
      <c r="AB638" s="13">
        <f t="shared" si="135"/>
        <v>0.3245564464</v>
      </c>
      <c r="AC638" s="8"/>
      <c r="AD638" s="8"/>
      <c r="AE638" s="8">
        <f t="shared" si="142"/>
        <v>15.44912283</v>
      </c>
      <c r="AF638" s="13">
        <f t="shared" si="137"/>
        <v>0.9520145417</v>
      </c>
      <c r="AG638" s="39">
        <f t="shared" si="143"/>
        <v>3.596816616</v>
      </c>
      <c r="AH638" s="40">
        <f t="shared" si="144"/>
        <v>38.41642092</v>
      </c>
      <c r="AI638" s="40">
        <f t="shared" si="145"/>
        <v>10.68067267</v>
      </c>
      <c r="AJ638" s="15"/>
      <c r="AK638" s="15"/>
    </row>
    <row r="639" ht="15.75" hidden="1" customHeight="1">
      <c r="A639" s="16" t="s">
        <v>963</v>
      </c>
      <c r="B639" s="16" t="s">
        <v>964</v>
      </c>
      <c r="C639" s="16"/>
      <c r="D639" s="16">
        <v>1997.0</v>
      </c>
      <c r="E639" s="16"/>
      <c r="F639" s="16" t="b">
        <v>0</v>
      </c>
      <c r="G639" s="16" t="b">
        <v>1</v>
      </c>
      <c r="H639" s="16" t="b">
        <v>0</v>
      </c>
      <c r="I639" s="16" t="b">
        <v>0</v>
      </c>
      <c r="J639" s="16"/>
      <c r="K639" s="16">
        <v>60.0</v>
      </c>
      <c r="L639" s="16">
        <v>0.0</v>
      </c>
      <c r="M639" s="16">
        <v>12.84</v>
      </c>
      <c r="N639" s="16">
        <v>12.5</v>
      </c>
      <c r="O639" s="16">
        <v>281.8</v>
      </c>
      <c r="P639" s="16">
        <v>6.1</v>
      </c>
      <c r="Q639" s="16"/>
      <c r="R639" s="16"/>
      <c r="S639" s="19">
        <f t="shared" si="2"/>
        <v>60</v>
      </c>
      <c r="T639" s="19">
        <f t="shared" si="3"/>
        <v>99.27143789</v>
      </c>
      <c r="U639" s="20">
        <f t="shared" si="4"/>
        <v>2.727273377</v>
      </c>
      <c r="V639" s="17">
        <f t="shared" si="132"/>
        <v>34.09091721</v>
      </c>
      <c r="W639" s="21">
        <f t="shared" si="5"/>
        <v>1.05</v>
      </c>
      <c r="X639" s="21">
        <f t="shared" si="6"/>
        <v>69.88638029</v>
      </c>
      <c r="Y639" s="21">
        <f t="shared" si="7"/>
        <v>5.590910423</v>
      </c>
      <c r="Z639" s="17">
        <f t="shared" si="133"/>
        <v>34.09091721</v>
      </c>
      <c r="AA639" s="13">
        <f t="shared" si="134"/>
        <v>0.5681819535</v>
      </c>
      <c r="AB639" s="22">
        <f t="shared" si="135"/>
        <v>0.5681819535</v>
      </c>
      <c r="AC639" s="8"/>
      <c r="AD639" s="8"/>
      <c r="AE639" s="8">
        <f t="shared" si="142"/>
        <v>34.52739964</v>
      </c>
      <c r="AF639" s="13">
        <f t="shared" si="137"/>
        <v>1.012803481</v>
      </c>
      <c r="AG639" s="39">
        <f t="shared" si="143"/>
        <v>2.213989178</v>
      </c>
      <c r="AH639" s="40">
        <f t="shared" si="144"/>
        <v>60.73145577</v>
      </c>
      <c r="AI639" s="40">
        <f t="shared" si="145"/>
        <v>27.43078257</v>
      </c>
      <c r="AJ639" s="15"/>
      <c r="AK639" s="15"/>
    </row>
    <row r="640" ht="15.75" hidden="1" customHeight="1">
      <c r="A640" s="16" t="s">
        <v>965</v>
      </c>
      <c r="B640" s="16" t="s">
        <v>966</v>
      </c>
      <c r="C640" s="16"/>
      <c r="D640" s="16">
        <v>1998.0</v>
      </c>
      <c r="E640" s="16"/>
      <c r="F640" s="16" t="b">
        <v>0</v>
      </c>
      <c r="G640" s="16" t="b">
        <v>1</v>
      </c>
      <c r="H640" s="16" t="b">
        <v>0</v>
      </c>
      <c r="I640" s="16" t="b">
        <v>0</v>
      </c>
      <c r="J640" s="16"/>
      <c r="K640" s="16">
        <v>1200.0</v>
      </c>
      <c r="L640" s="16">
        <v>0.0</v>
      </c>
      <c r="M640" s="16">
        <v>2204.0</v>
      </c>
      <c r="N640" s="16">
        <v>915.0</v>
      </c>
      <c r="O640" s="16">
        <v>290.7</v>
      </c>
      <c r="P640" s="16"/>
      <c r="Q640" s="16"/>
      <c r="R640" s="16"/>
      <c r="S640" s="19">
        <f t="shared" si="2"/>
        <v>1200</v>
      </c>
      <c r="T640" s="19">
        <f t="shared" si="3"/>
        <v>42.33395336</v>
      </c>
      <c r="U640" s="20">
        <f t="shared" si="4"/>
        <v>0.6553530578</v>
      </c>
      <c r="V640" s="17">
        <f t="shared" si="132"/>
        <v>599.6480479</v>
      </c>
      <c r="W640" s="21">
        <f t="shared" si="5"/>
        <v>1.05</v>
      </c>
      <c r="X640" s="21">
        <f t="shared" si="6"/>
        <v>1229.278498</v>
      </c>
      <c r="Y640" s="21">
        <f t="shared" si="7"/>
        <v>1.343473768</v>
      </c>
      <c r="Z640" s="17">
        <f t="shared" si="133"/>
        <v>599.6480479</v>
      </c>
      <c r="AA640" s="13">
        <f t="shared" si="134"/>
        <v>0.4997067066</v>
      </c>
      <c r="AB640" s="22">
        <f t="shared" si="135"/>
        <v>0.4997067066</v>
      </c>
      <c r="AC640" s="8"/>
      <c r="AD640" s="8"/>
      <c r="AE640" s="8">
        <f t="shared" si="142"/>
        <v>779.123194</v>
      </c>
      <c r="AF640" s="13">
        <f t="shared" si="137"/>
        <v>1.299300809</v>
      </c>
      <c r="AG640" s="39">
        <f t="shared" si="143"/>
        <v>0</v>
      </c>
      <c r="AH640" s="40">
        <f t="shared" si="144"/>
        <v>0</v>
      </c>
      <c r="AI640" s="40">
        <f t="shared" si="145"/>
        <v>749.5600599</v>
      </c>
      <c r="AJ640" s="15"/>
      <c r="AK640" s="15"/>
    </row>
    <row r="641" ht="15.75" hidden="1" customHeight="1">
      <c r="A641" s="7" t="s">
        <v>967</v>
      </c>
      <c r="B641" s="7" t="s">
        <v>966</v>
      </c>
      <c r="C641" s="7"/>
      <c r="D641" s="7">
        <v>1998.0</v>
      </c>
      <c r="E641" s="7"/>
      <c r="F641" s="7" t="b">
        <v>0</v>
      </c>
      <c r="G641" s="7" t="b">
        <v>1</v>
      </c>
      <c r="H641" s="7" t="b">
        <v>0</v>
      </c>
      <c r="I641" s="7" t="b">
        <v>0</v>
      </c>
      <c r="J641" s="7"/>
      <c r="K641" s="7">
        <v>1200.0</v>
      </c>
      <c r="L641" s="7">
        <v>0.0</v>
      </c>
      <c r="M641" s="7">
        <v>2000.0</v>
      </c>
      <c r="N641" s="7">
        <v>885.0</v>
      </c>
      <c r="O641" s="7">
        <v>277.8</v>
      </c>
      <c r="P641" s="7"/>
      <c r="Q641" s="7"/>
      <c r="R641" s="7"/>
      <c r="S641" s="10">
        <f t="shared" si="2"/>
        <v>1200</v>
      </c>
      <c r="T641" s="10">
        <f t="shared" si="3"/>
        <v>45.12244229</v>
      </c>
      <c r="U641" s="11">
        <f t="shared" si="4"/>
        <v>0.618589639</v>
      </c>
      <c r="V641" s="8">
        <f t="shared" si="132"/>
        <v>547.4518305</v>
      </c>
      <c r="W641" s="12">
        <f t="shared" si="5"/>
        <v>1.05</v>
      </c>
      <c r="X641" s="12">
        <f t="shared" si="6"/>
        <v>1122.276253</v>
      </c>
      <c r="Y641" s="12">
        <f t="shared" si="7"/>
        <v>1.26810876</v>
      </c>
      <c r="Z641" s="8">
        <f t="shared" si="133"/>
        <v>547.4518305</v>
      </c>
      <c r="AA641" s="13">
        <f t="shared" si="134"/>
        <v>0.4562098588</v>
      </c>
      <c r="AB641" s="13">
        <f t="shared" si="135"/>
        <v>0.4562098588</v>
      </c>
      <c r="AC641" s="8"/>
      <c r="AD641" s="8"/>
      <c r="AE641" s="8">
        <f t="shared" si="142"/>
        <v>733.5855398</v>
      </c>
      <c r="AF641" s="13">
        <f t="shared" si="137"/>
        <v>1.340000159</v>
      </c>
      <c r="AG641" s="39">
        <f t="shared" si="143"/>
        <v>0</v>
      </c>
      <c r="AH641" s="40">
        <f t="shared" si="144"/>
        <v>0</v>
      </c>
      <c r="AI641" s="40">
        <f t="shared" si="145"/>
        <v>684.3147881</v>
      </c>
      <c r="AJ641" s="15"/>
      <c r="AK641" s="15"/>
    </row>
    <row r="642" ht="15.75" hidden="1" customHeight="1">
      <c r="A642" s="16" t="s">
        <v>968</v>
      </c>
      <c r="B642" s="16" t="s">
        <v>966</v>
      </c>
      <c r="C642" s="16"/>
      <c r="D642" s="16">
        <v>1998.0</v>
      </c>
      <c r="E642" s="16"/>
      <c r="F642" s="16" t="b">
        <v>0</v>
      </c>
      <c r="G642" s="16" t="b">
        <v>1</v>
      </c>
      <c r="H642" s="16" t="b">
        <v>0</v>
      </c>
      <c r="I642" s="16" t="b">
        <v>0</v>
      </c>
      <c r="J642" s="16"/>
      <c r="K642" s="16">
        <v>1200.0</v>
      </c>
      <c r="L642" s="16">
        <v>0.0</v>
      </c>
      <c r="M642" s="16">
        <v>2275.0</v>
      </c>
      <c r="N642" s="16">
        <v>875.0</v>
      </c>
      <c r="O642" s="16">
        <v>279.8</v>
      </c>
      <c r="P642" s="16"/>
      <c r="Q642" s="16"/>
      <c r="R642" s="16"/>
      <c r="S642" s="19">
        <f t="shared" si="2"/>
        <v>1200</v>
      </c>
      <c r="T642" s="19">
        <f t="shared" si="3"/>
        <v>39.21985423</v>
      </c>
      <c r="U642" s="20">
        <f t="shared" si="4"/>
        <v>0.6824668985</v>
      </c>
      <c r="V642" s="17">
        <f t="shared" si="132"/>
        <v>597.1585362</v>
      </c>
      <c r="W642" s="21">
        <f t="shared" si="5"/>
        <v>1.05</v>
      </c>
      <c r="X642" s="21">
        <f t="shared" si="6"/>
        <v>1224.174999</v>
      </c>
      <c r="Y642" s="21">
        <f t="shared" si="7"/>
        <v>1.399057142</v>
      </c>
      <c r="Z642" s="17">
        <f t="shared" si="133"/>
        <v>597.1585362</v>
      </c>
      <c r="AA642" s="13">
        <f t="shared" si="134"/>
        <v>0.4976321135</v>
      </c>
      <c r="AB642" s="22">
        <f t="shared" si="135"/>
        <v>0.4976321135</v>
      </c>
      <c r="AC642" s="8"/>
      <c r="AD642" s="8"/>
      <c r="AE642" s="8">
        <f t="shared" si="142"/>
        <v>794.5997386</v>
      </c>
      <c r="AF642" s="13">
        <f t="shared" si="137"/>
        <v>1.330634481</v>
      </c>
      <c r="AG642" s="39">
        <f t="shared" si="143"/>
        <v>0</v>
      </c>
      <c r="AH642" s="40">
        <f t="shared" si="144"/>
        <v>0</v>
      </c>
      <c r="AI642" s="40">
        <f t="shared" si="145"/>
        <v>746.4481703</v>
      </c>
      <c r="AJ642" s="15"/>
      <c r="AK642" s="15"/>
    </row>
    <row r="643" ht="15.75" hidden="1" customHeight="1">
      <c r="A643" s="7" t="s">
        <v>969</v>
      </c>
      <c r="B643" s="7" t="s">
        <v>970</v>
      </c>
      <c r="C643" s="7"/>
      <c r="D643" s="7">
        <v>2000.0</v>
      </c>
      <c r="E643" s="7"/>
      <c r="F643" s="7" t="b">
        <v>0</v>
      </c>
      <c r="G643" s="7" t="b">
        <v>1</v>
      </c>
      <c r="H643" s="7" t="b">
        <v>0</v>
      </c>
      <c r="I643" s="7" t="b">
        <v>0</v>
      </c>
      <c r="J643" s="7"/>
      <c r="K643" s="7">
        <v>2700.0</v>
      </c>
      <c r="L643" s="7">
        <v>0.0</v>
      </c>
      <c r="M643" s="7">
        <v>0.4853</v>
      </c>
      <c r="N643" s="7">
        <v>0.3</v>
      </c>
      <c r="O643" s="7">
        <v>269.4</v>
      </c>
      <c r="P643" s="7">
        <v>15.06</v>
      </c>
      <c r="Q643" s="7"/>
      <c r="R643" s="7"/>
      <c r="S643" s="10">
        <f t="shared" si="2"/>
        <v>2700</v>
      </c>
      <c r="T643" s="10">
        <f t="shared" si="3"/>
        <v>63.036238</v>
      </c>
      <c r="U643" s="11">
        <f t="shared" si="4"/>
        <v>22.36270347</v>
      </c>
      <c r="V643" s="8">
        <f t="shared" si="132"/>
        <v>6.708811041</v>
      </c>
      <c r="W643" s="12">
        <f t="shared" si="5"/>
        <v>1.05</v>
      </c>
      <c r="X643" s="12">
        <f t="shared" si="6"/>
        <v>13.75306263</v>
      </c>
      <c r="Y643" s="12">
        <f t="shared" si="7"/>
        <v>45.84354211</v>
      </c>
      <c r="Z643" s="8">
        <f t="shared" si="133"/>
        <v>6.708811041</v>
      </c>
      <c r="AA643" s="13">
        <f t="shared" si="134"/>
        <v>0.00248474483</v>
      </c>
      <c r="AB643" s="13">
        <f t="shared" si="135"/>
        <v>0.00248474483</v>
      </c>
      <c r="AC643" s="8"/>
      <c r="AD643" s="8"/>
      <c r="AE643" s="8">
        <f t="shared" si="142"/>
        <v>5.255510398</v>
      </c>
      <c r="AF643" s="13">
        <f t="shared" si="137"/>
        <v>0.7833743364</v>
      </c>
      <c r="AG643" s="39">
        <f t="shared" si="143"/>
        <v>6.20652894</v>
      </c>
      <c r="AH643" s="40">
        <f t="shared" si="144"/>
        <v>20.39793848</v>
      </c>
      <c r="AI643" s="40">
        <f t="shared" si="145"/>
        <v>3.286529182</v>
      </c>
      <c r="AJ643" s="15"/>
      <c r="AK643" s="15"/>
    </row>
    <row r="644" ht="15.75" hidden="1" customHeight="1">
      <c r="A644" s="16" t="s">
        <v>971</v>
      </c>
      <c r="B644" s="16" t="s">
        <v>971</v>
      </c>
      <c r="C644" s="16"/>
      <c r="D644" s="16">
        <v>2001.0</v>
      </c>
      <c r="E644" s="16"/>
      <c r="F644" s="16" t="b">
        <v>0</v>
      </c>
      <c r="G644" s="16" t="b">
        <v>1</v>
      </c>
      <c r="H644" s="16" t="b">
        <v>0</v>
      </c>
      <c r="I644" s="16" t="b">
        <v>0</v>
      </c>
      <c r="J644" s="16"/>
      <c r="K644" s="16">
        <v>500.0</v>
      </c>
      <c r="L644" s="16">
        <v>0.0</v>
      </c>
      <c r="M644" s="16">
        <v>1723.0</v>
      </c>
      <c r="N644" s="16">
        <v>765.0</v>
      </c>
      <c r="O644" s="16">
        <v>282.4</v>
      </c>
      <c r="P644" s="16"/>
      <c r="Q644" s="16"/>
      <c r="R644" s="16"/>
      <c r="S644" s="19">
        <f t="shared" si="2"/>
        <v>500</v>
      </c>
      <c r="T644" s="19">
        <f t="shared" si="3"/>
        <v>45.27468953</v>
      </c>
      <c r="U644" s="20">
        <f t="shared" si="4"/>
        <v>0.6574613669</v>
      </c>
      <c r="V644" s="17">
        <f t="shared" si="132"/>
        <v>502.9579457</v>
      </c>
      <c r="W644" s="21">
        <f t="shared" si="5"/>
        <v>1.05</v>
      </c>
      <c r="X644" s="21">
        <f t="shared" si="6"/>
        <v>1031.063789</v>
      </c>
      <c r="Y644" s="21">
        <f t="shared" si="7"/>
        <v>1.347795802</v>
      </c>
      <c r="Z644" s="17">
        <f t="shared" si="133"/>
        <v>502.9579457</v>
      </c>
      <c r="AA644" s="13">
        <f t="shared" si="134"/>
        <v>1.005915891</v>
      </c>
      <c r="AB644" s="22">
        <f t="shared" si="135"/>
        <v>1.005915891</v>
      </c>
      <c r="AC644" s="8"/>
      <c r="AD644" s="8"/>
      <c r="AE644" s="8">
        <f t="shared" si="142"/>
        <v>668.8704332</v>
      </c>
      <c r="AF644" s="13">
        <f t="shared" si="137"/>
        <v>1.329873479</v>
      </c>
      <c r="AG644" s="39">
        <f t="shared" si="143"/>
        <v>0</v>
      </c>
      <c r="AH644" s="40">
        <f t="shared" si="144"/>
        <v>0</v>
      </c>
      <c r="AI644" s="40">
        <f t="shared" si="145"/>
        <v>628.6974321</v>
      </c>
      <c r="AJ644" s="15"/>
      <c r="AK644" s="15"/>
    </row>
    <row r="645" ht="15.75" hidden="1" customHeight="1">
      <c r="A645" s="16" t="s">
        <v>972</v>
      </c>
      <c r="B645" s="16" t="s">
        <v>973</v>
      </c>
      <c r="C645" s="16"/>
      <c r="D645" s="16">
        <v>2002.0</v>
      </c>
      <c r="E645" s="16"/>
      <c r="F645" s="16" t="b">
        <v>0</v>
      </c>
      <c r="G645" s="16" t="b">
        <v>1</v>
      </c>
      <c r="H645" s="16" t="b">
        <v>0</v>
      </c>
      <c r="I645" s="16" t="b">
        <v>0</v>
      </c>
      <c r="J645" s="16"/>
      <c r="K645" s="16">
        <v>2400.0</v>
      </c>
      <c r="L645" s="16">
        <v>0.0</v>
      </c>
      <c r="M645" s="16">
        <v>3950.0</v>
      </c>
      <c r="N645" s="16">
        <v>1688.4</v>
      </c>
      <c r="O645" s="16">
        <v>275.0</v>
      </c>
      <c r="P645" s="16"/>
      <c r="Q645" s="16"/>
      <c r="R645" s="16"/>
      <c r="S645" s="19">
        <f t="shared" si="2"/>
        <v>2400</v>
      </c>
      <c r="T645" s="19">
        <f t="shared" si="3"/>
        <v>43.58705947</v>
      </c>
      <c r="U645" s="20">
        <f t="shared" si="4"/>
        <v>0.4976530095</v>
      </c>
      <c r="V645" s="17">
        <f t="shared" si="132"/>
        <v>840.2373412</v>
      </c>
      <c r="W645" s="21">
        <f t="shared" si="5"/>
        <v>1.05</v>
      </c>
      <c r="X645" s="21">
        <f t="shared" si="6"/>
        <v>1722.48655</v>
      </c>
      <c r="Y645" s="21">
        <f t="shared" si="7"/>
        <v>1.020188669</v>
      </c>
      <c r="Z645" s="17">
        <f t="shared" si="133"/>
        <v>840.2373412</v>
      </c>
      <c r="AA645" s="13">
        <f t="shared" si="134"/>
        <v>0.3500988922</v>
      </c>
      <c r="AB645" s="22">
        <f t="shared" si="135"/>
        <v>0.3500988922</v>
      </c>
      <c r="AC645" s="8"/>
      <c r="AD645" s="8"/>
      <c r="AE645" s="8">
        <f t="shared" si="142"/>
        <v>1119.722144</v>
      </c>
      <c r="AF645" s="13">
        <f t="shared" si="137"/>
        <v>1.33262602</v>
      </c>
      <c r="AG645" s="39">
        <f t="shared" si="143"/>
        <v>0</v>
      </c>
      <c r="AH645" s="40">
        <f t="shared" si="144"/>
        <v>0</v>
      </c>
      <c r="AI645" s="40">
        <f t="shared" si="145"/>
        <v>1050.296677</v>
      </c>
      <c r="AJ645" s="15"/>
      <c r="AK645" s="15"/>
    </row>
    <row r="646" ht="15.75" hidden="1" customHeight="1">
      <c r="A646" s="7" t="s">
        <v>974</v>
      </c>
      <c r="B646" s="7" t="s">
        <v>975</v>
      </c>
      <c r="C646" s="7"/>
      <c r="D646" s="7">
        <v>2002.0</v>
      </c>
      <c r="E646" s="7"/>
      <c r="F646" s="7" t="b">
        <v>0</v>
      </c>
      <c r="G646" s="7" t="b">
        <v>1</v>
      </c>
      <c r="H646" s="7" t="b">
        <v>0</v>
      </c>
      <c r="I646" s="7" t="b">
        <v>0</v>
      </c>
      <c r="J646" s="7"/>
      <c r="K646" s="7">
        <v>1800.0</v>
      </c>
      <c r="L646" s="7">
        <v>0.0</v>
      </c>
      <c r="M646" s="7">
        <f>3380*0.9822</f>
        <v>3319.836</v>
      </c>
      <c r="N646" s="7">
        <v>1248.91</v>
      </c>
      <c r="O646" s="7">
        <v>274.0</v>
      </c>
      <c r="P646" s="7"/>
      <c r="Q646" s="7"/>
      <c r="R646" s="7"/>
      <c r="S646" s="10">
        <f t="shared" si="2"/>
        <v>1800</v>
      </c>
      <c r="T646" s="10">
        <f t="shared" si="3"/>
        <v>38.36134592</v>
      </c>
      <c r="U646" s="11">
        <f t="shared" si="4"/>
        <v>0.6006587888</v>
      </c>
      <c r="V646" s="8">
        <f t="shared" si="132"/>
        <v>750.1687679</v>
      </c>
      <c r="W646" s="12">
        <f t="shared" si="5"/>
        <v>1.05</v>
      </c>
      <c r="X646" s="12">
        <f t="shared" si="6"/>
        <v>1537.845974</v>
      </c>
      <c r="Y646" s="12">
        <f t="shared" si="7"/>
        <v>1.231350517</v>
      </c>
      <c r="Z646" s="8">
        <f t="shared" si="133"/>
        <v>750.1687679</v>
      </c>
      <c r="AA646" s="13">
        <f t="shared" si="134"/>
        <v>0.4167604266</v>
      </c>
      <c r="AB646" s="13">
        <f t="shared" si="135"/>
        <v>0.4167604266</v>
      </c>
      <c r="AC646" s="8"/>
      <c r="AD646" s="8"/>
      <c r="AE646" s="8">
        <f t="shared" si="142"/>
        <v>1004.901778</v>
      </c>
      <c r="AF646" s="13">
        <f t="shared" si="137"/>
        <v>1.339567602</v>
      </c>
      <c r="AG646" s="39">
        <f t="shared" si="143"/>
        <v>0</v>
      </c>
      <c r="AH646" s="40">
        <f t="shared" si="144"/>
        <v>0</v>
      </c>
      <c r="AI646" s="40">
        <f t="shared" si="145"/>
        <v>937.7109599</v>
      </c>
      <c r="AJ646" s="15"/>
      <c r="AK646" s="15"/>
    </row>
    <row r="647" ht="15.75" hidden="1" customHeight="1">
      <c r="A647" s="16" t="s">
        <v>976</v>
      </c>
      <c r="B647" s="16" t="s">
        <v>975</v>
      </c>
      <c r="C647" s="16"/>
      <c r="D647" s="16">
        <v>2002.0</v>
      </c>
      <c r="E647" s="16"/>
      <c r="F647" s="16" t="b">
        <v>0</v>
      </c>
      <c r="G647" s="16" t="b">
        <v>1</v>
      </c>
      <c r="H647" s="16" t="b">
        <v>0</v>
      </c>
      <c r="I647" s="16" t="b">
        <v>0</v>
      </c>
      <c r="J647" s="16"/>
      <c r="K647" s="16">
        <v>1800.0</v>
      </c>
      <c r="L647" s="16">
        <v>0.0</v>
      </c>
      <c r="M647" s="16">
        <v>3380.0</v>
      </c>
      <c r="N647" s="16">
        <v>1235.947</v>
      </c>
      <c r="O647" s="16">
        <v>274.0</v>
      </c>
      <c r="P647" s="16"/>
      <c r="Q647" s="16"/>
      <c r="R647" s="16"/>
      <c r="S647" s="19">
        <f t="shared" si="2"/>
        <v>1800</v>
      </c>
      <c r="T647" s="19">
        <f t="shared" si="3"/>
        <v>37.28743167</v>
      </c>
      <c r="U647" s="20">
        <f t="shared" si="4"/>
        <v>0.6139646635</v>
      </c>
      <c r="V647" s="17">
        <f t="shared" si="132"/>
        <v>758.8277839</v>
      </c>
      <c r="W647" s="21">
        <f t="shared" si="5"/>
        <v>1.05</v>
      </c>
      <c r="X647" s="21">
        <f t="shared" si="6"/>
        <v>1555.596957</v>
      </c>
      <c r="Y647" s="21">
        <f t="shared" si="7"/>
        <v>1.25862756</v>
      </c>
      <c r="Z647" s="17">
        <f t="shared" si="133"/>
        <v>758.8277839</v>
      </c>
      <c r="AA647" s="13">
        <f t="shared" si="134"/>
        <v>0.4215709911</v>
      </c>
      <c r="AB647" s="22">
        <f t="shared" si="135"/>
        <v>0.4215709911</v>
      </c>
      <c r="AC647" s="8"/>
      <c r="AD647" s="8"/>
      <c r="AE647" s="8">
        <f t="shared" si="142"/>
        <v>1016.193796</v>
      </c>
      <c r="AF647" s="13">
        <f t="shared" si="137"/>
        <v>1.339162611</v>
      </c>
      <c r="AG647" s="39">
        <f t="shared" si="143"/>
        <v>0</v>
      </c>
      <c r="AH647" s="40">
        <f t="shared" si="144"/>
        <v>0</v>
      </c>
      <c r="AI647" s="40">
        <f t="shared" si="145"/>
        <v>948.5347299</v>
      </c>
      <c r="AJ647" s="15"/>
      <c r="AK647" s="15"/>
    </row>
    <row r="648" ht="15.75" hidden="1" customHeight="1">
      <c r="A648" s="7" t="s">
        <v>977</v>
      </c>
      <c r="B648" s="7" t="s">
        <v>978</v>
      </c>
      <c r="C648" s="7"/>
      <c r="D648" s="7">
        <v>2002.0</v>
      </c>
      <c r="E648" s="7"/>
      <c r="F648" s="7" t="b">
        <v>0</v>
      </c>
      <c r="G648" s="7" t="b">
        <v>1</v>
      </c>
      <c r="H648" s="7" t="b">
        <v>0</v>
      </c>
      <c r="I648" s="7" t="b">
        <v>0</v>
      </c>
      <c r="J648" s="7"/>
      <c r="K648" s="7"/>
      <c r="L648" s="7">
        <v>0.0</v>
      </c>
      <c r="M648" s="7">
        <v>37800.0</v>
      </c>
      <c r="N648" s="7">
        <v>7040.0</v>
      </c>
      <c r="O648" s="7">
        <v>277.0</v>
      </c>
      <c r="P648" s="7">
        <v>6.4</v>
      </c>
      <c r="Q648" s="7"/>
      <c r="R648" s="7"/>
      <c r="S648" s="10">
        <f t="shared" si="2"/>
        <v>0</v>
      </c>
      <c r="T648" s="10">
        <f t="shared" si="3"/>
        <v>18.99154</v>
      </c>
      <c r="U648" s="11">
        <f t="shared" si="4"/>
        <v>0.5772584426</v>
      </c>
      <c r="V648" s="8">
        <f t="shared" si="132"/>
        <v>4063.899436</v>
      </c>
      <c r="W648" s="12">
        <f t="shared" si="5"/>
        <v>1.05</v>
      </c>
      <c r="X648" s="12">
        <f t="shared" si="6"/>
        <v>8330.993844</v>
      </c>
      <c r="Y648" s="12">
        <f t="shared" si="7"/>
        <v>1.183379807</v>
      </c>
      <c r="Z648" s="8">
        <f t="shared" si="133"/>
        <v>4063.899436</v>
      </c>
      <c r="AA648" s="13" t="str">
        <f t="shared" si="134"/>
        <v>#N/A</v>
      </c>
      <c r="AB648" s="13" t="str">
        <f t="shared" si="135"/>
        <v>#N/A</v>
      </c>
      <c r="AC648" s="8"/>
      <c r="AD648" s="8"/>
      <c r="AE648" s="8">
        <f t="shared" si="142"/>
        <v>4616.725006</v>
      </c>
      <c r="AF648" s="13">
        <f t="shared" si="137"/>
        <v>1.13603328</v>
      </c>
      <c r="AG648" s="39">
        <f t="shared" si="143"/>
        <v>0.5477676551</v>
      </c>
      <c r="AH648" s="40">
        <f t="shared" si="144"/>
        <v>2447.43447</v>
      </c>
      <c r="AI648" s="40">
        <f t="shared" si="145"/>
        <v>4468.015678</v>
      </c>
      <c r="AJ648" s="15"/>
      <c r="AK648" s="15"/>
    </row>
    <row r="649" ht="15.75" hidden="1" customHeight="1">
      <c r="A649" s="16" t="s">
        <v>979</v>
      </c>
      <c r="B649" s="16" t="s">
        <v>980</v>
      </c>
      <c r="C649" s="16"/>
      <c r="D649" s="16">
        <v>2002.0</v>
      </c>
      <c r="E649" s="16"/>
      <c r="F649" s="16" t="b">
        <v>0</v>
      </c>
      <c r="G649" s="16" t="b">
        <v>1</v>
      </c>
      <c r="H649" s="16" t="b">
        <v>0</v>
      </c>
      <c r="I649" s="16" t="b">
        <v>0</v>
      </c>
      <c r="J649" s="16"/>
      <c r="K649" s="16">
        <v>50.0</v>
      </c>
      <c r="L649" s="16">
        <v>0.0</v>
      </c>
      <c r="M649" s="16">
        <v>5.08</v>
      </c>
      <c r="N649" s="16">
        <v>7.749</v>
      </c>
      <c r="O649" s="16">
        <v>273.0</v>
      </c>
      <c r="P649" s="16">
        <v>10.34</v>
      </c>
      <c r="Q649" s="16"/>
      <c r="R649" s="16"/>
      <c r="S649" s="19">
        <f t="shared" si="2"/>
        <v>50</v>
      </c>
      <c r="T649" s="19">
        <f t="shared" si="3"/>
        <v>155.5468683</v>
      </c>
      <c r="U649" s="20">
        <f t="shared" si="4"/>
        <v>2.838764446</v>
      </c>
      <c r="V649" s="17">
        <f t="shared" si="132"/>
        <v>21.99758569</v>
      </c>
      <c r="W649" s="21">
        <f t="shared" si="5"/>
        <v>1.05</v>
      </c>
      <c r="X649" s="21">
        <f t="shared" si="6"/>
        <v>45.09505067</v>
      </c>
      <c r="Y649" s="21">
        <f t="shared" si="7"/>
        <v>5.819467115</v>
      </c>
      <c r="Z649" s="17">
        <f t="shared" si="133"/>
        <v>21.99758569</v>
      </c>
      <c r="AA649" s="13">
        <f t="shared" si="134"/>
        <v>0.4399517139</v>
      </c>
      <c r="AB649" s="22">
        <f t="shared" si="135"/>
        <v>0.4399517139</v>
      </c>
      <c r="AC649" s="8"/>
      <c r="AD649" s="8"/>
      <c r="AE649" s="8">
        <f t="shared" si="142"/>
        <v>20.07972493</v>
      </c>
      <c r="AF649" s="13">
        <f t="shared" si="137"/>
        <v>0.9128149427</v>
      </c>
      <c r="AG649" s="39">
        <f t="shared" si="143"/>
        <v>3.400095478</v>
      </c>
      <c r="AH649" s="40">
        <f t="shared" si="144"/>
        <v>50.53576124</v>
      </c>
      <c r="AI649" s="40">
        <f t="shared" si="145"/>
        <v>14.86304181</v>
      </c>
      <c r="AJ649" s="15"/>
      <c r="AK649" s="15"/>
    </row>
    <row r="650" ht="15.75" hidden="1" customHeight="1">
      <c r="A650" s="7" t="s">
        <v>981</v>
      </c>
      <c r="B650" s="7" t="s">
        <v>982</v>
      </c>
      <c r="C650" s="7"/>
      <c r="D650" s="7">
        <v>2003.0</v>
      </c>
      <c r="E650" s="7"/>
      <c r="F650" s="7" t="b">
        <v>0</v>
      </c>
      <c r="G650" s="7" t="b">
        <v>1</v>
      </c>
      <c r="H650" s="7" t="b">
        <v>0</v>
      </c>
      <c r="I650" s="7" t="b">
        <v>0</v>
      </c>
      <c r="J650" s="7"/>
      <c r="K650" s="7">
        <v>50.0</v>
      </c>
      <c r="L650" s="7">
        <v>0.0</v>
      </c>
      <c r="M650" s="7">
        <v>0.675</v>
      </c>
      <c r="N650" s="7">
        <v>2.0</v>
      </c>
      <c r="O650" s="7">
        <v>266.0</v>
      </c>
      <c r="P650" s="7">
        <v>10.35</v>
      </c>
      <c r="Q650" s="7"/>
      <c r="R650" s="7"/>
      <c r="S650" s="10">
        <f t="shared" si="2"/>
        <v>50</v>
      </c>
      <c r="T650" s="10">
        <f t="shared" si="3"/>
        <v>302.1381363</v>
      </c>
      <c r="U650" s="11">
        <f t="shared" si="4"/>
        <v>3.607945227</v>
      </c>
      <c r="V650" s="8">
        <f t="shared" si="132"/>
        <v>7.215890454</v>
      </c>
      <c r="W650" s="12">
        <f t="shared" si="5"/>
        <v>1.05</v>
      </c>
      <c r="X650" s="12">
        <f t="shared" si="6"/>
        <v>14.79257543</v>
      </c>
      <c r="Y650" s="12">
        <f t="shared" si="7"/>
        <v>7.396287716</v>
      </c>
      <c r="Z650" s="8">
        <f t="shared" si="133"/>
        <v>7.215890454</v>
      </c>
      <c r="AA650" s="13">
        <f t="shared" si="134"/>
        <v>0.1443178091</v>
      </c>
      <c r="AB650" s="13">
        <f t="shared" si="135"/>
        <v>0.1443178091</v>
      </c>
      <c r="AC650" s="8"/>
      <c r="AD650" s="8"/>
      <c r="AE650" s="8">
        <f t="shared" si="142"/>
        <v>6.326270509</v>
      </c>
      <c r="AF650" s="13">
        <f t="shared" si="137"/>
        <v>0.8767137679</v>
      </c>
      <c r="AG650" s="39">
        <f t="shared" si="143"/>
        <v>4.963602796</v>
      </c>
      <c r="AH650" s="40">
        <f t="shared" si="144"/>
        <v>19.97902788</v>
      </c>
      <c r="AI650" s="40">
        <f t="shared" si="145"/>
        <v>4.025106098</v>
      </c>
      <c r="AJ650" s="15"/>
      <c r="AK650" s="15"/>
    </row>
    <row r="651" ht="15.75" hidden="1" customHeight="1">
      <c r="A651" s="7" t="s">
        <v>983</v>
      </c>
      <c r="B651" s="7" t="s">
        <v>983</v>
      </c>
      <c r="C651" s="7"/>
      <c r="D651" s="7">
        <v>2012.0</v>
      </c>
      <c r="E651" s="7"/>
      <c r="F651" s="7" t="b">
        <v>0</v>
      </c>
      <c r="G651" s="7" t="b">
        <v>1</v>
      </c>
      <c r="H651" s="7" t="b">
        <v>0</v>
      </c>
      <c r="I651" s="7" t="b">
        <v>0</v>
      </c>
      <c r="J651" s="7"/>
      <c r="K651" s="7">
        <v>8000.0</v>
      </c>
      <c r="L651" s="7">
        <v>0.0</v>
      </c>
      <c r="M651" s="7">
        <v>85500.0</v>
      </c>
      <c r="N651" s="7">
        <v>15800.0</v>
      </c>
      <c r="O651" s="7">
        <v>266.0</v>
      </c>
      <c r="P651" s="7">
        <v>6.24</v>
      </c>
      <c r="Q651" s="7"/>
      <c r="R651" s="7"/>
      <c r="S651" s="10">
        <f t="shared" si="2"/>
        <v>8000</v>
      </c>
      <c r="T651" s="10">
        <f t="shared" si="3"/>
        <v>18.8438785</v>
      </c>
      <c r="U651" s="11">
        <f t="shared" si="4"/>
        <v>0.4159482525</v>
      </c>
      <c r="V651" s="8">
        <f t="shared" si="132"/>
        <v>6571.98239</v>
      </c>
      <c r="W651" s="12">
        <f t="shared" si="5"/>
        <v>1.05</v>
      </c>
      <c r="X651" s="12">
        <f t="shared" si="6"/>
        <v>13472.5639</v>
      </c>
      <c r="Y651" s="12">
        <f t="shared" si="7"/>
        <v>0.8526939176</v>
      </c>
      <c r="Z651" s="8">
        <f t="shared" si="133"/>
        <v>6571.98239</v>
      </c>
      <c r="AA651" s="13">
        <f t="shared" si="134"/>
        <v>0.8214977987</v>
      </c>
      <c r="AB651" s="13">
        <f t="shared" si="135"/>
        <v>0.8214977987</v>
      </c>
      <c r="AC651" s="8"/>
      <c r="AD651" s="8"/>
      <c r="AE651" s="8">
        <f t="shared" si="142"/>
        <v>7735.079989</v>
      </c>
      <c r="AF651" s="13">
        <f t="shared" si="137"/>
        <v>1.176978198</v>
      </c>
      <c r="AG651" s="39">
        <f t="shared" si="143"/>
        <v>0.4801012223</v>
      </c>
      <c r="AH651" s="40">
        <f t="shared" si="144"/>
        <v>3521.367734</v>
      </c>
      <c r="AI651" s="40">
        <f t="shared" si="145"/>
        <v>7334.636053</v>
      </c>
      <c r="AJ651" s="15"/>
      <c r="AK651" s="15"/>
    </row>
    <row r="652" ht="15.75" hidden="1" customHeight="1">
      <c r="A652" s="7" t="s">
        <v>984</v>
      </c>
      <c r="B652" s="7" t="s">
        <v>984</v>
      </c>
      <c r="C652" s="7"/>
      <c r="D652" s="7">
        <v>2013.0</v>
      </c>
      <c r="E652" s="7"/>
      <c r="F652" s="7" t="b">
        <v>0</v>
      </c>
      <c r="G652" s="7" t="b">
        <v>1</v>
      </c>
      <c r="H652" s="7" t="b">
        <v>0</v>
      </c>
      <c r="I652" s="7" t="b">
        <v>0</v>
      </c>
      <c r="J652" s="7"/>
      <c r="K652" s="7">
        <v>350.0</v>
      </c>
      <c r="L652" s="7">
        <v>0.0</v>
      </c>
      <c r="M652" s="7">
        <v>1224.0</v>
      </c>
      <c r="N652" s="7">
        <v>330.7653</v>
      </c>
      <c r="O652" s="7">
        <v>293.1</v>
      </c>
      <c r="P652" s="7"/>
      <c r="Q652" s="7"/>
      <c r="R652" s="7"/>
      <c r="S652" s="10">
        <f t="shared" si="2"/>
        <v>350</v>
      </c>
      <c r="T652" s="10">
        <f t="shared" si="3"/>
        <v>27.55610606</v>
      </c>
      <c r="U652" s="11">
        <f t="shared" si="4"/>
        <v>1.251521557</v>
      </c>
      <c r="V652" s="8">
        <f t="shared" si="132"/>
        <v>413.9599032</v>
      </c>
      <c r="W652" s="12">
        <f t="shared" si="5"/>
        <v>1.05</v>
      </c>
      <c r="X652" s="12">
        <f t="shared" si="6"/>
        <v>848.6178016</v>
      </c>
      <c r="Y652" s="12">
        <f t="shared" si="7"/>
        <v>2.565619192</v>
      </c>
      <c r="Z652" s="8">
        <f t="shared" si="133"/>
        <v>413.9599032</v>
      </c>
      <c r="AA652" s="13">
        <f t="shared" si="134"/>
        <v>1.182742581</v>
      </c>
      <c r="AB652" s="13">
        <f t="shared" si="135"/>
        <v>1.182742581</v>
      </c>
      <c r="AC652" s="8"/>
      <c r="AD652" s="8"/>
      <c r="AE652" s="8">
        <f t="shared" si="142"/>
        <v>541.4020755</v>
      </c>
      <c r="AF652" s="13">
        <f t="shared" si="137"/>
        <v>1.307861151</v>
      </c>
      <c r="AG652" s="39">
        <f t="shared" si="143"/>
        <v>0</v>
      </c>
      <c r="AH652" s="40">
        <f t="shared" si="144"/>
        <v>0</v>
      </c>
      <c r="AI652" s="40">
        <f t="shared" si="145"/>
        <v>517.449879</v>
      </c>
      <c r="AJ652" s="15"/>
      <c r="AK652" s="15"/>
    </row>
    <row r="653" ht="15.75" hidden="1" customHeight="1">
      <c r="A653" s="16" t="s">
        <v>985</v>
      </c>
      <c r="B653" s="16" t="s">
        <v>985</v>
      </c>
      <c r="C653" s="16"/>
      <c r="D653" s="16">
        <v>2013.0</v>
      </c>
      <c r="E653" s="16"/>
      <c r="F653" s="16" t="b">
        <v>0</v>
      </c>
      <c r="G653" s="16" t="b">
        <v>1</v>
      </c>
      <c r="H653" s="16" t="b">
        <v>0</v>
      </c>
      <c r="I653" s="16" t="b">
        <v>0</v>
      </c>
      <c r="J653" s="16"/>
      <c r="K653" s="16">
        <v>350.0</v>
      </c>
      <c r="L653" s="16">
        <v>0.0</v>
      </c>
      <c r="M653" s="16">
        <v>1224.0</v>
      </c>
      <c r="N653" s="16">
        <v>396.2921</v>
      </c>
      <c r="O653" s="16">
        <v>300.6</v>
      </c>
      <c r="P653" s="16"/>
      <c r="Q653" s="16"/>
      <c r="R653" s="16"/>
      <c r="S653" s="19">
        <f t="shared" si="2"/>
        <v>350</v>
      </c>
      <c r="T653" s="19">
        <f t="shared" si="3"/>
        <v>33.01515345</v>
      </c>
      <c r="U653" s="20">
        <f t="shared" si="4"/>
        <v>1.061584844</v>
      </c>
      <c r="V653" s="17">
        <f t="shared" si="132"/>
        <v>420.6976873</v>
      </c>
      <c r="W653" s="21">
        <f t="shared" si="5"/>
        <v>1.05</v>
      </c>
      <c r="X653" s="21">
        <f t="shared" si="6"/>
        <v>862.430259</v>
      </c>
      <c r="Y653" s="21">
        <f t="shared" si="7"/>
        <v>2.176248931</v>
      </c>
      <c r="Z653" s="17">
        <f t="shared" si="133"/>
        <v>420.6976873</v>
      </c>
      <c r="AA653" s="13">
        <f t="shared" si="134"/>
        <v>1.201993392</v>
      </c>
      <c r="AB653" s="22">
        <f t="shared" si="135"/>
        <v>1.201993392</v>
      </c>
      <c r="AC653" s="8"/>
      <c r="AD653" s="8"/>
      <c r="AE653" s="8">
        <f t="shared" si="142"/>
        <v>541.4020755</v>
      </c>
      <c r="AF653" s="13">
        <f t="shared" si="137"/>
        <v>1.286914789</v>
      </c>
      <c r="AG653" s="39">
        <f t="shared" si="143"/>
        <v>0</v>
      </c>
      <c r="AH653" s="40">
        <f t="shared" si="144"/>
        <v>0</v>
      </c>
      <c r="AI653" s="40">
        <f t="shared" si="145"/>
        <v>525.8721091</v>
      </c>
      <c r="AJ653" s="15"/>
      <c r="AK653" s="15"/>
    </row>
    <row r="654" ht="15.75" hidden="1" customHeight="1">
      <c r="A654" s="7" t="s">
        <v>986</v>
      </c>
      <c r="B654" s="7" t="s">
        <v>986</v>
      </c>
      <c r="C654" s="7"/>
      <c r="D654" s="7">
        <v>2013.0</v>
      </c>
      <c r="E654" s="7"/>
      <c r="F654" s="7" t="b">
        <v>0</v>
      </c>
      <c r="G654" s="7" t="b">
        <v>1</v>
      </c>
      <c r="H654" s="7" t="b">
        <v>0</v>
      </c>
      <c r="I654" s="7" t="b">
        <v>0</v>
      </c>
      <c r="J654" s="7"/>
      <c r="K654" s="7">
        <v>550.0</v>
      </c>
      <c r="L654" s="7">
        <v>0.0</v>
      </c>
      <c r="M654" s="7">
        <v>2300.0</v>
      </c>
      <c r="N654" s="7">
        <v>533.3418</v>
      </c>
      <c r="O654" s="7">
        <v>294.4</v>
      </c>
      <c r="P654" s="7"/>
      <c r="Q654" s="7"/>
      <c r="R654" s="7"/>
      <c r="S654" s="10">
        <f t="shared" si="2"/>
        <v>550</v>
      </c>
      <c r="T654" s="10">
        <f t="shared" si="3"/>
        <v>23.64596865</v>
      </c>
      <c r="U654" s="11">
        <f t="shared" si="4"/>
        <v>1.164749588</v>
      </c>
      <c r="V654" s="8">
        <f t="shared" si="132"/>
        <v>621.2096418</v>
      </c>
      <c r="W654" s="12">
        <f t="shared" si="5"/>
        <v>1.05</v>
      </c>
      <c r="X654" s="12">
        <f t="shared" si="6"/>
        <v>1273.479766</v>
      </c>
      <c r="Y654" s="12">
        <f t="shared" si="7"/>
        <v>2.387736655</v>
      </c>
      <c r="Z654" s="8">
        <f t="shared" si="133"/>
        <v>621.2096418</v>
      </c>
      <c r="AA654" s="13">
        <f t="shared" si="134"/>
        <v>1.129472076</v>
      </c>
      <c r="AB654" s="13">
        <f t="shared" si="135"/>
        <v>1.129472076</v>
      </c>
      <c r="AC654" s="8"/>
      <c r="AD654" s="8"/>
      <c r="AE654" s="8">
        <f t="shared" si="142"/>
        <v>800.0062794</v>
      </c>
      <c r="AF654" s="13">
        <f t="shared" si="137"/>
        <v>1.287820126</v>
      </c>
      <c r="AG654" s="39">
        <f t="shared" si="143"/>
        <v>0</v>
      </c>
      <c r="AH654" s="40">
        <f t="shared" si="144"/>
        <v>0</v>
      </c>
      <c r="AI654" s="40">
        <f t="shared" si="145"/>
        <v>776.5120523</v>
      </c>
      <c r="AJ654" s="15"/>
      <c r="AK654" s="15"/>
    </row>
    <row r="655" ht="15.75" hidden="1" customHeight="1">
      <c r="A655" s="16" t="s">
        <v>987</v>
      </c>
      <c r="B655" s="16" t="s">
        <v>987</v>
      </c>
      <c r="C655" s="16"/>
      <c r="D655" s="16">
        <v>2018.0</v>
      </c>
      <c r="E655" s="16" t="b">
        <v>0</v>
      </c>
      <c r="F655" s="16" t="b">
        <v>0</v>
      </c>
      <c r="G655" s="16" t="b">
        <v>1</v>
      </c>
      <c r="H655" s="16" t="b">
        <v>0</v>
      </c>
      <c r="I655" s="16" t="b">
        <v>0</v>
      </c>
      <c r="J655" s="16"/>
      <c r="K655" s="16"/>
      <c r="L655" s="16">
        <v>0.0</v>
      </c>
      <c r="M655" s="16">
        <v>85500.0</v>
      </c>
      <c r="N655" s="16">
        <v>20337.0</v>
      </c>
      <c r="O655" s="16">
        <v>265.0</v>
      </c>
      <c r="P655" s="16"/>
      <c r="Q655" s="16"/>
      <c r="R655" s="16"/>
      <c r="S655" s="19">
        <f t="shared" si="2"/>
        <v>0</v>
      </c>
      <c r="T655" s="19">
        <f t="shared" si="3"/>
        <v>24.25493399</v>
      </c>
      <c r="U655" s="20">
        <f t="shared" si="4"/>
        <v>0.2878302367</v>
      </c>
      <c r="V655" s="17">
        <f t="shared" si="132"/>
        <v>5853.603525</v>
      </c>
      <c r="W655" s="21">
        <f t="shared" si="5"/>
        <v>1.05</v>
      </c>
      <c r="X655" s="21">
        <f t="shared" si="6"/>
        <v>11999.88723</v>
      </c>
      <c r="Y655" s="21">
        <f t="shared" si="7"/>
        <v>0.5900519853</v>
      </c>
      <c r="Z655" s="17">
        <f t="shared" si="133"/>
        <v>5853.603525</v>
      </c>
      <c r="AA655" s="13" t="str">
        <f t="shared" si="134"/>
        <v>#N/A</v>
      </c>
      <c r="AB655" s="22" t="str">
        <f t="shared" si="135"/>
        <v>#N/A</v>
      </c>
      <c r="AC655" s="8"/>
      <c r="AD655" s="8"/>
      <c r="AE655" s="8">
        <f t="shared" si="142"/>
        <v>7735.079989</v>
      </c>
      <c r="AF655" s="13">
        <f t="shared" si="137"/>
        <v>1.321421917</v>
      </c>
      <c r="AG655" s="39">
        <f t="shared" si="143"/>
        <v>0</v>
      </c>
      <c r="AH655" s="40">
        <f t="shared" si="144"/>
        <v>0</v>
      </c>
      <c r="AI655" s="40">
        <f t="shared" si="145"/>
        <v>7317.004406</v>
      </c>
      <c r="AJ655" s="15"/>
      <c r="AK655" s="15"/>
    </row>
    <row r="656" ht="15.75" hidden="1" customHeight="1">
      <c r="A656" s="7" t="s">
        <v>988</v>
      </c>
      <c r="B656" s="7" t="s">
        <v>988</v>
      </c>
      <c r="C656" s="7"/>
      <c r="D656" s="7">
        <v>2018.0</v>
      </c>
      <c r="E656" s="7"/>
      <c r="F656" s="7" t="b">
        <v>0</v>
      </c>
      <c r="G656" s="7" t="b">
        <v>1</v>
      </c>
      <c r="H656" s="7" t="b">
        <v>0</v>
      </c>
      <c r="I656" s="7" t="b">
        <v>0</v>
      </c>
      <c r="J656" s="7"/>
      <c r="K656" s="7">
        <v>2400.0</v>
      </c>
      <c r="L656" s="7">
        <v>0.0</v>
      </c>
      <c r="M656" s="7">
        <v>5100.0</v>
      </c>
      <c r="N656" s="7">
        <v>1658.0</v>
      </c>
      <c r="O656" s="7">
        <v>275.0</v>
      </c>
      <c r="P656" s="7"/>
      <c r="Q656" s="7"/>
      <c r="R656" s="7"/>
      <c r="S656" s="10">
        <f t="shared" si="2"/>
        <v>2400</v>
      </c>
      <c r="T656" s="10">
        <f t="shared" si="3"/>
        <v>33.15077404</v>
      </c>
      <c r="U656" s="11">
        <f t="shared" si="4"/>
        <v>0.5966631965</v>
      </c>
      <c r="V656" s="8">
        <f t="shared" si="132"/>
        <v>989.2675798</v>
      </c>
      <c r="W656" s="12">
        <f t="shared" si="5"/>
        <v>1.05</v>
      </c>
      <c r="X656" s="12">
        <f t="shared" si="6"/>
        <v>2027.998539</v>
      </c>
      <c r="Y656" s="12">
        <f t="shared" si="7"/>
        <v>1.223159553</v>
      </c>
      <c r="Z656" s="8">
        <f t="shared" si="133"/>
        <v>989.2675798</v>
      </c>
      <c r="AA656" s="13">
        <f t="shared" si="134"/>
        <v>0.4121948249</v>
      </c>
      <c r="AB656" s="13">
        <f t="shared" si="135"/>
        <v>0.4121948249</v>
      </c>
      <c r="AC656" s="8"/>
      <c r="AD656" s="8"/>
      <c r="AE656" s="8">
        <f t="shared" si="142"/>
        <v>1313.082754</v>
      </c>
      <c r="AF656" s="13">
        <f t="shared" si="137"/>
        <v>1.327328198</v>
      </c>
      <c r="AG656" s="39">
        <f t="shared" si="143"/>
        <v>0</v>
      </c>
      <c r="AH656" s="40">
        <f t="shared" si="144"/>
        <v>0</v>
      </c>
      <c r="AI656" s="40">
        <f t="shared" si="145"/>
        <v>1236.584475</v>
      </c>
      <c r="AJ656" s="15"/>
      <c r="AK656" s="15"/>
    </row>
    <row r="657" ht="15.75" hidden="1" customHeight="1">
      <c r="A657" s="16" t="s">
        <v>989</v>
      </c>
      <c r="B657" s="16" t="s">
        <v>989</v>
      </c>
      <c r="C657" s="16"/>
      <c r="D657" s="16">
        <v>2020.0</v>
      </c>
      <c r="E657" s="16"/>
      <c r="F657" s="16" t="b">
        <v>0</v>
      </c>
      <c r="G657" s="16" t="b">
        <v>1</v>
      </c>
      <c r="H657" s="16" t="b">
        <v>0</v>
      </c>
      <c r="I657" s="16" t="b">
        <v>0</v>
      </c>
      <c r="J657" s="16"/>
      <c r="K657" s="16">
        <v>2500.0</v>
      </c>
      <c r="L657" s="16">
        <v>0.0</v>
      </c>
      <c r="M657" s="16">
        <v>5400.0</v>
      </c>
      <c r="N657" s="16">
        <v>2026.0</v>
      </c>
      <c r="O657" s="16">
        <v>275.0</v>
      </c>
      <c r="P657" s="16"/>
      <c r="Q657" s="16"/>
      <c r="R657" s="16"/>
      <c r="S657" s="19">
        <f t="shared" si="2"/>
        <v>2500</v>
      </c>
      <c r="T657" s="19">
        <f t="shared" si="3"/>
        <v>38.25824151</v>
      </c>
      <c r="U657" s="20">
        <f t="shared" si="4"/>
        <v>0.5064500352</v>
      </c>
      <c r="V657" s="17">
        <f t="shared" si="132"/>
        <v>1026.067771</v>
      </c>
      <c r="W657" s="21">
        <f t="shared" si="5"/>
        <v>1.05</v>
      </c>
      <c r="X657" s="21">
        <f t="shared" si="6"/>
        <v>2103.438931</v>
      </c>
      <c r="Y657" s="21">
        <f t="shared" si="7"/>
        <v>1.038222572</v>
      </c>
      <c r="Z657" s="17">
        <f t="shared" si="133"/>
        <v>1026.067771</v>
      </c>
      <c r="AA657" s="13">
        <f t="shared" si="134"/>
        <v>0.4104271085</v>
      </c>
      <c r="AB657" s="22">
        <f t="shared" si="135"/>
        <v>0.4104271085</v>
      </c>
      <c r="AC657" s="8"/>
      <c r="AD657" s="8"/>
      <c r="AE657" s="8">
        <f t="shared" si="142"/>
        <v>1360.766098</v>
      </c>
      <c r="AF657" s="13">
        <f t="shared" si="137"/>
        <v>1.326195147</v>
      </c>
      <c r="AG657" s="39">
        <f t="shared" si="143"/>
        <v>0</v>
      </c>
      <c r="AH657" s="40">
        <f t="shared" si="144"/>
        <v>0</v>
      </c>
      <c r="AI657" s="40">
        <f t="shared" si="145"/>
        <v>1282.584714</v>
      </c>
      <c r="AJ657" s="15">
        <f t="shared" ref="AJ657:AJ663" si="146">if(countif(B$2:B657,B657)&gt;1,AA657-vlookup(B657,$B$2:$AA$664,25,false),0)</f>
        <v>0</v>
      </c>
      <c r="AK657" s="15"/>
    </row>
    <row r="658" ht="15.75" hidden="1" customHeight="1">
      <c r="A658" s="7" t="s">
        <v>990</v>
      </c>
      <c r="B658" s="7" t="s">
        <v>898</v>
      </c>
      <c r="C658" s="7"/>
      <c r="D658" s="7"/>
      <c r="E658" s="7" t="b">
        <v>0</v>
      </c>
      <c r="F658" s="7" t="b">
        <v>0</v>
      </c>
      <c r="G658" s="7" t="b">
        <v>1</v>
      </c>
      <c r="H658" s="7" t="b">
        <v>0</v>
      </c>
      <c r="I658" s="7" t="b">
        <v>0</v>
      </c>
      <c r="J658" s="7"/>
      <c r="K658" s="7"/>
      <c r="L658" s="7"/>
      <c r="M658" s="7">
        <v>99.0</v>
      </c>
      <c r="N658" s="7">
        <v>126.8</v>
      </c>
      <c r="O658" s="7">
        <v>284.95</v>
      </c>
      <c r="P658" s="7">
        <v>4.76</v>
      </c>
      <c r="Q658" s="7"/>
      <c r="R658" s="7"/>
      <c r="S658" s="10">
        <f t="shared" si="2"/>
        <v>0</v>
      </c>
      <c r="T658" s="10">
        <f t="shared" si="3"/>
        <v>130.6060762</v>
      </c>
      <c r="U658" s="11">
        <f t="shared" si="4"/>
        <v>0.861570187</v>
      </c>
      <c r="V658" s="8">
        <f t="shared" si="132"/>
        <v>109.2470997</v>
      </c>
      <c r="W658" s="12">
        <f t="shared" si="5"/>
        <v>1.05</v>
      </c>
      <c r="X658" s="12">
        <f t="shared" si="6"/>
        <v>223.9565544</v>
      </c>
      <c r="Y658" s="12">
        <f t="shared" si="7"/>
        <v>1.766218883</v>
      </c>
      <c r="Z658" s="8">
        <f t="shared" si="133"/>
        <v>109.2470997</v>
      </c>
      <c r="AA658" s="13" t="str">
        <f t="shared" si="134"/>
        <v>#N/A</v>
      </c>
      <c r="AB658" s="13" t="str">
        <f t="shared" si="135"/>
        <v>#N/A</v>
      </c>
      <c r="AC658" s="8"/>
      <c r="AD658" s="8"/>
      <c r="AE658" s="8">
        <f t="shared" si="142"/>
        <v>116.5991604</v>
      </c>
      <c r="AF658" s="13">
        <f t="shared" si="137"/>
        <v>1.067297537</v>
      </c>
      <c r="AG658" s="39">
        <f t="shared" si="143"/>
        <v>1.360669107</v>
      </c>
      <c r="AH658" s="40">
        <f t="shared" si="144"/>
        <v>138.6479473</v>
      </c>
      <c r="AI658" s="40">
        <f t="shared" si="145"/>
        <v>101.8968878</v>
      </c>
      <c r="AJ658" s="15" t="str">
        <f t="shared" si="146"/>
        <v>#N/A</v>
      </c>
      <c r="AK658" s="15"/>
    </row>
    <row r="659" ht="15.75" hidden="1" customHeight="1">
      <c r="A659" s="16" t="s">
        <v>991</v>
      </c>
      <c r="B659" s="16" t="s">
        <v>991</v>
      </c>
      <c r="C659" s="16"/>
      <c r="D659" s="16"/>
      <c r="E659" s="16"/>
      <c r="F659" s="16" t="b">
        <v>0</v>
      </c>
      <c r="G659" s="16" t="b">
        <v>1</v>
      </c>
      <c r="H659" s="16" t="b">
        <v>0</v>
      </c>
      <c r="I659" s="16" t="b">
        <v>0</v>
      </c>
      <c r="J659" s="16"/>
      <c r="K659" s="16"/>
      <c r="L659" s="16"/>
      <c r="M659" s="16">
        <v>21.77</v>
      </c>
      <c r="N659" s="16">
        <v>35.5</v>
      </c>
      <c r="O659" s="16">
        <v>204.0</v>
      </c>
      <c r="P659" s="16"/>
      <c r="Q659" s="16"/>
      <c r="R659" s="16"/>
      <c r="S659" s="19">
        <f t="shared" si="2"/>
        <v>0</v>
      </c>
      <c r="T659" s="19">
        <f t="shared" si="3"/>
        <v>166.2835345</v>
      </c>
      <c r="U659" s="20">
        <f t="shared" si="4"/>
        <v>0.7046276852</v>
      </c>
      <c r="V659" s="17">
        <f t="shared" si="132"/>
        <v>25.01428283</v>
      </c>
      <c r="W659" s="21">
        <f t="shared" si="5"/>
        <v>1.05</v>
      </c>
      <c r="X659" s="21">
        <f t="shared" si="6"/>
        <v>51.27927979</v>
      </c>
      <c r="Y659" s="21">
        <f t="shared" si="7"/>
        <v>1.444486755</v>
      </c>
      <c r="Z659" s="17">
        <f t="shared" si="133"/>
        <v>25.01428283</v>
      </c>
      <c r="AA659" s="13" t="str">
        <f t="shared" si="134"/>
        <v>#N/A</v>
      </c>
      <c r="AB659" s="22" t="str">
        <f t="shared" si="135"/>
        <v>#N/A</v>
      </c>
      <c r="AC659" s="8"/>
      <c r="AD659" s="8"/>
      <c r="AE659" s="8">
        <f t="shared" si="142"/>
        <v>47.15329523</v>
      </c>
      <c r="AF659" s="13">
        <f t="shared" si="137"/>
        <v>1.885054853</v>
      </c>
      <c r="AG659" s="39">
        <f t="shared" si="143"/>
        <v>0</v>
      </c>
      <c r="AH659" s="40">
        <f t="shared" si="144"/>
        <v>0</v>
      </c>
      <c r="AI659" s="40">
        <f t="shared" si="145"/>
        <v>31.26785353</v>
      </c>
      <c r="AJ659" s="15">
        <f t="shared" si="146"/>
        <v>0</v>
      </c>
      <c r="AK659" s="15"/>
    </row>
    <row r="660" ht="15.75" hidden="1" customHeight="1">
      <c r="A660" s="16" t="s">
        <v>992</v>
      </c>
      <c r="B660" s="16" t="s">
        <v>978</v>
      </c>
      <c r="C660" s="16"/>
      <c r="D660" s="16"/>
      <c r="E660" s="16"/>
      <c r="F660" s="16" t="b">
        <v>0</v>
      </c>
      <c r="G660" s="16" t="b">
        <v>1</v>
      </c>
      <c r="H660" s="16" t="b">
        <v>0</v>
      </c>
      <c r="I660" s="16" t="b">
        <v>0</v>
      </c>
      <c r="J660" s="16"/>
      <c r="K660" s="16"/>
      <c r="L660" s="16"/>
      <c r="M660" s="16">
        <v>36000.0</v>
      </c>
      <c r="N660" s="16">
        <v>7040.0</v>
      </c>
      <c r="O660" s="16">
        <v>277.0</v>
      </c>
      <c r="P660" s="16">
        <v>6.4</v>
      </c>
      <c r="Q660" s="16"/>
      <c r="R660" s="16"/>
      <c r="S660" s="19">
        <f t="shared" si="2"/>
        <v>0</v>
      </c>
      <c r="T660" s="19">
        <f t="shared" si="3"/>
        <v>19.941117</v>
      </c>
      <c r="U660" s="20">
        <f t="shared" si="4"/>
        <v>0.5601301288</v>
      </c>
      <c r="V660" s="17">
        <f t="shared" si="132"/>
        <v>3943.316107</v>
      </c>
      <c r="W660" s="21">
        <f t="shared" si="5"/>
        <v>1.05</v>
      </c>
      <c r="X660" s="21">
        <f t="shared" si="6"/>
        <v>8083.798019</v>
      </c>
      <c r="Y660" s="21">
        <f t="shared" si="7"/>
        <v>1.148266764</v>
      </c>
      <c r="Z660" s="17">
        <f t="shared" si="133"/>
        <v>3943.316107</v>
      </c>
      <c r="AA660" s="13" t="str">
        <f t="shared" si="134"/>
        <v>#N/A</v>
      </c>
      <c r="AB660" s="22" t="str">
        <f t="shared" si="135"/>
        <v>#N/A</v>
      </c>
      <c r="AC660" s="8"/>
      <c r="AD660" s="8"/>
      <c r="AE660" s="8">
        <f t="shared" si="142"/>
        <v>4476.75385</v>
      </c>
      <c r="AF660" s="13">
        <f t="shared" si="137"/>
        <v>1.135276434</v>
      </c>
      <c r="AG660" s="39">
        <f t="shared" si="143"/>
        <v>0.5525725016</v>
      </c>
      <c r="AH660" s="40">
        <f t="shared" si="144"/>
        <v>2393.117347</v>
      </c>
      <c r="AI660" s="40">
        <f t="shared" si="145"/>
        <v>4330.865797</v>
      </c>
      <c r="AJ660" s="15" t="str">
        <f t="shared" si="146"/>
        <v>#N/A</v>
      </c>
      <c r="AK660" s="15"/>
    </row>
    <row r="661" ht="15.75" hidden="1" customHeight="1">
      <c r="A661" s="16" t="s">
        <v>993</v>
      </c>
      <c r="B661" s="16" t="s">
        <v>994</v>
      </c>
      <c r="C661" s="16"/>
      <c r="D661" s="16"/>
      <c r="E661" s="16"/>
      <c r="F661" s="16" t="b">
        <v>0</v>
      </c>
      <c r="G661" s="16" t="b">
        <v>1</v>
      </c>
      <c r="H661" s="16" t="b">
        <v>0</v>
      </c>
      <c r="I661" s="16" t="b">
        <v>0</v>
      </c>
      <c r="J661" s="16"/>
      <c r="K661" s="16"/>
      <c r="L661" s="16"/>
      <c r="M661" s="16">
        <v>17.55</v>
      </c>
      <c r="N661" s="16">
        <v>21.35</v>
      </c>
      <c r="O661" s="16">
        <v>282.0</v>
      </c>
      <c r="P661" s="16">
        <v>5.56</v>
      </c>
      <c r="Q661" s="16"/>
      <c r="R661" s="16"/>
      <c r="S661" s="19">
        <f t="shared" si="2"/>
        <v>0</v>
      </c>
      <c r="T661" s="19">
        <f t="shared" si="3"/>
        <v>124.0509463</v>
      </c>
      <c r="U661" s="20">
        <f t="shared" si="4"/>
        <v>1.88503068</v>
      </c>
      <c r="V661" s="17">
        <f t="shared" si="132"/>
        <v>40.24540501</v>
      </c>
      <c r="W661" s="21">
        <f t="shared" si="5"/>
        <v>1.05</v>
      </c>
      <c r="X661" s="21">
        <f t="shared" si="6"/>
        <v>82.50308027</v>
      </c>
      <c r="Y661" s="21">
        <f t="shared" si="7"/>
        <v>3.864312893</v>
      </c>
      <c r="Z661" s="17">
        <f t="shared" si="133"/>
        <v>40.24540501</v>
      </c>
      <c r="AA661" s="13" t="str">
        <f t="shared" si="134"/>
        <v>#N/A</v>
      </c>
      <c r="AB661" s="22" t="str">
        <f t="shared" si="135"/>
        <v>#N/A</v>
      </c>
      <c r="AC661" s="8"/>
      <c r="AD661" s="8"/>
      <c r="AE661" s="8">
        <f t="shared" si="142"/>
        <v>41.51077214</v>
      </c>
      <c r="AF661" s="13">
        <f t="shared" si="137"/>
        <v>1.031441282</v>
      </c>
      <c r="AG661" s="39">
        <f t="shared" si="143"/>
        <v>2.005251362</v>
      </c>
      <c r="AH661" s="40">
        <f t="shared" si="144"/>
        <v>67.19298523</v>
      </c>
      <c r="AI661" s="40">
        <f t="shared" si="145"/>
        <v>33.50850995</v>
      </c>
      <c r="AJ661" s="15">
        <f t="shared" si="146"/>
        <v>0</v>
      </c>
      <c r="AK661" s="15"/>
    </row>
    <row r="662" ht="15.75" hidden="1" customHeight="1">
      <c r="A662" s="16" t="s">
        <v>995</v>
      </c>
      <c r="B662" s="16" t="s">
        <v>939</v>
      </c>
      <c r="C662" s="16"/>
      <c r="D662" s="16"/>
      <c r="E662" s="16"/>
      <c r="F662" s="16" t="b">
        <v>0</v>
      </c>
      <c r="G662" s="16" t="b">
        <v>1</v>
      </c>
      <c r="H662" s="16" t="b">
        <v>0</v>
      </c>
      <c r="I662" s="16" t="b">
        <v>0</v>
      </c>
      <c r="J662" s="16"/>
      <c r="K662" s="16">
        <v>220.0</v>
      </c>
      <c r="L662" s="16"/>
      <c r="M662" s="16">
        <v>26.67</v>
      </c>
      <c r="N662" s="16">
        <v>23.4</v>
      </c>
      <c r="O662" s="16">
        <v>291.4</v>
      </c>
      <c r="P662" s="16">
        <v>4.11</v>
      </c>
      <c r="Q662" s="16"/>
      <c r="R662" s="16"/>
      <c r="S662" s="19">
        <f t="shared" si="2"/>
        <v>220</v>
      </c>
      <c r="T662" s="19">
        <f t="shared" si="3"/>
        <v>89.46891381</v>
      </c>
      <c r="U662" s="20">
        <f t="shared" si="4"/>
        <v>2.134359154</v>
      </c>
      <c r="V662" s="17">
        <f t="shared" si="132"/>
        <v>49.94400421</v>
      </c>
      <c r="W662" s="21">
        <f t="shared" si="5"/>
        <v>1.05</v>
      </c>
      <c r="X662" s="21">
        <f t="shared" si="6"/>
        <v>102.3852086</v>
      </c>
      <c r="Y662" s="21">
        <f t="shared" si="7"/>
        <v>4.375436266</v>
      </c>
      <c r="Z662" s="17">
        <f t="shared" si="133"/>
        <v>49.94400421</v>
      </c>
      <c r="AA662" s="13">
        <f t="shared" si="134"/>
        <v>0.2270182009</v>
      </c>
      <c r="AB662" s="22">
        <f t="shared" si="135"/>
        <v>0.2270182009</v>
      </c>
      <c r="AC662" s="8"/>
      <c r="AD662" s="8"/>
      <c r="AE662" s="8">
        <f t="shared" si="142"/>
        <v>53.18606411</v>
      </c>
      <c r="AF662" s="13">
        <f t="shared" si="137"/>
        <v>1.064913896</v>
      </c>
      <c r="AG662" s="39">
        <f t="shared" si="143"/>
        <v>1.585511872</v>
      </c>
      <c r="AH662" s="40">
        <f t="shared" si="144"/>
        <v>70.88590393</v>
      </c>
      <c r="AI662" s="40">
        <f t="shared" si="145"/>
        <v>44.70852928</v>
      </c>
      <c r="AJ662" s="39">
        <f t="shared" si="146"/>
        <v>-46.45490854</v>
      </c>
      <c r="AK662" s="15"/>
    </row>
    <row r="663" ht="15.75" hidden="1" customHeight="1">
      <c r="A663" s="16" t="s">
        <v>996</v>
      </c>
      <c r="B663" s="16" t="s">
        <v>997</v>
      </c>
      <c r="C663" s="16"/>
      <c r="D663" s="16"/>
      <c r="E663" s="16"/>
      <c r="F663" s="16" t="b">
        <v>0</v>
      </c>
      <c r="G663" s="16" t="b">
        <v>1</v>
      </c>
      <c r="H663" s="16" t="b">
        <v>0</v>
      </c>
      <c r="I663" s="16" t="b">
        <v>0</v>
      </c>
      <c r="J663" s="16"/>
      <c r="K663" s="16"/>
      <c r="L663" s="16"/>
      <c r="M663" s="16">
        <v>32.84</v>
      </c>
      <c r="N663" s="16">
        <v>30.9</v>
      </c>
      <c r="O663" s="16">
        <v>292.3</v>
      </c>
      <c r="P663" s="16">
        <v>3.56</v>
      </c>
      <c r="Q663" s="16"/>
      <c r="R663" s="16"/>
      <c r="S663" s="19">
        <f t="shared" si="2"/>
        <v>0</v>
      </c>
      <c r="T663" s="19">
        <f t="shared" si="3"/>
        <v>95.94771891</v>
      </c>
      <c r="U663" s="20">
        <f t="shared" si="4"/>
        <v>1.7973532</v>
      </c>
      <c r="V663" s="17">
        <f t="shared" si="132"/>
        <v>55.53821388</v>
      </c>
      <c r="W663" s="21">
        <f t="shared" si="5"/>
        <v>1.05</v>
      </c>
      <c r="X663" s="21">
        <f t="shared" si="6"/>
        <v>113.8533385</v>
      </c>
      <c r="Y663" s="21">
        <f t="shared" si="7"/>
        <v>3.68457406</v>
      </c>
      <c r="Z663" s="17">
        <f t="shared" si="133"/>
        <v>55.53821388</v>
      </c>
      <c r="AA663" s="13" t="str">
        <f t="shared" si="134"/>
        <v>#N/A</v>
      </c>
      <c r="AB663" s="22" t="str">
        <f t="shared" si="135"/>
        <v>#N/A</v>
      </c>
      <c r="AC663" s="8"/>
      <c r="AD663" s="8"/>
      <c r="AE663" s="8">
        <f t="shared" si="142"/>
        <v>60.19144537</v>
      </c>
      <c r="AF663" s="13">
        <f t="shared" si="137"/>
        <v>1.08378432</v>
      </c>
      <c r="AG663" s="39">
        <f t="shared" si="143"/>
        <v>1.427037623</v>
      </c>
      <c r="AH663" s="40">
        <f t="shared" si="144"/>
        <v>73.01876847</v>
      </c>
      <c r="AI663" s="40">
        <f t="shared" si="145"/>
        <v>51.16807524</v>
      </c>
      <c r="AJ663" s="15">
        <f t="shared" si="146"/>
        <v>0</v>
      </c>
      <c r="AK663" s="15"/>
    </row>
    <row r="664" ht="15.75" customHeight="1">
      <c r="U664" s="41"/>
      <c r="V664" s="42"/>
      <c r="Z664" s="42"/>
      <c r="AC664" s="42"/>
      <c r="AD664" s="42"/>
      <c r="AE664" s="42"/>
      <c r="AG664" s="39"/>
      <c r="AH664" s="39"/>
      <c r="AI664" s="43"/>
      <c r="AJ664" s="15"/>
      <c r="AK664" s="15"/>
    </row>
    <row r="665" ht="15.75" customHeight="1">
      <c r="U665" s="41"/>
      <c r="V665" s="42"/>
      <c r="Z665" s="42"/>
      <c r="AC665" s="42"/>
      <c r="AD665" s="42"/>
      <c r="AE665" s="42"/>
      <c r="AI665" s="43"/>
      <c r="AJ665" s="43"/>
      <c r="AK665" s="43"/>
    </row>
    <row r="666" ht="15.75" customHeight="1">
      <c r="U666" s="41"/>
      <c r="V666" s="42"/>
      <c r="Z666" s="42"/>
      <c r="AC666" s="42"/>
      <c r="AD666" s="42"/>
      <c r="AE666" s="42"/>
      <c r="AI666" s="43"/>
      <c r="AJ666" s="43"/>
      <c r="AK666" s="43"/>
    </row>
    <row r="667" ht="15.75" customHeight="1">
      <c r="U667" s="41"/>
      <c r="V667" s="42"/>
      <c r="Z667" s="42"/>
      <c r="AC667" s="42"/>
      <c r="AD667" s="42"/>
      <c r="AE667" s="42"/>
      <c r="AI667" s="43"/>
      <c r="AJ667" s="43"/>
      <c r="AK667" s="43"/>
    </row>
    <row r="668" ht="15.75" customHeight="1">
      <c r="U668" s="41"/>
      <c r="V668" s="42"/>
      <c r="Z668" s="42"/>
      <c r="AC668" s="42"/>
      <c r="AD668" s="42"/>
      <c r="AE668" s="42"/>
      <c r="AI668" s="43"/>
      <c r="AJ668" s="43"/>
      <c r="AK668" s="43"/>
    </row>
    <row r="669" ht="15.75" customHeight="1">
      <c r="U669" s="41"/>
      <c r="V669" s="42"/>
      <c r="Z669" s="42"/>
      <c r="AC669" s="42"/>
      <c r="AD669" s="42"/>
      <c r="AE669" s="42"/>
      <c r="AI669" s="43"/>
      <c r="AJ669" s="43"/>
      <c r="AK669" s="43"/>
    </row>
    <row r="670" ht="15.75" customHeight="1">
      <c r="U670" s="41"/>
      <c r="V670" s="42"/>
      <c r="Z670" s="42"/>
      <c r="AC670" s="42"/>
      <c r="AD670" s="42"/>
      <c r="AE670" s="42"/>
      <c r="AI670" s="43"/>
      <c r="AJ670" s="43"/>
      <c r="AK670" s="43"/>
    </row>
    <row r="671" ht="15.75" customHeight="1">
      <c r="U671" s="41"/>
      <c r="V671" s="42"/>
      <c r="Z671" s="42"/>
      <c r="AC671" s="42"/>
      <c r="AD671" s="42"/>
      <c r="AE671" s="42"/>
      <c r="AI671" s="43"/>
      <c r="AJ671" s="43"/>
      <c r="AK671" s="43"/>
    </row>
    <row r="672" ht="15.75" customHeight="1">
      <c r="U672" s="41"/>
      <c r="V672" s="42"/>
      <c r="Z672" s="42"/>
      <c r="AC672" s="42"/>
      <c r="AD672" s="42"/>
      <c r="AE672" s="42"/>
      <c r="AI672" s="43"/>
      <c r="AJ672" s="43"/>
      <c r="AK672" s="43"/>
    </row>
    <row r="673" ht="15.75" customHeight="1">
      <c r="U673" s="41"/>
      <c r="V673" s="42"/>
      <c r="Z673" s="42"/>
      <c r="AC673" s="42"/>
      <c r="AD673" s="42"/>
      <c r="AE673" s="42"/>
      <c r="AI673" s="43"/>
      <c r="AJ673" s="43"/>
      <c r="AK673" s="43"/>
    </row>
    <row r="674" ht="15.75" customHeight="1">
      <c r="U674" s="41"/>
      <c r="V674" s="42"/>
      <c r="Z674" s="42"/>
      <c r="AC674" s="42"/>
      <c r="AD674" s="42"/>
      <c r="AE674" s="42"/>
      <c r="AI674" s="43"/>
      <c r="AJ674" s="43"/>
      <c r="AK674" s="43"/>
    </row>
    <row r="675" ht="15.75" customHeight="1">
      <c r="U675" s="41"/>
      <c r="V675" s="42"/>
      <c r="Z675" s="42"/>
      <c r="AC675" s="42"/>
      <c r="AD675" s="42"/>
      <c r="AE675" s="42"/>
      <c r="AI675" s="43"/>
      <c r="AJ675" s="43"/>
      <c r="AK675" s="43"/>
    </row>
    <row r="676" ht="15.75" customHeight="1">
      <c r="U676" s="41"/>
      <c r="V676" s="42"/>
      <c r="Z676" s="42"/>
      <c r="AC676" s="42"/>
      <c r="AD676" s="42"/>
      <c r="AE676" s="42"/>
      <c r="AI676" s="43"/>
      <c r="AJ676" s="43"/>
      <c r="AK676" s="43"/>
    </row>
    <row r="677" ht="15.75" customHeight="1">
      <c r="U677" s="41"/>
      <c r="V677" s="42"/>
      <c r="Z677" s="42"/>
      <c r="AC677" s="42"/>
      <c r="AD677" s="42"/>
      <c r="AE677" s="42"/>
      <c r="AI677" s="43"/>
      <c r="AJ677" s="43"/>
      <c r="AK677" s="43"/>
    </row>
    <row r="678" ht="15.75" customHeight="1">
      <c r="U678" s="41"/>
      <c r="V678" s="42"/>
      <c r="Z678" s="42"/>
      <c r="AC678" s="42"/>
      <c r="AD678" s="42"/>
      <c r="AE678" s="42"/>
      <c r="AI678" s="43"/>
      <c r="AJ678" s="43"/>
      <c r="AK678" s="43"/>
    </row>
    <row r="679" ht="15.75" customHeight="1">
      <c r="U679" s="41"/>
      <c r="V679" s="42"/>
      <c r="Z679" s="42"/>
      <c r="AC679" s="42"/>
      <c r="AD679" s="42"/>
      <c r="AE679" s="42"/>
      <c r="AI679" s="43"/>
      <c r="AJ679" s="43"/>
      <c r="AK679" s="43"/>
    </row>
    <row r="680" ht="15.75" customHeight="1">
      <c r="U680" s="41"/>
      <c r="V680" s="42"/>
      <c r="Z680" s="42"/>
      <c r="AC680" s="42"/>
      <c r="AD680" s="42"/>
      <c r="AE680" s="42"/>
      <c r="AI680" s="43"/>
      <c r="AJ680" s="43"/>
      <c r="AK680" s="43"/>
    </row>
    <row r="681" ht="15.75" customHeight="1">
      <c r="U681" s="41"/>
      <c r="V681" s="42"/>
      <c r="Z681" s="42"/>
      <c r="AC681" s="42"/>
      <c r="AD681" s="42"/>
      <c r="AE681" s="42"/>
      <c r="AI681" s="43"/>
      <c r="AJ681" s="43"/>
      <c r="AK681" s="43"/>
    </row>
    <row r="682" ht="15.75" customHeight="1">
      <c r="U682" s="41"/>
      <c r="V682" s="42"/>
      <c r="Z682" s="42"/>
      <c r="AC682" s="42"/>
      <c r="AD682" s="42"/>
      <c r="AE682" s="42"/>
      <c r="AI682" s="43"/>
      <c r="AJ682" s="43"/>
      <c r="AK682" s="43"/>
    </row>
    <row r="683" ht="15.75" customHeight="1">
      <c r="U683" s="41"/>
      <c r="V683" s="42"/>
      <c r="Z683" s="42"/>
      <c r="AC683" s="42"/>
      <c r="AD683" s="42"/>
      <c r="AE683" s="42"/>
      <c r="AI683" s="43"/>
      <c r="AJ683" s="43"/>
      <c r="AK683" s="43"/>
    </row>
    <row r="684" ht="15.75" customHeight="1">
      <c r="U684" s="41"/>
      <c r="V684" s="42"/>
      <c r="Z684" s="42"/>
      <c r="AC684" s="42"/>
      <c r="AD684" s="42"/>
      <c r="AE684" s="42"/>
      <c r="AI684" s="43"/>
      <c r="AJ684" s="43"/>
      <c r="AK684" s="43"/>
    </row>
    <row r="685" ht="15.75" customHeight="1">
      <c r="U685" s="41"/>
      <c r="V685" s="42"/>
      <c r="Z685" s="42"/>
      <c r="AC685" s="42"/>
      <c r="AD685" s="42"/>
      <c r="AE685" s="42"/>
      <c r="AI685" s="43"/>
      <c r="AJ685" s="43"/>
      <c r="AK685" s="43"/>
    </row>
    <row r="686" ht="15.75" customHeight="1">
      <c r="U686" s="41"/>
      <c r="V686" s="42"/>
      <c r="Z686" s="42"/>
      <c r="AC686" s="42"/>
      <c r="AD686" s="42"/>
      <c r="AE686" s="42"/>
      <c r="AI686" s="43"/>
      <c r="AJ686" s="43"/>
      <c r="AK686" s="43"/>
    </row>
    <row r="687" ht="15.75" customHeight="1">
      <c r="U687" s="41"/>
      <c r="V687" s="42"/>
      <c r="Z687" s="42"/>
      <c r="AC687" s="42"/>
      <c r="AD687" s="42"/>
      <c r="AE687" s="42"/>
      <c r="AI687" s="43"/>
      <c r="AJ687" s="43"/>
      <c r="AK687" s="43"/>
    </row>
    <row r="688" ht="15.75" customHeight="1">
      <c r="U688" s="41"/>
      <c r="V688" s="42"/>
      <c r="Z688" s="42"/>
      <c r="AC688" s="42"/>
      <c r="AD688" s="42"/>
      <c r="AE688" s="42"/>
      <c r="AI688" s="43"/>
      <c r="AJ688" s="43"/>
      <c r="AK688" s="43"/>
    </row>
    <row r="689" ht="15.75" customHeight="1">
      <c r="U689" s="41"/>
      <c r="V689" s="42"/>
      <c r="Z689" s="42"/>
      <c r="AC689" s="42"/>
      <c r="AD689" s="42"/>
      <c r="AE689" s="42"/>
      <c r="AI689" s="43"/>
      <c r="AJ689" s="43"/>
      <c r="AK689" s="43"/>
    </row>
    <row r="690" ht="15.75" customHeight="1">
      <c r="U690" s="41"/>
      <c r="V690" s="42"/>
      <c r="Z690" s="42"/>
      <c r="AC690" s="42"/>
      <c r="AD690" s="42"/>
      <c r="AE690" s="42"/>
      <c r="AI690" s="43"/>
      <c r="AJ690" s="43"/>
      <c r="AK690" s="43"/>
    </row>
    <row r="691" ht="15.75" customHeight="1">
      <c r="U691" s="41"/>
      <c r="V691" s="42"/>
      <c r="Z691" s="42"/>
      <c r="AC691" s="42"/>
      <c r="AD691" s="42"/>
      <c r="AE691" s="42"/>
      <c r="AI691" s="43"/>
      <c r="AJ691" s="43"/>
      <c r="AK691" s="43"/>
    </row>
    <row r="692" ht="15.75" customHeight="1">
      <c r="U692" s="41"/>
      <c r="V692" s="42"/>
      <c r="Z692" s="42"/>
      <c r="AC692" s="42"/>
      <c r="AD692" s="42"/>
      <c r="AE692" s="42"/>
      <c r="AI692" s="43"/>
      <c r="AJ692" s="43"/>
      <c r="AK692" s="43"/>
    </row>
    <row r="693" ht="15.75" customHeight="1">
      <c r="U693" s="41"/>
      <c r="V693" s="42"/>
      <c r="Z693" s="42"/>
      <c r="AC693" s="42"/>
      <c r="AD693" s="42"/>
      <c r="AE693" s="42"/>
      <c r="AI693" s="43"/>
      <c r="AJ693" s="43"/>
      <c r="AK693" s="43"/>
    </row>
    <row r="694" ht="15.75" customHeight="1">
      <c r="U694" s="41"/>
      <c r="V694" s="42"/>
      <c r="Z694" s="42"/>
      <c r="AC694" s="42"/>
      <c r="AD694" s="42"/>
      <c r="AE694" s="42"/>
      <c r="AI694" s="43"/>
      <c r="AJ694" s="43"/>
      <c r="AK694" s="43"/>
    </row>
    <row r="695" ht="15.75" customHeight="1">
      <c r="U695" s="41"/>
      <c r="V695" s="42"/>
      <c r="Z695" s="42"/>
      <c r="AC695" s="42"/>
      <c r="AD695" s="42"/>
      <c r="AE695" s="42"/>
      <c r="AI695" s="43"/>
      <c r="AJ695" s="43"/>
      <c r="AK695" s="43"/>
    </row>
    <row r="696" ht="15.75" customHeight="1">
      <c r="U696" s="41"/>
      <c r="V696" s="42"/>
      <c r="Z696" s="42"/>
      <c r="AC696" s="42"/>
      <c r="AD696" s="42"/>
      <c r="AE696" s="42"/>
      <c r="AI696" s="43"/>
      <c r="AJ696" s="43"/>
      <c r="AK696" s="43"/>
    </row>
    <row r="697" ht="15.75" customHeight="1">
      <c r="U697" s="41"/>
      <c r="V697" s="42"/>
      <c r="Z697" s="42"/>
      <c r="AC697" s="42"/>
      <c r="AD697" s="42"/>
      <c r="AE697" s="42"/>
      <c r="AI697" s="43"/>
      <c r="AJ697" s="43"/>
      <c r="AK697" s="43"/>
    </row>
    <row r="698" ht="15.75" customHeight="1">
      <c r="U698" s="41"/>
      <c r="V698" s="42"/>
      <c r="Z698" s="42"/>
      <c r="AC698" s="42"/>
      <c r="AD698" s="42"/>
      <c r="AE698" s="42"/>
      <c r="AI698" s="43"/>
      <c r="AJ698" s="43"/>
      <c r="AK698" s="43"/>
    </row>
    <row r="699" ht="15.75" customHeight="1">
      <c r="U699" s="41"/>
      <c r="V699" s="42"/>
      <c r="Z699" s="42"/>
      <c r="AC699" s="42"/>
      <c r="AD699" s="42"/>
      <c r="AE699" s="42"/>
      <c r="AI699" s="43"/>
      <c r="AJ699" s="43"/>
      <c r="AK699" s="43"/>
    </row>
    <row r="700" ht="15.75" customHeight="1">
      <c r="U700" s="41"/>
      <c r="V700" s="42"/>
      <c r="Z700" s="42"/>
      <c r="AC700" s="42"/>
      <c r="AD700" s="42"/>
      <c r="AE700" s="42"/>
      <c r="AI700" s="43"/>
      <c r="AJ700" s="43"/>
      <c r="AK700" s="43"/>
    </row>
    <row r="701" ht="15.75" customHeight="1">
      <c r="U701" s="41"/>
      <c r="V701" s="42"/>
      <c r="Z701" s="42"/>
      <c r="AC701" s="42"/>
      <c r="AD701" s="42"/>
      <c r="AE701" s="42"/>
      <c r="AI701" s="43"/>
      <c r="AJ701" s="43"/>
      <c r="AK701" s="43"/>
    </row>
    <row r="702" ht="15.75" customHeight="1">
      <c r="U702" s="41"/>
      <c r="V702" s="42"/>
      <c r="Z702" s="42"/>
      <c r="AC702" s="42"/>
      <c r="AD702" s="42"/>
      <c r="AE702" s="42"/>
      <c r="AI702" s="43"/>
      <c r="AJ702" s="43"/>
      <c r="AK702" s="43"/>
    </row>
    <row r="703" ht="15.75" customHeight="1">
      <c r="U703" s="41"/>
      <c r="V703" s="42"/>
      <c r="Z703" s="42"/>
      <c r="AC703" s="42"/>
      <c r="AD703" s="42"/>
      <c r="AE703" s="42"/>
      <c r="AI703" s="43"/>
      <c r="AJ703" s="43"/>
      <c r="AK703" s="43"/>
    </row>
    <row r="704" ht="15.75" customHeight="1">
      <c r="U704" s="41"/>
      <c r="V704" s="42"/>
      <c r="Z704" s="42"/>
      <c r="AC704" s="42"/>
      <c r="AD704" s="42"/>
      <c r="AE704" s="42"/>
      <c r="AI704" s="43"/>
      <c r="AJ704" s="43"/>
      <c r="AK704" s="43"/>
    </row>
    <row r="705" ht="15.75" customHeight="1">
      <c r="U705" s="41"/>
      <c r="V705" s="42"/>
      <c r="Z705" s="42"/>
      <c r="AC705" s="42"/>
      <c r="AD705" s="42"/>
      <c r="AE705" s="42"/>
      <c r="AI705" s="43"/>
      <c r="AJ705" s="43"/>
      <c r="AK705" s="43"/>
    </row>
    <row r="706" ht="15.75" customHeight="1">
      <c r="U706" s="41"/>
      <c r="V706" s="42"/>
      <c r="Z706" s="42"/>
      <c r="AC706" s="42"/>
      <c r="AD706" s="42"/>
      <c r="AE706" s="42"/>
      <c r="AI706" s="43"/>
      <c r="AJ706" s="43"/>
      <c r="AK706" s="43"/>
    </row>
    <row r="707" ht="15.75" customHeight="1">
      <c r="U707" s="41"/>
      <c r="V707" s="42"/>
      <c r="Z707" s="42"/>
      <c r="AC707" s="42"/>
      <c r="AD707" s="42"/>
      <c r="AE707" s="42"/>
      <c r="AI707" s="43"/>
      <c r="AJ707" s="43"/>
      <c r="AK707" s="43"/>
    </row>
    <row r="708" ht="15.75" customHeight="1">
      <c r="U708" s="41"/>
      <c r="V708" s="42"/>
      <c r="Z708" s="42"/>
      <c r="AC708" s="42"/>
      <c r="AD708" s="42"/>
      <c r="AE708" s="42"/>
      <c r="AI708" s="43"/>
      <c r="AJ708" s="43"/>
      <c r="AK708" s="43"/>
    </row>
    <row r="709" ht="15.75" customHeight="1">
      <c r="U709" s="41"/>
      <c r="V709" s="42"/>
      <c r="Z709" s="42"/>
      <c r="AC709" s="42"/>
      <c r="AD709" s="42"/>
      <c r="AE709" s="42"/>
      <c r="AI709" s="43"/>
      <c r="AJ709" s="43"/>
      <c r="AK709" s="43"/>
    </row>
    <row r="710" ht="15.75" customHeight="1">
      <c r="U710" s="41"/>
      <c r="V710" s="42"/>
      <c r="Z710" s="42"/>
      <c r="AC710" s="42"/>
      <c r="AD710" s="42"/>
      <c r="AE710" s="42"/>
      <c r="AI710" s="43"/>
      <c r="AJ710" s="43"/>
      <c r="AK710" s="43"/>
    </row>
    <row r="711" ht="15.75" customHeight="1">
      <c r="U711" s="41"/>
      <c r="V711" s="42"/>
      <c r="Z711" s="42"/>
      <c r="AC711" s="42"/>
      <c r="AD711" s="42"/>
      <c r="AE711" s="42"/>
      <c r="AI711" s="43"/>
      <c r="AJ711" s="43"/>
      <c r="AK711" s="43"/>
    </row>
    <row r="712" ht="15.75" customHeight="1">
      <c r="U712" s="41"/>
      <c r="V712" s="42"/>
      <c r="Z712" s="42"/>
      <c r="AC712" s="42"/>
      <c r="AD712" s="42"/>
      <c r="AE712" s="42"/>
      <c r="AI712" s="43"/>
      <c r="AJ712" s="43"/>
      <c r="AK712" s="43"/>
    </row>
    <row r="713" ht="15.75" customHeight="1">
      <c r="U713" s="41"/>
      <c r="V713" s="42"/>
      <c r="Z713" s="42"/>
      <c r="AC713" s="42"/>
      <c r="AD713" s="42"/>
      <c r="AE713" s="42"/>
      <c r="AI713" s="43"/>
      <c r="AJ713" s="43"/>
      <c r="AK713" s="43"/>
    </row>
    <row r="714" ht="15.75" customHeight="1">
      <c r="U714" s="41"/>
      <c r="V714" s="42"/>
      <c r="Z714" s="42"/>
      <c r="AC714" s="42"/>
      <c r="AD714" s="42"/>
      <c r="AE714" s="42"/>
      <c r="AI714" s="43"/>
      <c r="AJ714" s="43"/>
      <c r="AK714" s="43"/>
    </row>
    <row r="715" ht="15.75" customHeight="1">
      <c r="U715" s="41"/>
      <c r="V715" s="42"/>
      <c r="Z715" s="42"/>
      <c r="AC715" s="42"/>
      <c r="AD715" s="42"/>
      <c r="AE715" s="42"/>
      <c r="AI715" s="43"/>
      <c r="AJ715" s="43"/>
      <c r="AK715" s="43"/>
    </row>
    <row r="716" ht="15.75" customHeight="1">
      <c r="U716" s="41"/>
      <c r="V716" s="42"/>
      <c r="Z716" s="42"/>
      <c r="AC716" s="42"/>
      <c r="AD716" s="42"/>
      <c r="AE716" s="42"/>
      <c r="AI716" s="43"/>
      <c r="AJ716" s="43"/>
      <c r="AK716" s="43"/>
    </row>
    <row r="717" ht="15.75" customHeight="1">
      <c r="U717" s="41"/>
      <c r="V717" s="42"/>
      <c r="Z717" s="42"/>
      <c r="AC717" s="42"/>
      <c r="AD717" s="42"/>
      <c r="AE717" s="42"/>
      <c r="AI717" s="43"/>
      <c r="AJ717" s="43"/>
      <c r="AK717" s="43"/>
    </row>
    <row r="718" ht="15.75" customHeight="1">
      <c r="U718" s="41"/>
      <c r="V718" s="42"/>
      <c r="Z718" s="42"/>
      <c r="AC718" s="42"/>
      <c r="AD718" s="42"/>
      <c r="AE718" s="42"/>
      <c r="AI718" s="43"/>
      <c r="AJ718" s="43"/>
      <c r="AK718" s="43"/>
    </row>
    <row r="719" ht="15.75" customHeight="1">
      <c r="U719" s="41"/>
      <c r="V719" s="42"/>
      <c r="Z719" s="42"/>
      <c r="AC719" s="42"/>
      <c r="AD719" s="42"/>
      <c r="AE719" s="42"/>
      <c r="AI719" s="43"/>
      <c r="AJ719" s="43"/>
      <c r="AK719" s="43"/>
    </row>
    <row r="720" ht="15.75" customHeight="1">
      <c r="U720" s="41"/>
      <c r="V720" s="42"/>
      <c r="Z720" s="42"/>
      <c r="AC720" s="42"/>
      <c r="AD720" s="42"/>
      <c r="AE720" s="42"/>
      <c r="AI720" s="43"/>
      <c r="AJ720" s="43"/>
      <c r="AK720" s="43"/>
    </row>
    <row r="721" ht="15.75" customHeight="1">
      <c r="U721" s="41"/>
      <c r="V721" s="42"/>
      <c r="Z721" s="42"/>
      <c r="AC721" s="42"/>
      <c r="AD721" s="42"/>
      <c r="AE721" s="42"/>
      <c r="AI721" s="43"/>
      <c r="AJ721" s="43"/>
      <c r="AK721" s="43"/>
    </row>
    <row r="722" ht="15.75" customHeight="1">
      <c r="U722" s="41"/>
      <c r="V722" s="42"/>
      <c r="Z722" s="42"/>
      <c r="AC722" s="42"/>
      <c r="AD722" s="42"/>
      <c r="AE722" s="42"/>
      <c r="AI722" s="43"/>
      <c r="AJ722" s="43"/>
      <c r="AK722" s="43"/>
    </row>
    <row r="723" ht="15.75" customHeight="1">
      <c r="U723" s="41"/>
      <c r="V723" s="42"/>
      <c r="Z723" s="42"/>
      <c r="AC723" s="42"/>
      <c r="AD723" s="42"/>
      <c r="AE723" s="42"/>
      <c r="AI723" s="43"/>
      <c r="AJ723" s="43"/>
      <c r="AK723" s="43"/>
    </row>
    <row r="724" ht="15.75" customHeight="1">
      <c r="U724" s="41"/>
      <c r="V724" s="42"/>
      <c r="Z724" s="42"/>
      <c r="AC724" s="42"/>
      <c r="AD724" s="42"/>
      <c r="AE724" s="42"/>
      <c r="AI724" s="43"/>
      <c r="AJ724" s="43"/>
      <c r="AK724" s="43"/>
    </row>
    <row r="725" ht="15.75" customHeight="1">
      <c r="U725" s="41"/>
      <c r="V725" s="42"/>
      <c r="Z725" s="42"/>
      <c r="AC725" s="42"/>
      <c r="AD725" s="42"/>
      <c r="AE725" s="42"/>
      <c r="AI725" s="43"/>
      <c r="AJ725" s="43"/>
      <c r="AK725" s="43"/>
    </row>
    <row r="726" ht="15.75" customHeight="1">
      <c r="U726" s="41"/>
      <c r="V726" s="42"/>
      <c r="Z726" s="42"/>
      <c r="AC726" s="42"/>
      <c r="AD726" s="42"/>
      <c r="AE726" s="42"/>
      <c r="AI726" s="43"/>
      <c r="AJ726" s="43"/>
      <c r="AK726" s="43"/>
    </row>
    <row r="727" ht="15.75" customHeight="1">
      <c r="U727" s="41"/>
      <c r="V727" s="42"/>
      <c r="Z727" s="42"/>
      <c r="AC727" s="42"/>
      <c r="AD727" s="42"/>
      <c r="AE727" s="42"/>
      <c r="AI727" s="43"/>
      <c r="AJ727" s="43"/>
      <c r="AK727" s="43"/>
    </row>
    <row r="728" ht="15.75" customHeight="1">
      <c r="U728" s="41"/>
      <c r="V728" s="42"/>
      <c r="Z728" s="42"/>
      <c r="AC728" s="42"/>
      <c r="AD728" s="42"/>
      <c r="AE728" s="42"/>
      <c r="AI728" s="43"/>
      <c r="AJ728" s="43"/>
      <c r="AK728" s="43"/>
    </row>
    <row r="729" ht="15.75" customHeight="1">
      <c r="U729" s="41"/>
      <c r="V729" s="42"/>
      <c r="Z729" s="42"/>
      <c r="AC729" s="42"/>
      <c r="AD729" s="42"/>
      <c r="AE729" s="42"/>
      <c r="AI729" s="43"/>
      <c r="AJ729" s="43"/>
      <c r="AK729" s="43"/>
    </row>
    <row r="730" ht="15.75" customHeight="1">
      <c r="U730" s="41"/>
      <c r="V730" s="42"/>
      <c r="Z730" s="42"/>
      <c r="AC730" s="42"/>
      <c r="AD730" s="42"/>
      <c r="AE730" s="42"/>
      <c r="AI730" s="43"/>
      <c r="AJ730" s="43"/>
      <c r="AK730" s="43"/>
    </row>
    <row r="731" ht="15.75" customHeight="1">
      <c r="U731" s="41"/>
      <c r="V731" s="42"/>
      <c r="Z731" s="42"/>
      <c r="AC731" s="42"/>
      <c r="AD731" s="42"/>
      <c r="AE731" s="42"/>
      <c r="AI731" s="43"/>
      <c r="AJ731" s="43"/>
      <c r="AK731" s="43"/>
    </row>
    <row r="732" ht="15.75" customHeight="1">
      <c r="U732" s="41"/>
      <c r="V732" s="42"/>
      <c r="Z732" s="42"/>
      <c r="AC732" s="42"/>
      <c r="AD732" s="42"/>
      <c r="AE732" s="42"/>
      <c r="AI732" s="43"/>
      <c r="AJ732" s="43"/>
      <c r="AK732" s="43"/>
    </row>
    <row r="733" ht="15.75" customHeight="1">
      <c r="U733" s="41"/>
      <c r="V733" s="42"/>
      <c r="Z733" s="42"/>
      <c r="AC733" s="42"/>
      <c r="AD733" s="42"/>
      <c r="AE733" s="42"/>
      <c r="AI733" s="43"/>
      <c r="AJ733" s="43"/>
      <c r="AK733" s="43"/>
    </row>
    <row r="734" ht="15.75" customHeight="1">
      <c r="U734" s="41"/>
      <c r="V734" s="42"/>
      <c r="Z734" s="42"/>
      <c r="AC734" s="42"/>
      <c r="AD734" s="42"/>
      <c r="AE734" s="42"/>
      <c r="AI734" s="43"/>
      <c r="AJ734" s="43"/>
      <c r="AK734" s="43"/>
    </row>
    <row r="735" ht="15.75" customHeight="1">
      <c r="U735" s="41"/>
      <c r="V735" s="42"/>
      <c r="Z735" s="42"/>
      <c r="AC735" s="42"/>
      <c r="AD735" s="42"/>
      <c r="AE735" s="42"/>
      <c r="AI735" s="43"/>
      <c r="AJ735" s="43"/>
      <c r="AK735" s="43"/>
    </row>
    <row r="736" ht="15.75" customHeight="1">
      <c r="U736" s="41"/>
      <c r="V736" s="42"/>
      <c r="Z736" s="42"/>
      <c r="AC736" s="42"/>
      <c r="AD736" s="42"/>
      <c r="AE736" s="42"/>
      <c r="AI736" s="43"/>
      <c r="AJ736" s="43"/>
      <c r="AK736" s="43"/>
    </row>
    <row r="737" ht="15.75" customHeight="1">
      <c r="U737" s="41"/>
      <c r="V737" s="42"/>
      <c r="Z737" s="42"/>
      <c r="AC737" s="42"/>
      <c r="AD737" s="42"/>
      <c r="AE737" s="42"/>
      <c r="AI737" s="43"/>
      <c r="AJ737" s="43"/>
      <c r="AK737" s="43"/>
    </row>
    <row r="738" ht="15.75" customHeight="1">
      <c r="U738" s="41"/>
      <c r="V738" s="42"/>
      <c r="Z738" s="42"/>
      <c r="AC738" s="42"/>
      <c r="AD738" s="42"/>
      <c r="AE738" s="42"/>
      <c r="AI738" s="43"/>
      <c r="AJ738" s="43"/>
      <c r="AK738" s="43"/>
    </row>
    <row r="739" ht="15.75" customHeight="1">
      <c r="U739" s="41"/>
      <c r="V739" s="42"/>
      <c r="Z739" s="42"/>
      <c r="AC739" s="42"/>
      <c r="AD739" s="42"/>
      <c r="AE739" s="42"/>
      <c r="AI739" s="43"/>
      <c r="AJ739" s="43"/>
      <c r="AK739" s="43"/>
    </row>
    <row r="740" ht="15.75" customHeight="1">
      <c r="U740" s="41"/>
      <c r="V740" s="42"/>
      <c r="Z740" s="42"/>
      <c r="AC740" s="42"/>
      <c r="AD740" s="42"/>
      <c r="AE740" s="42"/>
      <c r="AI740" s="43"/>
      <c r="AJ740" s="43"/>
      <c r="AK740" s="43"/>
    </row>
    <row r="741" ht="15.75" customHeight="1">
      <c r="U741" s="41"/>
      <c r="V741" s="42"/>
      <c r="Z741" s="42"/>
      <c r="AC741" s="42"/>
      <c r="AD741" s="42"/>
      <c r="AE741" s="42"/>
      <c r="AI741" s="43"/>
      <c r="AJ741" s="43"/>
      <c r="AK741" s="43"/>
    </row>
    <row r="742" ht="15.75" customHeight="1">
      <c r="U742" s="41"/>
      <c r="V742" s="42"/>
      <c r="Z742" s="42"/>
      <c r="AC742" s="42"/>
      <c r="AD742" s="42"/>
      <c r="AE742" s="42"/>
      <c r="AI742" s="43"/>
      <c r="AJ742" s="43"/>
      <c r="AK742" s="43"/>
    </row>
    <row r="743" ht="15.75" customHeight="1">
      <c r="U743" s="41"/>
      <c r="V743" s="42"/>
      <c r="Z743" s="42"/>
      <c r="AC743" s="42"/>
      <c r="AD743" s="42"/>
      <c r="AE743" s="42"/>
      <c r="AI743" s="43"/>
      <c r="AJ743" s="43"/>
      <c r="AK743" s="43"/>
    </row>
    <row r="744" ht="15.75" customHeight="1">
      <c r="U744" s="41"/>
      <c r="V744" s="42"/>
      <c r="Z744" s="42"/>
      <c r="AC744" s="42"/>
      <c r="AD744" s="42"/>
      <c r="AE744" s="42"/>
      <c r="AI744" s="43"/>
      <c r="AJ744" s="43"/>
      <c r="AK744" s="43"/>
    </row>
    <row r="745" ht="15.75" customHeight="1">
      <c r="U745" s="41"/>
      <c r="V745" s="42"/>
      <c r="Z745" s="42"/>
      <c r="AC745" s="42"/>
      <c r="AD745" s="42"/>
      <c r="AE745" s="42"/>
      <c r="AI745" s="43"/>
      <c r="AJ745" s="43"/>
      <c r="AK745" s="43"/>
    </row>
    <row r="746" ht="15.75" customHeight="1">
      <c r="U746" s="41"/>
      <c r="V746" s="42"/>
      <c r="Z746" s="42"/>
      <c r="AC746" s="42"/>
      <c r="AD746" s="42"/>
      <c r="AE746" s="42"/>
      <c r="AI746" s="43"/>
      <c r="AJ746" s="43"/>
      <c r="AK746" s="43"/>
    </row>
    <row r="747" ht="15.75" customHeight="1">
      <c r="U747" s="41"/>
      <c r="V747" s="42"/>
      <c r="Z747" s="42"/>
      <c r="AC747" s="42"/>
      <c r="AD747" s="42"/>
      <c r="AE747" s="42"/>
      <c r="AI747" s="43"/>
      <c r="AJ747" s="43"/>
      <c r="AK747" s="43"/>
    </row>
    <row r="748" ht="15.75" customHeight="1">
      <c r="U748" s="41"/>
      <c r="V748" s="42"/>
      <c r="Z748" s="42"/>
      <c r="AC748" s="42"/>
      <c r="AD748" s="42"/>
      <c r="AE748" s="42"/>
      <c r="AI748" s="43"/>
      <c r="AJ748" s="43"/>
      <c r="AK748" s="43"/>
    </row>
    <row r="749" ht="15.75" customHeight="1">
      <c r="U749" s="41"/>
      <c r="V749" s="42"/>
      <c r="Z749" s="42"/>
      <c r="AC749" s="42"/>
      <c r="AD749" s="42"/>
      <c r="AE749" s="42"/>
      <c r="AI749" s="43"/>
      <c r="AJ749" s="43"/>
      <c r="AK749" s="43"/>
    </row>
    <row r="750" ht="15.75" customHeight="1">
      <c r="U750" s="41"/>
      <c r="V750" s="42"/>
      <c r="Z750" s="42"/>
      <c r="AC750" s="42"/>
      <c r="AD750" s="42"/>
      <c r="AE750" s="42"/>
      <c r="AI750" s="43"/>
      <c r="AJ750" s="43"/>
      <c r="AK750" s="43"/>
    </row>
    <row r="751" ht="15.75" customHeight="1">
      <c r="U751" s="41"/>
      <c r="V751" s="42"/>
      <c r="Z751" s="42"/>
      <c r="AC751" s="42"/>
      <c r="AD751" s="42"/>
      <c r="AE751" s="42"/>
      <c r="AI751" s="43"/>
      <c r="AJ751" s="43"/>
      <c r="AK751" s="43"/>
    </row>
    <row r="752" ht="15.75" customHeight="1">
      <c r="U752" s="41"/>
      <c r="V752" s="42"/>
      <c r="Z752" s="42"/>
      <c r="AC752" s="42"/>
      <c r="AD752" s="42"/>
      <c r="AE752" s="42"/>
      <c r="AI752" s="43"/>
      <c r="AJ752" s="43"/>
      <c r="AK752" s="43"/>
    </row>
    <row r="753" ht="15.75" customHeight="1">
      <c r="U753" s="41"/>
      <c r="V753" s="42"/>
      <c r="Z753" s="42"/>
      <c r="AC753" s="42"/>
      <c r="AD753" s="42"/>
      <c r="AE753" s="42"/>
      <c r="AI753" s="43"/>
      <c r="AJ753" s="43"/>
      <c r="AK753" s="43"/>
    </row>
    <row r="754" ht="15.75" customHeight="1">
      <c r="U754" s="41"/>
      <c r="V754" s="42"/>
      <c r="Z754" s="42"/>
      <c r="AC754" s="42"/>
      <c r="AD754" s="42"/>
      <c r="AE754" s="42"/>
      <c r="AI754" s="43"/>
      <c r="AJ754" s="43"/>
      <c r="AK754" s="43"/>
    </row>
    <row r="755" ht="15.75" customHeight="1">
      <c r="U755" s="41"/>
      <c r="V755" s="42"/>
      <c r="Z755" s="42"/>
      <c r="AC755" s="42"/>
      <c r="AD755" s="42"/>
      <c r="AE755" s="42"/>
      <c r="AI755" s="43"/>
      <c r="AJ755" s="43"/>
      <c r="AK755" s="43"/>
    </row>
    <row r="756" ht="15.75" customHeight="1">
      <c r="U756" s="41"/>
      <c r="V756" s="42"/>
      <c r="Z756" s="42"/>
      <c r="AC756" s="42"/>
      <c r="AD756" s="42"/>
      <c r="AE756" s="42"/>
      <c r="AI756" s="43"/>
      <c r="AJ756" s="43"/>
      <c r="AK756" s="43"/>
    </row>
    <row r="757" ht="15.75" customHeight="1">
      <c r="U757" s="41"/>
      <c r="V757" s="42"/>
      <c r="Z757" s="42"/>
      <c r="AC757" s="42"/>
      <c r="AD757" s="42"/>
      <c r="AE757" s="42"/>
      <c r="AI757" s="43"/>
      <c r="AJ757" s="43"/>
      <c r="AK757" s="43"/>
    </row>
    <row r="758" ht="15.75" customHeight="1">
      <c r="U758" s="41"/>
      <c r="V758" s="42"/>
      <c r="Z758" s="42"/>
      <c r="AC758" s="42"/>
      <c r="AD758" s="42"/>
      <c r="AE758" s="42"/>
      <c r="AI758" s="43"/>
      <c r="AJ758" s="43"/>
      <c r="AK758" s="43"/>
    </row>
    <row r="759" ht="15.75" customHeight="1">
      <c r="U759" s="41"/>
      <c r="V759" s="42"/>
      <c r="Z759" s="42"/>
      <c r="AC759" s="42"/>
      <c r="AD759" s="42"/>
      <c r="AE759" s="42"/>
      <c r="AI759" s="43"/>
      <c r="AJ759" s="43"/>
      <c r="AK759" s="43"/>
    </row>
    <row r="760" ht="15.75" customHeight="1">
      <c r="U760" s="41"/>
      <c r="V760" s="42"/>
      <c r="Z760" s="42"/>
      <c r="AC760" s="42"/>
      <c r="AD760" s="42"/>
      <c r="AE760" s="42"/>
      <c r="AI760" s="43"/>
      <c r="AJ760" s="43"/>
      <c r="AK760" s="43"/>
    </row>
    <row r="761" ht="15.75" customHeight="1">
      <c r="U761" s="41"/>
      <c r="V761" s="42"/>
      <c r="Z761" s="42"/>
      <c r="AC761" s="42"/>
      <c r="AD761" s="42"/>
      <c r="AE761" s="42"/>
      <c r="AI761" s="43"/>
      <c r="AJ761" s="43"/>
      <c r="AK761" s="43"/>
    </row>
    <row r="762" ht="15.75" customHeight="1">
      <c r="U762" s="41"/>
      <c r="V762" s="42"/>
      <c r="Z762" s="42"/>
      <c r="AC762" s="42"/>
      <c r="AD762" s="42"/>
      <c r="AE762" s="42"/>
      <c r="AI762" s="43"/>
      <c r="AJ762" s="43"/>
      <c r="AK762" s="43"/>
    </row>
    <row r="763" ht="15.75" customHeight="1">
      <c r="U763" s="41"/>
      <c r="V763" s="42"/>
      <c r="Z763" s="42"/>
      <c r="AC763" s="42"/>
      <c r="AD763" s="42"/>
      <c r="AE763" s="42"/>
      <c r="AI763" s="43"/>
      <c r="AJ763" s="43"/>
      <c r="AK763" s="43"/>
    </row>
    <row r="764" ht="15.75" customHeight="1">
      <c r="U764" s="41"/>
      <c r="V764" s="42"/>
      <c r="Z764" s="42"/>
      <c r="AC764" s="42"/>
      <c r="AD764" s="42"/>
      <c r="AE764" s="42"/>
      <c r="AI764" s="43"/>
      <c r="AJ764" s="43"/>
      <c r="AK764" s="43"/>
    </row>
    <row r="765" ht="15.75" customHeight="1">
      <c r="U765" s="41"/>
      <c r="V765" s="42"/>
      <c r="Z765" s="42"/>
      <c r="AC765" s="42"/>
      <c r="AD765" s="42"/>
      <c r="AE765" s="42"/>
      <c r="AI765" s="43"/>
      <c r="AJ765" s="43"/>
      <c r="AK765" s="43"/>
    </row>
    <row r="766" ht="15.75" customHeight="1">
      <c r="U766" s="41"/>
      <c r="V766" s="42"/>
      <c r="Z766" s="42"/>
      <c r="AC766" s="42"/>
      <c r="AD766" s="42"/>
      <c r="AE766" s="42"/>
      <c r="AI766" s="43"/>
      <c r="AJ766" s="43"/>
      <c r="AK766" s="43"/>
    </row>
    <row r="767" ht="15.75" customHeight="1">
      <c r="U767" s="41"/>
      <c r="V767" s="42"/>
      <c r="Z767" s="42"/>
      <c r="AC767" s="42"/>
      <c r="AD767" s="42"/>
      <c r="AE767" s="42"/>
      <c r="AI767" s="43"/>
      <c r="AJ767" s="43"/>
      <c r="AK767" s="43"/>
    </row>
    <row r="768" ht="15.75" customHeight="1">
      <c r="U768" s="41"/>
      <c r="V768" s="42"/>
      <c r="Z768" s="42"/>
      <c r="AC768" s="42"/>
      <c r="AD768" s="42"/>
      <c r="AE768" s="42"/>
      <c r="AI768" s="43"/>
      <c r="AJ768" s="43"/>
      <c r="AK768" s="43"/>
    </row>
    <row r="769" ht="15.75" customHeight="1">
      <c r="U769" s="41"/>
      <c r="V769" s="42"/>
      <c r="Z769" s="42"/>
      <c r="AC769" s="42"/>
      <c r="AD769" s="42"/>
      <c r="AE769" s="42"/>
      <c r="AI769" s="43"/>
      <c r="AJ769" s="43"/>
      <c r="AK769" s="43"/>
    </row>
    <row r="770" ht="15.75" customHeight="1">
      <c r="U770" s="41"/>
      <c r="V770" s="42"/>
      <c r="Z770" s="42"/>
      <c r="AC770" s="42"/>
      <c r="AD770" s="42"/>
      <c r="AE770" s="42"/>
      <c r="AI770" s="43"/>
      <c r="AJ770" s="43"/>
      <c r="AK770" s="43"/>
    </row>
    <row r="771" ht="15.75" customHeight="1">
      <c r="U771" s="41"/>
      <c r="V771" s="42"/>
      <c r="Z771" s="42"/>
      <c r="AC771" s="42"/>
      <c r="AD771" s="42"/>
      <c r="AE771" s="42"/>
      <c r="AI771" s="43"/>
      <c r="AJ771" s="43"/>
      <c r="AK771" s="43"/>
    </row>
    <row r="772" ht="15.75" customHeight="1">
      <c r="U772" s="41"/>
      <c r="V772" s="42"/>
      <c r="Z772" s="42"/>
      <c r="AC772" s="42"/>
      <c r="AD772" s="42"/>
      <c r="AE772" s="42"/>
      <c r="AI772" s="43"/>
      <c r="AJ772" s="43"/>
      <c r="AK772" s="43"/>
    </row>
    <row r="773" ht="15.75" customHeight="1">
      <c r="U773" s="41"/>
      <c r="V773" s="42"/>
      <c r="Z773" s="42"/>
      <c r="AC773" s="42"/>
      <c r="AD773" s="42"/>
      <c r="AE773" s="42"/>
      <c r="AI773" s="43"/>
      <c r="AJ773" s="43"/>
      <c r="AK773" s="43"/>
    </row>
    <row r="774" ht="15.75" customHeight="1">
      <c r="U774" s="41"/>
      <c r="V774" s="42"/>
      <c r="Z774" s="42"/>
      <c r="AC774" s="42"/>
      <c r="AD774" s="42"/>
      <c r="AE774" s="42"/>
      <c r="AI774" s="43"/>
      <c r="AJ774" s="43"/>
      <c r="AK774" s="43"/>
    </row>
    <row r="775" ht="15.75" customHeight="1">
      <c r="U775" s="41"/>
      <c r="V775" s="42"/>
      <c r="Z775" s="42"/>
      <c r="AC775" s="42"/>
      <c r="AD775" s="42"/>
      <c r="AE775" s="42"/>
      <c r="AI775" s="43"/>
      <c r="AJ775" s="43"/>
      <c r="AK775" s="43"/>
    </row>
    <row r="776" ht="15.75" customHeight="1">
      <c r="U776" s="41"/>
      <c r="V776" s="42"/>
      <c r="Z776" s="42"/>
      <c r="AC776" s="42"/>
      <c r="AD776" s="42"/>
      <c r="AE776" s="42"/>
      <c r="AI776" s="43"/>
      <c r="AJ776" s="43"/>
      <c r="AK776" s="43"/>
    </row>
    <row r="777" ht="15.75" customHeight="1">
      <c r="U777" s="41"/>
      <c r="V777" s="42"/>
      <c r="Z777" s="42"/>
      <c r="AC777" s="42"/>
      <c r="AD777" s="42"/>
      <c r="AE777" s="42"/>
      <c r="AI777" s="43"/>
      <c r="AJ777" s="43"/>
      <c r="AK777" s="43"/>
    </row>
    <row r="778" ht="15.75" customHeight="1">
      <c r="U778" s="41"/>
      <c r="V778" s="42"/>
      <c r="Z778" s="42"/>
      <c r="AC778" s="42"/>
      <c r="AD778" s="42"/>
      <c r="AE778" s="42"/>
      <c r="AI778" s="43"/>
      <c r="AJ778" s="43"/>
      <c r="AK778" s="43"/>
    </row>
    <row r="779" ht="15.75" customHeight="1">
      <c r="U779" s="41"/>
      <c r="V779" s="42"/>
      <c r="Z779" s="42"/>
      <c r="AC779" s="42"/>
      <c r="AD779" s="42"/>
      <c r="AE779" s="42"/>
      <c r="AI779" s="43"/>
      <c r="AJ779" s="43"/>
      <c r="AK779" s="43"/>
    </row>
    <row r="780" ht="15.75" customHeight="1">
      <c r="U780" s="41"/>
      <c r="V780" s="42"/>
      <c r="Z780" s="42"/>
      <c r="AC780" s="42"/>
      <c r="AD780" s="42"/>
      <c r="AE780" s="42"/>
      <c r="AI780" s="43"/>
      <c r="AJ780" s="43"/>
      <c r="AK780" s="43"/>
    </row>
    <row r="781" ht="15.75" customHeight="1">
      <c r="U781" s="41"/>
      <c r="V781" s="42"/>
      <c r="Z781" s="42"/>
      <c r="AC781" s="42"/>
      <c r="AD781" s="42"/>
      <c r="AE781" s="42"/>
      <c r="AI781" s="43"/>
      <c r="AJ781" s="43"/>
      <c r="AK781" s="43"/>
    </row>
    <row r="782" ht="15.75" customHeight="1">
      <c r="U782" s="41"/>
      <c r="V782" s="42"/>
      <c r="Z782" s="42"/>
      <c r="AC782" s="42"/>
      <c r="AD782" s="42"/>
      <c r="AE782" s="42"/>
      <c r="AI782" s="43"/>
      <c r="AJ782" s="43"/>
      <c r="AK782" s="43"/>
    </row>
    <row r="783" ht="15.75" customHeight="1">
      <c r="U783" s="41"/>
      <c r="V783" s="42"/>
      <c r="Z783" s="42"/>
      <c r="AC783" s="42"/>
      <c r="AD783" s="42"/>
      <c r="AE783" s="42"/>
      <c r="AI783" s="43"/>
      <c r="AJ783" s="43"/>
      <c r="AK783" s="43"/>
    </row>
    <row r="784" ht="15.75" customHeight="1">
      <c r="U784" s="41"/>
      <c r="V784" s="42"/>
      <c r="Z784" s="42"/>
      <c r="AC784" s="42"/>
      <c r="AD784" s="42"/>
      <c r="AE784" s="42"/>
      <c r="AI784" s="43"/>
      <c r="AJ784" s="43"/>
      <c r="AK784" s="43"/>
    </row>
    <row r="785" ht="15.75" customHeight="1">
      <c r="U785" s="41"/>
      <c r="V785" s="42"/>
      <c r="Z785" s="42"/>
      <c r="AC785" s="42"/>
      <c r="AD785" s="42"/>
      <c r="AE785" s="42"/>
      <c r="AI785" s="43"/>
      <c r="AJ785" s="43"/>
      <c r="AK785" s="43"/>
    </row>
    <row r="786" ht="15.75" customHeight="1">
      <c r="U786" s="41"/>
      <c r="V786" s="42"/>
      <c r="Z786" s="42"/>
      <c r="AC786" s="42"/>
      <c r="AD786" s="42"/>
      <c r="AE786" s="42"/>
      <c r="AI786" s="43"/>
      <c r="AJ786" s="43"/>
      <c r="AK786" s="43"/>
    </row>
    <row r="787" ht="15.75" customHeight="1">
      <c r="U787" s="41"/>
      <c r="V787" s="42"/>
      <c r="Z787" s="42"/>
      <c r="AC787" s="42"/>
      <c r="AD787" s="42"/>
      <c r="AE787" s="42"/>
      <c r="AI787" s="43"/>
      <c r="AJ787" s="43"/>
      <c r="AK787" s="43"/>
    </row>
    <row r="788" ht="15.75" customHeight="1">
      <c r="U788" s="41"/>
      <c r="V788" s="42"/>
      <c r="Z788" s="42"/>
      <c r="AC788" s="42"/>
      <c r="AD788" s="42"/>
      <c r="AE788" s="42"/>
      <c r="AI788" s="43"/>
      <c r="AJ788" s="43"/>
      <c r="AK788" s="43"/>
    </row>
    <row r="789" ht="15.75" customHeight="1">
      <c r="U789" s="41"/>
      <c r="V789" s="42"/>
      <c r="Z789" s="42"/>
      <c r="AC789" s="42"/>
      <c r="AD789" s="42"/>
      <c r="AE789" s="42"/>
      <c r="AI789" s="43"/>
      <c r="AJ789" s="43"/>
      <c r="AK789" s="43"/>
    </row>
    <row r="790" ht="15.75" customHeight="1">
      <c r="U790" s="41"/>
      <c r="V790" s="42"/>
      <c r="Z790" s="42"/>
      <c r="AC790" s="42"/>
      <c r="AD790" s="42"/>
      <c r="AE790" s="42"/>
      <c r="AI790" s="43"/>
      <c r="AJ790" s="43"/>
      <c r="AK790" s="43"/>
    </row>
    <row r="791" ht="15.75" customHeight="1">
      <c r="U791" s="41"/>
      <c r="V791" s="42"/>
      <c r="Z791" s="42"/>
      <c r="AC791" s="42"/>
      <c r="AD791" s="42"/>
      <c r="AE791" s="42"/>
      <c r="AI791" s="43"/>
      <c r="AJ791" s="43"/>
      <c r="AK791" s="43"/>
    </row>
    <row r="792" ht="15.75" customHeight="1">
      <c r="U792" s="41"/>
      <c r="V792" s="42"/>
      <c r="Z792" s="42"/>
      <c r="AC792" s="42"/>
      <c r="AD792" s="42"/>
      <c r="AE792" s="42"/>
      <c r="AI792" s="43"/>
      <c r="AJ792" s="43"/>
      <c r="AK792" s="43"/>
    </row>
    <row r="793" ht="15.75" customHeight="1">
      <c r="U793" s="41"/>
      <c r="V793" s="42"/>
      <c r="Z793" s="42"/>
      <c r="AC793" s="42"/>
      <c r="AD793" s="42"/>
      <c r="AE793" s="42"/>
      <c r="AI793" s="43"/>
      <c r="AJ793" s="43"/>
      <c r="AK793" s="43"/>
    </row>
    <row r="794" ht="15.75" customHeight="1">
      <c r="U794" s="41"/>
      <c r="V794" s="42"/>
      <c r="Z794" s="42"/>
      <c r="AC794" s="42"/>
      <c r="AD794" s="42"/>
      <c r="AE794" s="42"/>
      <c r="AI794" s="43"/>
      <c r="AJ794" s="43"/>
      <c r="AK794" s="43"/>
    </row>
    <row r="795" ht="15.75" customHeight="1">
      <c r="U795" s="41"/>
      <c r="V795" s="42"/>
      <c r="Z795" s="42"/>
      <c r="AC795" s="42"/>
      <c r="AD795" s="42"/>
      <c r="AE795" s="42"/>
      <c r="AI795" s="43"/>
      <c r="AJ795" s="43"/>
      <c r="AK795" s="43"/>
    </row>
    <row r="796" ht="15.75" customHeight="1">
      <c r="U796" s="41"/>
      <c r="V796" s="42"/>
      <c r="Z796" s="42"/>
      <c r="AC796" s="42"/>
      <c r="AD796" s="42"/>
      <c r="AE796" s="42"/>
      <c r="AI796" s="43"/>
      <c r="AJ796" s="43"/>
      <c r="AK796" s="43"/>
    </row>
    <row r="797" ht="15.75" customHeight="1">
      <c r="U797" s="41"/>
      <c r="V797" s="42"/>
      <c r="Z797" s="42"/>
      <c r="AC797" s="42"/>
      <c r="AD797" s="42"/>
      <c r="AE797" s="42"/>
      <c r="AI797" s="43"/>
      <c r="AJ797" s="43"/>
      <c r="AK797" s="43"/>
    </row>
    <row r="798" ht="15.75" customHeight="1">
      <c r="U798" s="41"/>
      <c r="V798" s="42"/>
      <c r="Z798" s="42"/>
      <c r="AC798" s="42"/>
      <c r="AD798" s="42"/>
      <c r="AE798" s="42"/>
      <c r="AI798" s="43"/>
      <c r="AJ798" s="43"/>
      <c r="AK798" s="43"/>
    </row>
    <row r="799" ht="15.75" customHeight="1">
      <c r="U799" s="41"/>
      <c r="V799" s="42"/>
      <c r="Z799" s="42"/>
      <c r="AC799" s="42"/>
      <c r="AD799" s="42"/>
      <c r="AE799" s="42"/>
      <c r="AI799" s="43"/>
      <c r="AJ799" s="43"/>
      <c r="AK799" s="43"/>
    </row>
    <row r="800" ht="15.75" customHeight="1">
      <c r="U800" s="41"/>
      <c r="V800" s="42"/>
      <c r="Z800" s="42"/>
      <c r="AC800" s="42"/>
      <c r="AD800" s="42"/>
      <c r="AE800" s="42"/>
      <c r="AI800" s="43"/>
      <c r="AJ800" s="43"/>
      <c r="AK800" s="43"/>
    </row>
    <row r="801" ht="15.75" customHeight="1">
      <c r="U801" s="41"/>
      <c r="V801" s="42"/>
      <c r="Z801" s="42"/>
      <c r="AC801" s="42"/>
      <c r="AD801" s="42"/>
      <c r="AE801" s="42"/>
      <c r="AI801" s="43"/>
      <c r="AJ801" s="43"/>
      <c r="AK801" s="43"/>
    </row>
    <row r="802" ht="15.75" customHeight="1">
      <c r="U802" s="41"/>
      <c r="V802" s="42"/>
      <c r="Z802" s="42"/>
      <c r="AC802" s="42"/>
      <c r="AD802" s="42"/>
      <c r="AE802" s="42"/>
      <c r="AI802" s="43"/>
      <c r="AJ802" s="43"/>
      <c r="AK802" s="43"/>
    </row>
    <row r="803" ht="15.75" customHeight="1">
      <c r="U803" s="41"/>
      <c r="V803" s="42"/>
      <c r="Z803" s="42"/>
      <c r="AC803" s="42"/>
      <c r="AD803" s="42"/>
      <c r="AE803" s="42"/>
      <c r="AI803" s="43"/>
      <c r="AJ803" s="43"/>
      <c r="AK803" s="43"/>
    </row>
    <row r="804" ht="15.75" customHeight="1">
      <c r="U804" s="41"/>
      <c r="V804" s="42"/>
      <c r="Z804" s="42"/>
      <c r="AC804" s="42"/>
      <c r="AD804" s="42"/>
      <c r="AE804" s="42"/>
      <c r="AI804" s="43"/>
      <c r="AJ804" s="43"/>
      <c r="AK804" s="43"/>
    </row>
    <row r="805" ht="15.75" customHeight="1">
      <c r="U805" s="41"/>
      <c r="V805" s="42"/>
      <c r="Z805" s="42"/>
      <c r="AC805" s="42"/>
      <c r="AD805" s="42"/>
      <c r="AE805" s="42"/>
      <c r="AI805" s="43"/>
      <c r="AJ805" s="43"/>
      <c r="AK805" s="43"/>
    </row>
    <row r="806" ht="15.75" customHeight="1">
      <c r="U806" s="41"/>
      <c r="V806" s="42"/>
      <c r="Z806" s="42"/>
      <c r="AC806" s="42"/>
      <c r="AD806" s="42"/>
      <c r="AE806" s="42"/>
      <c r="AI806" s="43"/>
      <c r="AJ806" s="43"/>
      <c r="AK806" s="43"/>
    </row>
    <row r="807" ht="15.75" customHeight="1">
      <c r="U807" s="41"/>
      <c r="V807" s="42"/>
      <c r="Z807" s="42"/>
      <c r="AC807" s="42"/>
      <c r="AD807" s="42"/>
      <c r="AE807" s="42"/>
      <c r="AI807" s="43"/>
      <c r="AJ807" s="43"/>
      <c r="AK807" s="43"/>
    </row>
    <row r="808" ht="15.75" customHeight="1">
      <c r="U808" s="41"/>
      <c r="V808" s="42"/>
      <c r="Z808" s="42"/>
      <c r="AC808" s="42"/>
      <c r="AD808" s="42"/>
      <c r="AE808" s="42"/>
      <c r="AI808" s="43"/>
      <c r="AJ808" s="43"/>
      <c r="AK808" s="43"/>
    </row>
    <row r="809" ht="15.75" customHeight="1">
      <c r="U809" s="41"/>
      <c r="V809" s="42"/>
      <c r="Z809" s="42"/>
      <c r="AC809" s="42"/>
      <c r="AD809" s="42"/>
      <c r="AE809" s="42"/>
      <c r="AI809" s="43"/>
      <c r="AJ809" s="43"/>
      <c r="AK809" s="43"/>
    </row>
    <row r="810" ht="15.75" customHeight="1">
      <c r="U810" s="41"/>
      <c r="V810" s="42"/>
      <c r="Z810" s="42"/>
      <c r="AC810" s="42"/>
      <c r="AD810" s="42"/>
      <c r="AE810" s="42"/>
      <c r="AI810" s="43"/>
      <c r="AJ810" s="43"/>
      <c r="AK810" s="43"/>
    </row>
    <row r="811" ht="15.75" customHeight="1">
      <c r="U811" s="41"/>
      <c r="V811" s="42"/>
      <c r="Z811" s="42"/>
      <c r="AC811" s="42"/>
      <c r="AD811" s="42"/>
      <c r="AE811" s="42"/>
      <c r="AI811" s="43"/>
      <c r="AJ811" s="43"/>
      <c r="AK811" s="43"/>
    </row>
    <row r="812" ht="15.75" customHeight="1">
      <c r="U812" s="41"/>
      <c r="V812" s="42"/>
      <c r="Z812" s="42"/>
      <c r="AC812" s="42"/>
      <c r="AD812" s="42"/>
      <c r="AE812" s="42"/>
      <c r="AI812" s="43"/>
      <c r="AJ812" s="43"/>
      <c r="AK812" s="43"/>
    </row>
    <row r="813" ht="15.75" customHeight="1">
      <c r="U813" s="41"/>
      <c r="V813" s="42"/>
      <c r="Z813" s="42"/>
      <c r="AC813" s="42"/>
      <c r="AD813" s="42"/>
      <c r="AE813" s="42"/>
      <c r="AI813" s="43"/>
      <c r="AJ813" s="43"/>
      <c r="AK813" s="43"/>
    </row>
    <row r="814" ht="15.75" customHeight="1">
      <c r="U814" s="41"/>
      <c r="V814" s="42"/>
      <c r="Z814" s="42"/>
      <c r="AC814" s="42"/>
      <c r="AD814" s="42"/>
      <c r="AE814" s="42"/>
      <c r="AI814" s="43"/>
      <c r="AJ814" s="43"/>
      <c r="AK814" s="43"/>
    </row>
    <row r="815" ht="15.75" customHeight="1">
      <c r="U815" s="41"/>
      <c r="V815" s="42"/>
      <c r="Z815" s="42"/>
      <c r="AC815" s="42"/>
      <c r="AD815" s="42"/>
      <c r="AE815" s="42"/>
      <c r="AI815" s="43"/>
      <c r="AJ815" s="43"/>
      <c r="AK815" s="43"/>
    </row>
    <row r="816" ht="15.75" customHeight="1">
      <c r="U816" s="41"/>
      <c r="V816" s="42"/>
      <c r="Z816" s="42"/>
      <c r="AC816" s="42"/>
      <c r="AD816" s="42"/>
      <c r="AE816" s="42"/>
      <c r="AI816" s="43"/>
      <c r="AJ816" s="43"/>
      <c r="AK816" s="43"/>
    </row>
    <row r="817" ht="15.75" customHeight="1">
      <c r="U817" s="41"/>
      <c r="V817" s="42"/>
      <c r="Z817" s="42"/>
      <c r="AC817" s="42"/>
      <c r="AD817" s="42"/>
      <c r="AE817" s="42"/>
      <c r="AI817" s="43"/>
      <c r="AJ817" s="43"/>
      <c r="AK817" s="43"/>
    </row>
    <row r="818" ht="15.75" customHeight="1">
      <c r="U818" s="41"/>
      <c r="V818" s="42"/>
      <c r="Z818" s="42"/>
      <c r="AC818" s="42"/>
      <c r="AD818" s="42"/>
      <c r="AE818" s="42"/>
      <c r="AI818" s="43"/>
      <c r="AJ818" s="43"/>
      <c r="AK818" s="43"/>
    </row>
    <row r="819" ht="15.75" customHeight="1">
      <c r="U819" s="41"/>
      <c r="V819" s="42"/>
      <c r="Z819" s="42"/>
      <c r="AC819" s="42"/>
      <c r="AD819" s="42"/>
      <c r="AE819" s="42"/>
      <c r="AI819" s="43"/>
      <c r="AJ819" s="43"/>
      <c r="AK819" s="43"/>
    </row>
    <row r="820" ht="15.75" customHeight="1">
      <c r="U820" s="41"/>
      <c r="V820" s="42"/>
      <c r="Z820" s="42"/>
      <c r="AC820" s="42"/>
      <c r="AD820" s="42"/>
      <c r="AE820" s="42"/>
      <c r="AI820" s="43"/>
      <c r="AJ820" s="43"/>
      <c r="AK820" s="43"/>
    </row>
    <row r="821" ht="15.75" customHeight="1">
      <c r="U821" s="41"/>
      <c r="V821" s="42"/>
      <c r="Z821" s="42"/>
      <c r="AC821" s="42"/>
      <c r="AD821" s="42"/>
      <c r="AE821" s="42"/>
      <c r="AI821" s="43"/>
      <c r="AJ821" s="43"/>
      <c r="AK821" s="43"/>
    </row>
    <row r="822" ht="15.75" customHeight="1">
      <c r="U822" s="41"/>
      <c r="V822" s="42"/>
      <c r="Z822" s="42"/>
      <c r="AC822" s="42"/>
      <c r="AD822" s="42"/>
      <c r="AE822" s="42"/>
      <c r="AI822" s="43"/>
      <c r="AJ822" s="43"/>
      <c r="AK822" s="43"/>
    </row>
    <row r="823" ht="15.75" customHeight="1">
      <c r="U823" s="41"/>
      <c r="V823" s="42"/>
      <c r="Z823" s="42"/>
      <c r="AC823" s="42"/>
      <c r="AD823" s="42"/>
      <c r="AE823" s="42"/>
      <c r="AI823" s="43"/>
      <c r="AJ823" s="43"/>
      <c r="AK823" s="43"/>
    </row>
    <row r="824" ht="15.75" customHeight="1">
      <c r="U824" s="41"/>
      <c r="V824" s="42"/>
      <c r="Z824" s="42"/>
      <c r="AC824" s="42"/>
      <c r="AD824" s="42"/>
      <c r="AE824" s="42"/>
      <c r="AI824" s="43"/>
      <c r="AJ824" s="43"/>
      <c r="AK824" s="43"/>
    </row>
    <row r="825" ht="15.75" customHeight="1">
      <c r="U825" s="41"/>
      <c r="V825" s="42"/>
      <c r="Z825" s="42"/>
      <c r="AC825" s="42"/>
      <c r="AD825" s="42"/>
      <c r="AE825" s="42"/>
      <c r="AI825" s="43"/>
      <c r="AJ825" s="43"/>
      <c r="AK825" s="43"/>
    </row>
    <row r="826" ht="15.75" customHeight="1">
      <c r="U826" s="41"/>
      <c r="V826" s="42"/>
      <c r="Z826" s="42"/>
      <c r="AC826" s="42"/>
      <c r="AD826" s="42"/>
      <c r="AE826" s="42"/>
      <c r="AI826" s="43"/>
      <c r="AJ826" s="43"/>
      <c r="AK826" s="43"/>
    </row>
    <row r="827" ht="15.75" customHeight="1">
      <c r="U827" s="41"/>
      <c r="V827" s="42"/>
      <c r="Z827" s="42"/>
      <c r="AC827" s="42"/>
      <c r="AD827" s="42"/>
      <c r="AE827" s="42"/>
      <c r="AI827" s="43"/>
      <c r="AJ827" s="43"/>
      <c r="AK827" s="43"/>
    </row>
    <row r="828" ht="15.75" customHeight="1">
      <c r="U828" s="41"/>
      <c r="V828" s="42"/>
      <c r="Z828" s="42"/>
      <c r="AC828" s="42"/>
      <c r="AD828" s="42"/>
      <c r="AE828" s="42"/>
      <c r="AI828" s="43"/>
      <c r="AJ828" s="43"/>
      <c r="AK828" s="43"/>
    </row>
    <row r="829" ht="15.75" customHeight="1">
      <c r="U829" s="41"/>
      <c r="V829" s="42"/>
      <c r="Z829" s="42"/>
      <c r="AC829" s="42"/>
      <c r="AD829" s="42"/>
      <c r="AE829" s="42"/>
      <c r="AI829" s="43"/>
      <c r="AJ829" s="43"/>
      <c r="AK829" s="43"/>
    </row>
    <row r="830" ht="15.75" customHeight="1">
      <c r="U830" s="41"/>
      <c r="V830" s="42"/>
      <c r="Z830" s="42"/>
      <c r="AC830" s="42"/>
      <c r="AD830" s="42"/>
      <c r="AE830" s="42"/>
      <c r="AI830" s="43"/>
      <c r="AJ830" s="43"/>
      <c r="AK830" s="43"/>
    </row>
    <row r="831" ht="15.75" customHeight="1">
      <c r="U831" s="41"/>
      <c r="V831" s="42"/>
      <c r="Z831" s="42"/>
      <c r="AC831" s="42"/>
      <c r="AD831" s="42"/>
      <c r="AE831" s="42"/>
      <c r="AI831" s="43"/>
      <c r="AJ831" s="43"/>
      <c r="AK831" s="43"/>
    </row>
    <row r="832" ht="15.75" customHeight="1">
      <c r="U832" s="41"/>
      <c r="V832" s="42"/>
      <c r="Z832" s="42"/>
      <c r="AC832" s="42"/>
      <c r="AD832" s="42"/>
      <c r="AE832" s="42"/>
      <c r="AI832" s="43"/>
      <c r="AJ832" s="43"/>
      <c r="AK832" s="43"/>
    </row>
    <row r="833" ht="15.75" customHeight="1">
      <c r="U833" s="41"/>
      <c r="V833" s="42"/>
      <c r="Z833" s="42"/>
      <c r="AC833" s="42"/>
      <c r="AD833" s="42"/>
      <c r="AE833" s="42"/>
      <c r="AI833" s="43"/>
      <c r="AJ833" s="43"/>
      <c r="AK833" s="43"/>
    </row>
    <row r="834" ht="15.75" customHeight="1">
      <c r="U834" s="41"/>
      <c r="V834" s="42"/>
      <c r="Z834" s="42"/>
      <c r="AC834" s="42"/>
      <c r="AD834" s="42"/>
      <c r="AE834" s="42"/>
      <c r="AI834" s="43"/>
      <c r="AJ834" s="43"/>
      <c r="AK834" s="43"/>
    </row>
    <row r="835" ht="15.75" customHeight="1">
      <c r="U835" s="41"/>
      <c r="V835" s="42"/>
      <c r="Z835" s="42"/>
      <c r="AC835" s="42"/>
      <c r="AD835" s="42"/>
      <c r="AE835" s="42"/>
      <c r="AI835" s="43"/>
      <c r="AJ835" s="43"/>
      <c r="AK835" s="43"/>
    </row>
    <row r="836" ht="15.75" customHeight="1">
      <c r="U836" s="41"/>
      <c r="V836" s="42"/>
      <c r="Z836" s="42"/>
      <c r="AC836" s="42"/>
      <c r="AD836" s="42"/>
      <c r="AE836" s="42"/>
      <c r="AI836" s="43"/>
      <c r="AJ836" s="43"/>
      <c r="AK836" s="43"/>
    </row>
    <row r="837" ht="15.75" customHeight="1">
      <c r="U837" s="41"/>
      <c r="V837" s="42"/>
      <c r="Z837" s="42"/>
      <c r="AC837" s="42"/>
      <c r="AD837" s="42"/>
      <c r="AE837" s="42"/>
      <c r="AI837" s="43"/>
      <c r="AJ837" s="43"/>
      <c r="AK837" s="43"/>
    </row>
    <row r="838" ht="15.75" customHeight="1">
      <c r="U838" s="41"/>
      <c r="V838" s="42"/>
      <c r="Z838" s="42"/>
      <c r="AC838" s="42"/>
      <c r="AD838" s="42"/>
      <c r="AE838" s="42"/>
      <c r="AI838" s="43"/>
      <c r="AJ838" s="43"/>
      <c r="AK838" s="43"/>
    </row>
    <row r="839" ht="15.75" customHeight="1">
      <c r="U839" s="41"/>
      <c r="V839" s="42"/>
      <c r="Z839" s="42"/>
      <c r="AC839" s="42"/>
      <c r="AD839" s="42"/>
      <c r="AE839" s="42"/>
      <c r="AI839" s="43"/>
      <c r="AJ839" s="43"/>
      <c r="AK839" s="43"/>
    </row>
    <row r="840" ht="15.75" customHeight="1">
      <c r="U840" s="41"/>
      <c r="V840" s="42"/>
      <c r="Z840" s="42"/>
      <c r="AC840" s="42"/>
      <c r="AD840" s="42"/>
      <c r="AE840" s="42"/>
      <c r="AI840" s="43"/>
      <c r="AJ840" s="43"/>
      <c r="AK840" s="43"/>
    </row>
    <row r="841" ht="15.75" customHeight="1">
      <c r="U841" s="41"/>
      <c r="V841" s="42"/>
      <c r="Z841" s="42"/>
      <c r="AC841" s="42"/>
      <c r="AD841" s="42"/>
      <c r="AE841" s="42"/>
      <c r="AI841" s="43"/>
      <c r="AJ841" s="43"/>
      <c r="AK841" s="43"/>
    </row>
    <row r="842" ht="15.75" customHeight="1">
      <c r="U842" s="41"/>
      <c r="V842" s="42"/>
      <c r="Z842" s="42"/>
      <c r="AC842" s="42"/>
      <c r="AD842" s="42"/>
      <c r="AE842" s="42"/>
      <c r="AI842" s="43"/>
      <c r="AJ842" s="43"/>
      <c r="AK842" s="43"/>
    </row>
    <row r="843" ht="15.75" customHeight="1">
      <c r="U843" s="41"/>
      <c r="V843" s="42"/>
      <c r="Z843" s="42"/>
      <c r="AC843" s="42"/>
      <c r="AD843" s="42"/>
      <c r="AE843" s="42"/>
      <c r="AI843" s="43"/>
      <c r="AJ843" s="43"/>
      <c r="AK843" s="43"/>
    </row>
    <row r="844" ht="15.75" customHeight="1">
      <c r="U844" s="41"/>
      <c r="V844" s="42"/>
      <c r="Z844" s="42"/>
      <c r="AC844" s="42"/>
      <c r="AD844" s="42"/>
      <c r="AE844" s="42"/>
      <c r="AI844" s="43"/>
      <c r="AJ844" s="43"/>
      <c r="AK844" s="43"/>
    </row>
    <row r="845" ht="15.75" customHeight="1">
      <c r="U845" s="41"/>
      <c r="V845" s="42"/>
      <c r="Z845" s="42"/>
      <c r="AC845" s="42"/>
      <c r="AD845" s="42"/>
      <c r="AE845" s="42"/>
      <c r="AI845" s="43"/>
      <c r="AJ845" s="43"/>
      <c r="AK845" s="43"/>
    </row>
    <row r="846" ht="15.75" customHeight="1">
      <c r="U846" s="41"/>
      <c r="V846" s="42"/>
      <c r="Z846" s="42"/>
      <c r="AC846" s="42"/>
      <c r="AD846" s="42"/>
      <c r="AE846" s="42"/>
      <c r="AI846" s="43"/>
      <c r="AJ846" s="43"/>
      <c r="AK846" s="43"/>
    </row>
    <row r="847" ht="15.75" customHeight="1">
      <c r="U847" s="41"/>
      <c r="V847" s="42"/>
      <c r="Z847" s="42"/>
      <c r="AC847" s="42"/>
      <c r="AD847" s="42"/>
      <c r="AE847" s="42"/>
      <c r="AI847" s="43"/>
      <c r="AJ847" s="43"/>
      <c r="AK847" s="43"/>
    </row>
    <row r="848" ht="15.75" customHeight="1">
      <c r="U848" s="41"/>
      <c r="V848" s="42"/>
      <c r="Z848" s="42"/>
      <c r="AC848" s="42"/>
      <c r="AD848" s="42"/>
      <c r="AE848" s="42"/>
      <c r="AI848" s="43"/>
      <c r="AJ848" s="43"/>
      <c r="AK848" s="43"/>
    </row>
    <row r="849" ht="15.75" customHeight="1">
      <c r="U849" s="41"/>
      <c r="V849" s="42"/>
      <c r="Z849" s="42"/>
      <c r="AC849" s="42"/>
      <c r="AD849" s="42"/>
      <c r="AE849" s="42"/>
      <c r="AI849" s="43"/>
      <c r="AJ849" s="43"/>
      <c r="AK849" s="43"/>
    </row>
    <row r="850" ht="15.75" customHeight="1">
      <c r="U850" s="41"/>
      <c r="V850" s="42"/>
      <c r="Z850" s="42"/>
      <c r="AC850" s="42"/>
      <c r="AD850" s="42"/>
      <c r="AE850" s="42"/>
      <c r="AI850" s="43"/>
      <c r="AJ850" s="43"/>
      <c r="AK850" s="43"/>
    </row>
    <row r="851" ht="15.75" customHeight="1">
      <c r="U851" s="41"/>
      <c r="V851" s="42"/>
      <c r="Z851" s="42"/>
      <c r="AC851" s="42"/>
      <c r="AD851" s="42"/>
      <c r="AE851" s="42"/>
      <c r="AI851" s="43"/>
      <c r="AJ851" s="43"/>
      <c r="AK851" s="43"/>
    </row>
    <row r="852" ht="15.75" customHeight="1">
      <c r="U852" s="41"/>
      <c r="V852" s="42"/>
      <c r="Z852" s="42"/>
      <c r="AC852" s="42"/>
      <c r="AD852" s="42"/>
      <c r="AE852" s="42"/>
      <c r="AI852" s="43"/>
      <c r="AJ852" s="43"/>
      <c r="AK852" s="43"/>
    </row>
    <row r="853" ht="15.75" customHeight="1">
      <c r="U853" s="41"/>
      <c r="V853" s="42"/>
      <c r="Z853" s="42"/>
      <c r="AC853" s="42"/>
      <c r="AD853" s="42"/>
      <c r="AE853" s="42"/>
      <c r="AI853" s="43"/>
      <c r="AJ853" s="43"/>
      <c r="AK853" s="43"/>
    </row>
    <row r="854" ht="15.75" customHeight="1">
      <c r="U854" s="41"/>
      <c r="V854" s="42"/>
      <c r="Z854" s="42"/>
      <c r="AC854" s="42"/>
      <c r="AD854" s="42"/>
      <c r="AE854" s="42"/>
      <c r="AI854" s="43"/>
      <c r="AJ854" s="43"/>
      <c r="AK854" s="43"/>
    </row>
    <row r="855" ht="15.75" customHeight="1">
      <c r="U855" s="41"/>
      <c r="V855" s="42"/>
      <c r="Z855" s="42"/>
      <c r="AC855" s="42"/>
      <c r="AD855" s="42"/>
      <c r="AE855" s="42"/>
      <c r="AI855" s="43"/>
      <c r="AJ855" s="43"/>
      <c r="AK855" s="43"/>
    </row>
    <row r="856" ht="15.75" customHeight="1">
      <c r="U856" s="41"/>
      <c r="V856" s="42"/>
      <c r="Z856" s="42"/>
      <c r="AC856" s="42"/>
      <c r="AD856" s="42"/>
      <c r="AE856" s="42"/>
      <c r="AI856" s="43"/>
      <c r="AJ856" s="43"/>
      <c r="AK856" s="43"/>
    </row>
    <row r="857" ht="15.75" customHeight="1">
      <c r="U857" s="41"/>
      <c r="V857" s="42"/>
      <c r="Z857" s="42"/>
      <c r="AC857" s="42"/>
      <c r="AD857" s="42"/>
      <c r="AE857" s="42"/>
      <c r="AI857" s="43"/>
      <c r="AJ857" s="43"/>
      <c r="AK857" s="43"/>
    </row>
    <row r="858" ht="15.75" customHeight="1">
      <c r="U858" s="41"/>
      <c r="V858" s="42"/>
      <c r="Z858" s="42"/>
      <c r="AC858" s="42"/>
      <c r="AD858" s="42"/>
      <c r="AE858" s="42"/>
      <c r="AI858" s="43"/>
      <c r="AJ858" s="43"/>
      <c r="AK858" s="43"/>
    </row>
    <row r="859" ht="15.75" customHeight="1">
      <c r="U859" s="41"/>
      <c r="V859" s="42"/>
      <c r="Z859" s="42"/>
      <c r="AC859" s="42"/>
      <c r="AD859" s="42"/>
      <c r="AE859" s="42"/>
      <c r="AI859" s="43"/>
      <c r="AJ859" s="43"/>
      <c r="AK859" s="43"/>
    </row>
    <row r="860" ht="15.75" customHeight="1">
      <c r="U860" s="41"/>
      <c r="V860" s="42"/>
      <c r="Z860" s="42"/>
      <c r="AC860" s="42"/>
      <c r="AD860" s="42"/>
      <c r="AE860" s="42"/>
      <c r="AI860" s="43"/>
      <c r="AJ860" s="43"/>
      <c r="AK860" s="43"/>
    </row>
    <row r="861" ht="15.75" customHeight="1">
      <c r="U861" s="41"/>
      <c r="V861" s="42"/>
      <c r="Z861" s="42"/>
      <c r="AC861" s="42"/>
      <c r="AD861" s="42"/>
      <c r="AE861" s="42"/>
      <c r="AI861" s="43"/>
      <c r="AJ861" s="43"/>
      <c r="AK861" s="43"/>
    </row>
    <row r="862" ht="15.75" customHeight="1">
      <c r="U862" s="41"/>
      <c r="V862" s="42"/>
      <c r="Z862" s="42"/>
      <c r="AC862" s="42"/>
      <c r="AD862" s="42"/>
      <c r="AE862" s="42"/>
      <c r="AI862" s="43"/>
      <c r="AJ862" s="43"/>
      <c r="AK862" s="43"/>
    </row>
    <row r="863" ht="15.75" customHeight="1">
      <c r="U863" s="41"/>
      <c r="V863" s="42"/>
      <c r="Z863" s="42"/>
      <c r="AC863" s="42"/>
      <c r="AD863" s="42"/>
      <c r="AE863" s="42"/>
      <c r="AI863" s="43"/>
      <c r="AJ863" s="43"/>
      <c r="AK863" s="43"/>
    </row>
    <row r="864" ht="15.75" customHeight="1">
      <c r="AI864" s="43"/>
      <c r="AJ864" s="43"/>
      <c r="AK864" s="43"/>
    </row>
    <row r="865" ht="15.75" customHeight="1">
      <c r="AI865" s="43"/>
      <c r="AJ865" s="43"/>
      <c r="AK865" s="43"/>
    </row>
    <row r="866" ht="15.75" customHeight="1">
      <c r="AI866" s="43"/>
      <c r="AJ866" s="43"/>
      <c r="AK866" s="43"/>
    </row>
    <row r="867" ht="15.75" customHeight="1">
      <c r="AI867" s="43"/>
      <c r="AJ867" s="43"/>
      <c r="AK867" s="43"/>
    </row>
    <row r="868" ht="15.75" customHeight="1">
      <c r="AI868" s="43"/>
      <c r="AJ868" s="43"/>
      <c r="AK868" s="43"/>
    </row>
    <row r="869" ht="15.75" customHeight="1">
      <c r="AI869" s="43"/>
      <c r="AJ869" s="43"/>
      <c r="AK869" s="43"/>
    </row>
    <row r="870" ht="15.75" customHeight="1">
      <c r="AI870" s="43"/>
      <c r="AJ870" s="43"/>
      <c r="AK870" s="43"/>
    </row>
    <row r="871" ht="15.75" customHeight="1">
      <c r="AI871" s="43"/>
      <c r="AJ871" s="43"/>
      <c r="AK871" s="43"/>
    </row>
    <row r="872" ht="15.75" customHeight="1">
      <c r="AI872" s="43"/>
      <c r="AJ872" s="43"/>
      <c r="AK872" s="43"/>
    </row>
    <row r="873" ht="15.75" customHeight="1">
      <c r="AI873" s="43"/>
      <c r="AJ873" s="43"/>
      <c r="AK873" s="43"/>
    </row>
    <row r="874" ht="15.75" customHeight="1">
      <c r="AI874" s="43"/>
      <c r="AJ874" s="43"/>
      <c r="AK874" s="43"/>
    </row>
    <row r="875" ht="15.75" customHeight="1">
      <c r="AI875" s="43"/>
      <c r="AJ875" s="43"/>
      <c r="AK875" s="43"/>
    </row>
    <row r="876" ht="15.75" customHeight="1">
      <c r="AI876" s="43"/>
      <c r="AJ876" s="43"/>
      <c r="AK876" s="43"/>
    </row>
    <row r="877" ht="15.75" customHeight="1">
      <c r="AI877" s="43"/>
      <c r="AJ877" s="43"/>
      <c r="AK877" s="43"/>
    </row>
    <row r="878" ht="15.75" customHeight="1">
      <c r="AI878" s="43"/>
      <c r="AJ878" s="43"/>
      <c r="AK878" s="43"/>
    </row>
    <row r="879" ht="15.75" customHeight="1">
      <c r="AI879" s="43"/>
      <c r="AJ879" s="43"/>
      <c r="AK879" s="43"/>
    </row>
    <row r="880" ht="15.75" customHeight="1">
      <c r="AI880" s="43"/>
      <c r="AJ880" s="43"/>
      <c r="AK880" s="43"/>
    </row>
    <row r="881" ht="15.75" customHeight="1">
      <c r="AI881" s="43"/>
      <c r="AJ881" s="43"/>
      <c r="AK881" s="43"/>
    </row>
    <row r="882" ht="15.75" customHeight="1">
      <c r="AI882" s="43"/>
      <c r="AJ882" s="43"/>
      <c r="AK882" s="43"/>
    </row>
    <row r="883" ht="15.75" customHeight="1">
      <c r="AI883" s="43"/>
      <c r="AJ883" s="43"/>
      <c r="AK883" s="43"/>
    </row>
    <row r="884" ht="15.75" customHeight="1">
      <c r="AI884" s="43"/>
      <c r="AJ884" s="43"/>
      <c r="AK884" s="43"/>
    </row>
    <row r="885" ht="15.75" customHeight="1">
      <c r="AI885" s="43"/>
      <c r="AJ885" s="43"/>
      <c r="AK885" s="43"/>
    </row>
    <row r="886" ht="15.75" customHeight="1">
      <c r="AI886" s="43"/>
      <c r="AJ886" s="43"/>
      <c r="AK886" s="43"/>
    </row>
    <row r="887" ht="15.75" customHeight="1">
      <c r="AI887" s="43"/>
      <c r="AJ887" s="43"/>
      <c r="AK887" s="43"/>
    </row>
    <row r="888" ht="15.75" customHeight="1">
      <c r="AI888" s="43"/>
      <c r="AJ888" s="43"/>
      <c r="AK888" s="43"/>
    </row>
    <row r="889" ht="15.75" customHeight="1">
      <c r="AI889" s="43"/>
      <c r="AJ889" s="43"/>
      <c r="AK889" s="43"/>
    </row>
    <row r="890" ht="15.75" customHeight="1">
      <c r="AI890" s="43"/>
      <c r="AJ890" s="43"/>
      <c r="AK890" s="43"/>
    </row>
    <row r="891" ht="15.75" customHeight="1">
      <c r="AI891" s="43"/>
      <c r="AJ891" s="43"/>
      <c r="AK891" s="43"/>
    </row>
    <row r="892" ht="15.75" customHeight="1">
      <c r="AI892" s="43"/>
      <c r="AJ892" s="43"/>
      <c r="AK892" s="43"/>
    </row>
    <row r="893" ht="15.75" customHeight="1">
      <c r="AI893" s="43"/>
      <c r="AJ893" s="43"/>
      <c r="AK893" s="43"/>
    </row>
    <row r="894" ht="15.75" customHeight="1">
      <c r="AI894" s="43"/>
      <c r="AJ894" s="43"/>
      <c r="AK894" s="43"/>
    </row>
    <row r="895" ht="15.75" customHeight="1">
      <c r="AI895" s="43"/>
      <c r="AJ895" s="43"/>
      <c r="AK895" s="43"/>
    </row>
    <row r="896" ht="15.75" customHeight="1">
      <c r="AI896" s="43"/>
      <c r="AJ896" s="43"/>
      <c r="AK896" s="43"/>
    </row>
    <row r="897" ht="15.75" customHeight="1">
      <c r="AI897" s="43"/>
      <c r="AJ897" s="43"/>
      <c r="AK897" s="43"/>
    </row>
    <row r="898" ht="15.75" customHeight="1">
      <c r="AI898" s="43"/>
      <c r="AJ898" s="43"/>
      <c r="AK898" s="43"/>
    </row>
    <row r="899" ht="15.75" customHeight="1">
      <c r="AI899" s="43"/>
      <c r="AJ899" s="43"/>
      <c r="AK899" s="43"/>
    </row>
    <row r="900" ht="15.75" customHeight="1">
      <c r="AI900" s="43"/>
      <c r="AJ900" s="43"/>
      <c r="AK900" s="43"/>
    </row>
    <row r="901" ht="15.75" customHeight="1">
      <c r="AI901" s="43"/>
      <c r="AJ901" s="43"/>
      <c r="AK901" s="43"/>
    </row>
    <row r="902" ht="15.75" customHeight="1">
      <c r="AI902" s="43"/>
      <c r="AJ902" s="43"/>
      <c r="AK902" s="43"/>
    </row>
    <row r="903" ht="15.75" customHeight="1">
      <c r="AI903" s="43"/>
      <c r="AJ903" s="43"/>
      <c r="AK903" s="43"/>
    </row>
    <row r="904" ht="15.75" customHeight="1">
      <c r="AI904" s="43"/>
      <c r="AJ904" s="43"/>
      <c r="AK904" s="43"/>
    </row>
    <row r="905" ht="15.75" customHeight="1">
      <c r="AI905" s="43"/>
      <c r="AJ905" s="43"/>
      <c r="AK905" s="43"/>
    </row>
    <row r="906" ht="15.75" customHeight="1">
      <c r="AI906" s="43"/>
      <c r="AJ906" s="43"/>
      <c r="AK906" s="43"/>
    </row>
    <row r="907" ht="15.75" customHeight="1">
      <c r="AI907" s="43"/>
      <c r="AJ907" s="43"/>
      <c r="AK907" s="43"/>
    </row>
    <row r="908" ht="15.75" customHeight="1">
      <c r="AI908" s="43"/>
      <c r="AJ908" s="43"/>
      <c r="AK908" s="43"/>
    </row>
    <row r="909" ht="15.75" customHeight="1">
      <c r="AI909" s="43"/>
      <c r="AJ909" s="43"/>
      <c r="AK909" s="43"/>
    </row>
    <row r="910" ht="15.75" customHeight="1">
      <c r="AI910" s="43"/>
      <c r="AJ910" s="43"/>
      <c r="AK910" s="43"/>
    </row>
    <row r="911" ht="15.75" customHeight="1">
      <c r="AI911" s="43"/>
      <c r="AJ911" s="43"/>
      <c r="AK911" s="43"/>
    </row>
    <row r="912" ht="15.75" customHeight="1">
      <c r="AI912" s="43"/>
      <c r="AJ912" s="43"/>
      <c r="AK912" s="43"/>
    </row>
    <row r="913" ht="15.75" customHeight="1">
      <c r="AI913" s="43"/>
      <c r="AJ913" s="43"/>
      <c r="AK913" s="43"/>
    </row>
    <row r="914" ht="15.75" customHeight="1">
      <c r="AI914" s="43"/>
      <c r="AJ914" s="43"/>
      <c r="AK914" s="43"/>
    </row>
    <row r="915" ht="15.75" customHeight="1">
      <c r="AI915" s="43"/>
      <c r="AJ915" s="43"/>
      <c r="AK915" s="43"/>
    </row>
    <row r="916" ht="15.75" customHeight="1">
      <c r="AI916" s="43"/>
      <c r="AJ916" s="43"/>
      <c r="AK916" s="43"/>
    </row>
    <row r="917" ht="15.75" customHeight="1">
      <c r="AI917" s="43"/>
      <c r="AJ917" s="43"/>
      <c r="AK917" s="43"/>
    </row>
    <row r="918" ht="15.75" customHeight="1">
      <c r="AI918" s="43"/>
      <c r="AJ918" s="43"/>
      <c r="AK918" s="43"/>
    </row>
    <row r="919" ht="15.75" customHeight="1">
      <c r="AI919" s="43"/>
      <c r="AJ919" s="43"/>
      <c r="AK919" s="43"/>
    </row>
    <row r="920" ht="15.75" customHeight="1">
      <c r="AI920" s="43"/>
      <c r="AJ920" s="43"/>
      <c r="AK920" s="43"/>
    </row>
    <row r="921" ht="15.75" customHeight="1">
      <c r="AI921" s="43"/>
      <c r="AJ921" s="43"/>
      <c r="AK921" s="43"/>
    </row>
    <row r="922" ht="15.75" customHeight="1">
      <c r="AI922" s="43"/>
      <c r="AJ922" s="43"/>
      <c r="AK922" s="43"/>
    </row>
    <row r="923" ht="15.75" customHeight="1">
      <c r="AI923" s="43"/>
      <c r="AJ923" s="43"/>
      <c r="AK923" s="43"/>
    </row>
    <row r="924" ht="15.75" customHeight="1">
      <c r="AI924" s="43"/>
      <c r="AJ924" s="43"/>
      <c r="AK924" s="43"/>
    </row>
    <row r="925" ht="15.75" customHeight="1">
      <c r="AI925" s="43"/>
      <c r="AJ925" s="43"/>
      <c r="AK925" s="43"/>
    </row>
    <row r="926" ht="15.75" customHeight="1">
      <c r="AI926" s="43"/>
      <c r="AJ926" s="43"/>
      <c r="AK926" s="43"/>
    </row>
    <row r="927" ht="15.75" customHeight="1">
      <c r="AI927" s="43"/>
      <c r="AJ927" s="43"/>
      <c r="AK927" s="43"/>
    </row>
    <row r="928" ht="15.75" customHeight="1">
      <c r="AI928" s="43"/>
      <c r="AJ928" s="43"/>
      <c r="AK928" s="43"/>
    </row>
    <row r="929" ht="15.75" customHeight="1">
      <c r="AI929" s="43"/>
      <c r="AJ929" s="43"/>
      <c r="AK929" s="43"/>
    </row>
    <row r="930" ht="15.75" customHeight="1">
      <c r="AI930" s="43"/>
      <c r="AJ930" s="43"/>
      <c r="AK930" s="43"/>
    </row>
    <row r="931" ht="15.75" customHeight="1">
      <c r="AI931" s="43"/>
      <c r="AJ931" s="43"/>
      <c r="AK931" s="43"/>
    </row>
    <row r="932" ht="15.75" customHeight="1">
      <c r="AI932" s="43"/>
      <c r="AJ932" s="43"/>
      <c r="AK932" s="43"/>
    </row>
    <row r="933" ht="15.75" customHeight="1">
      <c r="AI933" s="43"/>
      <c r="AJ933" s="43"/>
      <c r="AK933" s="43"/>
    </row>
    <row r="934" ht="15.75" customHeight="1">
      <c r="AI934" s="43"/>
      <c r="AJ934" s="43"/>
      <c r="AK934" s="43"/>
    </row>
    <row r="935" ht="15.75" customHeight="1">
      <c r="AI935" s="43"/>
      <c r="AJ935" s="43"/>
      <c r="AK935" s="43"/>
    </row>
    <row r="936" ht="15.75" customHeight="1">
      <c r="AI936" s="43"/>
      <c r="AJ936" s="43"/>
      <c r="AK936" s="43"/>
    </row>
    <row r="937" ht="15.75" customHeight="1">
      <c r="AI937" s="43"/>
      <c r="AJ937" s="43"/>
      <c r="AK937" s="43"/>
    </row>
    <row r="938" ht="15.75" customHeight="1">
      <c r="AI938" s="43"/>
      <c r="AJ938" s="43"/>
      <c r="AK938" s="43"/>
    </row>
    <row r="939" ht="15.75" customHeight="1">
      <c r="AI939" s="43"/>
      <c r="AJ939" s="43"/>
      <c r="AK939" s="43"/>
    </row>
    <row r="940" ht="15.75" customHeight="1">
      <c r="AI940" s="43"/>
      <c r="AJ940" s="43"/>
      <c r="AK940" s="43"/>
    </row>
    <row r="941" ht="15.75" customHeight="1">
      <c r="AI941" s="43"/>
      <c r="AJ941" s="43"/>
      <c r="AK941" s="43"/>
    </row>
    <row r="942" ht="15.75" customHeight="1">
      <c r="AI942" s="43"/>
      <c r="AJ942" s="43"/>
      <c r="AK942" s="43"/>
    </row>
    <row r="943" ht="15.75" customHeight="1">
      <c r="AI943" s="43"/>
      <c r="AJ943" s="43"/>
      <c r="AK943" s="43"/>
    </row>
    <row r="944" ht="15.75" customHeight="1">
      <c r="AI944" s="43"/>
      <c r="AJ944" s="43"/>
      <c r="AK944" s="43"/>
    </row>
    <row r="945" ht="15.75" customHeight="1">
      <c r="AI945" s="43"/>
      <c r="AJ945" s="43"/>
      <c r="AK945" s="43"/>
    </row>
    <row r="946" ht="15.75" customHeight="1">
      <c r="AI946" s="43"/>
      <c r="AJ946" s="43"/>
      <c r="AK946" s="43"/>
    </row>
    <row r="947" ht="15.75" customHeight="1">
      <c r="AI947" s="43"/>
      <c r="AJ947" s="43"/>
      <c r="AK947" s="43"/>
    </row>
    <row r="948" ht="15.75" customHeight="1">
      <c r="AI948" s="43"/>
      <c r="AJ948" s="43"/>
      <c r="AK948" s="43"/>
    </row>
    <row r="949" ht="15.75" customHeight="1">
      <c r="AI949" s="43"/>
      <c r="AJ949" s="43"/>
      <c r="AK949" s="43"/>
    </row>
    <row r="950" ht="15.75" customHeight="1">
      <c r="AI950" s="43"/>
      <c r="AJ950" s="43"/>
      <c r="AK950" s="43"/>
    </row>
    <row r="951" ht="15.75" customHeight="1">
      <c r="AI951" s="43"/>
      <c r="AJ951" s="43"/>
      <c r="AK951" s="43"/>
    </row>
    <row r="952" ht="15.75" customHeight="1">
      <c r="AI952" s="43"/>
      <c r="AJ952" s="43"/>
      <c r="AK952" s="43"/>
    </row>
    <row r="953" ht="15.75" customHeight="1">
      <c r="AI953" s="43"/>
      <c r="AJ953" s="43"/>
      <c r="AK953" s="43"/>
    </row>
    <row r="954" ht="15.75" customHeight="1">
      <c r="AI954" s="43"/>
      <c r="AJ954" s="43"/>
      <c r="AK954" s="43"/>
    </row>
    <row r="955" ht="15.75" customHeight="1">
      <c r="AI955" s="43"/>
      <c r="AJ955" s="43"/>
      <c r="AK955" s="43"/>
    </row>
    <row r="956" ht="15.75" customHeight="1">
      <c r="AI956" s="43"/>
      <c r="AJ956" s="43"/>
      <c r="AK956" s="43"/>
    </row>
    <row r="957" ht="15.75" customHeight="1">
      <c r="AI957" s="43"/>
      <c r="AJ957" s="43"/>
      <c r="AK957" s="43"/>
    </row>
    <row r="958" ht="15.75" customHeight="1">
      <c r="AI958" s="43"/>
      <c r="AJ958" s="43"/>
      <c r="AK958" s="43"/>
    </row>
    <row r="959" ht="15.75" customHeight="1">
      <c r="AI959" s="43"/>
      <c r="AJ959" s="43"/>
      <c r="AK959" s="43"/>
    </row>
    <row r="960" ht="15.75" customHeight="1">
      <c r="AI960" s="43"/>
      <c r="AJ960" s="43"/>
      <c r="AK960" s="43"/>
    </row>
    <row r="961" ht="15.75" customHeight="1">
      <c r="AI961" s="43"/>
      <c r="AJ961" s="43"/>
      <c r="AK961" s="43"/>
    </row>
    <row r="962" ht="15.75" customHeight="1">
      <c r="AI962" s="43"/>
      <c r="AJ962" s="43"/>
      <c r="AK962" s="43"/>
    </row>
    <row r="963" ht="15.75" customHeight="1">
      <c r="AI963" s="43"/>
      <c r="AJ963" s="43"/>
      <c r="AK963" s="43"/>
    </row>
    <row r="964" ht="15.75" customHeight="1">
      <c r="AI964" s="43"/>
      <c r="AJ964" s="43"/>
      <c r="AK964" s="43"/>
    </row>
    <row r="965" ht="15.75" customHeight="1">
      <c r="AI965" s="43"/>
      <c r="AJ965" s="43"/>
      <c r="AK965" s="43"/>
    </row>
    <row r="966" ht="15.75" customHeight="1">
      <c r="AI966" s="43"/>
      <c r="AJ966" s="43"/>
      <c r="AK966" s="43"/>
    </row>
    <row r="967" ht="15.75" customHeight="1">
      <c r="AI967" s="43"/>
      <c r="AJ967" s="43"/>
      <c r="AK967" s="43"/>
    </row>
    <row r="968" ht="15.75" customHeight="1">
      <c r="AI968" s="43"/>
      <c r="AJ968" s="43"/>
      <c r="AK968" s="43"/>
    </row>
    <row r="969" ht="15.75" customHeight="1">
      <c r="AI969" s="43"/>
      <c r="AJ969" s="43"/>
      <c r="AK969" s="43"/>
    </row>
    <row r="970" ht="15.75" customHeight="1">
      <c r="AI970" s="43"/>
      <c r="AJ970" s="43"/>
      <c r="AK970" s="43"/>
    </row>
    <row r="971" ht="15.75" customHeight="1">
      <c r="AI971" s="43"/>
      <c r="AJ971" s="43"/>
      <c r="AK971" s="43"/>
    </row>
    <row r="972" ht="15.75" customHeight="1">
      <c r="AI972" s="43"/>
      <c r="AJ972" s="43"/>
      <c r="AK972" s="43"/>
    </row>
    <row r="973" ht="15.75" customHeight="1">
      <c r="AI973" s="43"/>
      <c r="AJ973" s="43"/>
      <c r="AK973" s="43"/>
    </row>
    <row r="974" ht="15.75" customHeight="1">
      <c r="AI974" s="43"/>
      <c r="AJ974" s="43"/>
      <c r="AK974" s="43"/>
    </row>
    <row r="975" ht="15.75" customHeight="1">
      <c r="AI975" s="43"/>
      <c r="AJ975" s="43"/>
      <c r="AK975" s="43"/>
    </row>
    <row r="976" ht="15.75" customHeight="1">
      <c r="AI976" s="43"/>
      <c r="AJ976" s="43"/>
      <c r="AK976" s="43"/>
    </row>
    <row r="977" ht="15.75" customHeight="1">
      <c r="AI977" s="43"/>
      <c r="AJ977" s="43"/>
      <c r="AK977" s="43"/>
    </row>
    <row r="978" ht="15.75" customHeight="1">
      <c r="AI978" s="43"/>
      <c r="AJ978" s="43"/>
      <c r="AK978" s="43"/>
    </row>
    <row r="979" ht="15.75" customHeight="1">
      <c r="AI979" s="43"/>
      <c r="AJ979" s="43"/>
      <c r="AK979" s="43"/>
    </row>
    <row r="980" ht="15.75" customHeight="1">
      <c r="AI980" s="43"/>
      <c r="AJ980" s="43"/>
      <c r="AK980" s="43"/>
    </row>
    <row r="981" ht="15.75" customHeight="1">
      <c r="AI981" s="43"/>
      <c r="AJ981" s="43"/>
      <c r="AK981" s="43"/>
    </row>
    <row r="982" ht="15.75" customHeight="1">
      <c r="AI982" s="43"/>
      <c r="AJ982" s="43"/>
      <c r="AK982" s="43"/>
    </row>
    <row r="983" ht="15.75" customHeight="1">
      <c r="AI983" s="43"/>
      <c r="AJ983" s="43"/>
      <c r="AK983" s="43"/>
    </row>
    <row r="984" ht="15.75" customHeight="1">
      <c r="AI984" s="43"/>
      <c r="AJ984" s="43"/>
      <c r="AK984" s="43"/>
    </row>
    <row r="985" ht="15.75" customHeight="1">
      <c r="AI985" s="43"/>
      <c r="AJ985" s="43"/>
      <c r="AK985" s="43"/>
    </row>
    <row r="986" ht="15.75" customHeight="1">
      <c r="AI986" s="43"/>
      <c r="AJ986" s="43"/>
      <c r="AK986" s="43"/>
    </row>
    <row r="987" ht="15.75" customHeight="1">
      <c r="AI987" s="43"/>
      <c r="AJ987" s="43"/>
      <c r="AK987" s="43"/>
    </row>
    <row r="988" ht="15.75" customHeight="1">
      <c r="AI988" s="43"/>
      <c r="AJ988" s="43"/>
      <c r="AK988" s="43"/>
    </row>
    <row r="989" ht="15.75" customHeight="1">
      <c r="AI989" s="43"/>
      <c r="AJ989" s="43"/>
      <c r="AK989" s="43"/>
    </row>
    <row r="990" ht="15.75" customHeight="1">
      <c r="AI990" s="43"/>
      <c r="AJ990" s="43"/>
      <c r="AK990" s="43"/>
    </row>
    <row r="991" ht="15.75" customHeight="1">
      <c r="AI991" s="43"/>
      <c r="AJ991" s="43"/>
      <c r="AK991" s="43"/>
    </row>
    <row r="992" ht="15.75" customHeight="1">
      <c r="AI992" s="43"/>
      <c r="AJ992" s="43"/>
      <c r="AK992" s="43"/>
    </row>
    <row r="993" ht="15.75" customHeight="1">
      <c r="AI993" s="43"/>
      <c r="AJ993" s="43"/>
      <c r="AK993" s="43"/>
    </row>
    <row r="994" ht="15.75" customHeight="1">
      <c r="AI994" s="43"/>
      <c r="AJ994" s="43"/>
      <c r="AK994" s="43"/>
    </row>
    <row r="995" ht="15.75" customHeight="1">
      <c r="AI995" s="43"/>
      <c r="AJ995" s="43"/>
      <c r="AK995" s="43"/>
    </row>
    <row r="996" ht="15.75" customHeight="1">
      <c r="AI996" s="43"/>
      <c r="AJ996" s="43"/>
      <c r="AK996" s="43"/>
    </row>
    <row r="997" ht="15.75" customHeight="1">
      <c r="AI997" s="43"/>
      <c r="AJ997" s="43"/>
      <c r="AK997" s="43"/>
    </row>
    <row r="998" ht="15.75" customHeight="1">
      <c r="AI998" s="43"/>
      <c r="AJ998" s="43"/>
      <c r="AK998" s="43"/>
    </row>
    <row r="999" ht="15.75" customHeight="1">
      <c r="AI999" s="43"/>
      <c r="AJ999" s="43"/>
      <c r="AK999" s="43"/>
    </row>
    <row r="1000" ht="15.75" customHeight="1">
      <c r="AI1000" s="43"/>
      <c r="AJ1000" s="43"/>
      <c r="AK1000" s="43"/>
    </row>
    <row r="1001" ht="15.75" customHeight="1">
      <c r="AI1001" s="43"/>
      <c r="AJ1001" s="43"/>
      <c r="AK1001" s="43"/>
    </row>
    <row r="1002" ht="15.75" customHeight="1">
      <c r="AI1002" s="43"/>
      <c r="AJ1002" s="43"/>
      <c r="AK1002" s="43"/>
    </row>
    <row r="1003" ht="15.75" customHeight="1">
      <c r="AI1003" s="43"/>
      <c r="AJ1003" s="43"/>
      <c r="AK1003" s="43"/>
    </row>
    <row r="1004" ht="15.75" customHeight="1">
      <c r="AI1004" s="43"/>
      <c r="AJ1004" s="43"/>
      <c r="AK1004" s="43"/>
    </row>
    <row r="1005" ht="15.75" customHeight="1">
      <c r="AI1005" s="43"/>
      <c r="AJ1005" s="43"/>
      <c r="AK1005" s="43"/>
    </row>
    <row r="1006" ht="15.75" customHeight="1">
      <c r="AI1006" s="43"/>
      <c r="AJ1006" s="43"/>
      <c r="AK1006" s="43"/>
    </row>
    <row r="1007" ht="15.75" customHeight="1">
      <c r="AI1007" s="43"/>
      <c r="AJ1007" s="43"/>
      <c r="AK1007" s="43"/>
    </row>
    <row r="1008" ht="15.75" customHeight="1">
      <c r="AI1008" s="43"/>
      <c r="AJ1008" s="43"/>
      <c r="AK1008" s="43"/>
    </row>
    <row r="1009" ht="15.75" customHeight="1">
      <c r="AI1009" s="43"/>
      <c r="AJ1009" s="43"/>
      <c r="AK1009" s="43"/>
    </row>
    <row r="1010" ht="15.75" customHeight="1">
      <c r="AI1010" s="43"/>
      <c r="AJ1010" s="43"/>
      <c r="AK1010" s="43"/>
    </row>
    <row r="1011" ht="15.75" customHeight="1">
      <c r="AI1011" s="43"/>
      <c r="AJ1011" s="43"/>
      <c r="AK1011" s="43"/>
    </row>
    <row r="1012" ht="15.75" customHeight="1">
      <c r="AI1012" s="43"/>
      <c r="AJ1012" s="43"/>
      <c r="AK1012" s="43"/>
    </row>
    <row r="1013" ht="15.75" customHeight="1">
      <c r="AI1013" s="43"/>
      <c r="AJ1013" s="43"/>
      <c r="AK1013" s="43"/>
    </row>
    <row r="1014" ht="15.75" customHeight="1">
      <c r="AI1014" s="43"/>
      <c r="AJ1014" s="43"/>
      <c r="AK1014" s="43"/>
    </row>
    <row r="1015" ht="15.75" customHeight="1">
      <c r="AI1015" s="43"/>
      <c r="AJ1015" s="43"/>
      <c r="AK1015" s="43"/>
    </row>
    <row r="1016" ht="15.75" customHeight="1">
      <c r="AI1016" s="43"/>
      <c r="AJ1016" s="43"/>
      <c r="AK1016" s="43"/>
    </row>
    <row r="1017" ht="15.75" customHeight="1">
      <c r="AI1017" s="43"/>
      <c r="AJ1017" s="43"/>
      <c r="AK1017" s="43"/>
    </row>
    <row r="1018" ht="15.75" customHeight="1">
      <c r="AI1018" s="43"/>
      <c r="AJ1018" s="43"/>
      <c r="AK1018" s="43"/>
    </row>
    <row r="1019" ht="15.75" customHeight="1">
      <c r="AI1019" s="43"/>
      <c r="AJ1019" s="43"/>
      <c r="AK1019" s="43"/>
    </row>
    <row r="1020" ht="15.75" customHeight="1">
      <c r="AI1020" s="43"/>
      <c r="AJ1020" s="43"/>
      <c r="AK1020" s="43"/>
    </row>
    <row r="1021" ht="15.75" customHeight="1">
      <c r="AI1021" s="43"/>
      <c r="AJ1021" s="43"/>
      <c r="AK1021" s="43"/>
    </row>
    <row r="1022" ht="15.75" customHeight="1">
      <c r="AI1022" s="43"/>
      <c r="AJ1022" s="43"/>
      <c r="AK1022" s="43"/>
    </row>
    <row r="1023" ht="15.75" customHeight="1">
      <c r="AI1023" s="43"/>
      <c r="AJ1023" s="43"/>
      <c r="AK1023" s="43"/>
    </row>
    <row r="1024" ht="15.75" customHeight="1">
      <c r="AI1024" s="43"/>
      <c r="AJ1024" s="43"/>
      <c r="AK1024" s="43"/>
    </row>
    <row r="1025" ht="15.75" customHeight="1">
      <c r="AI1025" s="43"/>
      <c r="AJ1025" s="43"/>
      <c r="AK1025" s="43"/>
    </row>
    <row r="1026" ht="15.75" customHeight="1">
      <c r="AI1026" s="43"/>
      <c r="AJ1026" s="43"/>
      <c r="AK1026" s="43"/>
    </row>
    <row r="1027" ht="15.75" customHeight="1">
      <c r="AI1027" s="43"/>
      <c r="AJ1027" s="43"/>
      <c r="AK1027" s="43"/>
    </row>
    <row r="1028" ht="15.75" customHeight="1">
      <c r="AI1028" s="43"/>
      <c r="AJ1028" s="43"/>
      <c r="AK1028" s="43"/>
    </row>
    <row r="1029" ht="15.75" customHeight="1">
      <c r="AI1029" s="43"/>
      <c r="AJ1029" s="43"/>
      <c r="AK1029" s="43"/>
    </row>
    <row r="1030" ht="15.75" customHeight="1">
      <c r="AI1030" s="43"/>
      <c r="AJ1030" s="43"/>
      <c r="AK1030" s="43"/>
    </row>
    <row r="1031" ht="15.75" customHeight="1">
      <c r="AI1031" s="43"/>
      <c r="AJ1031" s="43"/>
      <c r="AK1031" s="43"/>
    </row>
    <row r="1032" ht="15.75" customHeight="1">
      <c r="AI1032" s="43"/>
      <c r="AJ1032" s="43"/>
      <c r="AK1032" s="43"/>
    </row>
    <row r="1033" ht="15.75" customHeight="1">
      <c r="AI1033" s="43"/>
      <c r="AJ1033" s="43"/>
      <c r="AK1033" s="43"/>
    </row>
    <row r="1034" ht="15.75" customHeight="1">
      <c r="AI1034" s="43"/>
      <c r="AJ1034" s="43"/>
      <c r="AK1034" s="43"/>
    </row>
    <row r="1035" ht="15.75" customHeight="1">
      <c r="AI1035" s="43"/>
      <c r="AJ1035" s="43"/>
      <c r="AK1035" s="43"/>
    </row>
    <row r="1036" ht="15.75" customHeight="1">
      <c r="AI1036" s="43"/>
      <c r="AJ1036" s="43"/>
      <c r="AK1036" s="43"/>
    </row>
    <row r="1037" ht="15.75" customHeight="1">
      <c r="AI1037" s="43"/>
      <c r="AJ1037" s="43"/>
      <c r="AK1037" s="43"/>
    </row>
    <row r="1038" ht="15.75" customHeight="1">
      <c r="AI1038" s="43"/>
      <c r="AJ1038" s="43"/>
      <c r="AK1038" s="43"/>
    </row>
    <row r="1039" ht="15.75" customHeight="1">
      <c r="AI1039" s="43"/>
      <c r="AJ1039" s="43"/>
      <c r="AK1039" s="43"/>
    </row>
    <row r="1040" ht="15.75" customHeight="1">
      <c r="AI1040" s="43"/>
      <c r="AJ1040" s="43"/>
      <c r="AK1040" s="43"/>
    </row>
    <row r="1041" ht="15.75" customHeight="1">
      <c r="AI1041" s="43"/>
      <c r="AJ1041" s="43"/>
      <c r="AK1041" s="43"/>
    </row>
    <row r="1042" ht="15.75" customHeight="1">
      <c r="AI1042" s="43"/>
      <c r="AJ1042" s="43"/>
      <c r="AK1042" s="43"/>
    </row>
    <row r="1043" ht="15.75" customHeight="1">
      <c r="AI1043" s="43"/>
      <c r="AJ1043" s="43"/>
      <c r="AK1043" s="43"/>
    </row>
    <row r="1044" ht="15.75" customHeight="1">
      <c r="AI1044" s="43"/>
      <c r="AJ1044" s="43"/>
      <c r="AK1044" s="43"/>
    </row>
    <row r="1045" ht="15.75" customHeight="1">
      <c r="AI1045" s="43"/>
      <c r="AJ1045" s="43"/>
      <c r="AK1045" s="43"/>
    </row>
    <row r="1046" ht="15.75" customHeight="1">
      <c r="AI1046" s="43"/>
      <c r="AJ1046" s="43"/>
      <c r="AK1046" s="43"/>
    </row>
    <row r="1047" ht="15.75" customHeight="1">
      <c r="AI1047" s="43"/>
      <c r="AJ1047" s="43"/>
      <c r="AK1047" s="43"/>
    </row>
    <row r="1048" ht="15.75" customHeight="1">
      <c r="AI1048" s="43"/>
      <c r="AJ1048" s="43"/>
      <c r="AK1048" s="43"/>
    </row>
    <row r="1049" ht="15.75" customHeight="1">
      <c r="AI1049" s="43"/>
      <c r="AJ1049" s="43"/>
      <c r="AK1049" s="43"/>
    </row>
    <row r="1050" ht="15.75" customHeight="1">
      <c r="AI1050" s="43"/>
      <c r="AJ1050" s="43"/>
      <c r="AK1050" s="43"/>
    </row>
    <row r="1051" ht="15.75" customHeight="1">
      <c r="AI1051" s="43"/>
      <c r="AJ1051" s="43"/>
      <c r="AK1051" s="43"/>
    </row>
    <row r="1052" ht="15.75" customHeight="1">
      <c r="AI1052" s="43"/>
      <c r="AJ1052" s="43"/>
      <c r="AK1052" s="43"/>
    </row>
    <row r="1053" ht="15.75" customHeight="1">
      <c r="AI1053" s="43"/>
      <c r="AJ1053" s="43"/>
      <c r="AK1053" s="43"/>
    </row>
    <row r="1054" ht="15.75" customHeight="1">
      <c r="AI1054" s="43"/>
      <c r="AJ1054" s="43"/>
      <c r="AK1054" s="43"/>
    </row>
    <row r="1055" ht="15.75" customHeight="1">
      <c r="AI1055" s="43"/>
      <c r="AJ1055" s="43"/>
      <c r="AK1055" s="43"/>
    </row>
    <row r="1056" ht="15.75" customHeight="1">
      <c r="AI1056" s="43"/>
      <c r="AJ1056" s="43"/>
      <c r="AK1056" s="43"/>
    </row>
    <row r="1057" ht="15.75" customHeight="1">
      <c r="AI1057" s="43"/>
      <c r="AJ1057" s="43"/>
      <c r="AK1057" s="43"/>
    </row>
    <row r="1058" ht="15.75" customHeight="1">
      <c r="AI1058" s="43"/>
      <c r="AJ1058" s="43"/>
      <c r="AK1058" s="43"/>
    </row>
    <row r="1059" ht="15.75" customHeight="1">
      <c r="AI1059" s="43"/>
      <c r="AJ1059" s="43"/>
      <c r="AK1059" s="43"/>
    </row>
    <row r="1060" ht="15.75" customHeight="1">
      <c r="AI1060" s="43"/>
      <c r="AJ1060" s="43"/>
      <c r="AK1060" s="43"/>
    </row>
    <row r="1061" ht="15.75" customHeight="1">
      <c r="AI1061" s="43"/>
      <c r="AJ1061" s="43"/>
      <c r="AK1061" s="43"/>
    </row>
    <row r="1062" ht="15.75" customHeight="1">
      <c r="AI1062" s="43"/>
      <c r="AJ1062" s="43"/>
      <c r="AK1062" s="43"/>
    </row>
    <row r="1063" ht="15.75" customHeight="1">
      <c r="AI1063" s="43"/>
      <c r="AJ1063" s="43"/>
      <c r="AK1063" s="43"/>
    </row>
    <row r="1064" ht="15.75" customHeight="1">
      <c r="AI1064" s="43"/>
      <c r="AJ1064" s="43"/>
      <c r="AK1064" s="43"/>
    </row>
    <row r="1065" ht="15.75" customHeight="1">
      <c r="AI1065" s="43"/>
      <c r="AJ1065" s="43"/>
      <c r="AK1065" s="43"/>
    </row>
    <row r="1066" ht="15.75" customHeight="1">
      <c r="AI1066" s="43"/>
      <c r="AJ1066" s="43"/>
      <c r="AK1066" s="43"/>
    </row>
    <row r="1067" ht="15.75" customHeight="1">
      <c r="AI1067" s="43"/>
      <c r="AJ1067" s="43"/>
      <c r="AK1067" s="43"/>
    </row>
    <row r="1068" ht="15.75" customHeight="1">
      <c r="AI1068" s="43"/>
      <c r="AJ1068" s="43"/>
      <c r="AK1068" s="43"/>
    </row>
    <row r="1069" ht="15.75" customHeight="1">
      <c r="AI1069" s="43"/>
      <c r="AJ1069" s="43"/>
      <c r="AK1069" s="43"/>
    </row>
    <row r="1070" ht="15.75" customHeight="1">
      <c r="AI1070" s="43"/>
      <c r="AJ1070" s="43"/>
      <c r="AK1070" s="43"/>
    </row>
    <row r="1071" ht="15.75" customHeight="1">
      <c r="AI1071" s="43"/>
      <c r="AJ1071" s="43"/>
      <c r="AK1071" s="43"/>
    </row>
    <row r="1072" ht="15.75" customHeight="1">
      <c r="AI1072" s="43"/>
      <c r="AJ1072" s="43"/>
      <c r="AK1072" s="43"/>
    </row>
    <row r="1073" ht="15.75" customHeight="1">
      <c r="AI1073" s="43"/>
      <c r="AJ1073" s="43"/>
      <c r="AK1073" s="43"/>
    </row>
    <row r="1074" ht="15.75" customHeight="1">
      <c r="AI1074" s="43"/>
      <c r="AJ1074" s="43"/>
      <c r="AK1074" s="43"/>
    </row>
    <row r="1075" ht="15.75" customHeight="1">
      <c r="AI1075" s="43"/>
      <c r="AJ1075" s="43"/>
      <c r="AK1075" s="43"/>
    </row>
    <row r="1076" ht="15.75" customHeight="1">
      <c r="AI1076" s="43"/>
      <c r="AJ1076" s="43"/>
      <c r="AK1076" s="43"/>
    </row>
    <row r="1077" ht="15.75" customHeight="1">
      <c r="AI1077" s="43"/>
      <c r="AJ1077" s="43"/>
      <c r="AK1077" s="43"/>
    </row>
    <row r="1078" ht="15.75" customHeight="1">
      <c r="AI1078" s="43"/>
      <c r="AJ1078" s="43"/>
      <c r="AK1078" s="43"/>
    </row>
    <row r="1079" ht="15.75" customHeight="1">
      <c r="AI1079" s="43"/>
      <c r="AJ1079" s="43"/>
      <c r="AK1079" s="43"/>
    </row>
    <row r="1080" ht="15.75" customHeight="1">
      <c r="AI1080" s="43"/>
      <c r="AJ1080" s="43"/>
      <c r="AK1080" s="43"/>
    </row>
    <row r="1081" ht="15.75" customHeight="1">
      <c r="AI1081" s="43"/>
      <c r="AJ1081" s="43"/>
      <c r="AK1081" s="43"/>
    </row>
    <row r="1082" ht="15.75" customHeight="1">
      <c r="AI1082" s="43"/>
      <c r="AJ1082" s="43"/>
      <c r="AK1082" s="43"/>
    </row>
    <row r="1083" ht="15.75" customHeight="1">
      <c r="AI1083" s="43"/>
      <c r="AJ1083" s="43"/>
      <c r="AK1083" s="43"/>
    </row>
    <row r="1084" ht="15.75" customHeight="1">
      <c r="AI1084" s="43"/>
      <c r="AJ1084" s="43"/>
      <c r="AK1084" s="43"/>
    </row>
    <row r="1085" ht="15.75" customHeight="1">
      <c r="AI1085" s="43"/>
      <c r="AJ1085" s="43"/>
      <c r="AK1085" s="43"/>
    </row>
    <row r="1086" ht="15.75" customHeight="1">
      <c r="AI1086" s="43"/>
      <c r="AJ1086" s="43"/>
      <c r="AK1086" s="43"/>
    </row>
    <row r="1087" ht="15.75" customHeight="1">
      <c r="AI1087" s="43"/>
      <c r="AJ1087" s="43"/>
      <c r="AK1087" s="43"/>
    </row>
    <row r="1088" ht="15.75" customHeight="1">
      <c r="AI1088" s="43"/>
      <c r="AJ1088" s="43"/>
      <c r="AK1088" s="43"/>
    </row>
    <row r="1089" ht="15.75" customHeight="1">
      <c r="AI1089" s="43"/>
      <c r="AJ1089" s="43"/>
      <c r="AK1089" s="43"/>
    </row>
    <row r="1090" ht="15.75" customHeight="1">
      <c r="AI1090" s="43"/>
      <c r="AJ1090" s="43"/>
      <c r="AK1090" s="43"/>
    </row>
    <row r="1091" ht="15.75" customHeight="1">
      <c r="AI1091" s="43"/>
      <c r="AJ1091" s="43"/>
      <c r="AK1091" s="43"/>
    </row>
    <row r="1092" ht="15.75" customHeight="1">
      <c r="AI1092" s="43"/>
      <c r="AJ1092" s="43"/>
      <c r="AK1092" s="43"/>
    </row>
    <row r="1093" ht="15.75" customHeight="1">
      <c r="AI1093" s="43"/>
      <c r="AJ1093" s="43"/>
      <c r="AK1093" s="43"/>
    </row>
    <row r="1094" ht="15.75" customHeight="1">
      <c r="AI1094" s="43"/>
      <c r="AJ1094" s="43"/>
      <c r="AK1094" s="43"/>
    </row>
    <row r="1095" ht="15.75" customHeight="1">
      <c r="AI1095" s="43"/>
      <c r="AJ1095" s="43"/>
      <c r="AK1095" s="43"/>
    </row>
    <row r="1096" ht="15.75" customHeight="1">
      <c r="AI1096" s="43"/>
      <c r="AJ1096" s="43"/>
      <c r="AK1096" s="43"/>
    </row>
    <row r="1097" ht="15.75" customHeight="1">
      <c r="AI1097" s="43"/>
      <c r="AJ1097" s="43"/>
      <c r="AK1097" s="43"/>
    </row>
    <row r="1098" ht="15.75" customHeight="1">
      <c r="AI1098" s="43"/>
      <c r="AJ1098" s="43"/>
      <c r="AK1098" s="43"/>
    </row>
    <row r="1099" ht="15.75" customHeight="1">
      <c r="AI1099" s="43"/>
      <c r="AJ1099" s="43"/>
      <c r="AK1099" s="43"/>
    </row>
    <row r="1100" ht="15.75" customHeight="1">
      <c r="AI1100" s="43"/>
      <c r="AJ1100" s="43"/>
      <c r="AK1100" s="43"/>
    </row>
    <row r="1101" ht="15.75" customHeight="1">
      <c r="AI1101" s="43"/>
      <c r="AJ1101" s="43"/>
      <c r="AK1101" s="43"/>
    </row>
    <row r="1102" ht="15.75" customHeight="1">
      <c r="AI1102" s="43"/>
      <c r="AJ1102" s="43"/>
      <c r="AK1102" s="43"/>
    </row>
    <row r="1103" ht="15.75" customHeight="1">
      <c r="AI1103" s="43"/>
      <c r="AJ1103" s="43"/>
      <c r="AK1103" s="43"/>
    </row>
    <row r="1104" ht="15.75" customHeight="1">
      <c r="AI1104" s="43"/>
      <c r="AJ1104" s="43"/>
      <c r="AK1104" s="43"/>
    </row>
    <row r="1105" ht="15.75" customHeight="1">
      <c r="AI1105" s="43"/>
      <c r="AJ1105" s="43"/>
      <c r="AK1105" s="43"/>
    </row>
    <row r="1106" ht="15.75" customHeight="1">
      <c r="AI1106" s="43"/>
      <c r="AJ1106" s="43"/>
      <c r="AK1106" s="43"/>
    </row>
    <row r="1107" ht="15.75" customHeight="1">
      <c r="AI1107" s="43"/>
      <c r="AJ1107" s="43"/>
      <c r="AK1107" s="43"/>
    </row>
    <row r="1108" ht="15.75" customHeight="1">
      <c r="AI1108" s="43"/>
      <c r="AJ1108" s="43"/>
      <c r="AK1108" s="43"/>
    </row>
    <row r="1109" ht="15.75" customHeight="1">
      <c r="AI1109" s="43"/>
      <c r="AJ1109" s="43"/>
      <c r="AK1109" s="43"/>
    </row>
    <row r="1110" ht="15.75" customHeight="1">
      <c r="AI1110" s="43"/>
      <c r="AJ1110" s="43"/>
      <c r="AK1110" s="43"/>
    </row>
    <row r="1111" ht="15.75" customHeight="1">
      <c r="AI1111" s="43"/>
      <c r="AJ1111" s="43"/>
      <c r="AK1111" s="43"/>
    </row>
    <row r="1112" ht="15.75" customHeight="1">
      <c r="AI1112" s="43"/>
      <c r="AJ1112" s="43"/>
      <c r="AK1112" s="43"/>
    </row>
    <row r="1113" ht="15.75" customHeight="1">
      <c r="AI1113" s="43"/>
      <c r="AJ1113" s="43"/>
      <c r="AK1113" s="43"/>
    </row>
    <row r="1114" ht="15.75" customHeight="1">
      <c r="AI1114" s="43"/>
      <c r="AJ1114" s="43"/>
      <c r="AK1114" s="43"/>
    </row>
    <row r="1115" ht="15.75" customHeight="1">
      <c r="AI1115" s="43"/>
      <c r="AJ1115" s="43"/>
      <c r="AK1115" s="43"/>
    </row>
    <row r="1116" ht="15.75" customHeight="1">
      <c r="AI1116" s="43"/>
      <c r="AJ1116" s="43"/>
      <c r="AK1116" s="43"/>
    </row>
    <row r="1117" ht="15.75" customHeight="1">
      <c r="AI1117" s="43"/>
      <c r="AJ1117" s="43"/>
      <c r="AK1117" s="43"/>
    </row>
    <row r="1118" ht="15.75" customHeight="1">
      <c r="AI1118" s="43"/>
      <c r="AJ1118" s="43"/>
      <c r="AK1118" s="43"/>
    </row>
    <row r="1119" ht="15.75" customHeight="1">
      <c r="AI1119" s="43"/>
      <c r="AJ1119" s="43"/>
      <c r="AK1119" s="43"/>
    </row>
    <row r="1120" ht="15.75" customHeight="1">
      <c r="AI1120" s="43"/>
      <c r="AJ1120" s="43"/>
      <c r="AK1120" s="43"/>
    </row>
    <row r="1121" ht="15.75" customHeight="1">
      <c r="AI1121" s="43"/>
      <c r="AJ1121" s="43"/>
      <c r="AK1121" s="43"/>
    </row>
    <row r="1122" ht="15.75" customHeight="1">
      <c r="AI1122" s="43"/>
      <c r="AJ1122" s="43"/>
      <c r="AK1122" s="43"/>
    </row>
    <row r="1123" ht="15.75" customHeight="1">
      <c r="AI1123" s="43"/>
      <c r="AJ1123" s="43"/>
      <c r="AK1123" s="43"/>
    </row>
    <row r="1124" ht="15.75" customHeight="1">
      <c r="AI1124" s="43"/>
      <c r="AJ1124" s="43"/>
      <c r="AK1124" s="43"/>
    </row>
    <row r="1125" ht="15.75" customHeight="1">
      <c r="AI1125" s="43"/>
      <c r="AJ1125" s="43"/>
      <c r="AK1125" s="43"/>
    </row>
    <row r="1126" ht="15.75" customHeight="1">
      <c r="AI1126" s="43"/>
      <c r="AJ1126" s="43"/>
      <c r="AK1126" s="43"/>
    </row>
    <row r="1127" ht="15.75" customHeight="1">
      <c r="AI1127" s="43"/>
      <c r="AJ1127" s="43"/>
      <c r="AK1127" s="43"/>
    </row>
    <row r="1128" ht="15.75" customHeight="1">
      <c r="AI1128" s="43"/>
      <c r="AJ1128" s="43"/>
      <c r="AK1128" s="43"/>
    </row>
    <row r="1129" ht="15.75" customHeight="1">
      <c r="AI1129" s="43"/>
      <c r="AJ1129" s="43"/>
      <c r="AK1129" s="43"/>
    </row>
    <row r="1130" ht="15.75" customHeight="1">
      <c r="AI1130" s="43"/>
      <c r="AJ1130" s="43"/>
      <c r="AK1130" s="43"/>
    </row>
    <row r="1131" ht="15.75" customHeight="1">
      <c r="AI1131" s="43"/>
      <c r="AJ1131" s="43"/>
      <c r="AK1131" s="43"/>
    </row>
    <row r="1132" ht="15.75" customHeight="1">
      <c r="AI1132" s="43"/>
      <c r="AJ1132" s="43"/>
      <c r="AK1132" s="43"/>
    </row>
    <row r="1133" ht="15.75" customHeight="1">
      <c r="AI1133" s="43"/>
      <c r="AJ1133" s="43"/>
      <c r="AK1133" s="43"/>
    </row>
    <row r="1134" ht="15.75" customHeight="1">
      <c r="AI1134" s="43"/>
      <c r="AJ1134" s="43"/>
      <c r="AK1134" s="43"/>
    </row>
    <row r="1135" ht="15.75" customHeight="1">
      <c r="AI1135" s="43"/>
      <c r="AJ1135" s="43"/>
      <c r="AK1135" s="43"/>
    </row>
    <row r="1136" ht="15.75" customHeight="1">
      <c r="AI1136" s="43"/>
      <c r="AJ1136" s="43"/>
      <c r="AK1136" s="43"/>
    </row>
    <row r="1137" ht="15.75" customHeight="1">
      <c r="AI1137" s="43"/>
      <c r="AJ1137" s="43"/>
      <c r="AK1137" s="43"/>
    </row>
    <row r="1138" ht="15.75" customHeight="1">
      <c r="AI1138" s="43"/>
      <c r="AJ1138" s="43"/>
      <c r="AK1138" s="43"/>
    </row>
    <row r="1139" ht="15.75" customHeight="1">
      <c r="AI1139" s="43"/>
      <c r="AJ1139" s="43"/>
      <c r="AK1139" s="43"/>
    </row>
    <row r="1140" ht="15.75" customHeight="1">
      <c r="AI1140" s="43"/>
      <c r="AJ1140" s="43"/>
      <c r="AK1140" s="43"/>
    </row>
    <row r="1141" ht="15.75" customHeight="1">
      <c r="AI1141" s="43"/>
      <c r="AJ1141" s="43"/>
      <c r="AK1141" s="43"/>
    </row>
    <row r="1142" ht="15.75" customHeight="1">
      <c r="AI1142" s="43"/>
      <c r="AJ1142" s="43"/>
      <c r="AK1142" s="43"/>
    </row>
    <row r="1143" ht="15.75" customHeight="1">
      <c r="AI1143" s="43"/>
      <c r="AJ1143" s="43"/>
      <c r="AK1143" s="43"/>
    </row>
    <row r="1144" ht="15.75" customHeight="1">
      <c r="AI1144" s="43"/>
      <c r="AJ1144" s="43"/>
      <c r="AK1144" s="43"/>
    </row>
    <row r="1145" ht="15.75" customHeight="1">
      <c r="AI1145" s="43"/>
      <c r="AJ1145" s="43"/>
      <c r="AK1145" s="43"/>
    </row>
    <row r="1146" ht="15.75" customHeight="1">
      <c r="AI1146" s="43"/>
      <c r="AJ1146" s="43"/>
      <c r="AK1146" s="43"/>
    </row>
    <row r="1147" ht="15.75" customHeight="1">
      <c r="AI1147" s="43"/>
      <c r="AJ1147" s="43"/>
      <c r="AK1147" s="43"/>
    </row>
    <row r="1148" ht="15.75" customHeight="1">
      <c r="AI1148" s="43"/>
      <c r="AJ1148" s="43"/>
      <c r="AK1148" s="43"/>
    </row>
    <row r="1149" ht="15.75" customHeight="1">
      <c r="AI1149" s="43"/>
      <c r="AJ1149" s="43"/>
      <c r="AK1149" s="43"/>
    </row>
    <row r="1150" ht="15.75" customHeight="1">
      <c r="AI1150" s="43"/>
      <c r="AJ1150" s="43"/>
      <c r="AK1150" s="43"/>
    </row>
    <row r="1151" ht="15.75" customHeight="1">
      <c r="AI1151" s="43"/>
      <c r="AJ1151" s="43"/>
      <c r="AK1151" s="43"/>
    </row>
    <row r="1152" ht="15.75" customHeight="1">
      <c r="AI1152" s="43"/>
      <c r="AJ1152" s="43"/>
      <c r="AK1152" s="43"/>
    </row>
    <row r="1153" ht="15.75" customHeight="1">
      <c r="AI1153" s="43"/>
      <c r="AJ1153" s="43"/>
      <c r="AK1153" s="43"/>
    </row>
    <row r="1154" ht="15.75" customHeight="1">
      <c r="AI1154" s="43"/>
      <c r="AJ1154" s="43"/>
      <c r="AK1154" s="43"/>
    </row>
    <row r="1155" ht="15.75" customHeight="1">
      <c r="AI1155" s="43"/>
      <c r="AJ1155" s="43"/>
      <c r="AK1155" s="43"/>
    </row>
    <row r="1156" ht="15.75" customHeight="1">
      <c r="AI1156" s="43"/>
      <c r="AJ1156" s="43"/>
      <c r="AK1156" s="43"/>
    </row>
    <row r="1157" ht="15.75" customHeight="1">
      <c r="AI1157" s="43"/>
      <c r="AJ1157" s="43"/>
      <c r="AK1157" s="43"/>
    </row>
    <row r="1158" ht="15.75" customHeight="1">
      <c r="AI1158" s="43"/>
      <c r="AJ1158" s="43"/>
      <c r="AK1158" s="43"/>
    </row>
    <row r="1159" ht="15.75" customHeight="1">
      <c r="AI1159" s="43"/>
      <c r="AJ1159" s="43"/>
      <c r="AK1159" s="43"/>
    </row>
    <row r="1160" ht="15.75" customHeight="1">
      <c r="AI1160" s="43"/>
      <c r="AJ1160" s="43"/>
      <c r="AK1160" s="43"/>
    </row>
    <row r="1161" ht="15.75" customHeight="1">
      <c r="AI1161" s="43"/>
      <c r="AJ1161" s="43"/>
      <c r="AK1161" s="43"/>
    </row>
    <row r="1162" ht="15.75" customHeight="1">
      <c r="AI1162" s="43"/>
      <c r="AJ1162" s="43"/>
      <c r="AK1162" s="43"/>
    </row>
    <row r="1163" ht="15.75" customHeight="1">
      <c r="AI1163" s="43"/>
      <c r="AJ1163" s="43"/>
      <c r="AK1163" s="43"/>
    </row>
    <row r="1164" ht="15.75" customHeight="1">
      <c r="AI1164" s="43"/>
      <c r="AJ1164" s="43"/>
      <c r="AK1164" s="43"/>
    </row>
    <row r="1165" ht="15.75" customHeight="1">
      <c r="AI1165" s="43"/>
      <c r="AJ1165" s="43"/>
      <c r="AK1165" s="43"/>
    </row>
    <row r="1166" ht="15.75" customHeight="1">
      <c r="AI1166" s="43"/>
      <c r="AJ1166" s="43"/>
      <c r="AK1166" s="43"/>
    </row>
    <row r="1167" ht="15.75" customHeight="1">
      <c r="AI1167" s="43"/>
      <c r="AJ1167" s="43"/>
      <c r="AK1167" s="43"/>
    </row>
    <row r="1168" ht="15.75" customHeight="1">
      <c r="AI1168" s="43"/>
      <c r="AJ1168" s="43"/>
      <c r="AK1168" s="43"/>
    </row>
    <row r="1169" ht="15.75" customHeight="1">
      <c r="AI1169" s="43"/>
      <c r="AJ1169" s="43"/>
      <c r="AK1169" s="43"/>
    </row>
    <row r="1170" ht="15.75" customHeight="1">
      <c r="AI1170" s="43"/>
      <c r="AJ1170" s="43"/>
      <c r="AK1170" s="43"/>
    </row>
    <row r="1171" ht="15.75" customHeight="1">
      <c r="AI1171" s="43"/>
      <c r="AJ1171" s="43"/>
      <c r="AK1171" s="43"/>
    </row>
    <row r="1172" ht="15.75" customHeight="1">
      <c r="AI1172" s="43"/>
      <c r="AJ1172" s="43"/>
      <c r="AK1172" s="43"/>
    </row>
    <row r="1173" ht="15.75" customHeight="1">
      <c r="AI1173" s="43"/>
      <c r="AJ1173" s="43"/>
      <c r="AK1173" s="43"/>
    </row>
    <row r="1174" ht="15.75" customHeight="1">
      <c r="AI1174" s="43"/>
      <c r="AJ1174" s="43"/>
      <c r="AK1174" s="43"/>
    </row>
    <row r="1175" ht="15.75" customHeight="1">
      <c r="AI1175" s="43"/>
      <c r="AJ1175" s="43"/>
      <c r="AK1175" s="43"/>
    </row>
  </sheetData>
  <customSheetViews>
    <customSheetView guid="{9DB68C93-84DC-4985-B22F-B6683FB4F2A1}" filter="1" showAutoFilter="1">
      <autoFilter ref="$A$1:$AK$577"/>
    </customSheetView>
    <customSheetView guid="{13844019-9ED9-4FD1-B1E0-423230C1E434}" filter="1" showAutoFilter="1">
      <autoFilter ref="$A$1:$AK$577">
        <sortState ref="A1:AK577">
          <sortCondition ref="Y1:Y577"/>
        </sortState>
      </autoFilter>
    </customSheetView>
  </customSheetViews>
  <conditionalFormatting sqref="AB2:AD577">
    <cfRule type="colorScale" priority="1">
      <colorScale>
        <cfvo type="formula" val="0.5"/>
        <cfvo type="formula" val="1"/>
        <cfvo type="formula" val="2"/>
        <color rgb="FF57BB8A"/>
        <color rgb="FFABDDC5"/>
        <color rgb="FFFF9900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8" t="s">
        <v>3</v>
      </c>
      <c r="B1" s="48" t="s">
        <v>25</v>
      </c>
      <c r="C1" s="48" t="s">
        <v>1066</v>
      </c>
      <c r="D1" s="48" t="s">
        <v>1067</v>
      </c>
      <c r="E1" s="48" t="s">
        <v>1068</v>
      </c>
    </row>
    <row r="2">
      <c r="A2" s="48">
        <v>1936.0</v>
      </c>
      <c r="B2" s="48">
        <f>0.96*0.9</f>
        <v>0.864</v>
      </c>
      <c r="C2" s="48">
        <v>3.0</v>
      </c>
      <c r="D2" s="49">
        <f t="shared" ref="D2:D9" si="1">min(0.99,16649*(A2/10000)^2-6443.4*(A2/10000)+624.3)</f>
        <v>0.87826304</v>
      </c>
      <c r="E2" s="49">
        <f t="shared" ref="E2:E9" si="2">2.5*(A2/1936)^25</f>
        <v>2.5</v>
      </c>
    </row>
    <row r="3">
      <c r="A3" s="48">
        <v>1944.0</v>
      </c>
      <c r="B3" s="49">
        <f>0.96*0.93</f>
        <v>0.8928</v>
      </c>
      <c r="C3" s="48">
        <v>4.0</v>
      </c>
      <c r="D3" s="49">
        <f t="shared" si="1"/>
        <v>0.89139264</v>
      </c>
      <c r="E3" s="49">
        <f t="shared" si="2"/>
        <v>2.771486064</v>
      </c>
    </row>
    <row r="4">
      <c r="A4" s="48">
        <v>1950.0</v>
      </c>
      <c r="B4" s="48">
        <f>0.95*0.95</f>
        <v>0.9025</v>
      </c>
      <c r="C4" s="48">
        <v>4.5</v>
      </c>
      <c r="D4" s="49">
        <f t="shared" si="1"/>
        <v>0.915225</v>
      </c>
      <c r="E4" s="49">
        <f t="shared" si="2"/>
        <v>2.993446278</v>
      </c>
    </row>
    <row r="5">
      <c r="A5" s="48">
        <v>1954.0</v>
      </c>
      <c r="B5" s="49">
        <f>0.96*0.96</f>
        <v>0.9216</v>
      </c>
      <c r="C5" s="48">
        <v>5.0</v>
      </c>
      <c r="D5" s="49">
        <f t="shared" si="1"/>
        <v>0.93777284</v>
      </c>
      <c r="E5" s="49">
        <f t="shared" si="2"/>
        <v>3.150795155</v>
      </c>
    </row>
    <row r="6">
      <c r="A6" s="48">
        <v>1956.0</v>
      </c>
      <c r="B6" s="49">
        <f>0.98*0.96</f>
        <v>0.9408</v>
      </c>
      <c r="C6" s="48">
        <v>5.5</v>
      </c>
      <c r="D6" s="49">
        <f t="shared" si="1"/>
        <v>0.95104464</v>
      </c>
      <c r="E6" s="49">
        <f t="shared" si="2"/>
        <v>3.232417473</v>
      </c>
    </row>
    <row r="7">
      <c r="A7" s="48">
        <v>1958.0</v>
      </c>
      <c r="B7" s="49">
        <f>0.97*0.97</f>
        <v>0.9409</v>
      </c>
      <c r="C7" s="48">
        <v>6.0</v>
      </c>
      <c r="D7" s="49">
        <f t="shared" si="1"/>
        <v>0.96564836</v>
      </c>
      <c r="E7" s="49">
        <f t="shared" si="2"/>
        <v>3.316067567</v>
      </c>
    </row>
    <row r="8">
      <c r="A8" s="48">
        <v>1960.0</v>
      </c>
      <c r="B8" s="49">
        <f>0.99*0.99</f>
        <v>0.9801</v>
      </c>
      <c r="C8" s="48">
        <v>6.0</v>
      </c>
      <c r="D8" s="49">
        <f t="shared" si="1"/>
        <v>0.981584</v>
      </c>
      <c r="E8" s="49">
        <f t="shared" si="2"/>
        <v>3.401793667</v>
      </c>
    </row>
    <row r="9">
      <c r="A9" s="48">
        <v>1962.0</v>
      </c>
      <c r="B9" s="49">
        <f>0.995^2</f>
        <v>0.990025</v>
      </c>
      <c r="C9" s="48">
        <v>6.0</v>
      </c>
      <c r="D9" s="49">
        <f t="shared" si="1"/>
        <v>0.99</v>
      </c>
      <c r="E9" s="49">
        <f t="shared" si="2"/>
        <v>3.489645095</v>
      </c>
    </row>
    <row r="20">
      <c r="H20" s="50"/>
      <c r="K20" s="50"/>
      <c r="M20" s="50"/>
    </row>
    <row r="21">
      <c r="H21" s="50"/>
      <c r="I21" s="50"/>
      <c r="K21" s="50"/>
      <c r="L21" s="50"/>
      <c r="M21" s="50"/>
    </row>
    <row r="22">
      <c r="H22" s="50"/>
      <c r="I22" s="50"/>
      <c r="K22" s="50"/>
      <c r="L22" s="50"/>
      <c r="M22" s="50"/>
    </row>
    <row r="23">
      <c r="H23" s="50"/>
      <c r="I23" s="50"/>
      <c r="K23" s="50"/>
      <c r="L23" s="50"/>
      <c r="M23" s="50"/>
    </row>
    <row r="24">
      <c r="H24" s="50"/>
      <c r="I24" s="50"/>
      <c r="K24" s="50"/>
      <c r="L24" s="50"/>
      <c r="M24" s="50"/>
    </row>
    <row r="25">
      <c r="H25" s="50"/>
      <c r="I25" s="50"/>
      <c r="K25" s="50"/>
      <c r="L25" s="50"/>
      <c r="M25" s="50"/>
    </row>
    <row r="26">
      <c r="H26" s="50"/>
      <c r="I26" s="50"/>
      <c r="K26" s="50"/>
      <c r="L26" s="50"/>
      <c r="M26" s="50"/>
    </row>
    <row r="27">
      <c r="H27" s="50"/>
      <c r="I27" s="50"/>
      <c r="K27" s="50"/>
      <c r="L27" s="50"/>
      <c r="M27" s="50"/>
    </row>
    <row r="28">
      <c r="H28" s="50"/>
      <c r="I28" s="50"/>
      <c r="K28" s="50"/>
      <c r="L28" s="50"/>
      <c r="M28" s="50"/>
    </row>
    <row r="29">
      <c r="H29" s="50"/>
      <c r="I29" s="50"/>
      <c r="K29" s="50"/>
      <c r="L29" s="50"/>
      <c r="M29" s="50"/>
    </row>
    <row r="30">
      <c r="H30" s="50"/>
      <c r="I30" s="50"/>
      <c r="K30" s="50"/>
      <c r="L30" s="50"/>
      <c r="M30" s="50"/>
    </row>
    <row r="31">
      <c r="H31" s="50"/>
      <c r="I31" s="50"/>
      <c r="K31" s="50"/>
      <c r="L31" s="50"/>
      <c r="M31" s="50"/>
    </row>
    <row r="32">
      <c r="H32" s="50"/>
      <c r="I32" s="50"/>
      <c r="K32" s="50"/>
      <c r="L32" s="50"/>
      <c r="M3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1" t="s">
        <v>0</v>
      </c>
      <c r="E1" s="51" t="s">
        <v>10</v>
      </c>
      <c r="F1" s="51" t="s">
        <v>11</v>
      </c>
      <c r="G1" s="51" t="s">
        <v>12</v>
      </c>
      <c r="H1" s="51" t="s">
        <v>13</v>
      </c>
      <c r="I1" s="51" t="s">
        <v>1069</v>
      </c>
      <c r="J1" s="51" t="s">
        <v>1070</v>
      </c>
      <c r="K1" s="51" t="s">
        <v>1071</v>
      </c>
      <c r="L1" s="51" t="s">
        <v>1072</v>
      </c>
      <c r="M1" s="51" t="s">
        <v>1073</v>
      </c>
      <c r="N1" s="51" t="s">
        <v>1074</v>
      </c>
      <c r="O1" s="51" t="s">
        <v>1075</v>
      </c>
      <c r="P1" s="51" t="s">
        <v>1006</v>
      </c>
      <c r="Q1" s="51" t="s">
        <v>1076</v>
      </c>
    </row>
    <row r="2" ht="15.75" customHeight="1">
      <c r="A2" s="52" t="s">
        <v>1019</v>
      </c>
      <c r="B2" s="52" t="s">
        <v>185</v>
      </c>
      <c r="C2" s="52">
        <v>1355.0</v>
      </c>
      <c r="D2" s="52">
        <v>0.0</v>
      </c>
      <c r="E2" s="52">
        <v>1566.708</v>
      </c>
      <c r="F2" s="52">
        <v>889.644</v>
      </c>
      <c r="G2" s="52">
        <v>418.0</v>
      </c>
      <c r="H2" s="52">
        <v>4.94</v>
      </c>
      <c r="I2" s="53">
        <f t="shared" ref="I2:I8" si="1">C2+D2</f>
        <v>1355</v>
      </c>
      <c r="J2" s="53">
        <f t="shared" ref="J2:J8" si="2">(F2*101.971621)/E2</f>
        <v>57.90386006</v>
      </c>
      <c r="K2" s="54">
        <f t="shared" ref="K2:K8" si="3">I2/F2</f>
        <v>1.523081143</v>
      </c>
      <c r="L2" s="55">
        <f t="shared" ref="L2:L8" si="4">E2*H2</f>
        <v>7739.53752</v>
      </c>
      <c r="M2" s="55">
        <f t="shared" ref="M2:M8" si="5">E2*G2</f>
        <v>654883.944</v>
      </c>
      <c r="N2" s="55">
        <f t="shared" ref="N2:N8" si="6">E2*G2*H2</f>
        <v>3235126.683</v>
      </c>
      <c r="O2" s="55">
        <f t="shared" ref="O2:O4" si="7">0.2*(8.17*POW(E2*H2,0.46))+0.8*(0.252*F2+136)</f>
        <v>388.627911</v>
      </c>
      <c r="P2" s="56">
        <f t="shared" ref="P2:P8" si="8">O2/I2</f>
        <v>0.2868102664</v>
      </c>
      <c r="Q2" s="57">
        <f t="shared" ref="Q2:Q8" si="9">ABS(1-P2)</f>
        <v>0.7131897336</v>
      </c>
    </row>
    <row r="3" ht="15.75" customHeight="1">
      <c r="A3" s="52" t="s">
        <v>665</v>
      </c>
      <c r="B3" s="52" t="s">
        <v>660</v>
      </c>
      <c r="C3" s="52">
        <v>500.0</v>
      </c>
      <c r="D3" s="52">
        <v>262.0</v>
      </c>
      <c r="E3" s="52">
        <v>141.0</v>
      </c>
      <c r="F3" s="52">
        <v>73.4</v>
      </c>
      <c r="G3" s="52">
        <v>444.4</v>
      </c>
      <c r="H3" s="52">
        <v>3.28</v>
      </c>
      <c r="I3" s="53">
        <f t="shared" si="1"/>
        <v>762</v>
      </c>
      <c r="J3" s="53">
        <f t="shared" si="2"/>
        <v>53.08309916</v>
      </c>
      <c r="K3" s="54">
        <f t="shared" si="3"/>
        <v>10.38147139</v>
      </c>
      <c r="L3" s="55">
        <f t="shared" si="4"/>
        <v>462.48</v>
      </c>
      <c r="M3" s="55">
        <f t="shared" si="5"/>
        <v>62660.4</v>
      </c>
      <c r="N3" s="55">
        <f t="shared" si="6"/>
        <v>205526.112</v>
      </c>
      <c r="O3" s="55">
        <f t="shared" si="7"/>
        <v>151.0887106</v>
      </c>
      <c r="P3" s="56">
        <f t="shared" si="8"/>
        <v>0.1982791477</v>
      </c>
      <c r="Q3" s="57">
        <f t="shared" si="9"/>
        <v>0.8017208523</v>
      </c>
    </row>
    <row r="4" ht="15.75" customHeight="1">
      <c r="A4" s="52" t="s">
        <v>762</v>
      </c>
      <c r="B4" s="52" t="s">
        <v>752</v>
      </c>
      <c r="C4" s="52">
        <v>6077.0</v>
      </c>
      <c r="D4" s="52">
        <v>0.0</v>
      </c>
      <c r="E4" s="52">
        <v>3753.0</v>
      </c>
      <c r="F4" s="52">
        <v>2278.1</v>
      </c>
      <c r="G4" s="52">
        <v>452.3</v>
      </c>
      <c r="H4" s="52">
        <v>20.74</v>
      </c>
      <c r="I4" s="53">
        <f t="shared" si="1"/>
        <v>6077</v>
      </c>
      <c r="J4" s="53">
        <f t="shared" si="2"/>
        <v>61.8975619</v>
      </c>
      <c r="K4" s="54">
        <f t="shared" si="3"/>
        <v>2.667573855</v>
      </c>
      <c r="L4" s="55">
        <f t="shared" si="4"/>
        <v>77837.22</v>
      </c>
      <c r="M4" s="55">
        <f t="shared" si="5"/>
        <v>1697481.9</v>
      </c>
      <c r="N4" s="55">
        <f t="shared" si="6"/>
        <v>35205774.61</v>
      </c>
      <c r="O4" s="55">
        <f t="shared" si="7"/>
        <v>858.5997992</v>
      </c>
      <c r="P4" s="56">
        <f t="shared" si="8"/>
        <v>0.1412867861</v>
      </c>
      <c r="Q4" s="57">
        <f t="shared" si="9"/>
        <v>0.8587132139</v>
      </c>
    </row>
    <row r="5" ht="15.75" customHeight="1">
      <c r="A5" s="52" t="s">
        <v>140</v>
      </c>
      <c r="B5" s="52" t="s">
        <v>139</v>
      </c>
      <c r="C5" s="52">
        <v>2400.0</v>
      </c>
      <c r="D5" s="52">
        <v>0.0</v>
      </c>
      <c r="E5" s="52">
        <v>8444.0</v>
      </c>
      <c r="F5" s="52">
        <v>7895.01</v>
      </c>
      <c r="G5" s="52">
        <v>305.0</v>
      </c>
      <c r="H5" s="52">
        <v>6.77</v>
      </c>
      <c r="I5" s="53">
        <f t="shared" si="1"/>
        <v>2400</v>
      </c>
      <c r="J5" s="53">
        <f t="shared" si="2"/>
        <v>95.34189573</v>
      </c>
      <c r="K5" s="54">
        <f t="shared" si="3"/>
        <v>0.303989482</v>
      </c>
      <c r="L5" s="55">
        <f t="shared" si="4"/>
        <v>57165.88</v>
      </c>
      <c r="M5" s="55">
        <f t="shared" si="5"/>
        <v>2575420</v>
      </c>
      <c r="N5" s="55">
        <f t="shared" si="6"/>
        <v>17435593.4</v>
      </c>
      <c r="O5" s="58">
        <f t="shared" ref="O5:O8" si="10">0.2*(8.17*POW(E5*H5,0.46))+0.6*(0.146*POW(E5*G5,0.639))+0.2*(0.29*F5+83.4)</f>
        <v>1820.715725</v>
      </c>
      <c r="P5" s="56">
        <f t="shared" si="8"/>
        <v>0.7586315521</v>
      </c>
      <c r="Q5" s="57">
        <f t="shared" si="9"/>
        <v>0.2413684479</v>
      </c>
    </row>
    <row r="6" ht="15.75" customHeight="1">
      <c r="A6" s="52" t="s">
        <v>563</v>
      </c>
      <c r="B6" s="52" t="s">
        <v>564</v>
      </c>
      <c r="C6" s="52">
        <v>1240.0</v>
      </c>
      <c r="D6" s="52">
        <v>0.0</v>
      </c>
      <c r="E6" s="52">
        <v>5330.0</v>
      </c>
      <c r="F6" s="52">
        <v>4152.0</v>
      </c>
      <c r="G6" s="52">
        <v>338.4</v>
      </c>
      <c r="H6" s="52">
        <v>26.66</v>
      </c>
      <c r="I6" s="53">
        <f t="shared" si="1"/>
        <v>1240</v>
      </c>
      <c r="J6" s="53">
        <f t="shared" si="2"/>
        <v>79.43455354</v>
      </c>
      <c r="K6" s="54">
        <f t="shared" si="3"/>
        <v>0.2986512524</v>
      </c>
      <c r="L6" s="55">
        <f t="shared" si="4"/>
        <v>142097.8</v>
      </c>
      <c r="M6" s="55">
        <f t="shared" si="5"/>
        <v>1803672</v>
      </c>
      <c r="N6" s="55">
        <f t="shared" si="6"/>
        <v>48085895.52</v>
      </c>
      <c r="O6" s="58">
        <f t="shared" si="10"/>
        <v>1512.053049</v>
      </c>
      <c r="P6" s="56">
        <f t="shared" si="8"/>
        <v>1.21939762</v>
      </c>
      <c r="Q6" s="57">
        <f t="shared" si="9"/>
        <v>0.2193976202</v>
      </c>
    </row>
    <row r="7" ht="15.75" customHeight="1">
      <c r="A7" s="52" t="s">
        <v>59</v>
      </c>
      <c r="B7" s="52" t="s">
        <v>54</v>
      </c>
      <c r="C7" s="52">
        <v>150.0</v>
      </c>
      <c r="D7" s="52">
        <v>-23.0</v>
      </c>
      <c r="E7" s="52">
        <v>134.26</v>
      </c>
      <c r="F7" s="52">
        <v>71.17</v>
      </c>
      <c r="G7" s="52">
        <v>290.5</v>
      </c>
      <c r="H7" s="52">
        <v>3.48</v>
      </c>
      <c r="I7" s="53">
        <f t="shared" si="1"/>
        <v>127</v>
      </c>
      <c r="J7" s="53">
        <f t="shared" si="2"/>
        <v>54.05422513</v>
      </c>
      <c r="K7" s="54">
        <f t="shared" si="3"/>
        <v>1.784459744</v>
      </c>
      <c r="L7" s="55">
        <f t="shared" si="4"/>
        <v>467.2248</v>
      </c>
      <c r="M7" s="55">
        <f t="shared" si="5"/>
        <v>39002.53</v>
      </c>
      <c r="N7" s="55">
        <f t="shared" si="6"/>
        <v>135728.8044</v>
      </c>
      <c r="O7" s="58">
        <f t="shared" si="10"/>
        <v>123.6275708</v>
      </c>
      <c r="P7" s="56">
        <f t="shared" si="8"/>
        <v>0.9734454392</v>
      </c>
      <c r="Q7" s="57">
        <f t="shared" si="9"/>
        <v>0.02655456082</v>
      </c>
    </row>
    <row r="8" ht="15.75" customHeight="1">
      <c r="A8" s="51" t="s">
        <v>1029</v>
      </c>
      <c r="B8" s="51" t="s">
        <v>158</v>
      </c>
      <c r="C8" s="51">
        <v>380.0</v>
      </c>
      <c r="D8" s="51">
        <v>0.0</v>
      </c>
      <c r="E8" s="59">
        <v>911.0</v>
      </c>
      <c r="F8" s="60">
        <v>1021.01</v>
      </c>
      <c r="G8" s="60">
        <v>295.0</v>
      </c>
      <c r="H8" s="60">
        <v>4.82</v>
      </c>
      <c r="I8" s="61">
        <f t="shared" si="1"/>
        <v>380</v>
      </c>
      <c r="J8" s="61">
        <f t="shared" si="2"/>
        <v>114.2854498</v>
      </c>
      <c r="K8" s="41">
        <f t="shared" si="3"/>
        <v>0.3721804879</v>
      </c>
      <c r="L8" s="42">
        <f t="shared" si="4"/>
        <v>4391.02</v>
      </c>
      <c r="M8" s="42">
        <f t="shared" si="5"/>
        <v>268745</v>
      </c>
      <c r="N8" s="42">
        <f t="shared" si="6"/>
        <v>1295350.9</v>
      </c>
      <c r="O8" s="62">
        <f t="shared" si="10"/>
        <v>411.4532343</v>
      </c>
      <c r="P8" s="63">
        <f t="shared" si="8"/>
        <v>1.082771669</v>
      </c>
      <c r="Q8" s="64">
        <f t="shared" si="9"/>
        <v>0.08277166915</v>
      </c>
    </row>
    <row r="9" ht="15.75" customHeight="1">
      <c r="P9" s="51" t="s">
        <v>1077</v>
      </c>
    </row>
    <row r="10" ht="15.75" customHeight="1">
      <c r="P10" s="63">
        <f t="shared" ref="P10:Q10" si="11">AVERAGE(P5:P8)</f>
        <v>1.00856157</v>
      </c>
      <c r="Q10" s="64">
        <f t="shared" si="11"/>
        <v>0.1425230745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1" t="s">
        <v>0</v>
      </c>
      <c r="E1" s="51" t="s">
        <v>10</v>
      </c>
      <c r="F1" s="51" t="s">
        <v>11</v>
      </c>
      <c r="G1" s="51" t="s">
        <v>12</v>
      </c>
      <c r="H1" s="51" t="s">
        <v>13</v>
      </c>
      <c r="I1" s="51" t="s">
        <v>1069</v>
      </c>
      <c r="J1" s="51" t="s">
        <v>1070</v>
      </c>
      <c r="K1" s="51" t="s">
        <v>1071</v>
      </c>
      <c r="L1" s="51" t="s">
        <v>1072</v>
      </c>
      <c r="M1" s="51" t="s">
        <v>1073</v>
      </c>
      <c r="N1" s="51" t="s">
        <v>1074</v>
      </c>
      <c r="O1" s="51" t="s">
        <v>1075</v>
      </c>
      <c r="P1" s="51" t="s">
        <v>1006</v>
      </c>
    </row>
    <row r="2" ht="15.75" customHeight="1">
      <c r="A2" s="52" t="s">
        <v>1019</v>
      </c>
      <c r="B2" s="52" t="s">
        <v>185</v>
      </c>
      <c r="C2" s="52">
        <v>1355.0</v>
      </c>
      <c r="D2" s="52">
        <v>0.0</v>
      </c>
      <c r="E2" s="52">
        <v>1566.708</v>
      </c>
      <c r="F2" s="52">
        <v>889.644</v>
      </c>
      <c r="G2" s="52">
        <v>418.0</v>
      </c>
      <c r="H2" s="52">
        <v>4.94</v>
      </c>
      <c r="I2" s="53">
        <f t="shared" ref="I2:I7" si="1">C2+D2</f>
        <v>1355</v>
      </c>
      <c r="J2" s="53">
        <f t="shared" ref="J2:J7" si="2">(F2*101.971621)/E2</f>
        <v>57.90386006</v>
      </c>
      <c r="K2" s="54">
        <f t="shared" ref="K2:K7" si="3">I2/F2</f>
        <v>1.523081143</v>
      </c>
      <c r="L2" s="55">
        <f t="shared" ref="L2:L7" si="4">E2*H2</f>
        <v>7739.53752</v>
      </c>
      <c r="M2" s="55">
        <f t="shared" ref="M2:M7" si="5">E2*G2</f>
        <v>654883.944</v>
      </c>
      <c r="N2" s="55">
        <f t="shared" ref="N2:N7" si="6">E2*G2*H2</f>
        <v>3235126.683</v>
      </c>
      <c r="O2" s="55">
        <f t="shared" ref="O2:O4" si="7">0.8*(0.00015*E2*G2*H2+797)+0.2*(43.1*POW(E2,0.549))</f>
        <v>1515.093228</v>
      </c>
      <c r="P2" s="56">
        <f t="shared" ref="P2:P7" si="8">O2/I2</f>
        <v>1.118149984</v>
      </c>
    </row>
    <row r="3" ht="15.75" customHeight="1">
      <c r="A3" s="52" t="s">
        <v>665</v>
      </c>
      <c r="B3" s="52" t="s">
        <v>660</v>
      </c>
      <c r="C3" s="52">
        <v>500.0</v>
      </c>
      <c r="D3" s="52">
        <v>262.0</v>
      </c>
      <c r="E3" s="52">
        <v>141.0</v>
      </c>
      <c r="F3" s="52">
        <v>73.4</v>
      </c>
      <c r="G3" s="52">
        <v>444.4</v>
      </c>
      <c r="H3" s="52">
        <v>3.28</v>
      </c>
      <c r="I3" s="53">
        <f t="shared" si="1"/>
        <v>762</v>
      </c>
      <c r="J3" s="53">
        <f t="shared" si="2"/>
        <v>53.08309916</v>
      </c>
      <c r="K3" s="54">
        <f t="shared" si="3"/>
        <v>10.38147139</v>
      </c>
      <c r="L3" s="55">
        <f t="shared" si="4"/>
        <v>462.48</v>
      </c>
      <c r="M3" s="55">
        <f t="shared" si="5"/>
        <v>62660.4</v>
      </c>
      <c r="N3" s="55">
        <f t="shared" si="6"/>
        <v>205526.112</v>
      </c>
      <c r="O3" s="55">
        <f t="shared" si="7"/>
        <v>792.7084703</v>
      </c>
      <c r="P3" s="56">
        <f t="shared" si="8"/>
        <v>1.04029983</v>
      </c>
    </row>
    <row r="4" ht="15.75" customHeight="1">
      <c r="A4" s="52" t="s">
        <v>762</v>
      </c>
      <c r="B4" s="52" t="s">
        <v>752</v>
      </c>
      <c r="C4" s="52">
        <v>6077.0</v>
      </c>
      <c r="D4" s="52">
        <v>0.0</v>
      </c>
      <c r="E4" s="52">
        <v>3753.0</v>
      </c>
      <c r="F4" s="52">
        <v>2278.1</v>
      </c>
      <c r="G4" s="52">
        <v>452.3</v>
      </c>
      <c r="H4" s="52">
        <v>20.74</v>
      </c>
      <c r="I4" s="53">
        <f t="shared" si="1"/>
        <v>6077</v>
      </c>
      <c r="J4" s="53">
        <f t="shared" si="2"/>
        <v>61.8975619</v>
      </c>
      <c r="K4" s="54">
        <f t="shared" si="3"/>
        <v>2.667573855</v>
      </c>
      <c r="L4" s="55">
        <f t="shared" si="4"/>
        <v>77837.22</v>
      </c>
      <c r="M4" s="55">
        <f t="shared" si="5"/>
        <v>1697481.9</v>
      </c>
      <c r="N4" s="55">
        <f t="shared" si="6"/>
        <v>35205774.61</v>
      </c>
      <c r="O4" s="55">
        <f t="shared" si="7"/>
        <v>5652.682335</v>
      </c>
      <c r="P4" s="56">
        <f t="shared" si="8"/>
        <v>0.930176458</v>
      </c>
    </row>
    <row r="5" ht="15.75" customHeight="1">
      <c r="A5" s="52" t="s">
        <v>140</v>
      </c>
      <c r="B5" s="52" t="s">
        <v>139</v>
      </c>
      <c r="C5" s="52">
        <v>2100.0</v>
      </c>
      <c r="D5" s="52">
        <v>0.0</v>
      </c>
      <c r="E5" s="52">
        <v>8444.0</v>
      </c>
      <c r="F5" s="52">
        <v>7895.01</v>
      </c>
      <c r="G5" s="52">
        <v>305.0</v>
      </c>
      <c r="H5" s="52">
        <v>6.77</v>
      </c>
      <c r="I5" s="53">
        <f t="shared" si="1"/>
        <v>2100</v>
      </c>
      <c r="J5" s="53">
        <f t="shared" si="2"/>
        <v>95.34189573</v>
      </c>
      <c r="K5" s="54">
        <f t="shared" si="3"/>
        <v>0.2659907967</v>
      </c>
      <c r="L5" s="55">
        <f t="shared" si="4"/>
        <v>57165.88</v>
      </c>
      <c r="M5" s="55">
        <f t="shared" si="5"/>
        <v>2575420</v>
      </c>
      <c r="N5" s="55">
        <f t="shared" si="6"/>
        <v>17435593.4</v>
      </c>
      <c r="O5" s="55">
        <f t="shared" ref="O5:O7" si="9">0.00015*E5*G5*H5+797</f>
        <v>3412.33901</v>
      </c>
      <c r="P5" s="56">
        <f t="shared" si="8"/>
        <v>1.624923338</v>
      </c>
    </row>
    <row r="6" ht="15.75" customHeight="1">
      <c r="A6" s="52" t="s">
        <v>563</v>
      </c>
      <c r="B6" s="52" t="s">
        <v>564</v>
      </c>
      <c r="C6" s="52">
        <v>1240.0</v>
      </c>
      <c r="D6" s="52">
        <v>0.0</v>
      </c>
      <c r="E6" s="52">
        <v>5330.0</v>
      </c>
      <c r="F6" s="52">
        <v>4152.0</v>
      </c>
      <c r="G6" s="52">
        <v>338.4</v>
      </c>
      <c r="H6" s="52">
        <v>26.66</v>
      </c>
      <c r="I6" s="53">
        <f t="shared" si="1"/>
        <v>1240</v>
      </c>
      <c r="J6" s="53">
        <f t="shared" si="2"/>
        <v>79.43455354</v>
      </c>
      <c r="K6" s="54">
        <f t="shared" si="3"/>
        <v>0.2986512524</v>
      </c>
      <c r="L6" s="55">
        <f t="shared" si="4"/>
        <v>142097.8</v>
      </c>
      <c r="M6" s="55">
        <f t="shared" si="5"/>
        <v>1803672</v>
      </c>
      <c r="N6" s="55">
        <f t="shared" si="6"/>
        <v>48085895.52</v>
      </c>
      <c r="O6" s="55">
        <f t="shared" si="9"/>
        <v>8009.884328</v>
      </c>
      <c r="P6" s="56">
        <f t="shared" si="8"/>
        <v>6.459584135</v>
      </c>
    </row>
    <row r="7" ht="15.75" customHeight="1">
      <c r="A7" s="52" t="s">
        <v>59</v>
      </c>
      <c r="B7" s="52" t="s">
        <v>54</v>
      </c>
      <c r="C7" s="52">
        <v>150.0</v>
      </c>
      <c r="D7" s="52">
        <v>-23.0</v>
      </c>
      <c r="E7" s="52">
        <v>134.26</v>
      </c>
      <c r="F7" s="52">
        <v>71.17</v>
      </c>
      <c r="G7" s="52">
        <v>290.5</v>
      </c>
      <c r="H7" s="52">
        <v>3.48</v>
      </c>
      <c r="I7" s="53">
        <f t="shared" si="1"/>
        <v>127</v>
      </c>
      <c r="J7" s="53">
        <f t="shared" si="2"/>
        <v>54.05422513</v>
      </c>
      <c r="K7" s="54">
        <f t="shared" si="3"/>
        <v>1.784459744</v>
      </c>
      <c r="L7" s="55">
        <f t="shared" si="4"/>
        <v>467.2248</v>
      </c>
      <c r="M7" s="55">
        <f t="shared" si="5"/>
        <v>39002.53</v>
      </c>
      <c r="N7" s="55">
        <f t="shared" si="6"/>
        <v>135728.8044</v>
      </c>
      <c r="O7" s="55">
        <f t="shared" si="9"/>
        <v>817.3593207</v>
      </c>
      <c r="P7" s="56">
        <f t="shared" si="8"/>
        <v>6.435900163</v>
      </c>
    </row>
    <row r="8" ht="15.75" customHeight="1"/>
    <row r="9" ht="15.75" customHeight="1">
      <c r="P9" s="51" t="s">
        <v>1077</v>
      </c>
    </row>
    <row r="10" ht="15.75" customHeight="1">
      <c r="P10" s="63">
        <f>AVERAGE(P2:P4)</f>
        <v>1.02954209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6.38"/>
    <col customWidth="1" min="2" max="2" width="10.38"/>
    <col customWidth="1" min="3" max="3" width="6.75"/>
    <col customWidth="1" min="4" max="4" width="6.88"/>
    <col customWidth="1" min="5" max="5" width="6.75"/>
    <col customWidth="1" min="6" max="6" width="8.38"/>
    <col customWidth="1" min="7" max="7" width="7.25"/>
    <col customWidth="1" min="8" max="8" width="8.38"/>
    <col customWidth="1" min="9" max="9" width="7.75"/>
    <col customWidth="1" min="10" max="10" width="9.63"/>
    <col customWidth="1" min="11" max="12" width="9.0"/>
    <col customWidth="1" min="13" max="13" width="8.88"/>
    <col customWidth="1" min="14" max="15" width="10.0"/>
    <col customWidth="1" min="16" max="18" width="9.75"/>
    <col customWidth="1" min="19" max="19" width="11.13"/>
    <col customWidth="1" min="20" max="20" width="9.75"/>
    <col customWidth="1" min="21" max="21" width="8.25"/>
    <col customWidth="1" min="22" max="22" width="7.0"/>
    <col customWidth="1" min="23" max="23" width="11.75"/>
    <col customWidth="1" hidden="1" min="24" max="24" width="9.13"/>
    <col customWidth="1" hidden="1" min="25" max="25" width="9.75"/>
    <col customWidth="1" hidden="1" min="26" max="26" width="8.75"/>
    <col customWidth="1" hidden="1" min="27" max="27" width="9.63"/>
    <col customWidth="1" hidden="1" min="28" max="28" width="10.25"/>
    <col customWidth="1" hidden="1" min="29" max="29" width="9.13"/>
    <col customWidth="1" hidden="1" min="30" max="30" width="10.25"/>
    <col customWidth="1" hidden="1" min="31" max="31" width="9.13"/>
    <col customWidth="1" min="32" max="32" width="8.13"/>
    <col customWidth="1" min="33" max="33" width="8.25"/>
    <col customWidth="1" min="34" max="34" width="7.13"/>
    <col customWidth="1" min="35" max="35" width="5.38"/>
    <col customWidth="1" min="36" max="36" width="6.5"/>
    <col customWidth="1" min="37" max="37" width="6.88"/>
    <col customWidth="1" min="38" max="38" width="5.38"/>
    <col customWidth="1" min="39" max="40" width="7.88"/>
    <col customWidth="1" min="41" max="41" width="10.75"/>
    <col customWidth="1" min="42" max="44" width="10.25"/>
    <col customWidth="1" min="45" max="45" width="12.25"/>
    <col customWidth="1" min="46" max="46" width="10.25"/>
  </cols>
  <sheetData>
    <row r="1" ht="37.5" customHeight="1">
      <c r="A1" s="65" t="s">
        <v>0</v>
      </c>
      <c r="B1" s="65" t="s">
        <v>1</v>
      </c>
      <c r="C1" s="65" t="s">
        <v>3</v>
      </c>
      <c r="D1" s="65" t="s">
        <v>4</v>
      </c>
      <c r="E1" s="65" t="s">
        <v>3</v>
      </c>
      <c r="F1" s="66" t="s">
        <v>1078</v>
      </c>
      <c r="G1" s="65" t="s">
        <v>6</v>
      </c>
      <c r="H1" s="65" t="s">
        <v>7</v>
      </c>
      <c r="I1" s="65" t="s">
        <v>8</v>
      </c>
      <c r="J1" s="66" t="s">
        <v>1079</v>
      </c>
      <c r="K1" s="66" t="s">
        <v>1080</v>
      </c>
      <c r="L1" s="65" t="s">
        <v>998</v>
      </c>
      <c r="M1" s="65" t="s">
        <v>999</v>
      </c>
      <c r="N1" s="65" t="s">
        <v>10</v>
      </c>
      <c r="O1" s="65" t="s">
        <v>11</v>
      </c>
      <c r="P1" s="66" t="s">
        <v>1081</v>
      </c>
      <c r="Q1" s="65" t="s">
        <v>12</v>
      </c>
      <c r="R1" s="65" t="s">
        <v>13</v>
      </c>
      <c r="S1" s="65" t="s">
        <v>14</v>
      </c>
      <c r="T1" s="65" t="s">
        <v>15</v>
      </c>
      <c r="U1" s="65" t="s">
        <v>1000</v>
      </c>
      <c r="V1" s="65" t="s">
        <v>16</v>
      </c>
      <c r="W1" s="67" t="s">
        <v>17</v>
      </c>
      <c r="X1" s="68" t="s">
        <v>1001</v>
      </c>
      <c r="Y1" s="65" t="s">
        <v>18</v>
      </c>
      <c r="Z1" s="65" t="s">
        <v>1002</v>
      </c>
      <c r="AA1" s="65" t="s">
        <v>1003</v>
      </c>
      <c r="AB1" s="65" t="s">
        <v>1006</v>
      </c>
      <c r="AC1" s="68" t="s">
        <v>1004</v>
      </c>
      <c r="AD1" s="65" t="s">
        <v>1082</v>
      </c>
      <c r="AE1" s="68" t="s">
        <v>1083</v>
      </c>
      <c r="AF1" s="69" t="s">
        <v>1084</v>
      </c>
      <c r="AG1" s="66" t="s">
        <v>1085</v>
      </c>
      <c r="AH1" s="69" t="s">
        <v>1086</v>
      </c>
      <c r="AI1" s="69" t="s">
        <v>1087</v>
      </c>
      <c r="AJ1" s="69" t="s">
        <v>1088</v>
      </c>
      <c r="AK1" s="69" t="s">
        <v>1089</v>
      </c>
      <c r="AL1" s="69" t="s">
        <v>1090</v>
      </c>
      <c r="AM1" s="69" t="s">
        <v>1091</v>
      </c>
      <c r="AN1" s="69" t="s">
        <v>1092</v>
      </c>
      <c r="AO1" s="70" t="s">
        <v>1093</v>
      </c>
      <c r="AP1" s="69" t="s">
        <v>1094</v>
      </c>
      <c r="AQ1" s="71" t="s">
        <v>1095</v>
      </c>
      <c r="AR1" s="71" t="s">
        <v>1096</v>
      </c>
      <c r="AS1" s="69" t="s">
        <v>1097</v>
      </c>
      <c r="AT1" s="72"/>
    </row>
    <row r="2" ht="15.75" customHeight="1">
      <c r="A2" s="7" t="s">
        <v>413</v>
      </c>
      <c r="B2" s="7" t="s">
        <v>414</v>
      </c>
      <c r="C2" s="7">
        <v>1936.0</v>
      </c>
      <c r="D2" s="7"/>
      <c r="E2" s="7">
        <v>1936.0</v>
      </c>
      <c r="F2" s="7" t="b">
        <v>0</v>
      </c>
      <c r="G2" s="7" t="b">
        <v>0</v>
      </c>
      <c r="H2" s="7" t="b">
        <v>1</v>
      </c>
      <c r="I2" s="9" t="b">
        <v>1</v>
      </c>
      <c r="J2" s="9">
        <v>80.0</v>
      </c>
      <c r="K2" s="7">
        <v>1.0</v>
      </c>
      <c r="L2" s="7">
        <v>15.0</v>
      </c>
      <c r="M2" s="7">
        <v>0.0</v>
      </c>
      <c r="N2" s="9">
        <v>14.3</v>
      </c>
      <c r="O2" s="7">
        <v>1.785</v>
      </c>
      <c r="P2" s="9">
        <v>210.0</v>
      </c>
      <c r="Q2" s="7">
        <v>215.0</v>
      </c>
      <c r="R2" s="7">
        <v>2.53</v>
      </c>
      <c r="S2" s="7">
        <v>0.96</v>
      </c>
      <c r="T2" s="7">
        <v>0.9</v>
      </c>
      <c r="U2" s="10">
        <f t="shared" ref="U2:U663" si="1">L2+M2</f>
        <v>15</v>
      </c>
      <c r="V2" s="10">
        <f t="shared" ref="V2:V663" si="2">(O2*101.971621)/N2</f>
        <v>12.72862542</v>
      </c>
      <c r="W2" s="11">
        <f t="shared" ref="W2:W663" si="3">X2/O2</f>
        <v>15.84863541</v>
      </c>
      <c r="X2" s="8">
        <f>(0.2*(8.17*POWER(N2*R2,0.46))+0.8*(0.146*POWER(N2*Q2,0.639)))</f>
        <v>28.2898142</v>
      </c>
      <c r="Y2" s="12">
        <f t="shared" ref="Y2:Y663" si="4">IF(F2,4,1)*IF(G2,1.05,1)*IF(AND(NOT(F2),NOT(G2)),1.75,1)</f>
        <v>1.75</v>
      </c>
      <c r="Z2" s="12">
        <f t="shared" ref="Z2:Z663" si="5">X2+X2*Y2</f>
        <v>77.79698905</v>
      </c>
      <c r="AA2" s="12">
        <f t="shared" ref="AA2:AA663" si="6">Z2/O2</f>
        <v>43.58374737</v>
      </c>
      <c r="AB2" s="13">
        <f t="shared" ref="AB2:AB663" si="7">IFERROR(X2/U2,#N/A)</f>
        <v>1.885987613</v>
      </c>
      <c r="AC2" s="8">
        <f t="shared" ref="AC2:AC4" si="8">X2*IF(I2,1.5,1)*IF(S2*T2&gt;0,(S2*T2+0.02),1)</f>
        <v>37.51229363</v>
      </c>
      <c r="AD2" s="13">
        <f t="shared" ref="AD2:AD4" si="9">IFERROR(AC2/U2,#N/A)</f>
        <v>2.500819575</v>
      </c>
      <c r="AE2" s="8">
        <f>(0.2*(8.17*POWER(N2*R2,0.46))+0.8*(0.146*POWER(N2*Q2,0.639)))</f>
        <v>28.2898142</v>
      </c>
      <c r="AF2" s="73">
        <f t="shared" ref="AF2:AF4" si="10">If(F2,$AT$2*O2*(1-log(O2)*0.04+1/(O2/80)^0.6),$AT$3*O2*(1+1/(O2/12)^0.9-log(O2)*0.03))</f>
        <v>2.571709716</v>
      </c>
      <c r="AG2" s="74" t="str">
        <f t="shared" ref="AG2:AG4" si="11">If(F2,VLOOKUP(E2,#REF!,2),VLOOKUP(E2,#REF!,3))</f>
        <v>#REF!</v>
      </c>
      <c r="AH2" s="73">
        <f t="shared" ref="AH2:AH4" si="12">If(I2,2,0)</f>
        <v>2</v>
      </c>
      <c r="AI2" s="73">
        <f t="shared" ref="AI2:AI4" si="13">1.5-1.5/K2^0.2</f>
        <v>0</v>
      </c>
      <c r="AJ2" s="75">
        <f t="shared" ref="AJ2:AJ4" si="14">If(P2/Q2 &gt; 0.66,1+2.8*(P2/Q2-0.66)^1.5,1)</f>
        <v>1.499138431</v>
      </c>
      <c r="AK2" s="73">
        <f>Max(0.2,0.25*Pow(V2/5,0.5))</f>
        <v>0.3988832131</v>
      </c>
      <c r="AL2" s="73">
        <f t="shared" ref="AL2:AL4" si="15">IF(Q2&gt;300,IF(Q2&gt;460.39,7.5*8.5^((Q2/460.4-1)^0.6),6.5^((Q2/150-2)^1.1)),2.8^(Q2/150-2))</f>
        <v>0.5579694858</v>
      </c>
      <c r="AM2" s="73">
        <f t="shared" ref="AM2:AM4" si="16">If(ISBLANK(J2),1,2.6*(1-1/((J2*0.05)^0.26)))</f>
        <v>0.7868332337</v>
      </c>
      <c r="AN2" s="75">
        <v>30.8</v>
      </c>
      <c r="AO2" s="76">
        <v>31.0</v>
      </c>
      <c r="AP2" s="73">
        <f t="shared" ref="AP2:AP4" si="17">If(MOD(Log10(AO2),1)&gt;0.2,ROUND(AO2,1-INT(LOG10(AO2))), ROUND(2*AO2,1-INT(LOG10(2*AO2)))/2)</f>
        <v>31</v>
      </c>
      <c r="AQ2" s="29" t="str">
        <f t="shared" ref="AQ2:AQ4" si="18">VLOOKUP(A2,#REF!,27,FALSE)</f>
        <v>#REF!</v>
      </c>
      <c r="AR2" s="77" t="str">
        <f t="shared" ref="AR2:AR4" si="19">AP2/AQ2-1</f>
        <v>#REF!</v>
      </c>
      <c r="AS2" s="75" t="s">
        <v>1098</v>
      </c>
      <c r="AT2" s="29">
        <v>0.12</v>
      </c>
    </row>
    <row r="3" ht="15.75" customHeight="1">
      <c r="A3" s="16" t="s">
        <v>415</v>
      </c>
      <c r="B3" s="16" t="s">
        <v>414</v>
      </c>
      <c r="C3" s="16">
        <v>1938.0</v>
      </c>
      <c r="D3" s="16"/>
      <c r="E3" s="16">
        <v>1938.0</v>
      </c>
      <c r="F3" s="16" t="b">
        <v>0</v>
      </c>
      <c r="G3" s="16" t="b">
        <v>0</v>
      </c>
      <c r="H3" s="16" t="b">
        <v>1</v>
      </c>
      <c r="I3" s="9" t="b">
        <v>1</v>
      </c>
      <c r="J3" s="18">
        <v>200.0</v>
      </c>
      <c r="K3" s="16">
        <v>1.0</v>
      </c>
      <c r="L3" s="16">
        <v>15.0</v>
      </c>
      <c r="M3" s="16">
        <v>5.0</v>
      </c>
      <c r="N3" s="18">
        <v>12.3</v>
      </c>
      <c r="O3" s="16">
        <v>1.46</v>
      </c>
      <c r="P3" s="18">
        <v>210.0</v>
      </c>
      <c r="Q3" s="16">
        <v>215.0</v>
      </c>
      <c r="R3" s="16">
        <v>2.53</v>
      </c>
      <c r="S3" s="16">
        <v>0.98</v>
      </c>
      <c r="T3" s="16">
        <v>0.99</v>
      </c>
      <c r="U3" s="19">
        <f t="shared" si="1"/>
        <v>20</v>
      </c>
      <c r="V3" s="19">
        <f t="shared" si="2"/>
        <v>12.10394851</v>
      </c>
      <c r="W3" s="20">
        <f t="shared" si="3"/>
        <v>17.74292153</v>
      </c>
      <c r="X3" s="17">
        <f t="shared" ref="X3:X4" si="20">0.2*(8.17*POWER(N3*R3,0.46))+0.8*(0.146*POWER(N3*Q3,0.639))</f>
        <v>25.90466543</v>
      </c>
      <c r="Y3" s="21">
        <f t="shared" si="4"/>
        <v>1.75</v>
      </c>
      <c r="Z3" s="21">
        <f t="shared" si="5"/>
        <v>71.23782993</v>
      </c>
      <c r="AA3" s="21">
        <f t="shared" si="6"/>
        <v>48.7930342</v>
      </c>
      <c r="AB3" s="22">
        <f t="shared" si="7"/>
        <v>1.295233271</v>
      </c>
      <c r="AC3" s="8">
        <f t="shared" si="8"/>
        <v>38.47619956</v>
      </c>
      <c r="AD3" s="13">
        <f t="shared" si="9"/>
        <v>1.923809978</v>
      </c>
      <c r="AE3" s="8">
        <f t="shared" ref="AE3:AE4" si="21">IF(I3,1.5,1)*IF(S3*T3&gt;0,(S3*T3+0.02),1)*(0.2*(8.17*POWER(N3*R3,0.46))+0.8*(0.146*POWER(N3*Q3,0.639)))</f>
        <v>38.47619956</v>
      </c>
      <c r="AF3" s="73">
        <f t="shared" si="10"/>
        <v>2.458174565</v>
      </c>
      <c r="AG3" s="74" t="str">
        <f t="shared" si="11"/>
        <v>#REF!</v>
      </c>
      <c r="AH3" s="73">
        <f t="shared" si="12"/>
        <v>2</v>
      </c>
      <c r="AI3" s="73">
        <f t="shared" si="13"/>
        <v>0</v>
      </c>
      <c r="AJ3" s="75">
        <f t="shared" si="14"/>
        <v>1.499138431</v>
      </c>
      <c r="AK3" s="73">
        <f t="shared" ref="AK3:AK4" si="22">Max(0.8,Pow(V3/5,0.5))/4</f>
        <v>0.3889721794</v>
      </c>
      <c r="AL3" s="73">
        <f t="shared" si="15"/>
        <v>0.5579694858</v>
      </c>
      <c r="AM3" s="73">
        <f t="shared" si="16"/>
        <v>1.171193728</v>
      </c>
      <c r="AN3" s="75">
        <v>50.45</v>
      </c>
      <c r="AO3" s="76">
        <v>50.0</v>
      </c>
      <c r="AP3" s="73">
        <f t="shared" si="17"/>
        <v>50</v>
      </c>
      <c r="AQ3" s="29" t="str">
        <f t="shared" si="18"/>
        <v>#REF!</v>
      </c>
      <c r="AR3" s="77" t="str">
        <f t="shared" si="19"/>
        <v>#REF!</v>
      </c>
      <c r="AS3" s="75" t="s">
        <v>1099</v>
      </c>
      <c r="AT3" s="29">
        <v>0.22</v>
      </c>
    </row>
    <row r="4" ht="15.75" customHeight="1">
      <c r="A4" s="16" t="s">
        <v>36</v>
      </c>
      <c r="B4" s="16" t="s">
        <v>36</v>
      </c>
      <c r="C4" s="16">
        <v>1939.0</v>
      </c>
      <c r="D4" s="16"/>
      <c r="E4" s="18">
        <v>1940.0</v>
      </c>
      <c r="F4" s="16" t="b">
        <v>1</v>
      </c>
      <c r="G4" s="16" t="b">
        <v>0</v>
      </c>
      <c r="H4" s="16" t="b">
        <v>0</v>
      </c>
      <c r="I4" s="16" t="b">
        <v>0</v>
      </c>
      <c r="J4" s="18">
        <v>70.0</v>
      </c>
      <c r="K4" s="16">
        <v>1.0</v>
      </c>
      <c r="L4" s="16">
        <v>150.0</v>
      </c>
      <c r="M4" s="16">
        <v>0.0</v>
      </c>
      <c r="N4" s="16">
        <v>929.86</v>
      </c>
      <c r="O4" s="16">
        <v>284.68</v>
      </c>
      <c r="P4" s="18">
        <v>203.0</v>
      </c>
      <c r="Q4" s="16">
        <v>242.0</v>
      </c>
      <c r="R4" s="16">
        <v>1.5</v>
      </c>
      <c r="S4" s="16">
        <v>0.97</v>
      </c>
      <c r="T4" s="16">
        <v>0.95</v>
      </c>
      <c r="U4" s="19">
        <f t="shared" si="1"/>
        <v>150</v>
      </c>
      <c r="V4" s="19">
        <f t="shared" si="2"/>
        <v>31.21898035</v>
      </c>
      <c r="W4" s="20">
        <f t="shared" si="3"/>
        <v>1.239811951</v>
      </c>
      <c r="X4" s="17">
        <f t="shared" si="20"/>
        <v>352.9496663</v>
      </c>
      <c r="Y4" s="21">
        <f t="shared" si="4"/>
        <v>4</v>
      </c>
      <c r="Z4" s="21">
        <f t="shared" si="5"/>
        <v>1764.748331</v>
      </c>
      <c r="AA4" s="21">
        <f t="shared" si="6"/>
        <v>6.199059756</v>
      </c>
      <c r="AB4" s="22">
        <f t="shared" si="7"/>
        <v>2.352997775</v>
      </c>
      <c r="AC4" s="8">
        <f t="shared" si="8"/>
        <v>332.3021108</v>
      </c>
      <c r="AD4" s="13">
        <f t="shared" si="9"/>
        <v>2.215347405</v>
      </c>
      <c r="AE4" s="8">
        <f t="shared" si="21"/>
        <v>332.3021108</v>
      </c>
      <c r="AF4" s="73">
        <f t="shared" si="10"/>
        <v>46.75844619</v>
      </c>
      <c r="AG4" s="74" t="str">
        <f t="shared" si="11"/>
        <v>#REF!</v>
      </c>
      <c r="AH4" s="73">
        <f t="shared" si="12"/>
        <v>0</v>
      </c>
      <c r="AI4" s="73">
        <f t="shared" si="13"/>
        <v>0</v>
      </c>
      <c r="AJ4" s="75">
        <f t="shared" si="14"/>
        <v>1.211770694</v>
      </c>
      <c r="AK4" s="73">
        <f t="shared" si="22"/>
        <v>0.6246897265</v>
      </c>
      <c r="AL4" s="73">
        <f t="shared" si="15"/>
        <v>0.6715817635</v>
      </c>
      <c r="AM4" s="73">
        <f t="shared" si="16"/>
        <v>0.7227779085</v>
      </c>
      <c r="AN4" s="75">
        <v>245.7</v>
      </c>
      <c r="AO4" s="76">
        <v>250.0</v>
      </c>
      <c r="AP4" s="73">
        <f t="shared" si="17"/>
        <v>250</v>
      </c>
      <c r="AQ4" s="29" t="str">
        <f t="shared" si="18"/>
        <v>#REF!</v>
      </c>
      <c r="AR4" s="77" t="str">
        <f t="shared" si="19"/>
        <v>#REF!</v>
      </c>
      <c r="AS4" s="73"/>
      <c r="AT4" s="39"/>
    </row>
    <row r="5" ht="15.75" hidden="1" customHeight="1">
      <c r="A5" s="16" t="s">
        <v>883</v>
      </c>
      <c r="B5" s="16" t="s">
        <v>884</v>
      </c>
      <c r="C5" s="16">
        <v>1955.0</v>
      </c>
      <c r="D5" s="16"/>
      <c r="E5" s="16">
        <v>1955.0</v>
      </c>
      <c r="F5" s="16" t="b">
        <v>0</v>
      </c>
      <c r="G5" s="16" t="b">
        <v>1</v>
      </c>
      <c r="H5" s="16" t="b">
        <v>0</v>
      </c>
      <c r="I5" s="16" t="b">
        <v>0</v>
      </c>
      <c r="J5" s="16"/>
      <c r="K5" s="16"/>
      <c r="L5" s="16">
        <v>35.0</v>
      </c>
      <c r="M5" s="16">
        <v>0.0</v>
      </c>
      <c r="N5" s="16">
        <v>27.21</v>
      </c>
      <c r="O5" s="16">
        <v>34.09</v>
      </c>
      <c r="P5" s="16"/>
      <c r="Q5" s="16">
        <v>238.8</v>
      </c>
      <c r="R5" s="16">
        <v>6.89</v>
      </c>
      <c r="S5" s="16">
        <v>0.97</v>
      </c>
      <c r="T5" s="16">
        <v>0.998</v>
      </c>
      <c r="U5" s="19">
        <f t="shared" si="1"/>
        <v>35</v>
      </c>
      <c r="V5" s="19">
        <f t="shared" si="2"/>
        <v>127.7549636</v>
      </c>
      <c r="W5" s="20">
        <f t="shared" si="3"/>
        <v>1.468104825</v>
      </c>
      <c r="X5" s="17">
        <f t="shared" ref="X5:X6" si="23">0.2*(8.17*POW(N5*R5,0.46))+0.8*(0.146*POW(N5*Q5,0.639))</f>
        <v>50.0476935</v>
      </c>
      <c r="Y5" s="21">
        <f t="shared" si="4"/>
        <v>1.05</v>
      </c>
      <c r="Z5" s="21">
        <f t="shared" si="5"/>
        <v>102.5977717</v>
      </c>
      <c r="AA5" s="21">
        <f t="shared" si="6"/>
        <v>3.009614892</v>
      </c>
      <c r="AB5" s="22">
        <f t="shared" si="7"/>
        <v>1.4299341</v>
      </c>
      <c r="AC5" s="17">
        <f t="shared" ref="AC5:AC6" si="24">IF(I5,X5*1.5,X5)*IF(S5*T5&gt;0,(S5*T5+0.02),1)</f>
        <v>49.45012404</v>
      </c>
      <c r="AG5" s="16"/>
    </row>
    <row r="6" ht="15.75" hidden="1" customHeight="1">
      <c r="A6" s="7" t="s">
        <v>881</v>
      </c>
      <c r="B6" s="7" t="s">
        <v>882</v>
      </c>
      <c r="C6" s="7">
        <v>1950.0</v>
      </c>
      <c r="D6" s="7"/>
      <c r="E6" s="7">
        <v>1950.0</v>
      </c>
      <c r="F6" s="7" t="b">
        <v>0</v>
      </c>
      <c r="G6" s="7" t="b">
        <v>1</v>
      </c>
      <c r="H6" s="7" t="b">
        <v>0</v>
      </c>
      <c r="I6" s="7" t="b">
        <v>0</v>
      </c>
      <c r="J6" s="7"/>
      <c r="K6" s="7"/>
      <c r="L6" s="7">
        <v>30.0</v>
      </c>
      <c r="M6" s="7">
        <v>0.0</v>
      </c>
      <c r="N6" s="7">
        <v>117.9</v>
      </c>
      <c r="O6" s="7">
        <v>82.7</v>
      </c>
      <c r="P6" s="7"/>
      <c r="Q6" s="7">
        <v>198.8</v>
      </c>
      <c r="R6" s="7">
        <v>9.24</v>
      </c>
      <c r="S6" s="7">
        <v>0.97</v>
      </c>
      <c r="T6" s="7">
        <v>0.998</v>
      </c>
      <c r="U6" s="10">
        <f t="shared" si="1"/>
        <v>30</v>
      </c>
      <c r="V6" s="10">
        <f t="shared" si="2"/>
        <v>71.52716757</v>
      </c>
      <c r="W6" s="11">
        <f t="shared" si="3"/>
        <v>1.368639979</v>
      </c>
      <c r="X6" s="8">
        <f t="shared" si="23"/>
        <v>113.1865263</v>
      </c>
      <c r="Y6" s="12">
        <f t="shared" si="4"/>
        <v>1.05</v>
      </c>
      <c r="Z6" s="12">
        <f t="shared" si="5"/>
        <v>232.0323789</v>
      </c>
      <c r="AA6" s="12">
        <f t="shared" si="6"/>
        <v>2.805711957</v>
      </c>
      <c r="AB6" s="13">
        <f t="shared" si="7"/>
        <v>3.772884209</v>
      </c>
      <c r="AC6" s="8">
        <f t="shared" si="24"/>
        <v>111.8350792</v>
      </c>
      <c r="AG6" s="7"/>
    </row>
    <row r="7" ht="15.75" customHeight="1">
      <c r="A7" s="7" t="s">
        <v>416</v>
      </c>
      <c r="B7" s="7" t="s">
        <v>414</v>
      </c>
      <c r="C7" s="7">
        <v>1940.0</v>
      </c>
      <c r="D7" s="7"/>
      <c r="E7" s="7">
        <v>1940.0</v>
      </c>
      <c r="F7" s="7" t="b">
        <v>0</v>
      </c>
      <c r="G7" s="7" t="b">
        <v>0</v>
      </c>
      <c r="H7" s="7" t="b">
        <v>1</v>
      </c>
      <c r="I7" s="9" t="b">
        <v>1</v>
      </c>
      <c r="J7" s="9">
        <v>200.0</v>
      </c>
      <c r="K7" s="7">
        <v>1.0</v>
      </c>
      <c r="L7" s="7">
        <v>15.0</v>
      </c>
      <c r="M7" s="7">
        <v>5.0</v>
      </c>
      <c r="N7" s="9">
        <v>12.3</v>
      </c>
      <c r="O7" s="7">
        <v>2.942</v>
      </c>
      <c r="P7" s="9">
        <v>210.0</v>
      </c>
      <c r="Q7" s="7">
        <v>215.0</v>
      </c>
      <c r="R7" s="7">
        <v>2.53</v>
      </c>
      <c r="S7" s="7">
        <v>0.98</v>
      </c>
      <c r="T7" s="7">
        <v>0.99</v>
      </c>
      <c r="U7" s="10">
        <f t="shared" si="1"/>
        <v>20</v>
      </c>
      <c r="V7" s="10">
        <f t="shared" si="2"/>
        <v>24.39028528</v>
      </c>
      <c r="W7" s="11">
        <f t="shared" si="3"/>
        <v>8.805120812</v>
      </c>
      <c r="X7" s="8">
        <f t="shared" ref="X7:X19" si="25">0.2*(8.17*POWER(N7*R7,0.46))+0.8*(0.146*POWER(N7*Q7,0.639))</f>
        <v>25.90466543</v>
      </c>
      <c r="Y7" s="12">
        <f t="shared" si="4"/>
        <v>1.75</v>
      </c>
      <c r="Z7" s="12">
        <f t="shared" si="5"/>
        <v>71.23782993</v>
      </c>
      <c r="AA7" s="12">
        <f t="shared" si="6"/>
        <v>24.21408223</v>
      </c>
      <c r="AB7" s="13">
        <f t="shared" si="7"/>
        <v>1.295233271</v>
      </c>
      <c r="AC7" s="8">
        <f t="shared" ref="AC7:AC49" si="26">X7*IF(I7,1.5,1)*IF(S7*T7&gt;0,(S7*T7+0.02),1)</f>
        <v>38.47619956</v>
      </c>
      <c r="AD7" s="13">
        <f t="shared" ref="AD7:AD49" si="27">IFERROR(AC7/U7,#N/A)</f>
        <v>1.923809978</v>
      </c>
      <c r="AE7" s="8">
        <f t="shared" ref="AE7:AE49" si="28">IF(I7,1.5,1)*IF(S7*T7&gt;0,(S7*T7+0.02),1)*(0.2*(8.17*POWER(N7*R7,0.46))+0.8*(0.146*POWER(N7*Q7,0.639)))</f>
        <v>38.47619956</v>
      </c>
      <c r="AF7" s="73">
        <f t="shared" ref="AF7:AF49" si="29">If(F7,$AT$2*O7*(1-log(O7)*0.04+1/(O7/80)^0.6),$AT$3*O7*(1+1/(O7/12)^0.9-log(O7)*0.03))</f>
        <v>2.931911332</v>
      </c>
      <c r="AG7" s="74" t="str">
        <f t="shared" ref="AG7:AG49" si="30">If(F7,VLOOKUP(E7,#REF!,2),VLOOKUP(E7,#REF!,3))</f>
        <v>#REF!</v>
      </c>
      <c r="AH7" s="73">
        <f t="shared" ref="AH7:AH49" si="31">If(I7,2,0)</f>
        <v>2</v>
      </c>
      <c r="AI7" s="73">
        <f t="shared" ref="AI7:AI49" si="32">1.5-1.5/K7^0.2</f>
        <v>0</v>
      </c>
      <c r="AJ7" s="75">
        <f t="shared" ref="AJ7:AJ49" si="33">If(P7/Q7 &gt; 0.66,1+2.8*(P7/Q7-0.66)^1.5,1)</f>
        <v>1.499138431</v>
      </c>
      <c r="AK7" s="73">
        <f t="shared" ref="AK7:AK49" si="34">Max(0.8,Pow(V7/5,0.5))/4</f>
        <v>0.5521580988</v>
      </c>
      <c r="AL7" s="73">
        <f t="shared" ref="AL7:AL49" si="35">IF(Q7&gt;300,IF(Q7&gt;460.39,7.5*8.5^((Q7/460.4-1)^0.6),6.5^((Q7/150-2)^1.1)),2.8^(Q7/150-2))</f>
        <v>0.5579694858</v>
      </c>
      <c r="AM7" s="73">
        <f t="shared" ref="AM7:AM49" si="36">If(ISBLANK(J7),1,2.6*(1-1/((J7*0.05)^0.26)))</f>
        <v>1.171193728</v>
      </c>
      <c r="AN7" s="75">
        <v>63.07</v>
      </c>
      <c r="AO7" s="76">
        <v>63.0</v>
      </c>
      <c r="AP7" s="73">
        <f t="shared" ref="AP7:AP49" si="37">If(MOD(Log10(AO7),1)&gt;0.2,ROUND(AO7,1-INT(LOG10(AO7))), ROUND(2*AO7,1-INT(LOG10(2*AO7)))/2)</f>
        <v>63</v>
      </c>
      <c r="AQ7" s="29" t="str">
        <f t="shared" ref="AQ7:AQ49" si="38">VLOOKUP(A7,#REF!,27,FALSE)</f>
        <v>#REF!</v>
      </c>
      <c r="AR7" s="77" t="str">
        <f t="shared" ref="AR7:AR49" si="39">AP7/AQ7-1</f>
        <v>#REF!</v>
      </c>
      <c r="AS7" s="73"/>
      <c r="AT7" s="39"/>
    </row>
    <row r="8" ht="15.75" customHeight="1">
      <c r="A8" s="7" t="s">
        <v>517</v>
      </c>
      <c r="B8" s="7" t="s">
        <v>518</v>
      </c>
      <c r="C8" s="7">
        <v>1942.0</v>
      </c>
      <c r="D8" s="7"/>
      <c r="E8" s="7">
        <v>1942.0</v>
      </c>
      <c r="F8" s="7" t="b">
        <v>1</v>
      </c>
      <c r="G8" s="7" t="b">
        <v>0</v>
      </c>
      <c r="H8" s="7" t="b">
        <v>1</v>
      </c>
      <c r="I8" s="7" t="b">
        <v>0</v>
      </c>
      <c r="J8" s="48">
        <v>300.0</v>
      </c>
      <c r="K8" s="7">
        <v>1.0</v>
      </c>
      <c r="L8" s="7"/>
      <c r="M8" s="7"/>
      <c r="N8" s="7">
        <v>56.0</v>
      </c>
      <c r="O8" s="7">
        <v>12.6</v>
      </c>
      <c r="P8" s="9">
        <v>200.0</v>
      </c>
      <c r="Q8" s="7">
        <v>215.0</v>
      </c>
      <c r="R8" s="7">
        <v>2.0</v>
      </c>
      <c r="S8" s="7">
        <v>0.95</v>
      </c>
      <c r="T8" s="7">
        <v>0.867</v>
      </c>
      <c r="U8" s="10">
        <f t="shared" si="1"/>
        <v>0</v>
      </c>
      <c r="V8" s="10">
        <f t="shared" si="2"/>
        <v>22.94361473</v>
      </c>
      <c r="W8" s="11">
        <f t="shared" si="3"/>
        <v>4.891225595</v>
      </c>
      <c r="X8" s="8">
        <f t="shared" si="25"/>
        <v>61.6294425</v>
      </c>
      <c r="Y8" s="12">
        <f t="shared" si="4"/>
        <v>4</v>
      </c>
      <c r="Z8" s="12">
        <f t="shared" si="5"/>
        <v>308.1472125</v>
      </c>
      <c r="AA8" s="12">
        <f t="shared" si="6"/>
        <v>24.45612797</v>
      </c>
      <c r="AB8" s="13" t="str">
        <f t="shared" si="7"/>
        <v>#N/A</v>
      </c>
      <c r="AC8" s="8">
        <f t="shared" si="26"/>
        <v>51.99367916</v>
      </c>
      <c r="AD8" s="13" t="str">
        <f t="shared" si="27"/>
        <v>#N/A</v>
      </c>
      <c r="AE8" s="8">
        <f t="shared" si="28"/>
        <v>51.99367916</v>
      </c>
      <c r="AF8" s="73">
        <f t="shared" si="29"/>
        <v>6.028804165</v>
      </c>
      <c r="AG8" s="74" t="str">
        <f t="shared" si="30"/>
        <v>#REF!</v>
      </c>
      <c r="AH8" s="73">
        <f t="shared" si="31"/>
        <v>0</v>
      </c>
      <c r="AI8" s="73">
        <f t="shared" si="32"/>
        <v>0</v>
      </c>
      <c r="AJ8" s="75">
        <f t="shared" si="33"/>
        <v>1.393336764</v>
      </c>
      <c r="AK8" s="73">
        <f t="shared" si="34"/>
        <v>0.5355326172</v>
      </c>
      <c r="AL8" s="73">
        <f t="shared" si="35"/>
        <v>0.5579694858</v>
      </c>
      <c r="AM8" s="73">
        <f t="shared" si="36"/>
        <v>1.314152039</v>
      </c>
      <c r="AN8" s="75">
        <v>42.66</v>
      </c>
      <c r="AO8" s="76">
        <v>43.0</v>
      </c>
      <c r="AP8" s="73">
        <f t="shared" si="37"/>
        <v>43</v>
      </c>
      <c r="AQ8" s="29" t="str">
        <f t="shared" si="38"/>
        <v>#REF!</v>
      </c>
      <c r="AR8" s="77" t="str">
        <f t="shared" si="39"/>
        <v>#REF!</v>
      </c>
      <c r="AS8" s="73"/>
      <c r="AT8" s="39"/>
    </row>
    <row r="9" ht="15.75" customHeight="1">
      <c r="A9" s="16" t="s">
        <v>46</v>
      </c>
      <c r="B9" s="16" t="s">
        <v>47</v>
      </c>
      <c r="C9" s="16">
        <v>1944.0</v>
      </c>
      <c r="D9" s="16"/>
      <c r="E9" s="16">
        <v>1944.0</v>
      </c>
      <c r="F9" s="16" t="b">
        <v>0</v>
      </c>
      <c r="G9" s="16" t="b">
        <v>0</v>
      </c>
      <c r="H9" s="16" t="b">
        <v>0</v>
      </c>
      <c r="I9" s="16" t="b">
        <v>0</v>
      </c>
      <c r="J9" s="18">
        <v>47.0</v>
      </c>
      <c r="K9" s="16">
        <v>1.0</v>
      </c>
      <c r="L9" s="16">
        <v>30.0</v>
      </c>
      <c r="M9" s="16">
        <v>0.0</v>
      </c>
      <c r="N9" s="16">
        <v>8.0</v>
      </c>
      <c r="O9" s="16">
        <v>7.733</v>
      </c>
      <c r="P9" s="18">
        <v>195.0</v>
      </c>
      <c r="Q9" s="16">
        <v>226.0</v>
      </c>
      <c r="R9" s="16">
        <v>2.06</v>
      </c>
      <c r="S9" s="16">
        <v>0.96</v>
      </c>
      <c r="T9" s="16">
        <v>0.93</v>
      </c>
      <c r="U9" s="19">
        <f t="shared" si="1"/>
        <v>30</v>
      </c>
      <c r="V9" s="19">
        <f t="shared" si="2"/>
        <v>98.56831815</v>
      </c>
      <c r="W9" s="20">
        <f t="shared" si="3"/>
        <v>2.588404098</v>
      </c>
      <c r="X9" s="17">
        <f t="shared" si="25"/>
        <v>20.01612889</v>
      </c>
      <c r="Y9" s="21">
        <f t="shared" si="4"/>
        <v>1.75</v>
      </c>
      <c r="Z9" s="21">
        <f t="shared" si="5"/>
        <v>55.04435445</v>
      </c>
      <c r="AA9" s="21">
        <f t="shared" si="6"/>
        <v>7.11811127</v>
      </c>
      <c r="AB9" s="22">
        <f t="shared" si="7"/>
        <v>0.6672042964</v>
      </c>
      <c r="AC9" s="8">
        <f t="shared" si="26"/>
        <v>18.27072245</v>
      </c>
      <c r="AD9" s="13">
        <f t="shared" si="27"/>
        <v>0.6090240817</v>
      </c>
      <c r="AE9" s="8">
        <f t="shared" si="28"/>
        <v>18.27072245</v>
      </c>
      <c r="AF9" s="73">
        <f t="shared" si="29"/>
        <v>4.182428239</v>
      </c>
      <c r="AG9" s="74" t="str">
        <f t="shared" si="30"/>
        <v>#REF!</v>
      </c>
      <c r="AH9" s="73">
        <f t="shared" si="31"/>
        <v>0</v>
      </c>
      <c r="AI9" s="73">
        <f t="shared" si="32"/>
        <v>0</v>
      </c>
      <c r="AJ9" s="75">
        <f t="shared" si="33"/>
        <v>1.255777469</v>
      </c>
      <c r="AK9" s="73">
        <f t="shared" si="34"/>
        <v>1.110001791</v>
      </c>
      <c r="AL9" s="73">
        <f t="shared" si="35"/>
        <v>0.6017305176</v>
      </c>
      <c r="AM9" s="73">
        <f t="shared" si="36"/>
        <v>0.5179281916</v>
      </c>
      <c r="AN9" s="75">
        <v>17.9</v>
      </c>
      <c r="AO9" s="76">
        <v>18.0</v>
      </c>
      <c r="AP9" s="73">
        <f t="shared" si="37"/>
        <v>18</v>
      </c>
      <c r="AQ9" s="29" t="str">
        <f t="shared" si="38"/>
        <v>#REF!</v>
      </c>
      <c r="AR9" s="77" t="str">
        <f t="shared" si="39"/>
        <v>#REF!</v>
      </c>
      <c r="AS9" s="73"/>
      <c r="AT9" s="39"/>
    </row>
    <row r="10" ht="15.75" customHeight="1">
      <c r="A10" s="7" t="s">
        <v>789</v>
      </c>
      <c r="B10" s="7" t="s">
        <v>790</v>
      </c>
      <c r="C10" s="7">
        <v>1945.0</v>
      </c>
      <c r="D10" s="7"/>
      <c r="E10" s="9">
        <v>1944.0</v>
      </c>
      <c r="F10" s="7" t="b">
        <v>0</v>
      </c>
      <c r="G10" s="7" t="b">
        <v>0</v>
      </c>
      <c r="H10" s="7" t="b">
        <v>0</v>
      </c>
      <c r="I10" s="7" t="b">
        <v>0</v>
      </c>
      <c r="J10" s="9">
        <v>56.0</v>
      </c>
      <c r="K10" s="7">
        <v>1.0</v>
      </c>
      <c r="L10" s="7">
        <v>45.0</v>
      </c>
      <c r="M10" s="7">
        <v>0.0</v>
      </c>
      <c r="N10" s="7">
        <v>14.7</v>
      </c>
      <c r="O10" s="7">
        <v>14.417</v>
      </c>
      <c r="P10" s="9">
        <v>204.8</v>
      </c>
      <c r="Q10" s="7">
        <v>232.1</v>
      </c>
      <c r="R10" s="7">
        <v>2.1</v>
      </c>
      <c r="S10" s="7">
        <v>0.96</v>
      </c>
      <c r="T10" s="7">
        <v>0.93</v>
      </c>
      <c r="U10" s="10">
        <f t="shared" si="1"/>
        <v>45</v>
      </c>
      <c r="V10" s="10">
        <f t="shared" si="2"/>
        <v>100.0084939</v>
      </c>
      <c r="W10" s="11">
        <f t="shared" si="3"/>
        <v>2.015044026</v>
      </c>
      <c r="X10" s="8">
        <f t="shared" si="25"/>
        <v>29.05088972</v>
      </c>
      <c r="Y10" s="12">
        <f t="shared" si="4"/>
        <v>1.75</v>
      </c>
      <c r="Z10" s="12">
        <f t="shared" si="5"/>
        <v>79.88994672</v>
      </c>
      <c r="AA10" s="12">
        <f t="shared" si="6"/>
        <v>5.54137107</v>
      </c>
      <c r="AB10" s="13">
        <f t="shared" si="7"/>
        <v>0.645575327</v>
      </c>
      <c r="AC10" s="8">
        <f t="shared" si="26"/>
        <v>26.51765213</v>
      </c>
      <c r="AD10" s="13">
        <f t="shared" si="27"/>
        <v>0.5892811585</v>
      </c>
      <c r="AE10" s="8">
        <f t="shared" si="28"/>
        <v>26.51765213</v>
      </c>
      <c r="AF10" s="73">
        <f t="shared" si="29"/>
        <v>5.75036209</v>
      </c>
      <c r="AG10" s="74" t="str">
        <f t="shared" si="30"/>
        <v>#REF!</v>
      </c>
      <c r="AH10" s="73">
        <f t="shared" si="31"/>
        <v>0</v>
      </c>
      <c r="AI10" s="73">
        <f t="shared" si="32"/>
        <v>0</v>
      </c>
      <c r="AJ10" s="75">
        <f t="shared" si="33"/>
        <v>1.293627412</v>
      </c>
      <c r="AK10" s="73">
        <f t="shared" si="34"/>
        <v>1.11808147</v>
      </c>
      <c r="AL10" s="73">
        <f t="shared" si="35"/>
        <v>0.6274606058</v>
      </c>
      <c r="AM10" s="73">
        <f t="shared" si="36"/>
        <v>0.6106451373</v>
      </c>
      <c r="AN10" s="75">
        <v>31.28</v>
      </c>
      <c r="AO10" s="76">
        <v>31.0</v>
      </c>
      <c r="AP10" s="73">
        <f t="shared" si="37"/>
        <v>31</v>
      </c>
      <c r="AQ10" s="29" t="str">
        <f t="shared" si="38"/>
        <v>#REF!</v>
      </c>
      <c r="AR10" s="77" t="str">
        <f t="shared" si="39"/>
        <v>#REF!</v>
      </c>
      <c r="AS10" s="73"/>
      <c r="AT10" s="39"/>
    </row>
    <row r="11" ht="15.75" customHeight="1">
      <c r="A11" s="7" t="s">
        <v>37</v>
      </c>
      <c r="B11" s="7" t="s">
        <v>36</v>
      </c>
      <c r="C11" s="7">
        <v>1945.0</v>
      </c>
      <c r="D11" s="7"/>
      <c r="E11" s="7">
        <v>1945.0</v>
      </c>
      <c r="F11" s="7" t="b">
        <v>1</v>
      </c>
      <c r="G11" s="7" t="b">
        <v>0</v>
      </c>
      <c r="H11" s="7" t="b">
        <v>1</v>
      </c>
      <c r="I11" s="7" t="b">
        <v>0</v>
      </c>
      <c r="J11" s="9">
        <v>115.0</v>
      </c>
      <c r="K11" s="7">
        <v>1.0</v>
      </c>
      <c r="L11" s="7">
        <v>150.0</v>
      </c>
      <c r="M11" s="7">
        <v>550.0</v>
      </c>
      <c r="N11" s="7">
        <v>929.86</v>
      </c>
      <c r="O11" s="7">
        <v>288.68</v>
      </c>
      <c r="P11" s="9">
        <v>220.0</v>
      </c>
      <c r="Q11" s="7">
        <v>255.0</v>
      </c>
      <c r="R11" s="7">
        <v>1.7</v>
      </c>
      <c r="S11" s="7">
        <v>0.9</v>
      </c>
      <c r="T11" s="7">
        <v>0.9</v>
      </c>
      <c r="U11" s="10">
        <f t="shared" si="1"/>
        <v>700</v>
      </c>
      <c r="V11" s="10">
        <f t="shared" si="2"/>
        <v>31.657634</v>
      </c>
      <c r="W11" s="11">
        <f t="shared" si="3"/>
        <v>1.268201819</v>
      </c>
      <c r="X11" s="8">
        <f t="shared" si="25"/>
        <v>366.1045011</v>
      </c>
      <c r="Y11" s="12">
        <f t="shared" si="4"/>
        <v>4</v>
      </c>
      <c r="Z11" s="12">
        <f t="shared" si="5"/>
        <v>1830.522506</v>
      </c>
      <c r="AA11" s="12">
        <f t="shared" si="6"/>
        <v>6.341009095</v>
      </c>
      <c r="AB11" s="13">
        <f t="shared" si="7"/>
        <v>0.5230064302</v>
      </c>
      <c r="AC11" s="8">
        <f t="shared" si="26"/>
        <v>303.8667359</v>
      </c>
      <c r="AD11" s="13">
        <f t="shared" si="27"/>
        <v>0.4340953371</v>
      </c>
      <c r="AE11" s="8">
        <f t="shared" si="28"/>
        <v>303.8667359</v>
      </c>
      <c r="AF11" s="73">
        <f t="shared" si="29"/>
        <v>47.27219878</v>
      </c>
      <c r="AG11" s="74" t="str">
        <f t="shared" si="30"/>
        <v>#REF!</v>
      </c>
      <c r="AH11" s="73">
        <f t="shared" si="31"/>
        <v>0</v>
      </c>
      <c r="AI11" s="73">
        <f t="shared" si="32"/>
        <v>0</v>
      </c>
      <c r="AJ11" s="75">
        <f t="shared" si="33"/>
        <v>1.255613375</v>
      </c>
      <c r="AK11" s="73">
        <f t="shared" si="34"/>
        <v>0.6290631328</v>
      </c>
      <c r="AL11" s="73">
        <f t="shared" si="35"/>
        <v>0.7342645998</v>
      </c>
      <c r="AM11" s="73">
        <f t="shared" si="36"/>
        <v>0.9500920759</v>
      </c>
      <c r="AN11" s="75">
        <v>295.85</v>
      </c>
      <c r="AO11" s="76">
        <v>300.0</v>
      </c>
      <c r="AP11" s="73">
        <f t="shared" si="37"/>
        <v>300</v>
      </c>
      <c r="AQ11" s="29" t="str">
        <f t="shared" si="38"/>
        <v>#REF!</v>
      </c>
      <c r="AR11" s="77" t="str">
        <f t="shared" si="39"/>
        <v>#REF!</v>
      </c>
      <c r="AS11" s="73"/>
      <c r="AT11" s="39"/>
    </row>
    <row r="12" ht="15.75" customHeight="1">
      <c r="A12" s="7" t="s">
        <v>793</v>
      </c>
      <c r="B12" s="7" t="s">
        <v>793</v>
      </c>
      <c r="C12" s="7">
        <v>1946.0</v>
      </c>
      <c r="D12" s="7"/>
      <c r="E12" s="7">
        <v>1946.0</v>
      </c>
      <c r="F12" s="7" t="b">
        <v>0</v>
      </c>
      <c r="G12" s="7" t="b">
        <v>0</v>
      </c>
      <c r="H12" s="7" t="b">
        <v>0</v>
      </c>
      <c r="I12" s="7" t="b">
        <v>0</v>
      </c>
      <c r="J12" s="9">
        <v>45.0</v>
      </c>
      <c r="K12" s="7">
        <v>1.0</v>
      </c>
      <c r="L12" s="7">
        <v>75.0</v>
      </c>
      <c r="M12" s="7">
        <v>0.0</v>
      </c>
      <c r="N12" s="7">
        <v>150.0</v>
      </c>
      <c r="O12" s="7">
        <v>49.3</v>
      </c>
      <c r="P12" s="9">
        <v>198.0</v>
      </c>
      <c r="Q12" s="7">
        <v>249.0</v>
      </c>
      <c r="R12" s="7">
        <v>1.5</v>
      </c>
      <c r="S12" s="7">
        <v>0.95</v>
      </c>
      <c r="T12" s="7">
        <v>0.95</v>
      </c>
      <c r="U12" s="10">
        <f t="shared" si="1"/>
        <v>75</v>
      </c>
      <c r="V12" s="10">
        <f t="shared" si="2"/>
        <v>33.51467277</v>
      </c>
      <c r="W12" s="11">
        <f t="shared" si="3"/>
        <v>2.378610137</v>
      </c>
      <c r="X12" s="8">
        <f t="shared" si="25"/>
        <v>117.2654797</v>
      </c>
      <c r="Y12" s="12">
        <f t="shared" si="4"/>
        <v>1.75</v>
      </c>
      <c r="Z12" s="12">
        <f t="shared" si="5"/>
        <v>322.4800693</v>
      </c>
      <c r="AA12" s="12">
        <f t="shared" si="6"/>
        <v>6.541177876</v>
      </c>
      <c r="AB12" s="13">
        <f t="shared" si="7"/>
        <v>1.56353973</v>
      </c>
      <c r="AC12" s="8">
        <f t="shared" si="26"/>
        <v>108.1774051</v>
      </c>
      <c r="AD12" s="13">
        <f t="shared" si="27"/>
        <v>1.442365401</v>
      </c>
      <c r="AE12" s="8">
        <f t="shared" si="28"/>
        <v>108.1774051</v>
      </c>
      <c r="AF12" s="73">
        <f t="shared" si="29"/>
        <v>13.33585991</v>
      </c>
      <c r="AG12" s="74" t="str">
        <f t="shared" si="30"/>
        <v>#REF!</v>
      </c>
      <c r="AH12" s="73">
        <f t="shared" si="31"/>
        <v>0</v>
      </c>
      <c r="AI12" s="73">
        <f t="shared" si="32"/>
        <v>0</v>
      </c>
      <c r="AJ12" s="75">
        <f t="shared" si="33"/>
        <v>1.139165049</v>
      </c>
      <c r="AK12" s="73">
        <f t="shared" si="34"/>
        <v>0.6472506544</v>
      </c>
      <c r="AL12" s="73">
        <f t="shared" si="35"/>
        <v>0.7046383392</v>
      </c>
      <c r="AM12" s="73">
        <f t="shared" si="36"/>
        <v>0.4942544419</v>
      </c>
      <c r="AN12" s="75">
        <v>45.36</v>
      </c>
      <c r="AO12" s="76">
        <v>45.0</v>
      </c>
      <c r="AP12" s="73">
        <f t="shared" si="37"/>
        <v>45</v>
      </c>
      <c r="AQ12" s="29" t="str">
        <f t="shared" si="38"/>
        <v>#REF!</v>
      </c>
      <c r="AR12" s="77" t="str">
        <f t="shared" si="39"/>
        <v>#REF!</v>
      </c>
      <c r="AS12" s="73"/>
      <c r="AT12" s="39"/>
    </row>
    <row r="13" ht="15.75" customHeight="1">
      <c r="A13" s="7" t="s">
        <v>827</v>
      </c>
      <c r="B13" s="7" t="s">
        <v>828</v>
      </c>
      <c r="C13" s="7">
        <v>1946.0</v>
      </c>
      <c r="D13" s="7"/>
      <c r="E13" s="7">
        <v>1946.0</v>
      </c>
      <c r="F13" s="7" t="b">
        <v>0</v>
      </c>
      <c r="G13" s="7" t="b">
        <v>0</v>
      </c>
      <c r="H13" s="7" t="b">
        <v>1</v>
      </c>
      <c r="I13" s="7" t="b">
        <v>1</v>
      </c>
      <c r="J13" s="9">
        <v>300.0</v>
      </c>
      <c r="K13" s="9">
        <v>999.0</v>
      </c>
      <c r="L13" s="7">
        <v>300.0</v>
      </c>
      <c r="M13" s="7">
        <v>0.0</v>
      </c>
      <c r="N13" s="7">
        <v>150.0</v>
      </c>
      <c r="O13" s="7">
        <v>26.68</v>
      </c>
      <c r="P13" s="9">
        <v>207.7</v>
      </c>
      <c r="Q13" s="7">
        <v>226.6</v>
      </c>
      <c r="R13" s="7">
        <v>1.52</v>
      </c>
      <c r="S13" s="7">
        <v>0.987</v>
      </c>
      <c r="T13" s="7">
        <v>0.998</v>
      </c>
      <c r="U13" s="10">
        <f t="shared" si="1"/>
        <v>300</v>
      </c>
      <c r="V13" s="10">
        <f t="shared" si="2"/>
        <v>18.13735232</v>
      </c>
      <c r="W13" s="11">
        <f t="shared" si="3"/>
        <v>4.18608346</v>
      </c>
      <c r="X13" s="8">
        <f t="shared" si="25"/>
        <v>111.6847067</v>
      </c>
      <c r="Y13" s="12">
        <f t="shared" si="4"/>
        <v>1.75</v>
      </c>
      <c r="Z13" s="12">
        <f t="shared" si="5"/>
        <v>307.1329435</v>
      </c>
      <c r="AA13" s="12">
        <f t="shared" si="6"/>
        <v>11.51172952</v>
      </c>
      <c r="AB13" s="13">
        <f t="shared" si="7"/>
        <v>0.3722823558</v>
      </c>
      <c r="AC13" s="8">
        <f t="shared" si="26"/>
        <v>168.3690511</v>
      </c>
      <c r="AD13" s="13">
        <f t="shared" si="27"/>
        <v>0.5612301703</v>
      </c>
      <c r="AE13" s="8">
        <f t="shared" si="28"/>
        <v>168.3690511</v>
      </c>
      <c r="AF13" s="73">
        <f t="shared" si="29"/>
        <v>8.478059841</v>
      </c>
      <c r="AG13" s="74" t="str">
        <f t="shared" si="30"/>
        <v>#REF!</v>
      </c>
      <c r="AH13" s="73">
        <f t="shared" si="31"/>
        <v>2</v>
      </c>
      <c r="AI13" s="73">
        <f t="shared" si="32"/>
        <v>1.123141633</v>
      </c>
      <c r="AJ13" s="75">
        <f t="shared" si="33"/>
        <v>1.363936431</v>
      </c>
      <c r="AK13" s="73">
        <f t="shared" si="34"/>
        <v>0.4761479854</v>
      </c>
      <c r="AL13" s="73">
        <f t="shared" si="35"/>
        <v>0.6042138415</v>
      </c>
      <c r="AM13" s="73">
        <f t="shared" si="36"/>
        <v>1.314152039</v>
      </c>
      <c r="AN13" s="75">
        <v>272.2</v>
      </c>
      <c r="AO13" s="76">
        <v>270.0</v>
      </c>
      <c r="AP13" s="73">
        <f t="shared" si="37"/>
        <v>270</v>
      </c>
      <c r="AQ13" s="29" t="str">
        <f t="shared" si="38"/>
        <v>#REF!</v>
      </c>
      <c r="AR13" s="77" t="str">
        <f t="shared" si="39"/>
        <v>#REF!</v>
      </c>
      <c r="AS13" s="73"/>
      <c r="AT13" s="39"/>
    </row>
    <row r="14" ht="15.75" customHeight="1">
      <c r="A14" s="16" t="s">
        <v>519</v>
      </c>
      <c r="B14" s="16" t="s">
        <v>520</v>
      </c>
      <c r="C14" s="16">
        <v>1946.0</v>
      </c>
      <c r="D14" s="16"/>
      <c r="E14" s="18">
        <v>1945.0</v>
      </c>
      <c r="F14" s="16" t="b">
        <v>1</v>
      </c>
      <c r="G14" s="16" t="b">
        <v>0</v>
      </c>
      <c r="H14" s="16" t="b">
        <v>0</v>
      </c>
      <c r="I14" s="16" t="b">
        <v>0</v>
      </c>
      <c r="J14" s="18">
        <v>70.0</v>
      </c>
      <c r="K14" s="16">
        <v>1.0</v>
      </c>
      <c r="L14" s="16">
        <v>150.0</v>
      </c>
      <c r="M14" s="16">
        <v>0.0</v>
      </c>
      <c r="N14" s="16">
        <v>885.0</v>
      </c>
      <c r="O14" s="16">
        <v>307.0</v>
      </c>
      <c r="P14" s="18">
        <v>203.0</v>
      </c>
      <c r="Q14" s="16">
        <v>237.0</v>
      </c>
      <c r="R14" s="16">
        <v>1.62</v>
      </c>
      <c r="S14" s="16">
        <v>0.95</v>
      </c>
      <c r="T14" s="16">
        <v>0.94</v>
      </c>
      <c r="U14" s="19">
        <f t="shared" si="1"/>
        <v>150</v>
      </c>
      <c r="V14" s="19">
        <f t="shared" si="2"/>
        <v>35.37320638</v>
      </c>
      <c r="W14" s="20">
        <f t="shared" si="3"/>
        <v>1.107587498</v>
      </c>
      <c r="X14" s="17">
        <f t="shared" si="25"/>
        <v>340.0293619</v>
      </c>
      <c r="Y14" s="21">
        <f t="shared" si="4"/>
        <v>4</v>
      </c>
      <c r="Z14" s="21">
        <f t="shared" si="5"/>
        <v>1700.146809</v>
      </c>
      <c r="AA14" s="21">
        <f t="shared" si="6"/>
        <v>5.53793749</v>
      </c>
      <c r="AB14" s="22">
        <f t="shared" si="7"/>
        <v>2.266862413</v>
      </c>
      <c r="AC14" s="8">
        <f t="shared" si="26"/>
        <v>310.4468074</v>
      </c>
      <c r="AD14" s="13">
        <f t="shared" si="27"/>
        <v>2.069645383</v>
      </c>
      <c r="AE14" s="8">
        <f t="shared" si="28"/>
        <v>310.4468074</v>
      </c>
      <c r="AF14" s="73">
        <f t="shared" si="29"/>
        <v>49.61452799</v>
      </c>
      <c r="AG14" s="74" t="str">
        <f t="shared" si="30"/>
        <v>#REF!</v>
      </c>
      <c r="AH14" s="73">
        <f t="shared" si="31"/>
        <v>0</v>
      </c>
      <c r="AI14" s="73">
        <f t="shared" si="32"/>
        <v>0</v>
      </c>
      <c r="AJ14" s="75">
        <f t="shared" si="33"/>
        <v>1.243969052</v>
      </c>
      <c r="AK14" s="73">
        <f t="shared" si="34"/>
        <v>0.6649549457</v>
      </c>
      <c r="AL14" s="73">
        <f t="shared" si="35"/>
        <v>0.6489236867</v>
      </c>
      <c r="AM14" s="73">
        <f t="shared" si="36"/>
        <v>0.7227779085</v>
      </c>
      <c r="AN14" s="75">
        <v>249.86</v>
      </c>
      <c r="AO14" s="76">
        <v>250.0</v>
      </c>
      <c r="AP14" s="73">
        <f t="shared" si="37"/>
        <v>250</v>
      </c>
      <c r="AQ14" s="29" t="str">
        <f t="shared" si="38"/>
        <v>#REF!</v>
      </c>
      <c r="AR14" s="77" t="str">
        <f t="shared" si="39"/>
        <v>#REF!</v>
      </c>
      <c r="AS14" s="73"/>
      <c r="AT14" s="39"/>
    </row>
    <row r="15" ht="15.75" customHeight="1">
      <c r="A15" s="16" t="s">
        <v>836</v>
      </c>
      <c r="B15" s="16" t="s">
        <v>837</v>
      </c>
      <c r="C15" s="16">
        <v>1946.0</v>
      </c>
      <c r="D15" s="16"/>
      <c r="E15" s="16">
        <v>1946.0</v>
      </c>
      <c r="F15" s="16" t="b">
        <v>1</v>
      </c>
      <c r="G15" s="16" t="b">
        <v>0</v>
      </c>
      <c r="H15" s="16" t="b">
        <v>0</v>
      </c>
      <c r="I15" s="16" t="b">
        <v>0</v>
      </c>
      <c r="J15" s="18">
        <v>70.0</v>
      </c>
      <c r="K15" s="16">
        <v>1.0</v>
      </c>
      <c r="L15" s="16">
        <v>135.0</v>
      </c>
      <c r="M15" s="16">
        <v>0.0</v>
      </c>
      <c r="N15" s="16">
        <v>791.0</v>
      </c>
      <c r="O15" s="16">
        <v>333.0</v>
      </c>
      <c r="P15" s="18">
        <v>203.0</v>
      </c>
      <c r="Q15" s="16">
        <v>239.0</v>
      </c>
      <c r="R15" s="16">
        <v>1.5</v>
      </c>
      <c r="S15" s="16">
        <v>0.97</v>
      </c>
      <c r="T15" s="16">
        <v>0.95</v>
      </c>
      <c r="U15" s="19">
        <f t="shared" si="1"/>
        <v>135</v>
      </c>
      <c r="V15" s="19">
        <f t="shared" si="2"/>
        <v>42.92863438</v>
      </c>
      <c r="W15" s="20">
        <f t="shared" si="3"/>
        <v>0.9528656793</v>
      </c>
      <c r="X15" s="17">
        <f t="shared" si="25"/>
        <v>317.3042712</v>
      </c>
      <c r="Y15" s="21">
        <f t="shared" si="4"/>
        <v>4</v>
      </c>
      <c r="Z15" s="21">
        <f t="shared" si="5"/>
        <v>1586.521356</v>
      </c>
      <c r="AA15" s="21">
        <f t="shared" si="6"/>
        <v>4.764328397</v>
      </c>
      <c r="AB15" s="22">
        <f t="shared" si="7"/>
        <v>2.350402009</v>
      </c>
      <c r="AC15" s="8">
        <f t="shared" si="26"/>
        <v>298.7419713</v>
      </c>
      <c r="AD15" s="13">
        <f t="shared" si="27"/>
        <v>2.212903491</v>
      </c>
      <c r="AE15" s="8">
        <f t="shared" si="28"/>
        <v>298.7419713</v>
      </c>
      <c r="AF15" s="73">
        <f t="shared" si="29"/>
        <v>52.91106734</v>
      </c>
      <c r="AG15" s="74" t="str">
        <f t="shared" si="30"/>
        <v>#REF!</v>
      </c>
      <c r="AH15" s="73">
        <f t="shared" si="31"/>
        <v>0</v>
      </c>
      <c r="AI15" s="73">
        <f t="shared" si="32"/>
        <v>0</v>
      </c>
      <c r="AJ15" s="75">
        <f t="shared" si="33"/>
        <v>1.230745375</v>
      </c>
      <c r="AK15" s="73">
        <f t="shared" si="34"/>
        <v>0.7325352754</v>
      </c>
      <c r="AL15" s="73">
        <f t="shared" si="35"/>
        <v>0.6578937096</v>
      </c>
      <c r="AM15" s="73">
        <f t="shared" si="36"/>
        <v>0.7227779085</v>
      </c>
      <c r="AN15" s="75">
        <v>290.84</v>
      </c>
      <c r="AO15" s="76">
        <v>290.0</v>
      </c>
      <c r="AP15" s="73">
        <f t="shared" si="37"/>
        <v>290</v>
      </c>
      <c r="AQ15" s="29" t="str">
        <f t="shared" si="38"/>
        <v>#REF!</v>
      </c>
      <c r="AR15" s="77" t="str">
        <f t="shared" si="39"/>
        <v>#REF!</v>
      </c>
      <c r="AS15" s="73"/>
      <c r="AT15" s="39"/>
    </row>
    <row r="16" ht="15.75" customHeight="1">
      <c r="A16" s="7" t="s">
        <v>48</v>
      </c>
      <c r="B16" s="7" t="s">
        <v>47</v>
      </c>
      <c r="C16" s="7">
        <v>1948.0</v>
      </c>
      <c r="D16" s="7"/>
      <c r="E16" s="7">
        <v>1948.0</v>
      </c>
      <c r="F16" s="7" t="b">
        <v>0</v>
      </c>
      <c r="G16" s="7" t="b">
        <v>0</v>
      </c>
      <c r="H16" s="7" t="b">
        <v>0</v>
      </c>
      <c r="I16" s="7" t="b">
        <v>0</v>
      </c>
      <c r="J16" s="9">
        <v>40.0</v>
      </c>
      <c r="K16" s="7">
        <v>1.0</v>
      </c>
      <c r="L16" s="7">
        <v>30.0</v>
      </c>
      <c r="M16" s="7">
        <v>10.0</v>
      </c>
      <c r="N16" s="7">
        <v>10.4</v>
      </c>
      <c r="O16" s="7">
        <v>13.7628</v>
      </c>
      <c r="P16" s="9">
        <v>200.0</v>
      </c>
      <c r="Q16" s="7">
        <v>235.44</v>
      </c>
      <c r="R16" s="7">
        <v>2.28</v>
      </c>
      <c r="S16" s="7">
        <v>0.97</v>
      </c>
      <c r="T16" s="7">
        <v>0.955</v>
      </c>
      <c r="U16" s="10">
        <f t="shared" si="1"/>
        <v>40</v>
      </c>
      <c r="V16" s="10">
        <f t="shared" si="2"/>
        <v>134.9437525</v>
      </c>
      <c r="W16" s="11">
        <f t="shared" si="3"/>
        <v>1.751739274</v>
      </c>
      <c r="X16" s="8">
        <f t="shared" si="25"/>
        <v>24.10883728</v>
      </c>
      <c r="Y16" s="12">
        <f t="shared" si="4"/>
        <v>1.75</v>
      </c>
      <c r="Z16" s="12">
        <f t="shared" si="5"/>
        <v>66.29930252</v>
      </c>
      <c r="AA16" s="12">
        <f t="shared" si="6"/>
        <v>4.817283003</v>
      </c>
      <c r="AB16" s="13">
        <f t="shared" si="7"/>
        <v>0.602720932</v>
      </c>
      <c r="AC16" s="8">
        <f t="shared" si="26"/>
        <v>22.81539816</v>
      </c>
      <c r="AD16" s="13">
        <f t="shared" si="27"/>
        <v>0.570384954</v>
      </c>
      <c r="AE16" s="8">
        <f t="shared" si="28"/>
        <v>22.81539816</v>
      </c>
      <c r="AF16" s="73">
        <f t="shared" si="29"/>
        <v>5.600815814</v>
      </c>
      <c r="AG16" s="74" t="str">
        <f t="shared" si="30"/>
        <v>#REF!</v>
      </c>
      <c r="AH16" s="73">
        <f t="shared" si="31"/>
        <v>0</v>
      </c>
      <c r="AI16" s="73">
        <f t="shared" si="32"/>
        <v>0</v>
      </c>
      <c r="AJ16" s="75">
        <f t="shared" si="33"/>
        <v>1.230929891</v>
      </c>
      <c r="AK16" s="73">
        <f t="shared" si="34"/>
        <v>1.298767456</v>
      </c>
      <c r="AL16" s="73">
        <f t="shared" si="35"/>
        <v>0.6420120557</v>
      </c>
      <c r="AM16" s="73">
        <f t="shared" si="36"/>
        <v>0.4287714095</v>
      </c>
      <c r="AN16" s="75">
        <v>18.35</v>
      </c>
      <c r="AO16" s="76">
        <v>18.0</v>
      </c>
      <c r="AP16" s="73">
        <f t="shared" si="37"/>
        <v>18</v>
      </c>
      <c r="AQ16" s="29" t="str">
        <f t="shared" si="38"/>
        <v>#REF!</v>
      </c>
      <c r="AR16" s="77" t="str">
        <f t="shared" si="39"/>
        <v>#REF!</v>
      </c>
      <c r="AS16" s="73"/>
      <c r="AT16" s="39"/>
    </row>
    <row r="17" ht="15.75" customHeight="1">
      <c r="A17" s="16" t="s">
        <v>791</v>
      </c>
      <c r="B17" s="16" t="s">
        <v>790</v>
      </c>
      <c r="C17" s="16">
        <v>1948.0</v>
      </c>
      <c r="D17" s="16"/>
      <c r="E17" s="16">
        <v>1948.0</v>
      </c>
      <c r="F17" s="16" t="b">
        <v>0</v>
      </c>
      <c r="G17" s="16" t="b">
        <v>0</v>
      </c>
      <c r="H17" s="16" t="b">
        <v>0</v>
      </c>
      <c r="I17" s="16" t="b">
        <v>0</v>
      </c>
      <c r="J17" s="18">
        <v>60.0</v>
      </c>
      <c r="K17" s="18">
        <v>1.0</v>
      </c>
      <c r="L17" s="16">
        <v>45.0</v>
      </c>
      <c r="M17" s="16">
        <v>15.0</v>
      </c>
      <c r="N17" s="16">
        <v>14.7</v>
      </c>
      <c r="O17" s="16">
        <v>19.411</v>
      </c>
      <c r="P17" s="18">
        <v>206.5</v>
      </c>
      <c r="Q17" s="16">
        <v>236.4</v>
      </c>
      <c r="R17" s="16">
        <v>2.2</v>
      </c>
      <c r="S17" s="16">
        <v>0.97</v>
      </c>
      <c r="T17" s="16">
        <v>0.955</v>
      </c>
      <c r="U17" s="19">
        <f t="shared" si="1"/>
        <v>60</v>
      </c>
      <c r="V17" s="19">
        <f t="shared" si="2"/>
        <v>134.6510976</v>
      </c>
      <c r="W17" s="20">
        <f t="shared" si="3"/>
        <v>1.518287236</v>
      </c>
      <c r="X17" s="17">
        <f t="shared" si="25"/>
        <v>29.47147354</v>
      </c>
      <c r="Y17" s="21">
        <f t="shared" si="4"/>
        <v>1.75</v>
      </c>
      <c r="Z17" s="21">
        <f t="shared" si="5"/>
        <v>81.04655224</v>
      </c>
      <c r="AA17" s="21">
        <f t="shared" si="6"/>
        <v>4.175289899</v>
      </c>
      <c r="AB17" s="22">
        <f t="shared" si="7"/>
        <v>0.4911912257</v>
      </c>
      <c r="AC17" s="8">
        <f t="shared" si="26"/>
        <v>27.89032899</v>
      </c>
      <c r="AD17" s="13">
        <f t="shared" si="27"/>
        <v>0.4648388164</v>
      </c>
      <c r="AE17" s="8">
        <f t="shared" si="28"/>
        <v>27.89032899</v>
      </c>
      <c r="AF17" s="73">
        <f t="shared" si="29"/>
        <v>6.875473872</v>
      </c>
      <c r="AG17" s="74" t="str">
        <f t="shared" si="30"/>
        <v>#REF!</v>
      </c>
      <c r="AH17" s="73">
        <f t="shared" si="31"/>
        <v>0</v>
      </c>
      <c r="AI17" s="73">
        <f t="shared" si="32"/>
        <v>0</v>
      </c>
      <c r="AJ17" s="75">
        <f t="shared" si="33"/>
        <v>1.276257591</v>
      </c>
      <c r="AK17" s="73">
        <f t="shared" si="34"/>
        <v>1.297358362</v>
      </c>
      <c r="AL17" s="73">
        <f t="shared" si="35"/>
        <v>0.6462566049</v>
      </c>
      <c r="AM17" s="73">
        <f t="shared" si="36"/>
        <v>0.6460123173</v>
      </c>
      <c r="AN17" s="75">
        <v>35.4</v>
      </c>
      <c r="AO17" s="76">
        <v>35.0</v>
      </c>
      <c r="AP17" s="73">
        <f t="shared" si="37"/>
        <v>35</v>
      </c>
      <c r="AQ17" s="29" t="str">
        <f t="shared" si="38"/>
        <v>#REF!</v>
      </c>
      <c r="AR17" s="77" t="str">
        <f t="shared" si="39"/>
        <v>#REF!</v>
      </c>
      <c r="AS17" s="73"/>
      <c r="AT17" s="39"/>
    </row>
    <row r="18" ht="15.75" customHeight="1">
      <c r="A18" s="7" t="s">
        <v>521</v>
      </c>
      <c r="B18" s="7" t="s">
        <v>520</v>
      </c>
      <c r="C18" s="7">
        <v>1948.0</v>
      </c>
      <c r="D18" s="7"/>
      <c r="E18" s="7">
        <v>1948.0</v>
      </c>
      <c r="F18" s="7" t="b">
        <v>1</v>
      </c>
      <c r="G18" s="7" t="b">
        <v>0</v>
      </c>
      <c r="H18" s="7" t="b">
        <v>0</v>
      </c>
      <c r="I18" s="7" t="b">
        <v>0</v>
      </c>
      <c r="J18" s="9">
        <v>75.0</v>
      </c>
      <c r="K18" s="7">
        <v>1.0</v>
      </c>
      <c r="L18" s="7">
        <v>150.0</v>
      </c>
      <c r="M18" s="7">
        <v>75.0</v>
      </c>
      <c r="N18" s="7">
        <v>888.0</v>
      </c>
      <c r="O18" s="7">
        <v>404.0</v>
      </c>
      <c r="P18" s="9">
        <v>210.0</v>
      </c>
      <c r="Q18" s="7">
        <v>237.0</v>
      </c>
      <c r="R18" s="7">
        <v>2.16</v>
      </c>
      <c r="S18" s="7">
        <v>0.94</v>
      </c>
      <c r="T18" s="7">
        <v>0.93</v>
      </c>
      <c r="U18" s="10">
        <f t="shared" si="1"/>
        <v>225</v>
      </c>
      <c r="V18" s="10">
        <f t="shared" si="2"/>
        <v>46.39249424</v>
      </c>
      <c r="W18" s="11">
        <f t="shared" si="3"/>
        <v>0.8596364445</v>
      </c>
      <c r="X18" s="8">
        <f t="shared" si="25"/>
        <v>347.2931236</v>
      </c>
      <c r="Y18" s="12">
        <f t="shared" si="4"/>
        <v>4</v>
      </c>
      <c r="Z18" s="12">
        <f t="shared" si="5"/>
        <v>1736.465618</v>
      </c>
      <c r="AA18" s="12">
        <f t="shared" si="6"/>
        <v>4.298182222</v>
      </c>
      <c r="AB18" s="13">
        <f t="shared" si="7"/>
        <v>1.543524994</v>
      </c>
      <c r="AC18" s="8">
        <f t="shared" si="26"/>
        <v>310.5495111</v>
      </c>
      <c r="AD18" s="13">
        <f t="shared" si="27"/>
        <v>1.380220049</v>
      </c>
      <c r="AE18" s="8">
        <f t="shared" si="28"/>
        <v>310.5495111</v>
      </c>
      <c r="AF18" s="73">
        <f t="shared" si="29"/>
        <v>61.77366524</v>
      </c>
      <c r="AG18" s="74" t="str">
        <f t="shared" si="30"/>
        <v>#REF!</v>
      </c>
      <c r="AH18" s="73">
        <f t="shared" si="31"/>
        <v>0</v>
      </c>
      <c r="AI18" s="73">
        <f t="shared" si="32"/>
        <v>0</v>
      </c>
      <c r="AJ18" s="75">
        <f t="shared" si="33"/>
        <v>1.300981343</v>
      </c>
      <c r="AK18" s="73">
        <f t="shared" si="34"/>
        <v>0.7615157109</v>
      </c>
      <c r="AL18" s="73">
        <f t="shared" si="35"/>
        <v>0.6489236867</v>
      </c>
      <c r="AM18" s="73">
        <f t="shared" si="36"/>
        <v>0.7561515678</v>
      </c>
      <c r="AN18" s="75">
        <v>258.78</v>
      </c>
      <c r="AO18" s="76">
        <v>260.0</v>
      </c>
      <c r="AP18" s="73">
        <f t="shared" si="37"/>
        <v>260</v>
      </c>
      <c r="AQ18" s="29" t="str">
        <f t="shared" si="38"/>
        <v>#REF!</v>
      </c>
      <c r="AR18" s="77" t="str">
        <f t="shared" si="39"/>
        <v>#REF!</v>
      </c>
      <c r="AS18" s="73"/>
      <c r="AT18" s="39"/>
    </row>
    <row r="19" ht="15.75" customHeight="1">
      <c r="A19" s="16" t="s">
        <v>825</v>
      </c>
      <c r="B19" s="16" t="s">
        <v>826</v>
      </c>
      <c r="C19" s="16">
        <v>1948.0</v>
      </c>
      <c r="D19" s="16"/>
      <c r="E19" s="16">
        <v>1948.0</v>
      </c>
      <c r="F19" s="16" t="b">
        <v>1</v>
      </c>
      <c r="G19" s="16" t="b">
        <v>0</v>
      </c>
      <c r="H19" s="16" t="b">
        <v>0</v>
      </c>
      <c r="I19" s="16" t="b">
        <v>0</v>
      </c>
      <c r="J19" s="18">
        <v>103.0</v>
      </c>
      <c r="K19" s="16">
        <v>1.0</v>
      </c>
      <c r="L19" s="16">
        <v>100.0</v>
      </c>
      <c r="M19" s="16">
        <v>0.0</v>
      </c>
      <c r="N19" s="16">
        <v>192.0</v>
      </c>
      <c r="O19" s="16">
        <v>110.5</v>
      </c>
      <c r="P19" s="18">
        <v>179.6</v>
      </c>
      <c r="Q19" s="16">
        <v>214.5</v>
      </c>
      <c r="R19" s="16">
        <v>1.5</v>
      </c>
      <c r="S19" s="16">
        <v>0.960714</v>
      </c>
      <c r="T19" s="16">
        <v>0.960714</v>
      </c>
      <c r="U19" s="19">
        <f t="shared" si="1"/>
        <v>100</v>
      </c>
      <c r="V19" s="19">
        <f t="shared" si="2"/>
        <v>58.68679229</v>
      </c>
      <c r="W19" s="20">
        <f t="shared" si="3"/>
        <v>1.139572909</v>
      </c>
      <c r="X19" s="17">
        <f t="shared" si="25"/>
        <v>125.9228064</v>
      </c>
      <c r="Y19" s="21">
        <f t="shared" si="4"/>
        <v>4</v>
      </c>
      <c r="Z19" s="21">
        <f t="shared" si="5"/>
        <v>629.6140321</v>
      </c>
      <c r="AA19" s="21">
        <f t="shared" si="6"/>
        <v>5.697864544</v>
      </c>
      <c r="AB19" s="22">
        <f t="shared" si="7"/>
        <v>1.259228064</v>
      </c>
      <c r="AC19" s="8">
        <f t="shared" si="26"/>
        <v>118.7416038</v>
      </c>
      <c r="AD19" s="13">
        <f t="shared" si="27"/>
        <v>1.187416038</v>
      </c>
      <c r="AE19" s="8">
        <f t="shared" si="28"/>
        <v>118.7416038</v>
      </c>
      <c r="AF19" s="73">
        <f t="shared" si="29"/>
        <v>23.10016186</v>
      </c>
      <c r="AG19" s="74" t="str">
        <f t="shared" si="30"/>
        <v>#REF!</v>
      </c>
      <c r="AH19" s="73">
        <f t="shared" si="31"/>
        <v>0</v>
      </c>
      <c r="AI19" s="73">
        <f t="shared" si="32"/>
        <v>0</v>
      </c>
      <c r="AJ19" s="75">
        <f t="shared" si="33"/>
        <v>1.209029015</v>
      </c>
      <c r="AK19" s="73">
        <f t="shared" si="34"/>
        <v>0.8564957114</v>
      </c>
      <c r="AL19" s="73">
        <f t="shared" si="35"/>
        <v>0.5560577808</v>
      </c>
      <c r="AM19" s="73">
        <f t="shared" si="36"/>
        <v>0.9021337779</v>
      </c>
      <c r="AN19" s="75">
        <v>108.5</v>
      </c>
      <c r="AO19" s="76">
        <v>110.0</v>
      </c>
      <c r="AP19" s="73">
        <f t="shared" si="37"/>
        <v>110</v>
      </c>
      <c r="AQ19" s="29" t="str">
        <f t="shared" si="38"/>
        <v>#REF!</v>
      </c>
      <c r="AR19" s="77" t="str">
        <f t="shared" si="39"/>
        <v>#REF!</v>
      </c>
      <c r="AS19" s="73"/>
      <c r="AT19" s="39"/>
    </row>
    <row r="20" ht="15.75" customHeight="1">
      <c r="A20" s="16" t="s">
        <v>830</v>
      </c>
      <c r="B20" s="16" t="s">
        <v>828</v>
      </c>
      <c r="C20" s="16">
        <v>1950.0</v>
      </c>
      <c r="D20" s="16"/>
      <c r="E20" s="16">
        <v>1950.0</v>
      </c>
      <c r="F20" s="16" t="b">
        <v>0</v>
      </c>
      <c r="G20" s="16" t="b">
        <v>0</v>
      </c>
      <c r="H20" s="16" t="b">
        <v>1</v>
      </c>
      <c r="I20" s="16" t="b">
        <v>1</v>
      </c>
      <c r="J20" s="18">
        <v>300.0</v>
      </c>
      <c r="K20" s="18">
        <v>999.0</v>
      </c>
      <c r="L20" s="16">
        <v>300.0</v>
      </c>
      <c r="M20" s="16">
        <v>100.0</v>
      </c>
      <c r="N20" s="16">
        <v>212.0</v>
      </c>
      <c r="O20" s="16">
        <v>28.8</v>
      </c>
      <c r="P20" s="18">
        <v>209.0</v>
      </c>
      <c r="Q20" s="18">
        <v>228.0</v>
      </c>
      <c r="R20" s="16">
        <v>1.52</v>
      </c>
      <c r="S20" s="16">
        <v>0.987</v>
      </c>
      <c r="T20" s="16">
        <v>0.998</v>
      </c>
      <c r="U20" s="19">
        <f t="shared" si="1"/>
        <v>400</v>
      </c>
      <c r="V20" s="19">
        <f t="shared" si="2"/>
        <v>13.85274851</v>
      </c>
      <c r="W20" s="20">
        <f t="shared" si="3"/>
        <v>8.715277778</v>
      </c>
      <c r="X20" s="17">
        <v>251.0</v>
      </c>
      <c r="Y20" s="21">
        <f t="shared" si="4"/>
        <v>1.75</v>
      </c>
      <c r="Z20" s="21">
        <f t="shared" si="5"/>
        <v>690.25</v>
      </c>
      <c r="AA20" s="21">
        <f t="shared" si="6"/>
        <v>23.96701389</v>
      </c>
      <c r="AB20" s="22">
        <f t="shared" si="7"/>
        <v>0.6275</v>
      </c>
      <c r="AC20" s="8">
        <f t="shared" si="26"/>
        <v>378.392289</v>
      </c>
      <c r="AD20" s="13">
        <f t="shared" si="27"/>
        <v>0.9459807225</v>
      </c>
      <c r="AE20" s="8">
        <f t="shared" si="28"/>
        <v>208.4626472</v>
      </c>
      <c r="AF20" s="73">
        <f t="shared" si="29"/>
        <v>8.94014132</v>
      </c>
      <c r="AG20" s="74" t="str">
        <f t="shared" si="30"/>
        <v>#REF!</v>
      </c>
      <c r="AH20" s="73">
        <f t="shared" si="31"/>
        <v>2</v>
      </c>
      <c r="AI20" s="73">
        <f t="shared" si="32"/>
        <v>1.123141633</v>
      </c>
      <c r="AJ20" s="75">
        <f t="shared" si="33"/>
        <v>1.364092923</v>
      </c>
      <c r="AK20" s="73">
        <f t="shared" si="34"/>
        <v>0.4161242079</v>
      </c>
      <c r="AL20" s="73">
        <f t="shared" si="35"/>
        <v>0.6100481929</v>
      </c>
      <c r="AM20" s="73">
        <f t="shared" si="36"/>
        <v>1.314152039</v>
      </c>
      <c r="AN20" s="75">
        <v>163.03</v>
      </c>
      <c r="AO20" s="76">
        <v>160.0</v>
      </c>
      <c r="AP20" s="73">
        <f t="shared" si="37"/>
        <v>160</v>
      </c>
      <c r="AQ20" s="29" t="str">
        <f t="shared" si="38"/>
        <v>#REF!</v>
      </c>
      <c r="AR20" s="77" t="str">
        <f t="shared" si="39"/>
        <v>#REF!</v>
      </c>
      <c r="AS20" s="73"/>
      <c r="AT20" s="39"/>
    </row>
    <row r="21" ht="15.75" customHeight="1">
      <c r="A21" s="7" t="s">
        <v>829</v>
      </c>
      <c r="B21" s="7" t="s">
        <v>828</v>
      </c>
      <c r="C21" s="7">
        <v>1950.0</v>
      </c>
      <c r="D21" s="7"/>
      <c r="E21" s="7">
        <v>1950.0</v>
      </c>
      <c r="F21" s="7" t="b">
        <v>0</v>
      </c>
      <c r="G21" s="7" t="b">
        <v>0</v>
      </c>
      <c r="H21" s="7" t="b">
        <v>1</v>
      </c>
      <c r="I21" s="7" t="b">
        <v>0</v>
      </c>
      <c r="J21" s="9">
        <v>220.0</v>
      </c>
      <c r="K21" s="7">
        <v>1.0</v>
      </c>
      <c r="L21" s="7">
        <v>300.0</v>
      </c>
      <c r="M21" s="7">
        <v>100.0</v>
      </c>
      <c r="N21" s="7">
        <v>185.0</v>
      </c>
      <c r="O21" s="7">
        <v>37.56</v>
      </c>
      <c r="P21" s="9">
        <v>211.0</v>
      </c>
      <c r="Q21" s="7">
        <v>234.4</v>
      </c>
      <c r="R21" s="7">
        <v>2.86</v>
      </c>
      <c r="S21" s="7">
        <v>0.987</v>
      </c>
      <c r="T21" s="7">
        <v>0.998</v>
      </c>
      <c r="U21" s="10">
        <f t="shared" si="1"/>
        <v>400</v>
      </c>
      <c r="V21" s="10">
        <f t="shared" si="2"/>
        <v>20.70299505</v>
      </c>
      <c r="W21" s="11">
        <f t="shared" si="3"/>
        <v>6.602768903</v>
      </c>
      <c r="X21" s="8">
        <v>248.0</v>
      </c>
      <c r="Y21" s="12">
        <f t="shared" si="4"/>
        <v>1.75</v>
      </c>
      <c r="Z21" s="12">
        <f t="shared" si="5"/>
        <v>682</v>
      </c>
      <c r="AA21" s="12">
        <f t="shared" si="6"/>
        <v>18.15761448</v>
      </c>
      <c r="AB21" s="13">
        <f t="shared" si="7"/>
        <v>0.62</v>
      </c>
      <c r="AC21" s="8">
        <f t="shared" si="26"/>
        <v>249.246448</v>
      </c>
      <c r="AD21" s="13">
        <f t="shared" si="27"/>
        <v>0.62311612</v>
      </c>
      <c r="AE21" s="8">
        <f t="shared" si="28"/>
        <v>137.2254011</v>
      </c>
      <c r="AF21" s="73">
        <f t="shared" si="29"/>
        <v>10.8319231</v>
      </c>
      <c r="AG21" s="74" t="str">
        <f t="shared" si="30"/>
        <v>#REF!</v>
      </c>
      <c r="AH21" s="73">
        <f t="shared" si="31"/>
        <v>0</v>
      </c>
      <c r="AI21" s="73">
        <f t="shared" si="32"/>
        <v>0</v>
      </c>
      <c r="AJ21" s="75">
        <f t="shared" si="33"/>
        <v>1.329562605</v>
      </c>
      <c r="AK21" s="73">
        <f t="shared" si="34"/>
        <v>0.5087115471</v>
      </c>
      <c r="AL21" s="73">
        <f t="shared" si="35"/>
        <v>0.6374452476</v>
      </c>
      <c r="AM21" s="73">
        <f t="shared" si="36"/>
        <v>1.206165372</v>
      </c>
      <c r="AN21" s="75">
        <v>61.37</v>
      </c>
      <c r="AO21" s="76">
        <v>61.0</v>
      </c>
      <c r="AP21" s="73">
        <f t="shared" si="37"/>
        <v>61</v>
      </c>
      <c r="AQ21" s="29" t="str">
        <f t="shared" si="38"/>
        <v>#REF!</v>
      </c>
      <c r="AR21" s="77" t="str">
        <f t="shared" si="39"/>
        <v>#REF!</v>
      </c>
      <c r="AS21" s="73"/>
      <c r="AT21" s="39"/>
    </row>
    <row r="22" ht="15.75" customHeight="1">
      <c r="A22" s="16" t="s">
        <v>522</v>
      </c>
      <c r="B22" s="16" t="s">
        <v>520</v>
      </c>
      <c r="C22" s="16">
        <v>1950.0</v>
      </c>
      <c r="D22" s="16"/>
      <c r="E22" s="16">
        <v>1950.0</v>
      </c>
      <c r="F22" s="16" t="b">
        <v>1</v>
      </c>
      <c r="G22" s="16" t="b">
        <v>0</v>
      </c>
      <c r="H22" s="16" t="b">
        <v>0</v>
      </c>
      <c r="I22" s="16" t="b">
        <v>0</v>
      </c>
      <c r="J22" s="18">
        <v>83.0</v>
      </c>
      <c r="K22" s="16">
        <v>1.0</v>
      </c>
      <c r="L22" s="16">
        <v>150.0</v>
      </c>
      <c r="M22" s="16">
        <v>120.0</v>
      </c>
      <c r="N22" s="16">
        <v>885.0</v>
      </c>
      <c r="O22" s="16">
        <v>428.0</v>
      </c>
      <c r="P22" s="18">
        <v>214.0</v>
      </c>
      <c r="Q22" s="16">
        <v>235.0</v>
      </c>
      <c r="R22" s="16">
        <v>2.28</v>
      </c>
      <c r="S22" s="16">
        <v>0.93</v>
      </c>
      <c r="T22" s="16">
        <v>0.92</v>
      </c>
      <c r="U22" s="19">
        <f t="shared" si="1"/>
        <v>270</v>
      </c>
      <c r="V22" s="19">
        <f t="shared" si="2"/>
        <v>49.31508903</v>
      </c>
      <c r="W22" s="20">
        <f t="shared" si="3"/>
        <v>0.8091547074</v>
      </c>
      <c r="X22" s="17">
        <f t="shared" ref="X22:X35" si="40">0.2*(8.17*POWER(N22*R22,0.46))+0.8*(0.146*POWER(N22*Q22,0.639))</f>
        <v>346.3182148</v>
      </c>
      <c r="Y22" s="21">
        <f t="shared" si="4"/>
        <v>4</v>
      </c>
      <c r="Z22" s="21">
        <f t="shared" si="5"/>
        <v>1731.591074</v>
      </c>
      <c r="AA22" s="21">
        <f t="shared" si="6"/>
        <v>4.045773537</v>
      </c>
      <c r="AB22" s="22">
        <f t="shared" si="7"/>
        <v>1.282660055</v>
      </c>
      <c r="AC22" s="8">
        <f t="shared" si="26"/>
        <v>303.2362289</v>
      </c>
      <c r="AD22" s="13">
        <f t="shared" si="27"/>
        <v>1.123097144</v>
      </c>
      <c r="AE22" s="8">
        <f t="shared" si="28"/>
        <v>303.2362289</v>
      </c>
      <c r="AF22" s="73">
        <f t="shared" si="29"/>
        <v>64.73037996</v>
      </c>
      <c r="AG22" s="74" t="str">
        <f t="shared" si="30"/>
        <v>#REF!</v>
      </c>
      <c r="AH22" s="73">
        <f t="shared" si="31"/>
        <v>0</v>
      </c>
      <c r="AI22" s="73">
        <f t="shared" si="32"/>
        <v>0</v>
      </c>
      <c r="AJ22" s="75">
        <f t="shared" si="33"/>
        <v>1.351341281</v>
      </c>
      <c r="AK22" s="73">
        <f t="shared" si="34"/>
        <v>0.7851360473</v>
      </c>
      <c r="AL22" s="73">
        <f t="shared" si="35"/>
        <v>0.6400759652</v>
      </c>
      <c r="AM22" s="73">
        <f t="shared" si="36"/>
        <v>0.8041054073</v>
      </c>
      <c r="AN22" s="75">
        <v>203.6</v>
      </c>
      <c r="AO22" s="76">
        <v>200.0</v>
      </c>
      <c r="AP22" s="73">
        <f t="shared" si="37"/>
        <v>200</v>
      </c>
      <c r="AQ22" s="29" t="str">
        <f t="shared" si="38"/>
        <v>#REF!</v>
      </c>
      <c r="AR22" s="77" t="str">
        <f t="shared" si="39"/>
        <v>#REF!</v>
      </c>
      <c r="AS22" s="73"/>
      <c r="AT22" s="39"/>
    </row>
    <row r="23" ht="15.75" customHeight="1">
      <c r="A23" s="16" t="s">
        <v>50</v>
      </c>
      <c r="B23" s="16" t="s">
        <v>47</v>
      </c>
      <c r="C23" s="16">
        <v>1951.0</v>
      </c>
      <c r="D23" s="16"/>
      <c r="E23" s="16">
        <v>1951.0</v>
      </c>
      <c r="F23" s="16" t="b">
        <v>0</v>
      </c>
      <c r="G23" s="16" t="b">
        <v>0</v>
      </c>
      <c r="H23" s="16" t="b">
        <v>0</v>
      </c>
      <c r="I23" s="16" t="b">
        <v>0</v>
      </c>
      <c r="J23" s="18">
        <v>52.0</v>
      </c>
      <c r="K23" s="16">
        <v>1.0</v>
      </c>
      <c r="L23" s="16">
        <v>30.0</v>
      </c>
      <c r="M23" s="16">
        <v>15.0</v>
      </c>
      <c r="N23" s="16">
        <v>10.4</v>
      </c>
      <c r="O23" s="16">
        <v>21.28</v>
      </c>
      <c r="P23" s="18">
        <v>200.0</v>
      </c>
      <c r="Q23" s="16">
        <v>231.0</v>
      </c>
      <c r="R23" s="16">
        <v>2.23</v>
      </c>
      <c r="S23" s="16">
        <v>0.98</v>
      </c>
      <c r="T23" s="16">
        <v>0.96</v>
      </c>
      <c r="U23" s="19">
        <f t="shared" si="1"/>
        <v>45</v>
      </c>
      <c r="V23" s="19">
        <f t="shared" si="2"/>
        <v>208.6496245</v>
      </c>
      <c r="W23" s="20">
        <f t="shared" si="3"/>
        <v>1.119875151</v>
      </c>
      <c r="X23" s="17">
        <f t="shared" si="40"/>
        <v>23.83094321</v>
      </c>
      <c r="Y23" s="21">
        <f t="shared" si="4"/>
        <v>1.75</v>
      </c>
      <c r="Z23" s="21">
        <f t="shared" si="5"/>
        <v>65.53509384</v>
      </c>
      <c r="AA23" s="21">
        <f t="shared" si="6"/>
        <v>3.079656665</v>
      </c>
      <c r="AB23" s="22">
        <f t="shared" si="7"/>
        <v>0.5295765159</v>
      </c>
      <c r="AC23" s="8">
        <f t="shared" si="26"/>
        <v>22.89677024</v>
      </c>
      <c r="AD23" s="13">
        <f t="shared" si="27"/>
        <v>0.5088171164</v>
      </c>
      <c r="AE23" s="8">
        <f t="shared" si="28"/>
        <v>22.89677024</v>
      </c>
      <c r="AF23" s="73">
        <f t="shared" si="29"/>
        <v>7.290740106</v>
      </c>
      <c r="AG23" s="74" t="str">
        <f t="shared" si="30"/>
        <v>#REF!</v>
      </c>
      <c r="AH23" s="73">
        <f t="shared" si="31"/>
        <v>0</v>
      </c>
      <c r="AI23" s="73">
        <f t="shared" si="32"/>
        <v>0</v>
      </c>
      <c r="AJ23" s="75">
        <f t="shared" si="33"/>
        <v>1.261413991</v>
      </c>
      <c r="AK23" s="73">
        <f t="shared" si="34"/>
        <v>1.614967587</v>
      </c>
      <c r="AL23" s="73">
        <f t="shared" si="35"/>
        <v>0.622740779</v>
      </c>
      <c r="AM23" s="73">
        <f t="shared" si="36"/>
        <v>0.5719424373</v>
      </c>
      <c r="AN23" s="75">
        <v>24.25</v>
      </c>
      <c r="AO23" s="76">
        <v>24.0</v>
      </c>
      <c r="AP23" s="73">
        <f t="shared" si="37"/>
        <v>24</v>
      </c>
      <c r="AQ23" s="29" t="str">
        <f t="shared" si="38"/>
        <v>#REF!</v>
      </c>
      <c r="AR23" s="77" t="str">
        <f t="shared" si="39"/>
        <v>#REF!</v>
      </c>
      <c r="AS23" s="73"/>
      <c r="AT23" s="39"/>
    </row>
    <row r="24" ht="15.75" customHeight="1">
      <c r="A24" s="7" t="s">
        <v>792</v>
      </c>
      <c r="B24" s="7" t="s">
        <v>790</v>
      </c>
      <c r="C24" s="7">
        <v>1951.0</v>
      </c>
      <c r="D24" s="7"/>
      <c r="E24" s="7">
        <v>1951.0</v>
      </c>
      <c r="F24" s="7" t="b">
        <v>0</v>
      </c>
      <c r="G24" s="7" t="b">
        <v>0</v>
      </c>
      <c r="H24" s="7" t="b">
        <v>0</v>
      </c>
      <c r="I24" s="7" t="b">
        <v>0</v>
      </c>
      <c r="J24" s="9">
        <v>60.0</v>
      </c>
      <c r="K24" s="7">
        <v>1.0</v>
      </c>
      <c r="L24" s="7">
        <v>45.0</v>
      </c>
      <c r="M24" s="7">
        <v>25.0</v>
      </c>
      <c r="N24" s="7">
        <v>12.9</v>
      </c>
      <c r="O24" s="7">
        <v>23.0</v>
      </c>
      <c r="P24" s="9">
        <v>205.6</v>
      </c>
      <c r="Q24" s="7">
        <v>241.3</v>
      </c>
      <c r="R24" s="7">
        <v>2.3</v>
      </c>
      <c r="S24" s="7">
        <v>0.98</v>
      </c>
      <c r="T24" s="7">
        <v>0.96</v>
      </c>
      <c r="U24" s="10">
        <f t="shared" si="1"/>
        <v>70</v>
      </c>
      <c r="V24" s="10">
        <f t="shared" si="2"/>
        <v>181.8098669</v>
      </c>
      <c r="W24" s="11">
        <f t="shared" si="3"/>
        <v>1.204536103</v>
      </c>
      <c r="X24" s="8">
        <f t="shared" si="40"/>
        <v>27.70433038</v>
      </c>
      <c r="Y24" s="12">
        <f t="shared" si="4"/>
        <v>1.75</v>
      </c>
      <c r="Z24" s="12">
        <f t="shared" si="5"/>
        <v>76.18690854</v>
      </c>
      <c r="AA24" s="12">
        <f t="shared" si="6"/>
        <v>3.312474284</v>
      </c>
      <c r="AB24" s="13">
        <f t="shared" si="7"/>
        <v>0.3957761483</v>
      </c>
      <c r="AC24" s="8">
        <f t="shared" si="26"/>
        <v>26.61832063</v>
      </c>
      <c r="AD24" s="13">
        <f t="shared" si="27"/>
        <v>0.3802617233</v>
      </c>
      <c r="AE24" s="8">
        <f t="shared" si="28"/>
        <v>26.61832063</v>
      </c>
      <c r="AF24" s="73">
        <f t="shared" si="29"/>
        <v>7.670755079</v>
      </c>
      <c r="AG24" s="74" t="str">
        <f t="shared" si="30"/>
        <v>#REF!</v>
      </c>
      <c r="AH24" s="73">
        <f t="shared" si="31"/>
        <v>0</v>
      </c>
      <c r="AI24" s="73">
        <f t="shared" si="32"/>
        <v>0</v>
      </c>
      <c r="AJ24" s="75">
        <f t="shared" si="33"/>
        <v>1.235659096</v>
      </c>
      <c r="AK24" s="73">
        <f t="shared" si="34"/>
        <v>1.507522251</v>
      </c>
      <c r="AL24" s="73">
        <f t="shared" si="35"/>
        <v>0.6683626266</v>
      </c>
      <c r="AM24" s="73">
        <f t="shared" si="36"/>
        <v>0.6460123173</v>
      </c>
      <c r="AN24" s="75">
        <v>29.05</v>
      </c>
      <c r="AO24" s="76">
        <v>29.0</v>
      </c>
      <c r="AP24" s="73">
        <f t="shared" si="37"/>
        <v>29</v>
      </c>
      <c r="AQ24" s="29" t="str">
        <f t="shared" si="38"/>
        <v>#REF!</v>
      </c>
      <c r="AR24" s="77" t="str">
        <f t="shared" si="39"/>
        <v>#REF!</v>
      </c>
      <c r="AS24" s="73"/>
      <c r="AT24" s="39"/>
    </row>
    <row r="25" ht="15.75" customHeight="1">
      <c r="A25" s="7" t="s">
        <v>381</v>
      </c>
      <c r="B25" s="7" t="s">
        <v>382</v>
      </c>
      <c r="C25" s="7">
        <v>1951.0</v>
      </c>
      <c r="D25" s="7"/>
      <c r="E25" s="7">
        <v>1951.0</v>
      </c>
      <c r="F25" s="7" t="b">
        <v>1</v>
      </c>
      <c r="G25" s="7" t="b">
        <v>0</v>
      </c>
      <c r="H25" s="7" t="b">
        <v>0</v>
      </c>
      <c r="I25" s="7" t="b">
        <v>0</v>
      </c>
      <c r="J25" s="9">
        <v>65.0</v>
      </c>
      <c r="K25" s="7">
        <v>1.0</v>
      </c>
      <c r="L25" s="7">
        <v>400.0</v>
      </c>
      <c r="M25" s="7">
        <v>0.0</v>
      </c>
      <c r="N25" s="7">
        <v>670.0</v>
      </c>
      <c r="O25" s="7">
        <v>383.0</v>
      </c>
      <c r="P25" s="9">
        <v>216.0</v>
      </c>
      <c r="Q25" s="7">
        <v>248.0</v>
      </c>
      <c r="R25" s="7">
        <v>2.06</v>
      </c>
      <c r="S25" s="7">
        <v>0.95</v>
      </c>
      <c r="T25" s="7">
        <v>0.93</v>
      </c>
      <c r="U25" s="10">
        <f t="shared" si="1"/>
        <v>400</v>
      </c>
      <c r="V25" s="10">
        <f t="shared" si="2"/>
        <v>58.29124006</v>
      </c>
      <c r="W25" s="11">
        <f t="shared" si="3"/>
        <v>0.7796310602</v>
      </c>
      <c r="X25" s="8">
        <f t="shared" si="40"/>
        <v>298.5986961</v>
      </c>
      <c r="Y25" s="12">
        <f t="shared" si="4"/>
        <v>4</v>
      </c>
      <c r="Z25" s="12">
        <f t="shared" si="5"/>
        <v>1492.99348</v>
      </c>
      <c r="AA25" s="12">
        <f t="shared" si="6"/>
        <v>3.898155301</v>
      </c>
      <c r="AB25" s="13">
        <f t="shared" si="7"/>
        <v>0.7464967402</v>
      </c>
      <c r="AC25" s="8">
        <f t="shared" si="26"/>
        <v>269.7839219</v>
      </c>
      <c r="AD25" s="13">
        <f t="shared" si="27"/>
        <v>0.6744598047</v>
      </c>
      <c r="AE25" s="8">
        <f t="shared" si="28"/>
        <v>269.7839219</v>
      </c>
      <c r="AF25" s="73">
        <f t="shared" si="29"/>
        <v>59.1713954</v>
      </c>
      <c r="AG25" s="74" t="str">
        <f t="shared" si="30"/>
        <v>#REF!</v>
      </c>
      <c r="AH25" s="73">
        <f t="shared" si="31"/>
        <v>0</v>
      </c>
      <c r="AI25" s="73">
        <f t="shared" si="32"/>
        <v>0</v>
      </c>
      <c r="AJ25" s="75">
        <f t="shared" si="33"/>
        <v>1.27132019</v>
      </c>
      <c r="AK25" s="73">
        <f t="shared" si="34"/>
        <v>0.853604417</v>
      </c>
      <c r="AL25" s="73">
        <f t="shared" si="35"/>
        <v>0.6998181725</v>
      </c>
      <c r="AM25" s="73">
        <f t="shared" si="36"/>
        <v>0.6862567402</v>
      </c>
      <c r="AN25" s="75">
        <v>162.45</v>
      </c>
      <c r="AO25" s="76">
        <v>160.0</v>
      </c>
      <c r="AP25" s="73">
        <f t="shared" si="37"/>
        <v>160</v>
      </c>
      <c r="AQ25" s="29" t="str">
        <f t="shared" si="38"/>
        <v>#REF!</v>
      </c>
      <c r="AR25" s="77" t="str">
        <f t="shared" si="39"/>
        <v>#REF!</v>
      </c>
      <c r="AS25" s="73"/>
      <c r="AT25" s="39"/>
    </row>
    <row r="26" ht="15.75" customHeight="1">
      <c r="A26" s="7" t="s">
        <v>570</v>
      </c>
      <c r="B26" s="7" t="s">
        <v>571</v>
      </c>
      <c r="C26" s="7">
        <v>1951.0</v>
      </c>
      <c r="D26" s="7"/>
      <c r="E26" s="7">
        <v>1951.0</v>
      </c>
      <c r="F26" s="7" t="b">
        <v>1</v>
      </c>
      <c r="G26" s="7" t="b">
        <v>0</v>
      </c>
      <c r="H26" s="7" t="b">
        <v>0</v>
      </c>
      <c r="I26" s="7" t="b">
        <v>0</v>
      </c>
      <c r="J26" s="9">
        <v>85.0</v>
      </c>
      <c r="K26" s="7">
        <v>1.0</v>
      </c>
      <c r="L26" s="7">
        <v>150.0</v>
      </c>
      <c r="M26" s="7">
        <v>0.0</v>
      </c>
      <c r="N26" s="7">
        <v>169.0</v>
      </c>
      <c r="O26" s="7">
        <v>98.51</v>
      </c>
      <c r="P26" s="9">
        <v>210.0</v>
      </c>
      <c r="Q26" s="7">
        <v>234.0</v>
      </c>
      <c r="R26" s="7">
        <v>2.35</v>
      </c>
      <c r="S26" s="7">
        <v>0.94</v>
      </c>
      <c r="T26" s="7">
        <v>0.93</v>
      </c>
      <c r="U26" s="10">
        <f t="shared" si="1"/>
        <v>150</v>
      </c>
      <c r="V26" s="10">
        <f t="shared" si="2"/>
        <v>59.43919754</v>
      </c>
      <c r="W26" s="11">
        <f t="shared" si="3"/>
        <v>1.287049723</v>
      </c>
      <c r="X26" s="8">
        <f t="shared" si="40"/>
        <v>126.7872683</v>
      </c>
      <c r="Y26" s="12">
        <f t="shared" si="4"/>
        <v>4</v>
      </c>
      <c r="Z26" s="12">
        <f t="shared" si="5"/>
        <v>633.9363413</v>
      </c>
      <c r="AA26" s="12">
        <f t="shared" si="6"/>
        <v>6.435248617</v>
      </c>
      <c r="AB26" s="13">
        <f t="shared" si="7"/>
        <v>0.845248455</v>
      </c>
      <c r="AC26" s="8">
        <f t="shared" si="26"/>
        <v>113.3731753</v>
      </c>
      <c r="AD26" s="13">
        <f t="shared" si="27"/>
        <v>0.7558211685</v>
      </c>
      <c r="AE26" s="8">
        <f t="shared" si="28"/>
        <v>113.3731753</v>
      </c>
      <c r="AF26" s="73">
        <f t="shared" si="29"/>
        <v>21.31202305</v>
      </c>
      <c r="AG26" s="74" t="str">
        <f t="shared" si="30"/>
        <v>#REF!</v>
      </c>
      <c r="AH26" s="73">
        <f t="shared" si="31"/>
        <v>0</v>
      </c>
      <c r="AI26" s="73">
        <f t="shared" si="32"/>
        <v>0</v>
      </c>
      <c r="AJ26" s="75">
        <f t="shared" si="33"/>
        <v>1.323949714</v>
      </c>
      <c r="AK26" s="73">
        <f t="shared" si="34"/>
        <v>0.8619686591</v>
      </c>
      <c r="AL26" s="73">
        <f t="shared" si="35"/>
        <v>0.6356974454</v>
      </c>
      <c r="AM26" s="73">
        <f t="shared" si="36"/>
        <v>0.8151890318</v>
      </c>
      <c r="AN26" s="75">
        <v>64.48</v>
      </c>
      <c r="AO26" s="76">
        <v>64.0</v>
      </c>
      <c r="AP26" s="73">
        <f t="shared" si="37"/>
        <v>64</v>
      </c>
      <c r="AQ26" s="29" t="str">
        <f t="shared" si="38"/>
        <v>#REF!</v>
      </c>
      <c r="AR26" s="77" t="str">
        <f t="shared" si="39"/>
        <v>#REF!</v>
      </c>
      <c r="AS26" s="73"/>
      <c r="AT26" s="39"/>
    </row>
    <row r="27" ht="15.75" customHeight="1">
      <c r="A27" s="16" t="s">
        <v>383</v>
      </c>
      <c r="B27" s="16" t="s">
        <v>382</v>
      </c>
      <c r="C27" s="16">
        <v>1952.0</v>
      </c>
      <c r="D27" s="16"/>
      <c r="E27" s="16">
        <v>1952.0</v>
      </c>
      <c r="F27" s="16" t="b">
        <v>1</v>
      </c>
      <c r="G27" s="16" t="b">
        <v>0</v>
      </c>
      <c r="H27" s="16" t="b">
        <v>0</v>
      </c>
      <c r="I27" s="16" t="b">
        <v>0</v>
      </c>
      <c r="J27" s="18">
        <v>121.0</v>
      </c>
      <c r="K27" s="16">
        <v>1.0</v>
      </c>
      <c r="L27" s="16">
        <v>400.0</v>
      </c>
      <c r="M27" s="16">
        <v>0.0</v>
      </c>
      <c r="N27" s="16">
        <v>740.0</v>
      </c>
      <c r="O27" s="16">
        <v>383.0</v>
      </c>
      <c r="P27" s="18">
        <v>216.0</v>
      </c>
      <c r="Q27" s="16">
        <v>248.0</v>
      </c>
      <c r="R27" s="16">
        <v>2.19</v>
      </c>
      <c r="S27" s="16">
        <v>0.974342</v>
      </c>
      <c r="T27" s="16">
        <v>0.974342</v>
      </c>
      <c r="U27" s="19">
        <f t="shared" si="1"/>
        <v>400</v>
      </c>
      <c r="V27" s="19">
        <f t="shared" si="2"/>
        <v>52.77720384</v>
      </c>
      <c r="W27" s="20">
        <f t="shared" si="3"/>
        <v>0.8320598312</v>
      </c>
      <c r="X27" s="17">
        <f t="shared" si="40"/>
        <v>318.6789153</v>
      </c>
      <c r="Y27" s="21">
        <f t="shared" si="4"/>
        <v>4</v>
      </c>
      <c r="Z27" s="21">
        <f t="shared" si="5"/>
        <v>1593.394577</v>
      </c>
      <c r="AA27" s="21">
        <f t="shared" si="6"/>
        <v>4.160299156</v>
      </c>
      <c r="AB27" s="22">
        <f t="shared" si="7"/>
        <v>0.7966972884</v>
      </c>
      <c r="AC27" s="8">
        <f t="shared" si="26"/>
        <v>308.9089633</v>
      </c>
      <c r="AD27" s="13">
        <f t="shared" si="27"/>
        <v>0.7722724082</v>
      </c>
      <c r="AE27" s="8">
        <f t="shared" si="28"/>
        <v>308.9089633</v>
      </c>
      <c r="AF27" s="73">
        <f t="shared" si="29"/>
        <v>59.1713954</v>
      </c>
      <c r="AG27" s="74" t="str">
        <f t="shared" si="30"/>
        <v>#REF!</v>
      </c>
      <c r="AH27" s="73">
        <f t="shared" si="31"/>
        <v>0</v>
      </c>
      <c r="AI27" s="73">
        <f t="shared" si="32"/>
        <v>0</v>
      </c>
      <c r="AJ27" s="75">
        <f t="shared" si="33"/>
        <v>1.27132019</v>
      </c>
      <c r="AK27" s="73">
        <f t="shared" si="34"/>
        <v>0.8122284457</v>
      </c>
      <c r="AL27" s="73">
        <f t="shared" si="35"/>
        <v>0.6998181725</v>
      </c>
      <c r="AM27" s="73">
        <f t="shared" si="36"/>
        <v>0.9717655076</v>
      </c>
      <c r="AN27" s="75">
        <v>240.42</v>
      </c>
      <c r="AO27" s="76">
        <v>240.0</v>
      </c>
      <c r="AP27" s="73">
        <f t="shared" si="37"/>
        <v>240</v>
      </c>
      <c r="AQ27" s="29" t="str">
        <f t="shared" si="38"/>
        <v>#REF!</v>
      </c>
      <c r="AR27" s="77" t="str">
        <f t="shared" si="39"/>
        <v>#REF!</v>
      </c>
      <c r="AS27" s="73"/>
      <c r="AT27" s="39"/>
    </row>
    <row r="28" ht="15.75" customHeight="1">
      <c r="A28" s="7" t="s">
        <v>523</v>
      </c>
      <c r="B28" s="7" t="s">
        <v>520</v>
      </c>
      <c r="C28" s="7">
        <v>1952.0</v>
      </c>
      <c r="D28" s="7"/>
      <c r="E28" s="7">
        <v>1952.0</v>
      </c>
      <c r="F28" s="7" t="b">
        <v>1</v>
      </c>
      <c r="G28" s="7" t="b">
        <v>0</v>
      </c>
      <c r="H28" s="7" t="b">
        <v>0</v>
      </c>
      <c r="I28" s="7" t="b">
        <v>0</v>
      </c>
      <c r="J28" s="9">
        <v>103.0</v>
      </c>
      <c r="K28" s="7">
        <v>1.0</v>
      </c>
      <c r="L28" s="7">
        <v>150.0</v>
      </c>
      <c r="M28" s="7">
        <v>300.0</v>
      </c>
      <c r="N28" s="7">
        <v>870.0</v>
      </c>
      <c r="O28" s="7">
        <v>490.33</v>
      </c>
      <c r="P28" s="9">
        <v>220.0</v>
      </c>
      <c r="Q28" s="7">
        <v>248.0</v>
      </c>
      <c r="R28" s="7">
        <v>2.39</v>
      </c>
      <c r="S28" s="7">
        <v>0.93</v>
      </c>
      <c r="T28" s="7">
        <v>0.91</v>
      </c>
      <c r="U28" s="10">
        <f t="shared" si="1"/>
        <v>450</v>
      </c>
      <c r="V28" s="10">
        <f t="shared" si="2"/>
        <v>57.47097118</v>
      </c>
      <c r="W28" s="11">
        <f t="shared" si="3"/>
        <v>0.7219901042</v>
      </c>
      <c r="X28" s="8">
        <f t="shared" si="40"/>
        <v>354.0134078</v>
      </c>
      <c r="Y28" s="12">
        <f t="shared" si="4"/>
        <v>4</v>
      </c>
      <c r="Z28" s="12">
        <f t="shared" si="5"/>
        <v>1770.067039</v>
      </c>
      <c r="AA28" s="12">
        <f t="shared" si="6"/>
        <v>3.609950521</v>
      </c>
      <c r="AB28" s="13">
        <f t="shared" si="7"/>
        <v>0.7866964618</v>
      </c>
      <c r="AC28" s="8">
        <f t="shared" si="26"/>
        <v>306.6818152</v>
      </c>
      <c r="AD28" s="13">
        <f t="shared" si="27"/>
        <v>0.6815151448</v>
      </c>
      <c r="AE28" s="8">
        <f t="shared" si="28"/>
        <v>306.6818152</v>
      </c>
      <c r="AF28" s="73">
        <f t="shared" si="29"/>
        <v>72.333105</v>
      </c>
      <c r="AG28" s="74" t="str">
        <f t="shared" si="30"/>
        <v>#REF!</v>
      </c>
      <c r="AH28" s="73">
        <f t="shared" si="31"/>
        <v>0</v>
      </c>
      <c r="AI28" s="73">
        <f t="shared" si="32"/>
        <v>0</v>
      </c>
      <c r="AJ28" s="75">
        <f t="shared" si="33"/>
        <v>1.303022223</v>
      </c>
      <c r="AK28" s="73">
        <f t="shared" si="34"/>
        <v>0.8475772176</v>
      </c>
      <c r="AL28" s="73">
        <f t="shared" si="35"/>
        <v>0.6998181725</v>
      </c>
      <c r="AM28" s="73">
        <f t="shared" si="36"/>
        <v>0.9021337779</v>
      </c>
      <c r="AN28" s="75">
        <v>214.1</v>
      </c>
      <c r="AO28" s="76">
        <v>210.0</v>
      </c>
      <c r="AP28" s="73">
        <f t="shared" si="37"/>
        <v>210</v>
      </c>
      <c r="AQ28" s="29" t="str">
        <f t="shared" si="38"/>
        <v>#REF!</v>
      </c>
      <c r="AR28" s="77" t="str">
        <f t="shared" si="39"/>
        <v>#REF!</v>
      </c>
      <c r="AS28" s="73"/>
      <c r="AT28" s="39"/>
    </row>
    <row r="29" ht="15.75" customHeight="1">
      <c r="A29" s="7" t="s">
        <v>730</v>
      </c>
      <c r="B29" s="7" t="s">
        <v>730</v>
      </c>
      <c r="C29" s="7">
        <v>1953.0</v>
      </c>
      <c r="D29" s="7"/>
      <c r="E29" s="7">
        <v>1953.0</v>
      </c>
      <c r="F29" s="7" t="b">
        <v>0</v>
      </c>
      <c r="G29" s="7" t="b">
        <v>0</v>
      </c>
      <c r="H29" s="7" t="b">
        <v>0</v>
      </c>
      <c r="I29" s="7" t="b">
        <v>0</v>
      </c>
      <c r="J29" s="9">
        <v>95.0</v>
      </c>
      <c r="K29" s="7">
        <v>1.0</v>
      </c>
      <c r="L29" s="7">
        <v>150.0</v>
      </c>
      <c r="M29" s="7">
        <v>0.0</v>
      </c>
      <c r="N29" s="7">
        <v>300.0</v>
      </c>
      <c r="O29" s="7">
        <v>94.8</v>
      </c>
      <c r="P29" s="9">
        <v>219.0</v>
      </c>
      <c r="Q29" s="7">
        <v>255.0</v>
      </c>
      <c r="R29" s="7">
        <v>2.5</v>
      </c>
      <c r="S29" s="7">
        <v>0.994444</v>
      </c>
      <c r="T29" s="7">
        <v>0.994444</v>
      </c>
      <c r="U29" s="10">
        <f t="shared" si="1"/>
        <v>150</v>
      </c>
      <c r="V29" s="10">
        <f t="shared" si="2"/>
        <v>32.22303224</v>
      </c>
      <c r="W29" s="11">
        <f t="shared" si="3"/>
        <v>1.988869726</v>
      </c>
      <c r="X29" s="8">
        <f t="shared" si="40"/>
        <v>188.54485</v>
      </c>
      <c r="Y29" s="12">
        <f t="shared" si="4"/>
        <v>1.75</v>
      </c>
      <c r="Z29" s="12">
        <f t="shared" si="5"/>
        <v>518.4983376</v>
      </c>
      <c r="AA29" s="12">
        <f t="shared" si="6"/>
        <v>5.469391747</v>
      </c>
      <c r="AB29" s="13">
        <f t="shared" si="7"/>
        <v>1.256965667</v>
      </c>
      <c r="AC29" s="8">
        <f t="shared" si="26"/>
        <v>190.2264569</v>
      </c>
      <c r="AD29" s="13">
        <f t="shared" si="27"/>
        <v>1.268176379</v>
      </c>
      <c r="AE29" s="8">
        <f t="shared" si="28"/>
        <v>190.2264569</v>
      </c>
      <c r="AF29" s="73">
        <f t="shared" si="29"/>
        <v>22.865286</v>
      </c>
      <c r="AG29" s="74" t="str">
        <f t="shared" si="30"/>
        <v>#REF!</v>
      </c>
      <c r="AH29" s="73">
        <f t="shared" si="31"/>
        <v>0</v>
      </c>
      <c r="AI29" s="73">
        <f t="shared" si="32"/>
        <v>0</v>
      </c>
      <c r="AJ29" s="75">
        <f t="shared" si="33"/>
        <v>1.248233105</v>
      </c>
      <c r="AK29" s="73">
        <f t="shared" si="34"/>
        <v>0.6346557358</v>
      </c>
      <c r="AL29" s="73">
        <f t="shared" si="35"/>
        <v>0.7342645998</v>
      </c>
      <c r="AM29" s="73">
        <f t="shared" si="36"/>
        <v>0.8660642158</v>
      </c>
      <c r="AN29" s="75">
        <v>80.54</v>
      </c>
      <c r="AO29" s="76">
        <v>81.0</v>
      </c>
      <c r="AP29" s="73">
        <f t="shared" si="37"/>
        <v>81</v>
      </c>
      <c r="AQ29" s="29" t="str">
        <f t="shared" si="38"/>
        <v>#REF!</v>
      </c>
      <c r="AR29" s="77" t="str">
        <f t="shared" si="39"/>
        <v>#REF!</v>
      </c>
      <c r="AS29" s="73"/>
      <c r="AT29" s="39"/>
    </row>
    <row r="30" ht="15.75" customHeight="1">
      <c r="A30" s="16" t="s">
        <v>778</v>
      </c>
      <c r="B30" s="16" t="s">
        <v>778</v>
      </c>
      <c r="C30" s="16">
        <v>1953.0</v>
      </c>
      <c r="D30" s="16"/>
      <c r="E30" s="16">
        <v>1953.0</v>
      </c>
      <c r="F30" s="16" t="b">
        <v>1</v>
      </c>
      <c r="G30" s="16" t="b">
        <v>0</v>
      </c>
      <c r="H30" s="16" t="b">
        <v>0</v>
      </c>
      <c r="I30" s="16" t="b">
        <v>0</v>
      </c>
      <c r="J30" s="18">
        <v>60.0</v>
      </c>
      <c r="K30" s="16">
        <v>1.0</v>
      </c>
      <c r="L30" s="16">
        <v>200.0</v>
      </c>
      <c r="M30" s="16">
        <v>0.0</v>
      </c>
      <c r="N30" s="16">
        <v>339.0</v>
      </c>
      <c r="O30" s="16">
        <v>110.0</v>
      </c>
      <c r="P30" s="18">
        <v>200.0</v>
      </c>
      <c r="Q30" s="16">
        <v>220.0</v>
      </c>
      <c r="R30" s="16">
        <v>3.28</v>
      </c>
      <c r="S30" s="16">
        <v>0.995</v>
      </c>
      <c r="T30" s="16">
        <v>0.981667</v>
      </c>
      <c r="U30" s="19">
        <f t="shared" si="1"/>
        <v>200</v>
      </c>
      <c r="V30" s="19">
        <f t="shared" si="2"/>
        <v>33.08813661</v>
      </c>
      <c r="W30" s="20">
        <f t="shared" si="3"/>
        <v>1.753447274</v>
      </c>
      <c r="X30" s="17">
        <f t="shared" si="40"/>
        <v>192.8792001</v>
      </c>
      <c r="Y30" s="21">
        <f t="shared" si="4"/>
        <v>4</v>
      </c>
      <c r="Z30" s="21">
        <f t="shared" si="5"/>
        <v>964.3960007</v>
      </c>
      <c r="AA30" s="21">
        <f t="shared" si="6"/>
        <v>8.76723637</v>
      </c>
      <c r="AB30" s="22">
        <f t="shared" si="7"/>
        <v>0.9643960007</v>
      </c>
      <c r="AC30" s="8">
        <f t="shared" si="26"/>
        <v>192.254014</v>
      </c>
      <c r="AD30" s="13">
        <f t="shared" si="27"/>
        <v>0.9612700701</v>
      </c>
      <c r="AE30" s="8">
        <f t="shared" si="28"/>
        <v>192.254014</v>
      </c>
      <c r="AF30" s="73">
        <f t="shared" si="29"/>
        <v>23.0263071</v>
      </c>
      <c r="AG30" s="74" t="str">
        <f t="shared" si="30"/>
        <v>#REF!</v>
      </c>
      <c r="AH30" s="73">
        <f t="shared" si="31"/>
        <v>0</v>
      </c>
      <c r="AI30" s="73">
        <f t="shared" si="32"/>
        <v>0</v>
      </c>
      <c r="AJ30" s="75">
        <f t="shared" si="33"/>
        <v>1.348092646</v>
      </c>
      <c r="AK30" s="73">
        <f t="shared" si="34"/>
        <v>0.6431187352</v>
      </c>
      <c r="AL30" s="73">
        <f t="shared" si="35"/>
        <v>0.5774517697</v>
      </c>
      <c r="AM30" s="73">
        <f t="shared" si="36"/>
        <v>0.6460123173</v>
      </c>
      <c r="AN30" s="75">
        <v>48.38</v>
      </c>
      <c r="AO30" s="76">
        <v>48.0</v>
      </c>
      <c r="AP30" s="73">
        <f t="shared" si="37"/>
        <v>48</v>
      </c>
      <c r="AQ30" s="29" t="str">
        <f t="shared" si="38"/>
        <v>#REF!</v>
      </c>
      <c r="AR30" s="77" t="str">
        <f t="shared" si="39"/>
        <v>#REF!</v>
      </c>
      <c r="AS30" s="73"/>
      <c r="AT30" s="39"/>
    </row>
    <row r="31" ht="15.75" customHeight="1">
      <c r="A31" s="16" t="s">
        <v>794</v>
      </c>
      <c r="B31" s="16" t="s">
        <v>793</v>
      </c>
      <c r="C31" s="16">
        <v>1954.0</v>
      </c>
      <c r="D31" s="16"/>
      <c r="E31" s="16">
        <v>1954.0</v>
      </c>
      <c r="F31" s="16" t="b">
        <v>0</v>
      </c>
      <c r="G31" s="16" t="b">
        <v>0</v>
      </c>
      <c r="H31" s="16" t="b">
        <v>0</v>
      </c>
      <c r="I31" s="16" t="b">
        <v>0</v>
      </c>
      <c r="J31" s="18">
        <v>49.0</v>
      </c>
      <c r="K31" s="16">
        <v>1.0</v>
      </c>
      <c r="L31" s="16">
        <v>75.0</v>
      </c>
      <c r="M31" s="16">
        <v>20.0</v>
      </c>
      <c r="N31" s="16">
        <v>150.0</v>
      </c>
      <c r="O31" s="16">
        <v>49.3</v>
      </c>
      <c r="P31" s="18">
        <v>208.0</v>
      </c>
      <c r="Q31" s="16">
        <v>261.0</v>
      </c>
      <c r="R31" s="16">
        <v>1.76</v>
      </c>
      <c r="S31" s="16">
        <v>0.964286</v>
      </c>
      <c r="T31" s="16">
        <v>0.964286</v>
      </c>
      <c r="U31" s="19">
        <f t="shared" si="1"/>
        <v>95</v>
      </c>
      <c r="V31" s="19">
        <f t="shared" si="2"/>
        <v>33.51467277</v>
      </c>
      <c r="W31" s="20">
        <f t="shared" si="3"/>
        <v>2.469558256</v>
      </c>
      <c r="X31" s="17">
        <f t="shared" si="40"/>
        <v>121.749222</v>
      </c>
      <c r="Y31" s="21">
        <f t="shared" si="4"/>
        <v>1.75</v>
      </c>
      <c r="Z31" s="21">
        <f t="shared" si="5"/>
        <v>334.8103605</v>
      </c>
      <c r="AA31" s="21">
        <f t="shared" si="6"/>
        <v>6.791285203</v>
      </c>
      <c r="AB31" s="22">
        <f t="shared" si="7"/>
        <v>1.281570758</v>
      </c>
      <c r="AC31" s="8">
        <f t="shared" si="26"/>
        <v>115.6431929</v>
      </c>
      <c r="AD31" s="13">
        <f t="shared" si="27"/>
        <v>1.217296767</v>
      </c>
      <c r="AE31" s="8">
        <f t="shared" si="28"/>
        <v>115.6431929</v>
      </c>
      <c r="AF31" s="73">
        <f t="shared" si="29"/>
        <v>13.33585991</v>
      </c>
      <c r="AG31" s="74" t="str">
        <f t="shared" si="30"/>
        <v>#REF!</v>
      </c>
      <c r="AH31" s="73">
        <f t="shared" si="31"/>
        <v>0</v>
      </c>
      <c r="AI31" s="73">
        <f t="shared" si="32"/>
        <v>0</v>
      </c>
      <c r="AJ31" s="75">
        <f t="shared" si="33"/>
        <v>1.141882585</v>
      </c>
      <c r="AK31" s="73">
        <f t="shared" si="34"/>
        <v>0.6472506544</v>
      </c>
      <c r="AL31" s="73">
        <f t="shared" si="35"/>
        <v>0.7651364856</v>
      </c>
      <c r="AM31" s="73">
        <f t="shared" si="36"/>
        <v>0.5403654613</v>
      </c>
      <c r="AN31" s="75">
        <v>20.69</v>
      </c>
      <c r="AO31" s="76">
        <v>21.0</v>
      </c>
      <c r="AP31" s="73">
        <f t="shared" si="37"/>
        <v>21</v>
      </c>
      <c r="AQ31" s="29" t="str">
        <f t="shared" si="38"/>
        <v>#REF!</v>
      </c>
      <c r="AR31" s="77" t="str">
        <f t="shared" si="39"/>
        <v>#REF!</v>
      </c>
      <c r="AS31" s="73"/>
      <c r="AT31" s="39"/>
    </row>
    <row r="32" ht="15.75" customHeight="1">
      <c r="A32" s="7" t="s">
        <v>834</v>
      </c>
      <c r="B32" s="7" t="s">
        <v>835</v>
      </c>
      <c r="C32" s="7">
        <v>1954.0</v>
      </c>
      <c r="D32" s="7"/>
      <c r="E32" s="7">
        <v>1954.0</v>
      </c>
      <c r="F32" s="7" t="b">
        <v>1</v>
      </c>
      <c r="G32" s="7" t="b">
        <v>0</v>
      </c>
      <c r="H32" s="7" t="b">
        <v>1</v>
      </c>
      <c r="I32" s="7" t="b">
        <v>1</v>
      </c>
      <c r="J32" s="9">
        <v>175.0</v>
      </c>
      <c r="K32" s="9">
        <v>6.0</v>
      </c>
      <c r="L32" s="7">
        <v>450.0</v>
      </c>
      <c r="M32" s="7">
        <v>0.0</v>
      </c>
      <c r="N32" s="7">
        <v>157.0</v>
      </c>
      <c r="O32" s="7">
        <v>66.72</v>
      </c>
      <c r="P32" s="9">
        <v>208.0</v>
      </c>
      <c r="Q32" s="9">
        <v>230.0</v>
      </c>
      <c r="R32" s="7">
        <v>1.52</v>
      </c>
      <c r="S32" s="7">
        <v>0.986364</v>
      </c>
      <c r="T32" s="7">
        <v>0.986364</v>
      </c>
      <c r="U32" s="10">
        <f t="shared" si="1"/>
        <v>450</v>
      </c>
      <c r="V32" s="10">
        <f t="shared" si="2"/>
        <v>43.33469142</v>
      </c>
      <c r="W32" s="11">
        <f t="shared" si="3"/>
        <v>1.734494495</v>
      </c>
      <c r="X32" s="8">
        <f t="shared" si="40"/>
        <v>115.7254727</v>
      </c>
      <c r="Y32" s="12">
        <f t="shared" si="4"/>
        <v>4</v>
      </c>
      <c r="Z32" s="12">
        <f t="shared" si="5"/>
        <v>578.6273636</v>
      </c>
      <c r="AA32" s="12">
        <f t="shared" si="6"/>
        <v>8.672472477</v>
      </c>
      <c r="AB32" s="13">
        <f t="shared" si="7"/>
        <v>0.2571677172</v>
      </c>
      <c r="AC32" s="8">
        <f t="shared" si="26"/>
        <v>172.3581527</v>
      </c>
      <c r="AD32" s="13">
        <f t="shared" si="27"/>
        <v>0.3830181171</v>
      </c>
      <c r="AE32" s="8">
        <f t="shared" si="28"/>
        <v>172.3581527</v>
      </c>
      <c r="AF32" s="73">
        <f t="shared" si="29"/>
        <v>16.34983128</v>
      </c>
      <c r="AG32" s="74" t="str">
        <f t="shared" si="30"/>
        <v>#REF!</v>
      </c>
      <c r="AH32" s="73">
        <f t="shared" si="31"/>
        <v>2</v>
      </c>
      <c r="AI32" s="73">
        <f t="shared" si="32"/>
        <v>0.4517593218</v>
      </c>
      <c r="AJ32" s="75">
        <f t="shared" si="33"/>
        <v>1.338197779</v>
      </c>
      <c r="AK32" s="73">
        <f t="shared" si="34"/>
        <v>0.7359916051</v>
      </c>
      <c r="AL32" s="73">
        <f t="shared" si="35"/>
        <v>0.6184808428</v>
      </c>
      <c r="AM32" s="73">
        <f t="shared" si="36"/>
        <v>1.120717041</v>
      </c>
      <c r="AN32" s="75">
        <v>147.74</v>
      </c>
      <c r="AO32" s="76">
        <v>150.0</v>
      </c>
      <c r="AP32" s="73">
        <f t="shared" si="37"/>
        <v>150</v>
      </c>
      <c r="AQ32" s="29" t="str">
        <f t="shared" si="38"/>
        <v>#REF!</v>
      </c>
      <c r="AR32" s="77" t="str">
        <f t="shared" si="39"/>
        <v>#REF!</v>
      </c>
      <c r="AS32" s="73"/>
      <c r="AT32" s="39"/>
    </row>
    <row r="33" ht="15.75" customHeight="1">
      <c r="A33" s="16" t="s">
        <v>329</v>
      </c>
      <c r="B33" s="16" t="s">
        <v>330</v>
      </c>
      <c r="C33" s="16">
        <v>1955.0</v>
      </c>
      <c r="D33" s="16"/>
      <c r="E33" s="16">
        <v>1955.0</v>
      </c>
      <c r="F33" s="16" t="b">
        <v>1</v>
      </c>
      <c r="G33" s="16" t="b">
        <v>0</v>
      </c>
      <c r="H33" s="16" t="b">
        <v>0</v>
      </c>
      <c r="I33" s="16" t="b">
        <v>0</v>
      </c>
      <c r="J33" s="18">
        <v>65.0</v>
      </c>
      <c r="K33" s="16">
        <v>1.0</v>
      </c>
      <c r="L33" s="16">
        <v>300.0</v>
      </c>
      <c r="M33" s="16">
        <v>-50.0</v>
      </c>
      <c r="N33" s="16">
        <v>489.0</v>
      </c>
      <c r="O33" s="16">
        <v>617.4</v>
      </c>
      <c r="P33" s="18">
        <v>230.0</v>
      </c>
      <c r="Q33" s="16">
        <v>265.0</v>
      </c>
      <c r="R33" s="16">
        <v>3.61</v>
      </c>
      <c r="S33" s="16">
        <v>0.958696</v>
      </c>
      <c r="T33" s="16">
        <v>0.958696</v>
      </c>
      <c r="U33" s="19">
        <f t="shared" si="1"/>
        <v>250</v>
      </c>
      <c r="V33" s="19">
        <f t="shared" si="2"/>
        <v>128.7469914</v>
      </c>
      <c r="W33" s="20">
        <f t="shared" si="3"/>
        <v>0.4322387201</v>
      </c>
      <c r="X33" s="17">
        <f t="shared" si="40"/>
        <v>266.8641858</v>
      </c>
      <c r="Y33" s="21">
        <f t="shared" si="4"/>
        <v>4</v>
      </c>
      <c r="Z33" s="21">
        <f t="shared" si="5"/>
        <v>1334.320929</v>
      </c>
      <c r="AA33" s="21">
        <f t="shared" si="6"/>
        <v>2.1611936</v>
      </c>
      <c r="AB33" s="22">
        <f t="shared" si="7"/>
        <v>1.067456743</v>
      </c>
      <c r="AC33" s="8">
        <f t="shared" si="26"/>
        <v>250.6116286</v>
      </c>
      <c r="AD33" s="13">
        <f t="shared" si="27"/>
        <v>1.002446514</v>
      </c>
      <c r="AE33" s="8">
        <f t="shared" si="28"/>
        <v>250.6116286</v>
      </c>
      <c r="AF33" s="73">
        <f t="shared" si="29"/>
        <v>87.55821756</v>
      </c>
      <c r="AG33" s="74" t="str">
        <f t="shared" si="30"/>
        <v>#REF!</v>
      </c>
      <c r="AH33" s="73">
        <f t="shared" si="31"/>
        <v>0</v>
      </c>
      <c r="AI33" s="73">
        <f t="shared" si="32"/>
        <v>0</v>
      </c>
      <c r="AJ33" s="75">
        <f t="shared" si="33"/>
        <v>1.265470715</v>
      </c>
      <c r="AK33" s="73">
        <f t="shared" si="34"/>
        <v>1.268596623</v>
      </c>
      <c r="AL33" s="73">
        <f t="shared" si="35"/>
        <v>0.7864355299</v>
      </c>
      <c r="AM33" s="73">
        <f t="shared" si="36"/>
        <v>0.6862567402</v>
      </c>
      <c r="AN33" s="75">
        <v>241.16</v>
      </c>
      <c r="AO33" s="76">
        <v>240.0</v>
      </c>
      <c r="AP33" s="73">
        <f t="shared" si="37"/>
        <v>240</v>
      </c>
      <c r="AQ33" s="29" t="str">
        <f t="shared" si="38"/>
        <v>#REF!</v>
      </c>
      <c r="AR33" s="77" t="str">
        <f t="shared" si="39"/>
        <v>#REF!</v>
      </c>
      <c r="AS33" s="73"/>
      <c r="AT33" s="39"/>
    </row>
    <row r="34" ht="15.75" customHeight="1">
      <c r="A34" s="16" t="s">
        <v>82</v>
      </c>
      <c r="B34" s="16" t="s">
        <v>83</v>
      </c>
      <c r="C34" s="16">
        <v>1956.0</v>
      </c>
      <c r="D34" s="16"/>
      <c r="E34" s="16">
        <v>1956.0</v>
      </c>
      <c r="F34" s="16" t="b">
        <v>0</v>
      </c>
      <c r="G34" s="16" t="b">
        <v>0</v>
      </c>
      <c r="H34" s="16" t="b">
        <v>1</v>
      </c>
      <c r="I34" s="16" t="b">
        <v>0</v>
      </c>
      <c r="J34" s="18">
        <v>115.0</v>
      </c>
      <c r="K34" s="16">
        <v>1.0</v>
      </c>
      <c r="L34" s="16">
        <v>100.0</v>
      </c>
      <c r="M34" s="16">
        <v>0.0</v>
      </c>
      <c r="N34" s="16">
        <v>84.0</v>
      </c>
      <c r="O34" s="16">
        <v>33.8</v>
      </c>
      <c r="P34" s="18">
        <v>122.0</v>
      </c>
      <c r="Q34" s="16">
        <v>271.0</v>
      </c>
      <c r="R34" s="16">
        <v>1.4</v>
      </c>
      <c r="S34" s="16">
        <v>0.965</v>
      </c>
      <c r="T34" s="16">
        <v>0.916667</v>
      </c>
      <c r="U34" s="19">
        <f t="shared" si="1"/>
        <v>100</v>
      </c>
      <c r="V34" s="19">
        <f t="shared" si="2"/>
        <v>41.03143797</v>
      </c>
      <c r="W34" s="20">
        <f t="shared" si="3"/>
        <v>2.536082678</v>
      </c>
      <c r="X34" s="17">
        <f t="shared" si="40"/>
        <v>85.71959452</v>
      </c>
      <c r="Y34" s="21">
        <f t="shared" si="4"/>
        <v>1.75</v>
      </c>
      <c r="Z34" s="21">
        <f t="shared" si="5"/>
        <v>235.7288849</v>
      </c>
      <c r="AA34" s="21">
        <f t="shared" si="6"/>
        <v>6.974227364</v>
      </c>
      <c r="AB34" s="22">
        <f t="shared" si="7"/>
        <v>0.8571959452</v>
      </c>
      <c r="AC34" s="8">
        <f t="shared" si="26"/>
        <v>77.54054411</v>
      </c>
      <c r="AD34" s="13">
        <f t="shared" si="27"/>
        <v>0.7754054411</v>
      </c>
      <c r="AE34" s="8">
        <f t="shared" si="28"/>
        <v>77.54054411</v>
      </c>
      <c r="AF34" s="73">
        <f t="shared" si="29"/>
        <v>10.02297241</v>
      </c>
      <c r="AG34" s="74" t="str">
        <f t="shared" si="30"/>
        <v>#REF!</v>
      </c>
      <c r="AH34" s="73">
        <f t="shared" si="31"/>
        <v>0</v>
      </c>
      <c r="AI34" s="73">
        <f t="shared" si="32"/>
        <v>0</v>
      </c>
      <c r="AJ34" s="75">
        <f t="shared" si="33"/>
        <v>1</v>
      </c>
      <c r="AK34" s="73">
        <f t="shared" si="34"/>
        <v>0.716165466</v>
      </c>
      <c r="AL34" s="73">
        <f t="shared" si="35"/>
        <v>0.8195009234</v>
      </c>
      <c r="AM34" s="73">
        <f t="shared" si="36"/>
        <v>0.9500920759</v>
      </c>
      <c r="AN34" s="75">
        <v>19.86</v>
      </c>
      <c r="AO34" s="76">
        <v>20.0</v>
      </c>
      <c r="AP34" s="73">
        <f t="shared" si="37"/>
        <v>20</v>
      </c>
      <c r="AQ34" s="29" t="str">
        <f t="shared" si="38"/>
        <v>#REF!</v>
      </c>
      <c r="AR34" s="77" t="str">
        <f t="shared" si="39"/>
        <v>#REF!</v>
      </c>
      <c r="AS34" s="73"/>
      <c r="AT34" s="39"/>
    </row>
    <row r="35" ht="15.75" customHeight="1">
      <c r="A35" s="7" t="s">
        <v>795</v>
      </c>
      <c r="B35" s="7" t="s">
        <v>793</v>
      </c>
      <c r="C35" s="7">
        <v>1956.0</v>
      </c>
      <c r="D35" s="7"/>
      <c r="E35" s="7">
        <v>1956.0</v>
      </c>
      <c r="F35" s="7" t="b">
        <v>0</v>
      </c>
      <c r="G35" s="7" t="b">
        <v>0</v>
      </c>
      <c r="H35" s="7" t="b">
        <v>0</v>
      </c>
      <c r="I35" s="7" t="b">
        <v>0</v>
      </c>
      <c r="J35" s="9">
        <v>56.0</v>
      </c>
      <c r="K35" s="7">
        <v>1.0</v>
      </c>
      <c r="L35" s="7">
        <v>75.0</v>
      </c>
      <c r="M35" s="7">
        <v>25.0</v>
      </c>
      <c r="N35" s="7">
        <v>150.0</v>
      </c>
      <c r="O35" s="7">
        <v>73.8</v>
      </c>
      <c r="P35" s="9">
        <v>208.0</v>
      </c>
      <c r="Q35" s="7">
        <v>261.0</v>
      </c>
      <c r="R35" s="7">
        <v>1.76</v>
      </c>
      <c r="S35" s="7">
        <v>0.984091</v>
      </c>
      <c r="T35" s="7">
        <v>0.984091</v>
      </c>
      <c r="U35" s="10">
        <f t="shared" si="1"/>
        <v>100</v>
      </c>
      <c r="V35" s="10">
        <f t="shared" si="2"/>
        <v>50.17003753</v>
      </c>
      <c r="W35" s="11">
        <f t="shared" si="3"/>
        <v>1.649718455</v>
      </c>
      <c r="X35" s="8">
        <f t="shared" si="40"/>
        <v>121.749222</v>
      </c>
      <c r="Y35" s="12">
        <f t="shared" si="4"/>
        <v>1.75</v>
      </c>
      <c r="Z35" s="12">
        <f t="shared" si="5"/>
        <v>334.8103605</v>
      </c>
      <c r="AA35" s="12">
        <f t="shared" si="6"/>
        <v>4.536725752</v>
      </c>
      <c r="AB35" s="13">
        <f t="shared" si="7"/>
        <v>1.21749222</v>
      </c>
      <c r="AC35" s="8">
        <f t="shared" si="26"/>
        <v>120.341204</v>
      </c>
      <c r="AD35" s="13">
        <f t="shared" si="27"/>
        <v>1.20341204</v>
      </c>
      <c r="AE35" s="8">
        <f t="shared" si="28"/>
        <v>120.341204</v>
      </c>
      <c r="AF35" s="73">
        <f t="shared" si="29"/>
        <v>18.49196516</v>
      </c>
      <c r="AG35" s="74" t="str">
        <f t="shared" si="30"/>
        <v>#REF!</v>
      </c>
      <c r="AH35" s="73">
        <f t="shared" si="31"/>
        <v>0</v>
      </c>
      <c r="AI35" s="73">
        <f t="shared" si="32"/>
        <v>0</v>
      </c>
      <c r="AJ35" s="75">
        <f t="shared" si="33"/>
        <v>1.141882585</v>
      </c>
      <c r="AK35" s="73">
        <f t="shared" si="34"/>
        <v>0.7919125388</v>
      </c>
      <c r="AL35" s="73">
        <f t="shared" si="35"/>
        <v>0.7651364856</v>
      </c>
      <c r="AM35" s="73">
        <f t="shared" si="36"/>
        <v>0.6106451373</v>
      </c>
      <c r="AN35" s="75">
        <v>34.97</v>
      </c>
      <c r="AO35" s="76">
        <v>35.0</v>
      </c>
      <c r="AP35" s="73">
        <f t="shared" si="37"/>
        <v>35</v>
      </c>
      <c r="AQ35" s="29" t="str">
        <f t="shared" si="38"/>
        <v>#REF!</v>
      </c>
      <c r="AR35" s="77" t="str">
        <f t="shared" si="39"/>
        <v>#REF!</v>
      </c>
      <c r="AS35" s="73"/>
      <c r="AT35" s="39"/>
    </row>
    <row r="36" ht="15.75" customHeight="1">
      <c r="A36" s="16" t="s">
        <v>1010</v>
      </c>
      <c r="B36" s="16" t="s">
        <v>828</v>
      </c>
      <c r="C36" s="16">
        <v>1956.0</v>
      </c>
      <c r="D36" s="16"/>
      <c r="E36" s="16">
        <v>1956.0</v>
      </c>
      <c r="F36" s="16" t="b">
        <v>0</v>
      </c>
      <c r="G36" s="16" t="b">
        <v>0</v>
      </c>
      <c r="H36" s="16" t="b">
        <v>1</v>
      </c>
      <c r="I36" s="16" t="b">
        <v>1</v>
      </c>
      <c r="J36" s="18">
        <v>300.0</v>
      </c>
      <c r="K36" s="18">
        <v>999.0</v>
      </c>
      <c r="L36" s="16">
        <v>300.0</v>
      </c>
      <c r="M36" s="16">
        <v>150.0</v>
      </c>
      <c r="N36" s="16">
        <v>212.0</v>
      </c>
      <c r="O36" s="16">
        <v>38.45</v>
      </c>
      <c r="P36" s="18">
        <v>209.0</v>
      </c>
      <c r="Q36" s="16">
        <v>230.0</v>
      </c>
      <c r="R36" s="16">
        <v>1.52</v>
      </c>
      <c r="S36" s="16">
        <v>0.99</v>
      </c>
      <c r="T36" s="16">
        <v>0.998</v>
      </c>
      <c r="U36" s="19">
        <f t="shared" si="1"/>
        <v>450</v>
      </c>
      <c r="V36" s="19">
        <f t="shared" si="2"/>
        <v>18.49438126</v>
      </c>
      <c r="W36" s="20">
        <f t="shared" si="3"/>
        <v>6.55396619</v>
      </c>
      <c r="X36" s="17">
        <v>252.0</v>
      </c>
      <c r="Y36" s="21">
        <f t="shared" si="4"/>
        <v>1.75</v>
      </c>
      <c r="Z36" s="21">
        <f t="shared" si="5"/>
        <v>693</v>
      </c>
      <c r="AA36" s="21">
        <f t="shared" si="6"/>
        <v>18.02340702</v>
      </c>
      <c r="AB36" s="22">
        <f t="shared" si="7"/>
        <v>0.56</v>
      </c>
      <c r="AC36" s="8">
        <f t="shared" si="26"/>
        <v>381.03156</v>
      </c>
      <c r="AD36" s="13">
        <f t="shared" si="27"/>
        <v>0.8467368</v>
      </c>
      <c r="AE36" s="8">
        <f t="shared" si="28"/>
        <v>210.0567751</v>
      </c>
      <c r="AF36" s="73">
        <f t="shared" si="29"/>
        <v>11.02283015</v>
      </c>
      <c r="AG36" s="74" t="str">
        <f t="shared" si="30"/>
        <v>#REF!</v>
      </c>
      <c r="AH36" s="73">
        <f t="shared" si="31"/>
        <v>2</v>
      </c>
      <c r="AI36" s="73">
        <f t="shared" si="32"/>
        <v>1.123141633</v>
      </c>
      <c r="AJ36" s="75">
        <f t="shared" si="33"/>
        <v>1.347264445</v>
      </c>
      <c r="AK36" s="73">
        <f t="shared" si="34"/>
        <v>0.4808115699</v>
      </c>
      <c r="AL36" s="73">
        <f t="shared" si="35"/>
        <v>0.6184808428</v>
      </c>
      <c r="AM36" s="73">
        <f t="shared" si="36"/>
        <v>1.314152039</v>
      </c>
      <c r="AN36" s="75">
        <v>122.09</v>
      </c>
      <c r="AO36" s="76">
        <v>120.0</v>
      </c>
      <c r="AP36" s="73">
        <f t="shared" si="37"/>
        <v>120</v>
      </c>
      <c r="AQ36" s="29" t="str">
        <f t="shared" si="38"/>
        <v>#REF!</v>
      </c>
      <c r="AR36" s="77" t="str">
        <f t="shared" si="39"/>
        <v>#REF!</v>
      </c>
      <c r="AS36" s="73"/>
      <c r="AT36" s="39"/>
    </row>
    <row r="37" ht="15.75" customHeight="1">
      <c r="A37" s="16" t="s">
        <v>150</v>
      </c>
      <c r="B37" s="16" t="s">
        <v>151</v>
      </c>
      <c r="C37" s="16">
        <v>1956.0</v>
      </c>
      <c r="D37" s="16"/>
      <c r="E37" s="16">
        <v>1956.0</v>
      </c>
      <c r="F37" s="16" t="b">
        <v>1</v>
      </c>
      <c r="G37" s="16" t="b">
        <v>0</v>
      </c>
      <c r="H37" s="16" t="b">
        <v>0</v>
      </c>
      <c r="I37" s="16" t="b">
        <v>0</v>
      </c>
      <c r="J37" s="18">
        <v>145.0</v>
      </c>
      <c r="K37" s="16">
        <v>1.0</v>
      </c>
      <c r="L37" s="16">
        <v>56.0</v>
      </c>
      <c r="M37" s="16">
        <v>0.0</v>
      </c>
      <c r="N37" s="16">
        <v>204.0</v>
      </c>
      <c r="O37" s="16">
        <v>84.3</v>
      </c>
      <c r="P37" s="18">
        <v>205.0</v>
      </c>
      <c r="Q37" s="16">
        <v>226.9</v>
      </c>
      <c r="R37" s="16">
        <v>3.28</v>
      </c>
      <c r="S37" s="16">
        <v>0.995</v>
      </c>
      <c r="T37" s="16">
        <v>0.981667</v>
      </c>
      <c r="U37" s="19">
        <f t="shared" si="1"/>
        <v>56</v>
      </c>
      <c r="V37" s="19">
        <f t="shared" si="2"/>
        <v>42.1382728</v>
      </c>
      <c r="W37" s="20">
        <f t="shared" si="3"/>
        <v>1.28113879</v>
      </c>
      <c r="X37" s="17">
        <v>108.0</v>
      </c>
      <c r="Y37" s="21">
        <f t="shared" si="4"/>
        <v>4</v>
      </c>
      <c r="Z37" s="21">
        <f t="shared" si="5"/>
        <v>540</v>
      </c>
      <c r="AA37" s="21">
        <f t="shared" si="6"/>
        <v>6.40569395</v>
      </c>
      <c r="AB37" s="22">
        <f t="shared" si="7"/>
        <v>1.928571429</v>
      </c>
      <c r="AC37" s="8">
        <f t="shared" si="26"/>
        <v>107.6499358</v>
      </c>
      <c r="AD37" s="13">
        <f t="shared" si="27"/>
        <v>1.922320283</v>
      </c>
      <c r="AE37" s="8">
        <f t="shared" si="28"/>
        <v>143.9742621</v>
      </c>
      <c r="AF37" s="73">
        <f t="shared" si="29"/>
        <v>19.13989713</v>
      </c>
      <c r="AG37" s="74" t="str">
        <f t="shared" si="30"/>
        <v>#REF!</v>
      </c>
      <c r="AH37" s="73">
        <f t="shared" si="31"/>
        <v>0</v>
      </c>
      <c r="AI37" s="73">
        <f t="shared" si="32"/>
        <v>0</v>
      </c>
      <c r="AJ37" s="75">
        <f t="shared" si="33"/>
        <v>1.336401208</v>
      </c>
      <c r="AK37" s="73">
        <f t="shared" si="34"/>
        <v>0.7257605734</v>
      </c>
      <c r="AL37" s="73">
        <f t="shared" si="35"/>
        <v>0.6054593441</v>
      </c>
      <c r="AM37" s="73">
        <f t="shared" si="36"/>
        <v>1.046592255</v>
      </c>
      <c r="AN37" s="75">
        <v>57.53</v>
      </c>
      <c r="AO37" s="76">
        <v>58.0</v>
      </c>
      <c r="AP37" s="73">
        <f t="shared" si="37"/>
        <v>58</v>
      </c>
      <c r="AQ37" s="29" t="str">
        <f t="shared" si="38"/>
        <v>#REF!</v>
      </c>
      <c r="AR37" s="77" t="str">
        <f t="shared" si="39"/>
        <v>#REF!</v>
      </c>
      <c r="AS37" s="73"/>
      <c r="AT37" s="39"/>
    </row>
    <row r="38" ht="15.75" customHeight="1">
      <c r="A38" s="7" t="s">
        <v>261</v>
      </c>
      <c r="B38" s="7" t="s">
        <v>262</v>
      </c>
      <c r="C38" s="7">
        <v>1956.0</v>
      </c>
      <c r="D38" s="7"/>
      <c r="E38" s="7">
        <v>1956.0</v>
      </c>
      <c r="F38" s="7" t="b">
        <v>1</v>
      </c>
      <c r="G38" s="7" t="b">
        <v>0</v>
      </c>
      <c r="H38" s="7" t="b">
        <v>0</v>
      </c>
      <c r="I38" s="7" t="b">
        <v>0</v>
      </c>
      <c r="J38" s="9">
        <v>400.0</v>
      </c>
      <c r="K38" s="7">
        <v>1.0</v>
      </c>
      <c r="L38" s="7">
        <v>15.0</v>
      </c>
      <c r="M38" s="7">
        <v>0.0</v>
      </c>
      <c r="N38" s="7">
        <v>24.0</v>
      </c>
      <c r="O38" s="7">
        <v>5.114</v>
      </c>
      <c r="P38" s="9">
        <v>207.7</v>
      </c>
      <c r="Q38" s="7">
        <v>238.0</v>
      </c>
      <c r="R38" s="7">
        <v>2.48</v>
      </c>
      <c r="S38" s="7">
        <v>0.995</v>
      </c>
      <c r="T38" s="7">
        <v>0.998</v>
      </c>
      <c r="U38" s="10">
        <f t="shared" si="1"/>
        <v>15</v>
      </c>
      <c r="V38" s="10">
        <f t="shared" si="2"/>
        <v>21.72845291</v>
      </c>
      <c r="W38" s="11">
        <f t="shared" si="3"/>
        <v>7.8380552</v>
      </c>
      <c r="X38" s="8">
        <f t="shared" ref="X38:X49" si="41">0.2*(8.17*POWER(N38*R38,0.46))+0.8*(0.146*POWER(N38*Q38,0.639))</f>
        <v>40.08381429</v>
      </c>
      <c r="Y38" s="12">
        <f t="shared" si="4"/>
        <v>4</v>
      </c>
      <c r="Z38" s="12">
        <f t="shared" si="5"/>
        <v>200.4190715</v>
      </c>
      <c r="AA38" s="12">
        <f t="shared" si="6"/>
        <v>39.190276</v>
      </c>
      <c r="AB38" s="13">
        <f t="shared" si="7"/>
        <v>2.672254286</v>
      </c>
      <c r="AC38" s="8">
        <f t="shared" si="26"/>
        <v>40.60530472</v>
      </c>
      <c r="AD38" s="13">
        <f t="shared" si="27"/>
        <v>2.707020315</v>
      </c>
      <c r="AE38" s="8">
        <f t="shared" si="28"/>
        <v>40.60530472</v>
      </c>
      <c r="AF38" s="73">
        <f t="shared" si="29"/>
        <v>3.791787102</v>
      </c>
      <c r="AG38" s="74" t="str">
        <f t="shared" si="30"/>
        <v>#REF!</v>
      </c>
      <c r="AH38" s="73">
        <f t="shared" si="31"/>
        <v>0</v>
      </c>
      <c r="AI38" s="73">
        <f t="shared" si="32"/>
        <v>0</v>
      </c>
      <c r="AJ38" s="75">
        <f t="shared" si="33"/>
        <v>1.274647599</v>
      </c>
      <c r="AK38" s="73">
        <f t="shared" si="34"/>
        <v>0.5211580004</v>
      </c>
      <c r="AL38" s="73">
        <f t="shared" si="35"/>
        <v>0.6533933053</v>
      </c>
      <c r="AM38" s="73">
        <f t="shared" si="36"/>
        <v>1.406821143</v>
      </c>
      <c r="AN38" s="75">
        <v>15.46</v>
      </c>
      <c r="AO38" s="76">
        <v>15.5</v>
      </c>
      <c r="AP38" s="73">
        <f t="shared" si="37"/>
        <v>15.5</v>
      </c>
      <c r="AQ38" s="29" t="str">
        <f t="shared" si="38"/>
        <v>#REF!</v>
      </c>
      <c r="AR38" s="77" t="str">
        <f t="shared" si="39"/>
        <v>#REF!</v>
      </c>
      <c r="AS38" s="73"/>
      <c r="AT38" s="37"/>
    </row>
    <row r="39" ht="15.75" customHeight="1">
      <c r="A39" s="16" t="s">
        <v>265</v>
      </c>
      <c r="B39" s="16" t="s">
        <v>266</v>
      </c>
      <c r="C39" s="16">
        <v>1956.0</v>
      </c>
      <c r="D39" s="16"/>
      <c r="E39" s="16">
        <v>1956.0</v>
      </c>
      <c r="F39" s="16" t="b">
        <v>1</v>
      </c>
      <c r="G39" s="16" t="b">
        <v>0</v>
      </c>
      <c r="H39" s="16" t="b">
        <v>0</v>
      </c>
      <c r="I39" s="16" t="b">
        <v>0</v>
      </c>
      <c r="J39" s="18">
        <v>330.0</v>
      </c>
      <c r="K39" s="16">
        <v>1.0</v>
      </c>
      <c r="L39" s="16">
        <v>275.0</v>
      </c>
      <c r="M39" s="16">
        <v>0.0</v>
      </c>
      <c r="N39" s="16">
        <v>460.0</v>
      </c>
      <c r="O39" s="16">
        <v>240.2</v>
      </c>
      <c r="P39" s="18">
        <v>210.0</v>
      </c>
      <c r="Q39" s="16">
        <v>301.0</v>
      </c>
      <c r="R39" s="16">
        <v>4.52</v>
      </c>
      <c r="S39" s="16">
        <v>0.962766</v>
      </c>
      <c r="T39" s="16">
        <v>0.962766</v>
      </c>
      <c r="U39" s="19">
        <f t="shared" si="1"/>
        <v>275</v>
      </c>
      <c r="V39" s="19">
        <f t="shared" si="2"/>
        <v>53.24692036</v>
      </c>
      <c r="W39" s="20">
        <f t="shared" si="3"/>
        <v>1.16645544</v>
      </c>
      <c r="X39" s="17">
        <f t="shared" si="41"/>
        <v>280.1825966</v>
      </c>
      <c r="Y39" s="21">
        <f t="shared" si="4"/>
        <v>4</v>
      </c>
      <c r="Z39" s="21">
        <f t="shared" si="5"/>
        <v>1400.912983</v>
      </c>
      <c r="AA39" s="21">
        <f t="shared" si="6"/>
        <v>5.832277199</v>
      </c>
      <c r="AB39" s="22">
        <f t="shared" si="7"/>
        <v>1.018845806</v>
      </c>
      <c r="AC39" s="8">
        <f t="shared" si="26"/>
        <v>265.3100479</v>
      </c>
      <c r="AD39" s="13">
        <f t="shared" si="27"/>
        <v>0.9647638106</v>
      </c>
      <c r="AE39" s="8">
        <f t="shared" si="28"/>
        <v>265.3100479</v>
      </c>
      <c r="AF39" s="73">
        <f t="shared" si="29"/>
        <v>40.98197672</v>
      </c>
      <c r="AG39" s="74" t="str">
        <f t="shared" si="30"/>
        <v>#REF!</v>
      </c>
      <c r="AH39" s="73">
        <f t="shared" si="31"/>
        <v>0</v>
      </c>
      <c r="AI39" s="73">
        <f t="shared" si="32"/>
        <v>0</v>
      </c>
      <c r="AJ39" s="75">
        <f t="shared" si="33"/>
        <v>1.020475187</v>
      </c>
      <c r="AK39" s="73">
        <f t="shared" si="34"/>
        <v>0.8158348512</v>
      </c>
      <c r="AL39" s="73">
        <f t="shared" si="35"/>
        <v>1.007589311</v>
      </c>
      <c r="AM39" s="73">
        <f t="shared" si="36"/>
        <v>1.345624617</v>
      </c>
      <c r="AN39" s="75">
        <v>174.6</v>
      </c>
      <c r="AO39" s="76">
        <v>170.0</v>
      </c>
      <c r="AP39" s="73">
        <f t="shared" si="37"/>
        <v>170</v>
      </c>
      <c r="AQ39" s="29" t="str">
        <f t="shared" si="38"/>
        <v>#REF!</v>
      </c>
      <c r="AR39" s="77" t="str">
        <f t="shared" si="39"/>
        <v>#REF!</v>
      </c>
      <c r="AS39" s="73"/>
      <c r="AT39" s="37"/>
    </row>
    <row r="40" ht="15.75" customHeight="1">
      <c r="A40" s="7" t="s">
        <v>278</v>
      </c>
      <c r="B40" s="7" t="s">
        <v>279</v>
      </c>
      <c r="C40" s="7">
        <v>1956.0</v>
      </c>
      <c r="D40" s="7"/>
      <c r="E40" s="7">
        <v>1956.0</v>
      </c>
      <c r="F40" s="7" t="b">
        <v>1</v>
      </c>
      <c r="G40" s="7" t="b">
        <v>0</v>
      </c>
      <c r="H40" s="7" t="b">
        <v>0</v>
      </c>
      <c r="I40" s="7" t="b">
        <v>0</v>
      </c>
      <c r="J40" s="9">
        <v>182.0</v>
      </c>
      <c r="K40" s="7">
        <v>1.0</v>
      </c>
      <c r="L40" s="7">
        <v>300.0</v>
      </c>
      <c r="M40" s="7">
        <v>0.0</v>
      </c>
      <c r="N40" s="7">
        <v>945.3</v>
      </c>
      <c r="O40" s="7">
        <v>696.6</v>
      </c>
      <c r="P40" s="9">
        <v>247.62</v>
      </c>
      <c r="Q40" s="7">
        <v>288.0</v>
      </c>
      <c r="R40" s="7">
        <v>3.61</v>
      </c>
      <c r="S40" s="7">
        <v>0.962903</v>
      </c>
      <c r="T40" s="7">
        <v>0.962903</v>
      </c>
      <c r="U40" s="10">
        <f t="shared" si="1"/>
        <v>300</v>
      </c>
      <c r="V40" s="10">
        <f t="shared" si="2"/>
        <v>75.14379688</v>
      </c>
      <c r="W40" s="11">
        <f t="shared" si="3"/>
        <v>0.5971614658</v>
      </c>
      <c r="X40" s="8">
        <f t="shared" si="41"/>
        <v>415.9826771</v>
      </c>
      <c r="Y40" s="12">
        <f t="shared" si="4"/>
        <v>4</v>
      </c>
      <c r="Z40" s="12">
        <f t="shared" si="5"/>
        <v>2079.913385</v>
      </c>
      <c r="AA40" s="12">
        <f t="shared" si="6"/>
        <v>2.985807329</v>
      </c>
      <c r="AB40" s="13">
        <f t="shared" si="7"/>
        <v>1.386608924</v>
      </c>
      <c r="AC40" s="8">
        <f t="shared" si="26"/>
        <v>394.011382</v>
      </c>
      <c r="AD40" s="13">
        <f t="shared" si="27"/>
        <v>1.313371273</v>
      </c>
      <c r="AE40" s="8">
        <f t="shared" si="28"/>
        <v>394.011382</v>
      </c>
      <c r="AF40" s="73">
        <f t="shared" si="29"/>
        <v>96.90140135</v>
      </c>
      <c r="AG40" s="74" t="str">
        <f t="shared" si="30"/>
        <v>#REF!</v>
      </c>
      <c r="AH40" s="73">
        <f t="shared" si="31"/>
        <v>0</v>
      </c>
      <c r="AI40" s="73">
        <f t="shared" si="32"/>
        <v>0</v>
      </c>
      <c r="AJ40" s="75">
        <f t="shared" si="33"/>
        <v>1.250048404</v>
      </c>
      <c r="AK40" s="73">
        <f t="shared" si="34"/>
        <v>0.9691735969</v>
      </c>
      <c r="AL40" s="73">
        <f t="shared" si="35"/>
        <v>0.9209315624</v>
      </c>
      <c r="AM40" s="73">
        <f t="shared" si="36"/>
        <v>1.135725208</v>
      </c>
      <c r="AN40" s="75">
        <v>423.43</v>
      </c>
      <c r="AO40" s="76">
        <v>420.0</v>
      </c>
      <c r="AP40" s="73">
        <f t="shared" si="37"/>
        <v>420</v>
      </c>
      <c r="AQ40" s="29" t="str">
        <f t="shared" si="38"/>
        <v>#REF!</v>
      </c>
      <c r="AR40" s="77" t="str">
        <f t="shared" si="39"/>
        <v>#REF!</v>
      </c>
      <c r="AS40" s="73"/>
      <c r="AT40" s="39"/>
    </row>
    <row r="41" ht="15.75" customHeight="1">
      <c r="A41" s="7" t="s">
        <v>331</v>
      </c>
      <c r="B41" s="7" t="s">
        <v>330</v>
      </c>
      <c r="C41" s="7">
        <v>1956.0</v>
      </c>
      <c r="D41" s="7"/>
      <c r="E41" s="7">
        <v>1956.0</v>
      </c>
      <c r="F41" s="7" t="b">
        <v>1</v>
      </c>
      <c r="G41" s="7" t="b">
        <v>0</v>
      </c>
      <c r="H41" s="7" t="b">
        <v>0</v>
      </c>
      <c r="I41" s="7" t="b">
        <v>0</v>
      </c>
      <c r="J41" s="9">
        <v>135.0</v>
      </c>
      <c r="K41" s="7">
        <v>1.0</v>
      </c>
      <c r="L41" s="7">
        <v>300.0</v>
      </c>
      <c r="M41" s="7">
        <v>0.0</v>
      </c>
      <c r="N41" s="7">
        <v>720.0</v>
      </c>
      <c r="O41" s="7">
        <v>756.8</v>
      </c>
      <c r="P41" s="9">
        <v>245.0</v>
      </c>
      <c r="Q41" s="7">
        <v>278.0</v>
      </c>
      <c r="R41" s="7">
        <v>3.92</v>
      </c>
      <c r="S41" s="7">
        <v>0.962766</v>
      </c>
      <c r="T41" s="7">
        <v>0.962766</v>
      </c>
      <c r="U41" s="10">
        <f t="shared" si="1"/>
        <v>300</v>
      </c>
      <c r="V41" s="10">
        <f t="shared" si="2"/>
        <v>107.1835039</v>
      </c>
      <c r="W41" s="11">
        <f t="shared" si="3"/>
        <v>0.4602148812</v>
      </c>
      <c r="X41" s="8">
        <f t="shared" si="41"/>
        <v>348.2906221</v>
      </c>
      <c r="Y41" s="12">
        <f t="shared" si="4"/>
        <v>4</v>
      </c>
      <c r="Z41" s="12">
        <f t="shared" si="5"/>
        <v>1741.453111</v>
      </c>
      <c r="AA41" s="12">
        <f t="shared" si="6"/>
        <v>2.301074406</v>
      </c>
      <c r="AB41" s="13">
        <f t="shared" si="7"/>
        <v>1.16096874</v>
      </c>
      <c r="AC41" s="8">
        <f t="shared" si="26"/>
        <v>329.8027885</v>
      </c>
      <c r="AD41" s="13">
        <f t="shared" si="27"/>
        <v>1.099342628</v>
      </c>
      <c r="AE41" s="8">
        <f t="shared" si="28"/>
        <v>329.8027885</v>
      </c>
      <c r="AF41" s="73">
        <f t="shared" si="29"/>
        <v>103.9422531</v>
      </c>
      <c r="AG41" s="74" t="str">
        <f t="shared" si="30"/>
        <v>#REF!</v>
      </c>
      <c r="AH41" s="73">
        <f t="shared" si="31"/>
        <v>0</v>
      </c>
      <c r="AI41" s="73">
        <f t="shared" si="32"/>
        <v>0</v>
      </c>
      <c r="AJ41" s="75">
        <f t="shared" si="33"/>
        <v>1.291484407</v>
      </c>
      <c r="AK41" s="73">
        <f t="shared" si="34"/>
        <v>1.157494621</v>
      </c>
      <c r="AL41" s="73">
        <f t="shared" si="35"/>
        <v>0.8598383712</v>
      </c>
      <c r="AM41" s="73">
        <f t="shared" si="36"/>
        <v>1.017461199</v>
      </c>
      <c r="AN41" s="75">
        <v>429.67</v>
      </c>
      <c r="AO41" s="76">
        <v>430.0</v>
      </c>
      <c r="AP41" s="73">
        <f t="shared" si="37"/>
        <v>430</v>
      </c>
      <c r="AQ41" s="29" t="str">
        <f t="shared" si="38"/>
        <v>#REF!</v>
      </c>
      <c r="AR41" s="77" t="str">
        <f t="shared" si="39"/>
        <v>#REF!</v>
      </c>
      <c r="AS41" s="73"/>
      <c r="AT41" s="39"/>
    </row>
    <row r="42" ht="15.75" customHeight="1">
      <c r="A42" s="7" t="s">
        <v>385</v>
      </c>
      <c r="B42" s="7" t="s">
        <v>382</v>
      </c>
      <c r="C42" s="7">
        <v>1956.0</v>
      </c>
      <c r="D42" s="7"/>
      <c r="E42" s="7">
        <v>1956.0</v>
      </c>
      <c r="F42" s="7" t="b">
        <v>1</v>
      </c>
      <c r="G42" s="7" t="b">
        <v>0</v>
      </c>
      <c r="H42" s="7" t="b">
        <v>0</v>
      </c>
      <c r="I42" s="7" t="b">
        <v>0</v>
      </c>
      <c r="J42" s="9">
        <v>143.0</v>
      </c>
      <c r="K42" s="7">
        <v>1.0</v>
      </c>
      <c r="L42" s="7">
        <v>400.0</v>
      </c>
      <c r="M42" s="7">
        <v>50.0</v>
      </c>
      <c r="N42" s="7">
        <v>740.0</v>
      </c>
      <c r="O42" s="7">
        <v>395.5</v>
      </c>
      <c r="P42" s="9">
        <v>218.0</v>
      </c>
      <c r="Q42" s="7">
        <v>249.0</v>
      </c>
      <c r="R42" s="7">
        <v>2.19</v>
      </c>
      <c r="S42" s="7">
        <v>0.974342</v>
      </c>
      <c r="T42" s="7">
        <v>0.974342</v>
      </c>
      <c r="U42" s="10">
        <f t="shared" si="1"/>
        <v>450</v>
      </c>
      <c r="V42" s="10">
        <f t="shared" si="2"/>
        <v>54.49969744</v>
      </c>
      <c r="W42" s="11">
        <f t="shared" si="3"/>
        <v>0.8075181084</v>
      </c>
      <c r="X42" s="8">
        <f t="shared" si="41"/>
        <v>319.3734119</v>
      </c>
      <c r="Y42" s="12">
        <f t="shared" si="4"/>
        <v>4</v>
      </c>
      <c r="Z42" s="12">
        <f t="shared" si="5"/>
        <v>1596.867059</v>
      </c>
      <c r="AA42" s="12">
        <f t="shared" si="6"/>
        <v>4.037590542</v>
      </c>
      <c r="AB42" s="13">
        <f t="shared" si="7"/>
        <v>0.7097186931</v>
      </c>
      <c r="AC42" s="8">
        <f t="shared" si="26"/>
        <v>309.5821682</v>
      </c>
      <c r="AD42" s="13">
        <f t="shared" si="27"/>
        <v>0.6879603737</v>
      </c>
      <c r="AE42" s="8">
        <f t="shared" si="28"/>
        <v>309.5821682</v>
      </c>
      <c r="AF42" s="73">
        <f t="shared" si="29"/>
        <v>60.72213784</v>
      </c>
      <c r="AG42" s="74" t="str">
        <f t="shared" si="30"/>
        <v>#REF!</v>
      </c>
      <c r="AH42" s="73">
        <f t="shared" si="31"/>
        <v>0</v>
      </c>
      <c r="AI42" s="73">
        <f t="shared" si="32"/>
        <v>0</v>
      </c>
      <c r="AJ42" s="75">
        <f t="shared" si="33"/>
        <v>1.280114128</v>
      </c>
      <c r="AK42" s="73">
        <f t="shared" si="34"/>
        <v>0.8253764099</v>
      </c>
      <c r="AL42" s="73">
        <f t="shared" si="35"/>
        <v>0.7046383392</v>
      </c>
      <c r="AM42" s="73">
        <f t="shared" si="36"/>
        <v>1.040972496</v>
      </c>
      <c r="AN42" s="75">
        <v>190.78</v>
      </c>
      <c r="AO42" s="76">
        <v>190.0</v>
      </c>
      <c r="AP42" s="73">
        <f t="shared" si="37"/>
        <v>190</v>
      </c>
      <c r="AQ42" s="29" t="str">
        <f t="shared" si="38"/>
        <v>#REF!</v>
      </c>
      <c r="AR42" s="77" t="str">
        <f t="shared" si="39"/>
        <v>#REF!</v>
      </c>
      <c r="AS42" s="73"/>
      <c r="AT42" s="39"/>
    </row>
    <row r="43" ht="15.75" customHeight="1">
      <c r="A43" s="16" t="s">
        <v>384</v>
      </c>
      <c r="B43" s="16" t="s">
        <v>382</v>
      </c>
      <c r="C43" s="16">
        <v>1956.0</v>
      </c>
      <c r="D43" s="16"/>
      <c r="E43" s="16">
        <v>1956.0</v>
      </c>
      <c r="F43" s="16" t="b">
        <v>1</v>
      </c>
      <c r="G43" s="16" t="b">
        <v>0</v>
      </c>
      <c r="H43" s="16" t="b">
        <v>0</v>
      </c>
      <c r="I43" s="16" t="b">
        <v>0</v>
      </c>
      <c r="J43" s="18">
        <v>155.0</v>
      </c>
      <c r="K43" s="16">
        <v>1.0</v>
      </c>
      <c r="L43" s="16">
        <v>400.0</v>
      </c>
      <c r="M43" s="16">
        <v>200.0</v>
      </c>
      <c r="N43" s="16">
        <v>740.0</v>
      </c>
      <c r="O43" s="16">
        <v>409.36</v>
      </c>
      <c r="P43" s="18">
        <v>239.0</v>
      </c>
      <c r="Q43" s="16">
        <v>265.0</v>
      </c>
      <c r="R43" s="16">
        <v>2.19</v>
      </c>
      <c r="S43" s="16">
        <v>0.974342</v>
      </c>
      <c r="T43" s="16">
        <v>0.974342</v>
      </c>
      <c r="U43" s="19">
        <f t="shared" si="1"/>
        <v>600</v>
      </c>
      <c r="V43" s="19">
        <f t="shared" si="2"/>
        <v>56.40959834</v>
      </c>
      <c r="W43" s="20">
        <f t="shared" si="3"/>
        <v>0.8069965879</v>
      </c>
      <c r="X43" s="17">
        <f t="shared" si="41"/>
        <v>330.3521232</v>
      </c>
      <c r="Y43" s="21">
        <f t="shared" si="4"/>
        <v>4</v>
      </c>
      <c r="Z43" s="21">
        <f t="shared" si="5"/>
        <v>1651.760616</v>
      </c>
      <c r="AA43" s="21">
        <f t="shared" si="6"/>
        <v>4.03498294</v>
      </c>
      <c r="AB43" s="22">
        <f t="shared" si="7"/>
        <v>0.550586872</v>
      </c>
      <c r="AC43" s="8">
        <f t="shared" si="26"/>
        <v>320.2242978</v>
      </c>
      <c r="AD43" s="13">
        <f t="shared" si="27"/>
        <v>0.533707163</v>
      </c>
      <c r="AE43" s="8">
        <f t="shared" si="28"/>
        <v>320.2242978</v>
      </c>
      <c r="AF43" s="73">
        <f t="shared" si="29"/>
        <v>62.43554745</v>
      </c>
      <c r="AG43" s="74" t="str">
        <f t="shared" si="30"/>
        <v>#REF!</v>
      </c>
      <c r="AH43" s="73">
        <f t="shared" si="31"/>
        <v>0</v>
      </c>
      <c r="AI43" s="73">
        <f t="shared" si="32"/>
        <v>0</v>
      </c>
      <c r="AJ43" s="75">
        <f t="shared" si="33"/>
        <v>1.333101252</v>
      </c>
      <c r="AK43" s="73">
        <f t="shared" si="34"/>
        <v>0.8397142248</v>
      </c>
      <c r="AL43" s="73">
        <f t="shared" si="35"/>
        <v>0.7864355299</v>
      </c>
      <c r="AM43" s="73">
        <f t="shared" si="36"/>
        <v>1.073295783</v>
      </c>
      <c r="AN43" s="75">
        <v>236.92</v>
      </c>
      <c r="AO43" s="76">
        <v>240.0</v>
      </c>
      <c r="AP43" s="73">
        <f t="shared" si="37"/>
        <v>240</v>
      </c>
      <c r="AQ43" s="29" t="str">
        <f t="shared" si="38"/>
        <v>#REF!</v>
      </c>
      <c r="AR43" s="77" t="str">
        <f t="shared" si="39"/>
        <v>#REF!</v>
      </c>
      <c r="AS43" s="73"/>
      <c r="AT43" s="39"/>
    </row>
    <row r="44" ht="15.75" customHeight="1">
      <c r="A44" s="16" t="s">
        <v>524</v>
      </c>
      <c r="B44" s="16" t="s">
        <v>520</v>
      </c>
      <c r="C44" s="16">
        <v>1956.0</v>
      </c>
      <c r="D44" s="16"/>
      <c r="E44" s="16">
        <v>1956.0</v>
      </c>
      <c r="F44" s="16" t="b">
        <v>1</v>
      </c>
      <c r="G44" s="16" t="b">
        <v>0</v>
      </c>
      <c r="H44" s="16" t="b">
        <v>0</v>
      </c>
      <c r="I44" s="16" t="b">
        <v>0</v>
      </c>
      <c r="J44" s="18">
        <v>140.0</v>
      </c>
      <c r="K44" s="16">
        <v>1.0</v>
      </c>
      <c r="L44" s="16">
        <v>150.0</v>
      </c>
      <c r="M44" s="16">
        <v>350.0</v>
      </c>
      <c r="N44" s="16">
        <v>867.0</v>
      </c>
      <c r="O44" s="16">
        <v>500.14</v>
      </c>
      <c r="P44" s="18">
        <v>220.0</v>
      </c>
      <c r="Q44" s="16">
        <v>248.0</v>
      </c>
      <c r="R44" s="16">
        <v>2.44</v>
      </c>
      <c r="S44" s="16">
        <v>0.94</v>
      </c>
      <c r="T44" s="16">
        <v>0.92</v>
      </c>
      <c r="U44" s="19">
        <f t="shared" si="1"/>
        <v>500</v>
      </c>
      <c r="V44" s="19">
        <f t="shared" si="2"/>
        <v>58.82362921</v>
      </c>
      <c r="W44" s="20">
        <f t="shared" si="3"/>
        <v>0.707384314</v>
      </c>
      <c r="X44" s="17">
        <f t="shared" si="41"/>
        <v>353.7911908</v>
      </c>
      <c r="Y44" s="21">
        <f t="shared" si="4"/>
        <v>4</v>
      </c>
      <c r="Z44" s="21">
        <f t="shared" si="5"/>
        <v>1768.955954</v>
      </c>
      <c r="AA44" s="21">
        <f t="shared" si="6"/>
        <v>3.53692157</v>
      </c>
      <c r="AB44" s="22">
        <f t="shared" si="7"/>
        <v>0.7075823816</v>
      </c>
      <c r="AC44" s="8">
        <f t="shared" si="26"/>
        <v>313.0344456</v>
      </c>
      <c r="AD44" s="13">
        <f t="shared" si="27"/>
        <v>0.6260688913</v>
      </c>
      <c r="AE44" s="8">
        <f t="shared" si="28"/>
        <v>313.0344456</v>
      </c>
      <c r="AF44" s="73">
        <f t="shared" si="29"/>
        <v>73.52068109</v>
      </c>
      <c r="AG44" s="74" t="str">
        <f t="shared" si="30"/>
        <v>#REF!</v>
      </c>
      <c r="AH44" s="73">
        <f t="shared" si="31"/>
        <v>0</v>
      </c>
      <c r="AI44" s="73">
        <f t="shared" si="32"/>
        <v>0</v>
      </c>
      <c r="AJ44" s="75">
        <f t="shared" si="33"/>
        <v>1.303022223</v>
      </c>
      <c r="AK44" s="73">
        <f t="shared" si="34"/>
        <v>0.8574936531</v>
      </c>
      <c r="AL44" s="73">
        <f t="shared" si="35"/>
        <v>0.6998181725</v>
      </c>
      <c r="AM44" s="73">
        <f t="shared" si="36"/>
        <v>1.032354509</v>
      </c>
      <c r="AN44" s="75">
        <v>179.42</v>
      </c>
      <c r="AO44" s="76">
        <v>180.0</v>
      </c>
      <c r="AP44" s="73">
        <f t="shared" si="37"/>
        <v>180</v>
      </c>
      <c r="AQ44" s="29" t="str">
        <f t="shared" si="38"/>
        <v>#REF!</v>
      </c>
      <c r="AR44" s="77" t="str">
        <f t="shared" si="39"/>
        <v>#REF!</v>
      </c>
      <c r="AS44" s="73"/>
      <c r="AT44" s="39"/>
    </row>
    <row r="45" ht="15.75" customHeight="1">
      <c r="A45" s="7" t="s">
        <v>526</v>
      </c>
      <c r="B45" s="7" t="s">
        <v>1008</v>
      </c>
      <c r="C45" s="7">
        <v>1956.0</v>
      </c>
      <c r="D45" s="7"/>
      <c r="E45" s="7">
        <v>1956.0</v>
      </c>
      <c r="F45" s="7" t="b">
        <v>1</v>
      </c>
      <c r="G45" s="7" t="b">
        <v>0</v>
      </c>
      <c r="H45" s="7" t="b">
        <v>0</v>
      </c>
      <c r="I45" s="7" t="b">
        <v>0</v>
      </c>
      <c r="J45" s="9">
        <v>120.0</v>
      </c>
      <c r="K45" s="7">
        <v>1.0</v>
      </c>
      <c r="L45" s="7">
        <v>470.0</v>
      </c>
      <c r="M45" s="7">
        <v>30.0</v>
      </c>
      <c r="N45" s="7">
        <v>1190.0</v>
      </c>
      <c r="O45" s="7">
        <v>1000.28</v>
      </c>
      <c r="P45" s="9">
        <v>255.67</v>
      </c>
      <c r="Q45" s="7">
        <v>312.64</v>
      </c>
      <c r="R45" s="7">
        <v>5.84</v>
      </c>
      <c r="S45" s="7">
        <v>0.982061</v>
      </c>
      <c r="T45" s="7">
        <v>0.982061</v>
      </c>
      <c r="U45" s="10">
        <f t="shared" si="1"/>
        <v>500</v>
      </c>
      <c r="V45" s="10">
        <f t="shared" si="2"/>
        <v>85.71443114</v>
      </c>
      <c r="W45" s="11">
        <f t="shared" si="3"/>
        <v>0.5191682313</v>
      </c>
      <c r="X45" s="8">
        <f t="shared" si="41"/>
        <v>519.3135985</v>
      </c>
      <c r="Y45" s="12">
        <f t="shared" si="4"/>
        <v>4</v>
      </c>
      <c r="Z45" s="12">
        <f t="shared" si="5"/>
        <v>2596.567992</v>
      </c>
      <c r="AA45" s="12">
        <f t="shared" si="6"/>
        <v>2.595841157</v>
      </c>
      <c r="AB45" s="13">
        <f t="shared" si="7"/>
        <v>1.038627197</v>
      </c>
      <c r="AC45" s="8">
        <f t="shared" si="26"/>
        <v>511.2350563</v>
      </c>
      <c r="AD45" s="13">
        <f t="shared" si="27"/>
        <v>1.022470113</v>
      </c>
      <c r="AE45" s="8">
        <f t="shared" si="28"/>
        <v>511.2350563</v>
      </c>
      <c r="AF45" s="73">
        <f t="shared" si="29"/>
        <v>131.9973899</v>
      </c>
      <c r="AG45" s="74" t="str">
        <f t="shared" si="30"/>
        <v>#REF!</v>
      </c>
      <c r="AH45" s="73">
        <f t="shared" si="31"/>
        <v>0</v>
      </c>
      <c r="AI45" s="73">
        <f t="shared" si="32"/>
        <v>0</v>
      </c>
      <c r="AJ45" s="75">
        <f t="shared" si="33"/>
        <v>1.175479423</v>
      </c>
      <c r="AK45" s="73">
        <f t="shared" si="34"/>
        <v>1.035099217</v>
      </c>
      <c r="AL45" s="73">
        <f t="shared" si="35"/>
        <v>1.131069118</v>
      </c>
      <c r="AM45" s="73">
        <f t="shared" si="36"/>
        <v>0.9682484915</v>
      </c>
      <c r="AN45" s="75">
        <v>672.39</v>
      </c>
      <c r="AO45" s="76">
        <v>670.0</v>
      </c>
      <c r="AP45" s="73">
        <f t="shared" si="37"/>
        <v>670</v>
      </c>
      <c r="AQ45" s="29" t="str">
        <f t="shared" si="38"/>
        <v>#REF!</v>
      </c>
      <c r="AR45" s="77" t="str">
        <f t="shared" si="39"/>
        <v>#REF!</v>
      </c>
      <c r="AS45" s="73"/>
      <c r="AT45" s="39"/>
    </row>
    <row r="46" ht="15.75" customHeight="1">
      <c r="A46" s="7" t="s">
        <v>537</v>
      </c>
      <c r="B46" s="7" t="s">
        <v>1009</v>
      </c>
      <c r="C46" s="7">
        <v>1956.0</v>
      </c>
      <c r="D46" s="7"/>
      <c r="E46" s="7">
        <v>1956.0</v>
      </c>
      <c r="F46" s="7" t="b">
        <v>1</v>
      </c>
      <c r="G46" s="7" t="b">
        <v>0</v>
      </c>
      <c r="H46" s="7" t="b">
        <v>0</v>
      </c>
      <c r="I46" s="7" t="b">
        <v>0</v>
      </c>
      <c r="J46" s="9">
        <v>280.0</v>
      </c>
      <c r="K46" s="7">
        <v>1.0</v>
      </c>
      <c r="L46" s="7">
        <v>450.0</v>
      </c>
      <c r="M46" s="7">
        <v>30.0</v>
      </c>
      <c r="N46" s="7">
        <v>1278.0</v>
      </c>
      <c r="O46" s="7">
        <v>941.44</v>
      </c>
      <c r="P46" s="9">
        <v>247.71</v>
      </c>
      <c r="Q46" s="7">
        <v>314.68</v>
      </c>
      <c r="R46" s="7">
        <v>5.1</v>
      </c>
      <c r="S46" s="7">
        <v>0.982061</v>
      </c>
      <c r="T46" s="7">
        <v>0.982061</v>
      </c>
      <c r="U46" s="10">
        <f t="shared" si="1"/>
        <v>480</v>
      </c>
      <c r="V46" s="10">
        <f t="shared" si="2"/>
        <v>75.11749834</v>
      </c>
      <c r="W46" s="11">
        <f t="shared" si="3"/>
        <v>0.571616369</v>
      </c>
      <c r="X46" s="8">
        <f t="shared" si="41"/>
        <v>538.1425145</v>
      </c>
      <c r="Y46" s="12">
        <f t="shared" si="4"/>
        <v>4</v>
      </c>
      <c r="Z46" s="12">
        <f t="shared" si="5"/>
        <v>2690.712572</v>
      </c>
      <c r="AA46" s="12">
        <f t="shared" si="6"/>
        <v>2.858081845</v>
      </c>
      <c r="AB46" s="13">
        <f t="shared" si="7"/>
        <v>1.121130238</v>
      </c>
      <c r="AC46" s="8">
        <f t="shared" si="26"/>
        <v>529.771066</v>
      </c>
      <c r="AD46" s="13">
        <f t="shared" si="27"/>
        <v>1.103689721</v>
      </c>
      <c r="AE46" s="8">
        <f t="shared" si="28"/>
        <v>529.771066</v>
      </c>
      <c r="AF46" s="73">
        <f t="shared" si="29"/>
        <v>125.2711593</v>
      </c>
      <c r="AG46" s="74" t="str">
        <f t="shared" si="30"/>
        <v>#REF!</v>
      </c>
      <c r="AH46" s="73">
        <f t="shared" si="31"/>
        <v>0</v>
      </c>
      <c r="AI46" s="73">
        <f t="shared" si="32"/>
        <v>0</v>
      </c>
      <c r="AJ46" s="75">
        <f t="shared" si="33"/>
        <v>1.126995835</v>
      </c>
      <c r="AK46" s="73">
        <f t="shared" si="34"/>
        <v>0.9690039882</v>
      </c>
      <c r="AL46" s="73">
        <f t="shared" si="35"/>
        <v>1.156267557</v>
      </c>
      <c r="AM46" s="73">
        <f t="shared" si="36"/>
        <v>1.290878189</v>
      </c>
      <c r="AN46" s="75">
        <v>806.76</v>
      </c>
      <c r="AO46" s="76">
        <v>810.0</v>
      </c>
      <c r="AP46" s="73">
        <f t="shared" si="37"/>
        <v>810</v>
      </c>
      <c r="AQ46" s="29" t="str">
        <f t="shared" si="38"/>
        <v>#REF!</v>
      </c>
      <c r="AR46" s="77" t="str">
        <f t="shared" si="39"/>
        <v>#REF!</v>
      </c>
      <c r="AS46" s="73"/>
      <c r="AT46" s="39"/>
    </row>
    <row r="47" ht="15.75" customHeight="1">
      <c r="A47" s="16" t="s">
        <v>574</v>
      </c>
      <c r="B47" s="16" t="s">
        <v>573</v>
      </c>
      <c r="C47" s="16">
        <v>1956.0</v>
      </c>
      <c r="D47" s="16"/>
      <c r="E47" s="16">
        <v>1956.0</v>
      </c>
      <c r="F47" s="16" t="b">
        <v>1</v>
      </c>
      <c r="G47" s="16" t="b">
        <v>0</v>
      </c>
      <c r="H47" s="16" t="b">
        <v>0</v>
      </c>
      <c r="I47" s="16" t="b">
        <v>0</v>
      </c>
      <c r="J47" s="18">
        <v>100.0</v>
      </c>
      <c r="K47" s="16">
        <v>1.0</v>
      </c>
      <c r="L47" s="16">
        <v>200.0</v>
      </c>
      <c r="M47" s="16">
        <v>100.0</v>
      </c>
      <c r="N47" s="16">
        <v>642.0</v>
      </c>
      <c r="O47" s="16">
        <v>622.7</v>
      </c>
      <c r="P47" s="18">
        <v>224.0</v>
      </c>
      <c r="Q47" s="16">
        <v>253.0</v>
      </c>
      <c r="R47" s="16">
        <v>3.923</v>
      </c>
      <c r="S47" s="16">
        <v>0.93</v>
      </c>
      <c r="T47" s="16">
        <v>0.9</v>
      </c>
      <c r="U47" s="19">
        <f t="shared" si="1"/>
        <v>300</v>
      </c>
      <c r="V47" s="19">
        <f t="shared" si="2"/>
        <v>98.906119</v>
      </c>
      <c r="W47" s="20">
        <f t="shared" si="3"/>
        <v>0.4969299537</v>
      </c>
      <c r="X47" s="17">
        <f t="shared" si="41"/>
        <v>309.4382821</v>
      </c>
      <c r="Y47" s="21">
        <f t="shared" si="4"/>
        <v>4</v>
      </c>
      <c r="Z47" s="21">
        <f t="shared" si="5"/>
        <v>1547.191411</v>
      </c>
      <c r="AA47" s="21">
        <f t="shared" si="6"/>
        <v>2.484649768</v>
      </c>
      <c r="AB47" s="22">
        <f t="shared" si="7"/>
        <v>1.03146094</v>
      </c>
      <c r="AC47" s="8">
        <f t="shared" si="26"/>
        <v>265.1886078</v>
      </c>
      <c r="AD47" s="13">
        <f t="shared" si="27"/>
        <v>0.883962026</v>
      </c>
      <c r="AE47" s="8">
        <f t="shared" si="28"/>
        <v>265.1886078</v>
      </c>
      <c r="AF47" s="73">
        <f t="shared" si="29"/>
        <v>88.18658866</v>
      </c>
      <c r="AG47" s="74" t="str">
        <f t="shared" si="30"/>
        <v>#REF!</v>
      </c>
      <c r="AH47" s="73">
        <f t="shared" si="31"/>
        <v>0</v>
      </c>
      <c r="AI47" s="73">
        <f t="shared" si="32"/>
        <v>0</v>
      </c>
      <c r="AJ47" s="75">
        <f t="shared" si="33"/>
        <v>1.299583623</v>
      </c>
      <c r="AK47" s="73">
        <f t="shared" si="34"/>
        <v>1.111902193</v>
      </c>
      <c r="AL47" s="73">
        <f t="shared" si="35"/>
        <v>0.7242533013</v>
      </c>
      <c r="AM47" s="73">
        <f t="shared" si="36"/>
        <v>0.8890349162</v>
      </c>
      <c r="AN47" s="75">
        <v>199.7</v>
      </c>
      <c r="AO47" s="76">
        <v>200.0</v>
      </c>
      <c r="AP47" s="73">
        <f t="shared" si="37"/>
        <v>200</v>
      </c>
      <c r="AQ47" s="29" t="str">
        <f t="shared" si="38"/>
        <v>#REF!</v>
      </c>
      <c r="AR47" s="77" t="str">
        <f t="shared" si="39"/>
        <v>#REF!</v>
      </c>
      <c r="AS47" s="73"/>
      <c r="AT47" s="39"/>
    </row>
    <row r="48" ht="15.75" customHeight="1">
      <c r="A48" s="7" t="s">
        <v>572</v>
      </c>
      <c r="B48" s="7" t="s">
        <v>573</v>
      </c>
      <c r="C48" s="7">
        <v>1956.0</v>
      </c>
      <c r="D48" s="7"/>
      <c r="E48" s="7">
        <v>1956.0</v>
      </c>
      <c r="F48" s="7" t="b">
        <v>1</v>
      </c>
      <c r="G48" s="7" t="b">
        <v>0</v>
      </c>
      <c r="H48" s="7" t="b">
        <v>0</v>
      </c>
      <c r="I48" s="7" t="b">
        <v>0</v>
      </c>
      <c r="J48" s="9">
        <v>122.0</v>
      </c>
      <c r="K48" s="7">
        <v>1.0</v>
      </c>
      <c r="L48" s="7">
        <v>200.0</v>
      </c>
      <c r="M48" s="7">
        <v>0.0</v>
      </c>
      <c r="N48" s="7">
        <v>635.0</v>
      </c>
      <c r="O48" s="7">
        <v>642.3</v>
      </c>
      <c r="P48" s="9">
        <v>227.0</v>
      </c>
      <c r="Q48" s="7">
        <v>261.8</v>
      </c>
      <c r="R48" s="7">
        <v>3.923</v>
      </c>
      <c r="S48" s="7">
        <v>0.94</v>
      </c>
      <c r="T48" s="7">
        <v>0.94</v>
      </c>
      <c r="U48" s="10">
        <f t="shared" si="1"/>
        <v>200</v>
      </c>
      <c r="V48" s="10">
        <f t="shared" si="2"/>
        <v>103.1438932</v>
      </c>
      <c r="W48" s="11">
        <f t="shared" si="3"/>
        <v>0.4871048297</v>
      </c>
      <c r="X48" s="8">
        <f t="shared" si="41"/>
        <v>312.8674321</v>
      </c>
      <c r="Y48" s="12">
        <f t="shared" si="4"/>
        <v>4</v>
      </c>
      <c r="Z48" s="12">
        <f t="shared" si="5"/>
        <v>1564.337161</v>
      </c>
      <c r="AA48" s="12">
        <f t="shared" si="6"/>
        <v>2.435524148</v>
      </c>
      <c r="AB48" s="13">
        <f t="shared" si="7"/>
        <v>1.564337161</v>
      </c>
      <c r="AC48" s="8">
        <f t="shared" si="26"/>
        <v>282.7070116</v>
      </c>
      <c r="AD48" s="13">
        <f t="shared" si="27"/>
        <v>1.413535058</v>
      </c>
      <c r="AE48" s="8">
        <f t="shared" si="28"/>
        <v>282.7070116</v>
      </c>
      <c r="AF48" s="73">
        <f t="shared" si="29"/>
        <v>90.50631005</v>
      </c>
      <c r="AG48" s="74" t="str">
        <f t="shared" si="30"/>
        <v>#REF!</v>
      </c>
      <c r="AH48" s="73">
        <f t="shared" si="31"/>
        <v>0</v>
      </c>
      <c r="AI48" s="73">
        <f t="shared" si="32"/>
        <v>0</v>
      </c>
      <c r="AJ48" s="75">
        <f t="shared" si="33"/>
        <v>1.26384369</v>
      </c>
      <c r="AK48" s="73">
        <f t="shared" si="34"/>
        <v>1.135472882</v>
      </c>
      <c r="AL48" s="73">
        <f t="shared" si="35"/>
        <v>0.7693496396</v>
      </c>
      <c r="AM48" s="73">
        <f t="shared" si="36"/>
        <v>0.9752460897</v>
      </c>
      <c r="AN48" s="75">
        <v>270.97</v>
      </c>
      <c r="AO48" s="76">
        <v>270.0</v>
      </c>
      <c r="AP48" s="73">
        <f t="shared" si="37"/>
        <v>270</v>
      </c>
      <c r="AQ48" s="29" t="str">
        <f t="shared" si="38"/>
        <v>#REF!</v>
      </c>
      <c r="AR48" s="77" t="str">
        <f t="shared" si="39"/>
        <v>#REF!</v>
      </c>
      <c r="AS48" s="73"/>
      <c r="AT48" s="39"/>
    </row>
    <row r="49" ht="15.75" customHeight="1">
      <c r="A49" s="16" t="s">
        <v>728</v>
      </c>
      <c r="B49" s="16" t="s">
        <v>729</v>
      </c>
      <c r="C49" s="16">
        <v>1956.0</v>
      </c>
      <c r="D49" s="16"/>
      <c r="E49" s="16">
        <v>1956.0</v>
      </c>
      <c r="F49" s="16" t="b">
        <v>1</v>
      </c>
      <c r="G49" s="16" t="b">
        <v>0</v>
      </c>
      <c r="H49" s="16" t="b">
        <v>1</v>
      </c>
      <c r="I49" s="16" t="b">
        <v>1</v>
      </c>
      <c r="J49" s="18">
        <v>1200.0</v>
      </c>
      <c r="K49" s="16">
        <v>1.0</v>
      </c>
      <c r="L49" s="16">
        <v>250.0</v>
      </c>
      <c r="M49" s="16">
        <v>0.0</v>
      </c>
      <c r="N49" s="16">
        <v>100.0</v>
      </c>
      <c r="O49" s="16">
        <v>39.0</v>
      </c>
      <c r="P49" s="18">
        <v>248.5</v>
      </c>
      <c r="Q49" s="16">
        <v>255.0</v>
      </c>
      <c r="R49" s="16">
        <v>6.5</v>
      </c>
      <c r="S49" s="16">
        <v>0.95625</v>
      </c>
      <c r="T49" s="16">
        <v>0.978571</v>
      </c>
      <c r="U49" s="19">
        <f t="shared" si="1"/>
        <v>250</v>
      </c>
      <c r="V49" s="19">
        <f t="shared" si="2"/>
        <v>39.76893219</v>
      </c>
      <c r="W49" s="20">
        <f t="shared" si="3"/>
        <v>2.78393506</v>
      </c>
      <c r="X49" s="17">
        <f t="shared" si="41"/>
        <v>108.5734673</v>
      </c>
      <c r="Y49" s="21">
        <f t="shared" si="4"/>
        <v>4</v>
      </c>
      <c r="Z49" s="21">
        <f t="shared" si="5"/>
        <v>542.8673367</v>
      </c>
      <c r="AA49" s="21">
        <f t="shared" si="6"/>
        <v>13.9196753</v>
      </c>
      <c r="AB49" s="22">
        <f t="shared" si="7"/>
        <v>0.4342938694</v>
      </c>
      <c r="AC49" s="8">
        <f t="shared" si="26"/>
        <v>155.6550245</v>
      </c>
      <c r="AD49" s="13">
        <f t="shared" si="27"/>
        <v>0.6226200979</v>
      </c>
      <c r="AE49" s="8">
        <f t="shared" si="28"/>
        <v>155.6550245</v>
      </c>
      <c r="AF49" s="73">
        <f t="shared" si="29"/>
        <v>11.58428478</v>
      </c>
      <c r="AG49" s="74" t="str">
        <f t="shared" si="30"/>
        <v>#REF!</v>
      </c>
      <c r="AH49" s="73">
        <f t="shared" si="31"/>
        <v>2</v>
      </c>
      <c r="AI49" s="73">
        <f t="shared" si="32"/>
        <v>0</v>
      </c>
      <c r="AJ49" s="75">
        <f t="shared" si="33"/>
        <v>1.49386621</v>
      </c>
      <c r="AK49" s="73">
        <f t="shared" si="34"/>
        <v>0.7050614529</v>
      </c>
      <c r="AL49" s="73">
        <f t="shared" si="35"/>
        <v>0.7342645998</v>
      </c>
      <c r="AM49" s="73">
        <f t="shared" si="36"/>
        <v>1.70328585</v>
      </c>
      <c r="AN49" s="75">
        <v>140.09</v>
      </c>
      <c r="AO49" s="76">
        <v>140.0</v>
      </c>
      <c r="AP49" s="73">
        <f t="shared" si="37"/>
        <v>140</v>
      </c>
      <c r="AQ49" s="29" t="str">
        <f t="shared" si="38"/>
        <v>#REF!</v>
      </c>
      <c r="AR49" s="77" t="str">
        <f t="shared" si="39"/>
        <v>#REF!</v>
      </c>
      <c r="AS49" s="73"/>
      <c r="AT49" s="39"/>
    </row>
    <row r="50" ht="15.75" hidden="1" customHeight="1">
      <c r="A50" s="7" t="s">
        <v>930</v>
      </c>
      <c r="B50" s="7" t="s">
        <v>931</v>
      </c>
      <c r="C50" s="7">
        <v>1972.0</v>
      </c>
      <c r="D50" s="7"/>
      <c r="E50" s="7">
        <v>1972.0</v>
      </c>
      <c r="F50" s="7" t="b">
        <v>0</v>
      </c>
      <c r="G50" s="7" t="b">
        <v>1</v>
      </c>
      <c r="H50" s="7" t="b">
        <v>0</v>
      </c>
      <c r="I50" s="7" t="b">
        <v>0</v>
      </c>
      <c r="J50" s="7"/>
      <c r="K50" s="7"/>
      <c r="L50" s="7">
        <v>9000.0</v>
      </c>
      <c r="M50" s="7">
        <v>0.0</v>
      </c>
      <c r="N50" s="7">
        <v>156126.0</v>
      </c>
      <c r="O50" s="7">
        <v>35391.0</v>
      </c>
      <c r="P50" s="7"/>
      <c r="Q50" s="7">
        <v>263.0</v>
      </c>
      <c r="R50" s="7">
        <v>4.15</v>
      </c>
      <c r="S50" s="7">
        <v>1.0</v>
      </c>
      <c r="T50" s="7">
        <v>0.99712</v>
      </c>
      <c r="U50" s="10">
        <f t="shared" si="1"/>
        <v>9000</v>
      </c>
      <c r="V50" s="10">
        <f t="shared" si="2"/>
        <v>23.11516108</v>
      </c>
      <c r="W50" s="11">
        <f t="shared" si="3"/>
        <v>0.2636024318</v>
      </c>
      <c r="X50" s="8">
        <f t="shared" ref="X50:X53" si="42">0.2*(8.17*POW(N50*R50,0.46))+0.8*(0.146*POW(N50*Q50,0.639))</f>
        <v>9329.153663</v>
      </c>
      <c r="Y50" s="12">
        <f t="shared" si="4"/>
        <v>1.05</v>
      </c>
      <c r="Z50" s="12">
        <f t="shared" si="5"/>
        <v>19124.76501</v>
      </c>
      <c r="AA50" s="12">
        <f t="shared" si="6"/>
        <v>0.5403849852</v>
      </c>
      <c r="AB50" s="13">
        <f t="shared" si="7"/>
        <v>1.036572629</v>
      </c>
      <c r="AC50" s="8">
        <f t="shared" ref="AC50:AC53" si="43">IF(I50,X50*1.5,X50)*IF(S50*T50&gt;0,(S50*T50+0.02),1)</f>
        <v>9488.868774</v>
      </c>
      <c r="AG50" s="7"/>
    </row>
    <row r="51" ht="15.75" hidden="1" customHeight="1">
      <c r="A51" s="16" t="s">
        <v>911</v>
      </c>
      <c r="B51" s="16" t="s">
        <v>912</v>
      </c>
      <c r="C51" s="16">
        <v>1966.0</v>
      </c>
      <c r="D51" s="16"/>
      <c r="E51" s="16">
        <v>1966.0</v>
      </c>
      <c r="F51" s="16" t="b">
        <v>0</v>
      </c>
      <c r="G51" s="16" t="b">
        <v>1</v>
      </c>
      <c r="H51" s="16" t="b">
        <v>0</v>
      </c>
      <c r="I51" s="16" t="b">
        <v>0</v>
      </c>
      <c r="J51" s="16"/>
      <c r="K51" s="16"/>
      <c r="L51" s="16">
        <v>6000.0</v>
      </c>
      <c r="M51" s="16">
        <v>0.0</v>
      </c>
      <c r="N51" s="16">
        <v>89174.0</v>
      </c>
      <c r="O51" s="16">
        <v>15866.8</v>
      </c>
      <c r="P51" s="16"/>
      <c r="Q51" s="16">
        <v>263.0</v>
      </c>
      <c r="R51" s="16">
        <v>4.15</v>
      </c>
      <c r="S51" s="16"/>
      <c r="T51" s="16"/>
      <c r="U51" s="19">
        <f t="shared" si="1"/>
        <v>6000</v>
      </c>
      <c r="V51" s="19">
        <f t="shared" si="2"/>
        <v>18.14389078</v>
      </c>
      <c r="W51" s="20">
        <f t="shared" si="3"/>
        <v>0.4146565854</v>
      </c>
      <c r="X51" s="17">
        <f t="shared" si="42"/>
        <v>6579.273109</v>
      </c>
      <c r="Y51" s="21">
        <f t="shared" si="4"/>
        <v>1.05</v>
      </c>
      <c r="Z51" s="21">
        <f t="shared" si="5"/>
        <v>13487.50987</v>
      </c>
      <c r="AA51" s="21">
        <f t="shared" si="6"/>
        <v>0.8500460001</v>
      </c>
      <c r="AB51" s="22">
        <f t="shared" si="7"/>
        <v>1.096545518</v>
      </c>
      <c r="AC51" s="17">
        <f t="shared" si="43"/>
        <v>6579.273109</v>
      </c>
      <c r="AG51" s="16"/>
    </row>
    <row r="52" ht="15.75" hidden="1" customHeight="1">
      <c r="A52" s="7" t="s">
        <v>925</v>
      </c>
      <c r="B52" s="7" t="s">
        <v>912</v>
      </c>
      <c r="C52" s="7">
        <v>1969.0</v>
      </c>
      <c r="D52" s="7"/>
      <c r="E52" s="7">
        <v>1969.0</v>
      </c>
      <c r="F52" s="7" t="b">
        <v>0</v>
      </c>
      <c r="G52" s="7" t="b">
        <v>1</v>
      </c>
      <c r="H52" s="7" t="b">
        <v>0</v>
      </c>
      <c r="I52" s="7" t="b">
        <v>0</v>
      </c>
      <c r="J52" s="7"/>
      <c r="K52" s="7"/>
      <c r="L52" s="7">
        <v>6000.0</v>
      </c>
      <c r="M52" s="7">
        <v>0.0</v>
      </c>
      <c r="N52" s="7">
        <v>89174.0</v>
      </c>
      <c r="O52" s="7">
        <v>26708.0</v>
      </c>
      <c r="P52" s="7"/>
      <c r="Q52" s="7">
        <v>263.0</v>
      </c>
      <c r="R52" s="7">
        <v>4.14</v>
      </c>
      <c r="S52" s="7"/>
      <c r="T52" s="7"/>
      <c r="U52" s="10">
        <f t="shared" si="1"/>
        <v>6000</v>
      </c>
      <c r="V52" s="10">
        <f t="shared" si="2"/>
        <v>30.54094303</v>
      </c>
      <c r="W52" s="11">
        <f t="shared" si="3"/>
        <v>0.2463161951</v>
      </c>
      <c r="X52" s="8">
        <f t="shared" si="42"/>
        <v>6578.612938</v>
      </c>
      <c r="Y52" s="12">
        <f t="shared" si="4"/>
        <v>1.05</v>
      </c>
      <c r="Z52" s="12">
        <f t="shared" si="5"/>
        <v>13486.15652</v>
      </c>
      <c r="AA52" s="12">
        <f t="shared" si="6"/>
        <v>0.5049481999</v>
      </c>
      <c r="AB52" s="13">
        <f t="shared" si="7"/>
        <v>1.09643549</v>
      </c>
      <c r="AC52" s="8">
        <f t="shared" si="43"/>
        <v>6578.612938</v>
      </c>
      <c r="AG52" s="7"/>
    </row>
    <row r="53" ht="15.75" hidden="1" customHeight="1">
      <c r="A53" s="16" t="s">
        <v>972</v>
      </c>
      <c r="B53" s="16" t="s">
        <v>973</v>
      </c>
      <c r="C53" s="16">
        <v>2002.0</v>
      </c>
      <c r="D53" s="16"/>
      <c r="E53" s="16">
        <v>2002.0</v>
      </c>
      <c r="F53" s="16" t="b">
        <v>0</v>
      </c>
      <c r="G53" s="16" t="b">
        <v>1</v>
      </c>
      <c r="H53" s="16" t="b">
        <v>0</v>
      </c>
      <c r="I53" s="16" t="b">
        <v>0</v>
      </c>
      <c r="J53" s="16"/>
      <c r="K53" s="16"/>
      <c r="L53" s="16">
        <v>2400.0</v>
      </c>
      <c r="M53" s="16">
        <v>0.0</v>
      </c>
      <c r="N53" s="16">
        <v>3950.0</v>
      </c>
      <c r="O53" s="16">
        <v>1688.4</v>
      </c>
      <c r="P53" s="16"/>
      <c r="Q53" s="16">
        <v>275.0</v>
      </c>
      <c r="R53" s="16"/>
      <c r="S53" s="16"/>
      <c r="T53" s="16"/>
      <c r="U53" s="19">
        <f t="shared" si="1"/>
        <v>2400</v>
      </c>
      <c r="V53" s="19">
        <f t="shared" si="2"/>
        <v>43.58705947</v>
      </c>
      <c r="W53" s="20">
        <f t="shared" si="3"/>
        <v>0.4976530095</v>
      </c>
      <c r="X53" s="17">
        <f t="shared" si="42"/>
        <v>840.2373412</v>
      </c>
      <c r="Y53" s="21">
        <f t="shared" si="4"/>
        <v>1.05</v>
      </c>
      <c r="Z53" s="21">
        <f t="shared" si="5"/>
        <v>1722.48655</v>
      </c>
      <c r="AA53" s="21">
        <f t="shared" si="6"/>
        <v>1.020188669</v>
      </c>
      <c r="AB53" s="22">
        <f t="shared" si="7"/>
        <v>0.3500988922</v>
      </c>
      <c r="AC53" s="17">
        <f t="shared" si="43"/>
        <v>840.2373412</v>
      </c>
      <c r="AG53" s="16"/>
    </row>
    <row r="54" ht="15.75" customHeight="1">
      <c r="A54" s="7" t="s">
        <v>819</v>
      </c>
      <c r="B54" s="7" t="s">
        <v>820</v>
      </c>
      <c r="C54" s="7">
        <v>1956.0</v>
      </c>
      <c r="D54" s="7"/>
      <c r="E54" s="7">
        <v>1956.0</v>
      </c>
      <c r="F54" s="7" t="b">
        <v>1</v>
      </c>
      <c r="G54" s="7" t="b">
        <v>0</v>
      </c>
      <c r="H54" s="7" t="b">
        <v>0</v>
      </c>
      <c r="I54" s="7" t="b">
        <v>0</v>
      </c>
      <c r="J54" s="9">
        <v>145.0</v>
      </c>
      <c r="K54" s="7">
        <v>1.0</v>
      </c>
      <c r="L54" s="7">
        <v>400.0</v>
      </c>
      <c r="M54" s="7">
        <v>0.0</v>
      </c>
      <c r="N54" s="7">
        <v>192.0</v>
      </c>
      <c r="O54" s="7">
        <v>135.28</v>
      </c>
      <c r="P54" s="9">
        <v>254.0</v>
      </c>
      <c r="Q54" s="7">
        <v>278.0</v>
      </c>
      <c r="R54" s="7">
        <v>4.2</v>
      </c>
      <c r="S54" s="7">
        <v>0.968182</v>
      </c>
      <c r="T54" s="7">
        <v>0.968182</v>
      </c>
      <c r="U54" s="10">
        <f t="shared" si="1"/>
        <v>400</v>
      </c>
      <c r="V54" s="10">
        <f t="shared" si="2"/>
        <v>71.84750463</v>
      </c>
      <c r="W54" s="11">
        <f t="shared" si="3"/>
        <v>1.168138902</v>
      </c>
      <c r="X54" s="8">
        <f>0.2*(8.17*POWER(N54*R54,0.46))+0.8*(0.146*POWER(N54*Q54,0.639))</f>
        <v>158.0258306</v>
      </c>
      <c r="Y54" s="12">
        <f t="shared" si="4"/>
        <v>4</v>
      </c>
      <c r="Z54" s="12">
        <f t="shared" si="5"/>
        <v>790.129153</v>
      </c>
      <c r="AA54" s="12">
        <f t="shared" si="6"/>
        <v>5.840694508</v>
      </c>
      <c r="AB54" s="13">
        <f t="shared" si="7"/>
        <v>0.3950645765</v>
      </c>
      <c r="AC54" s="8">
        <f>X54*IF(I54,1.5,1)*IF(S54*T54&gt;0,(S54*T54+0.02),1)</f>
        <v>151.2901985</v>
      </c>
      <c r="AD54" s="13">
        <f>IFERROR(AC54/U54,#N/A)</f>
        <v>0.3782254962</v>
      </c>
      <c r="AE54" s="8">
        <f>IF(I54,1.5,1)*IF(S54*T54&gt;0,(S54*T54+0.02),1)*(0.2*(8.17*POWER(N54*R54,0.46))+0.8*(0.146*POWER(N54*Q54,0.639)))</f>
        <v>151.2901985</v>
      </c>
      <c r="AF54" s="73">
        <f>If(F54,$AT$2*O54*(1-log(O54)*0.04+1/(O54/80)^0.6),$AT$3*O54*(1+1/(O54/12)^0.9-log(O54)*0.03))</f>
        <v>26.694522</v>
      </c>
      <c r="AG54" s="74" t="str">
        <f>If(F54,VLOOKUP(E54,#REF!,2),VLOOKUP(E54,#REF!,3))</f>
        <v>#REF!</v>
      </c>
      <c r="AH54" s="73">
        <f>If(I54,2,0)</f>
        <v>0</v>
      </c>
      <c r="AI54" s="73">
        <f>1.5-1.5/K54^0.2</f>
        <v>0</v>
      </c>
      <c r="AJ54" s="75">
        <f>If(P54/Q54 &gt; 0.66,1+2.8*(P54/Q54-0.66)^1.5,1)</f>
        <v>1.357733237</v>
      </c>
      <c r="AK54" s="73">
        <f>Max(0.8,Pow(V54/5,0.5))/4</f>
        <v>0.9476781141</v>
      </c>
      <c r="AL54" s="73">
        <f>IF(Q54&gt;300,IF(Q54&gt;460.39,7.5*8.5^((Q54/460.4-1)^0.6),6.5^((Q54/150-2)^1.1)),2.8^(Q54/150-2))</f>
        <v>0.8598383712</v>
      </c>
      <c r="AM54" s="73">
        <f>If(ISBLANK(J54),1,2.6*(1-1/((J54*0.05)^0.26)))</f>
        <v>1.046592255</v>
      </c>
      <c r="AN54" s="75">
        <v>111.6</v>
      </c>
      <c r="AO54" s="76">
        <v>110.0</v>
      </c>
      <c r="AP54" s="73">
        <f>If(MOD(Log10(AO54),1)&gt;0.2,ROUND(AO54,1-INT(LOG10(AO54))), ROUND(2*AO54,1-INT(LOG10(2*AO54)))/2)</f>
        <v>110</v>
      </c>
      <c r="AQ54" s="29" t="str">
        <f>VLOOKUP(A54,#REF!,27,FALSE)</f>
        <v>#REF!</v>
      </c>
      <c r="AR54" s="77" t="str">
        <f>AP54/AQ54-1</f>
        <v>#REF!</v>
      </c>
      <c r="AS54" s="73"/>
      <c r="AT54" s="39"/>
    </row>
    <row r="55" ht="15.75" hidden="1" customHeight="1">
      <c r="A55" s="16" t="s">
        <v>933</v>
      </c>
      <c r="B55" s="16" t="s">
        <v>933</v>
      </c>
      <c r="C55" s="16">
        <v>1974.0</v>
      </c>
      <c r="D55" s="16"/>
      <c r="E55" s="16">
        <v>1974.0</v>
      </c>
      <c r="F55" s="16" t="b">
        <v>0</v>
      </c>
      <c r="G55" s="16" t="b">
        <v>1</v>
      </c>
      <c r="H55" s="16" t="b">
        <v>0</v>
      </c>
      <c r="I55" s="16" t="b">
        <v>0</v>
      </c>
      <c r="J55" s="16"/>
      <c r="K55" s="16"/>
      <c r="L55" s="16">
        <v>4000.0</v>
      </c>
      <c r="M55" s="16">
        <v>0.0</v>
      </c>
      <c r="N55" s="16">
        <v>11.1</v>
      </c>
      <c r="O55" s="16">
        <v>27.491</v>
      </c>
      <c r="P55" s="16"/>
      <c r="Q55" s="16">
        <v>271.03</v>
      </c>
      <c r="R55" s="16"/>
      <c r="S55" s="16"/>
      <c r="T55" s="16"/>
      <c r="U55" s="19">
        <f t="shared" si="1"/>
        <v>4000</v>
      </c>
      <c r="V55" s="19">
        <f t="shared" si="2"/>
        <v>252.5497147</v>
      </c>
      <c r="W55" s="20">
        <f t="shared" si="3"/>
        <v>0.7094336508</v>
      </c>
      <c r="X55" s="17">
        <f t="shared" ref="X55:X61" si="44">0.2*(8.17*POW(N55*R55,0.46))+0.8*(0.146*POW(N55*Q55,0.639))</f>
        <v>19.5030405</v>
      </c>
      <c r="Y55" s="21">
        <f t="shared" si="4"/>
        <v>1.05</v>
      </c>
      <c r="Z55" s="21">
        <f t="shared" si="5"/>
        <v>39.98123302</v>
      </c>
      <c r="AA55" s="21">
        <f t="shared" si="6"/>
        <v>1.454338984</v>
      </c>
      <c r="AB55" s="22">
        <f t="shared" si="7"/>
        <v>0.004875760124</v>
      </c>
      <c r="AC55" s="17">
        <f t="shared" ref="AC55:AC61" si="45">IF(I55,X55*1.5,X55)*IF(S55*T55&gt;0,(S55*T55+0.02),1)</f>
        <v>19.5030405</v>
      </c>
      <c r="AG55" s="16"/>
    </row>
    <row r="56" ht="15.75" hidden="1" customHeight="1">
      <c r="A56" s="7" t="s">
        <v>893</v>
      </c>
      <c r="B56" s="7" t="s">
        <v>893</v>
      </c>
      <c r="C56" s="7">
        <v>1960.0</v>
      </c>
      <c r="D56" s="7"/>
      <c r="E56" s="7">
        <v>1960.0</v>
      </c>
      <c r="F56" s="7" t="b">
        <v>0</v>
      </c>
      <c r="G56" s="7" t="b">
        <v>1</v>
      </c>
      <c r="H56" s="7" t="b">
        <v>0</v>
      </c>
      <c r="I56" s="7" t="b">
        <v>0</v>
      </c>
      <c r="J56" s="7"/>
      <c r="K56" s="7"/>
      <c r="L56" s="7">
        <v>300.0</v>
      </c>
      <c r="M56" s="7">
        <v>0.0</v>
      </c>
      <c r="N56" s="7">
        <v>1402.325</v>
      </c>
      <c r="O56" s="7">
        <v>493.6442</v>
      </c>
      <c r="P56" s="7"/>
      <c r="Q56" s="7">
        <v>241.4</v>
      </c>
      <c r="R56" s="7">
        <v>2.03</v>
      </c>
      <c r="S56" s="7"/>
      <c r="T56" s="7"/>
      <c r="U56" s="10">
        <f t="shared" si="1"/>
        <v>300</v>
      </c>
      <c r="V56" s="10">
        <f t="shared" si="2"/>
        <v>35.89588667</v>
      </c>
      <c r="W56" s="11">
        <f t="shared" si="3"/>
        <v>0.9365228445</v>
      </c>
      <c r="X56" s="8">
        <f t="shared" si="44"/>
        <v>462.3090704</v>
      </c>
      <c r="Y56" s="12">
        <f t="shared" si="4"/>
        <v>1.05</v>
      </c>
      <c r="Z56" s="12">
        <f t="shared" si="5"/>
        <v>947.7335943</v>
      </c>
      <c r="AA56" s="12">
        <f t="shared" si="6"/>
        <v>1.919871831</v>
      </c>
      <c r="AB56" s="13">
        <f t="shared" si="7"/>
        <v>1.541030235</v>
      </c>
      <c r="AC56" s="8">
        <f t="shared" si="45"/>
        <v>462.3090704</v>
      </c>
      <c r="AG56" s="7"/>
    </row>
    <row r="57" ht="15.75" hidden="1" customHeight="1">
      <c r="A57" s="16" t="s">
        <v>897</v>
      </c>
      <c r="B57" s="16" t="s">
        <v>897</v>
      </c>
      <c r="C57" s="16">
        <v>1962.0</v>
      </c>
      <c r="D57" s="16"/>
      <c r="E57" s="16">
        <v>1962.0</v>
      </c>
      <c r="F57" s="16" t="b">
        <v>0</v>
      </c>
      <c r="G57" s="16" t="b">
        <v>1</v>
      </c>
      <c r="H57" s="16" t="b">
        <v>0</v>
      </c>
      <c r="I57" s="16" t="b">
        <v>0</v>
      </c>
      <c r="J57" s="16"/>
      <c r="K57" s="16"/>
      <c r="L57" s="16">
        <v>350.0</v>
      </c>
      <c r="M57" s="16">
        <v>0.0</v>
      </c>
      <c r="N57" s="16">
        <v>1065.533</v>
      </c>
      <c r="O57" s="16">
        <v>449.02112</v>
      </c>
      <c r="P57" s="16"/>
      <c r="Q57" s="16">
        <v>258.88</v>
      </c>
      <c r="R57" s="16"/>
      <c r="S57" s="16"/>
      <c r="T57" s="16"/>
      <c r="U57" s="19">
        <f t="shared" si="1"/>
        <v>350</v>
      </c>
      <c r="V57" s="19">
        <f t="shared" si="2"/>
        <v>42.97136876</v>
      </c>
      <c r="W57" s="20">
        <f t="shared" si="3"/>
        <v>0.7794015541</v>
      </c>
      <c r="X57" s="17">
        <f t="shared" si="44"/>
        <v>349.9677588</v>
      </c>
      <c r="Y57" s="21">
        <f t="shared" si="4"/>
        <v>1.05</v>
      </c>
      <c r="Z57" s="21">
        <f t="shared" si="5"/>
        <v>717.4339054</v>
      </c>
      <c r="AA57" s="21">
        <f t="shared" si="6"/>
        <v>1.597773186</v>
      </c>
      <c r="AB57" s="22">
        <f t="shared" si="7"/>
        <v>0.9999078821</v>
      </c>
      <c r="AC57" s="17">
        <f t="shared" si="45"/>
        <v>349.9677588</v>
      </c>
      <c r="AG57" s="16"/>
    </row>
    <row r="58" ht="15.75" hidden="1" customHeight="1">
      <c r="A58" s="7" t="s">
        <v>932</v>
      </c>
      <c r="B58" s="7" t="s">
        <v>932</v>
      </c>
      <c r="C58" s="7">
        <v>1972.0</v>
      </c>
      <c r="D58" s="7"/>
      <c r="E58" s="7">
        <v>1972.0</v>
      </c>
      <c r="F58" s="7" t="b">
        <v>0</v>
      </c>
      <c r="G58" s="7" t="b">
        <v>1</v>
      </c>
      <c r="H58" s="7" t="b">
        <v>0</v>
      </c>
      <c r="I58" s="7" t="b">
        <v>0</v>
      </c>
      <c r="J58" s="7"/>
      <c r="K58" s="7"/>
      <c r="L58" s="7">
        <v>400.0</v>
      </c>
      <c r="M58" s="7">
        <v>0.0</v>
      </c>
      <c r="N58" s="7">
        <v>1391.121</v>
      </c>
      <c r="O58" s="7">
        <v>530.25896</v>
      </c>
      <c r="P58" s="7"/>
      <c r="Q58" s="7">
        <v>260.289</v>
      </c>
      <c r="R58" s="7">
        <v>6.69</v>
      </c>
      <c r="S58" s="7"/>
      <c r="T58" s="7"/>
      <c r="U58" s="10">
        <f t="shared" si="1"/>
        <v>400</v>
      </c>
      <c r="V58" s="10">
        <f t="shared" si="2"/>
        <v>38.86891629</v>
      </c>
      <c r="W58" s="11">
        <f t="shared" si="3"/>
        <v>0.9915668793</v>
      </c>
      <c r="X58" s="8">
        <f t="shared" si="44"/>
        <v>525.7872222</v>
      </c>
      <c r="Y58" s="12">
        <f t="shared" si="4"/>
        <v>1.05</v>
      </c>
      <c r="Z58" s="12">
        <f t="shared" si="5"/>
        <v>1077.863805</v>
      </c>
      <c r="AA58" s="12">
        <f t="shared" si="6"/>
        <v>2.032712102</v>
      </c>
      <c r="AB58" s="13">
        <f t="shared" si="7"/>
        <v>1.314468055</v>
      </c>
      <c r="AC58" s="8">
        <f t="shared" si="45"/>
        <v>525.7872222</v>
      </c>
      <c r="AG58" s="7"/>
    </row>
    <row r="59" ht="15.75" hidden="1" customHeight="1">
      <c r="A59" s="16" t="s">
        <v>892</v>
      </c>
      <c r="B59" s="16" t="s">
        <v>892</v>
      </c>
      <c r="C59" s="16">
        <v>1959.0</v>
      </c>
      <c r="D59" s="16"/>
      <c r="E59" s="16">
        <v>1959.0</v>
      </c>
      <c r="F59" s="16" t="b">
        <v>0</v>
      </c>
      <c r="G59" s="16" t="b">
        <v>1</v>
      </c>
      <c r="H59" s="16" t="b">
        <v>0</v>
      </c>
      <c r="I59" s="16" t="b">
        <v>0</v>
      </c>
      <c r="J59" s="16"/>
      <c r="K59" s="16"/>
      <c r="L59" s="16">
        <v>180.0</v>
      </c>
      <c r="M59" s="16">
        <v>0.0</v>
      </c>
      <c r="N59" s="16">
        <v>22.49816</v>
      </c>
      <c r="O59" s="16">
        <v>16.35</v>
      </c>
      <c r="P59" s="16"/>
      <c r="Q59" s="16">
        <v>255.04</v>
      </c>
      <c r="R59" s="16">
        <v>1.49</v>
      </c>
      <c r="S59" s="16"/>
      <c r="T59" s="16"/>
      <c r="U59" s="19">
        <f t="shared" si="1"/>
        <v>180</v>
      </c>
      <c r="V59" s="19">
        <f t="shared" si="2"/>
        <v>74.1054381</v>
      </c>
      <c r="W59" s="20">
        <f t="shared" si="3"/>
        <v>2.304853096</v>
      </c>
      <c r="X59" s="17">
        <f t="shared" si="44"/>
        <v>37.68434812</v>
      </c>
      <c r="Y59" s="21">
        <f t="shared" si="4"/>
        <v>1.05</v>
      </c>
      <c r="Z59" s="21">
        <f t="shared" si="5"/>
        <v>77.25291365</v>
      </c>
      <c r="AA59" s="21">
        <f t="shared" si="6"/>
        <v>4.724948847</v>
      </c>
      <c r="AB59" s="22">
        <f t="shared" si="7"/>
        <v>0.2093574896</v>
      </c>
      <c r="AC59" s="17">
        <f t="shared" si="45"/>
        <v>37.68434812</v>
      </c>
      <c r="AG59" s="16"/>
    </row>
    <row r="60" ht="15.75" hidden="1" customHeight="1">
      <c r="A60" s="7" t="s">
        <v>900</v>
      </c>
      <c r="B60" s="7" t="s">
        <v>900</v>
      </c>
      <c r="C60" s="7">
        <v>1963.0</v>
      </c>
      <c r="D60" s="7"/>
      <c r="E60" s="7">
        <v>1963.0</v>
      </c>
      <c r="F60" s="7" t="b">
        <v>0</v>
      </c>
      <c r="G60" s="7" t="b">
        <v>1</v>
      </c>
      <c r="H60" s="7" t="b">
        <v>0</v>
      </c>
      <c r="I60" s="7" t="b">
        <v>0</v>
      </c>
      <c r="J60" s="7"/>
      <c r="K60" s="7"/>
      <c r="L60" s="7">
        <v>195.0</v>
      </c>
      <c r="M60" s="7">
        <v>0.0</v>
      </c>
      <c r="N60" s="7">
        <v>32.7</v>
      </c>
      <c r="O60" s="7">
        <v>29.09</v>
      </c>
      <c r="P60" s="7"/>
      <c r="Q60" s="7">
        <v>279.0</v>
      </c>
      <c r="R60" s="7"/>
      <c r="S60" s="7"/>
      <c r="T60" s="7"/>
      <c r="U60" s="10">
        <f t="shared" si="1"/>
        <v>195</v>
      </c>
      <c r="V60" s="10">
        <f t="shared" si="2"/>
        <v>90.71420351</v>
      </c>
      <c r="W60" s="11">
        <f t="shared" si="3"/>
        <v>1.362185401</v>
      </c>
      <c r="X60" s="8">
        <f t="shared" si="44"/>
        <v>39.6259733</v>
      </c>
      <c r="Y60" s="12">
        <f t="shared" si="4"/>
        <v>1.05</v>
      </c>
      <c r="Z60" s="12">
        <f t="shared" si="5"/>
        <v>81.23324527</v>
      </c>
      <c r="AA60" s="12">
        <f t="shared" si="6"/>
        <v>2.792480071</v>
      </c>
      <c r="AB60" s="13">
        <f t="shared" si="7"/>
        <v>0.2032101195</v>
      </c>
      <c r="AC60" s="8">
        <f t="shared" si="45"/>
        <v>39.6259733</v>
      </c>
      <c r="AG60" s="7"/>
    </row>
    <row r="61" ht="15.75" hidden="1" customHeight="1">
      <c r="A61" s="16" t="s">
        <v>903</v>
      </c>
      <c r="B61" s="16" t="s">
        <v>903</v>
      </c>
      <c r="C61" s="16">
        <v>1965.0</v>
      </c>
      <c r="D61" s="16"/>
      <c r="E61" s="16">
        <v>1965.0</v>
      </c>
      <c r="F61" s="16" t="b">
        <v>0</v>
      </c>
      <c r="G61" s="16" t="b">
        <v>1</v>
      </c>
      <c r="H61" s="16" t="b">
        <v>0</v>
      </c>
      <c r="I61" s="16" t="b">
        <v>0</v>
      </c>
      <c r="J61" s="16"/>
      <c r="K61" s="16"/>
      <c r="L61" s="16">
        <v>215.0</v>
      </c>
      <c r="M61" s="16">
        <v>0.0</v>
      </c>
      <c r="N61" s="16">
        <v>23.16585</v>
      </c>
      <c r="O61" s="16">
        <v>25.227</v>
      </c>
      <c r="P61" s="16"/>
      <c r="Q61" s="16">
        <v>284.5</v>
      </c>
      <c r="R61" s="16">
        <v>5.92</v>
      </c>
      <c r="S61" s="16"/>
      <c r="T61" s="16"/>
      <c r="U61" s="19">
        <f t="shared" si="1"/>
        <v>215</v>
      </c>
      <c r="V61" s="19">
        <f t="shared" si="2"/>
        <v>111.0444073</v>
      </c>
      <c r="W61" s="20">
        <f t="shared" si="3"/>
        <v>1.899063126</v>
      </c>
      <c r="X61" s="17">
        <f t="shared" si="44"/>
        <v>47.90766548</v>
      </c>
      <c r="Y61" s="21">
        <f t="shared" si="4"/>
        <v>1.05</v>
      </c>
      <c r="Z61" s="21">
        <f t="shared" si="5"/>
        <v>98.21071423</v>
      </c>
      <c r="AA61" s="21">
        <f t="shared" si="6"/>
        <v>3.893079408</v>
      </c>
      <c r="AB61" s="22">
        <f t="shared" si="7"/>
        <v>0.2228263511</v>
      </c>
      <c r="AC61" s="17">
        <f t="shared" si="45"/>
        <v>47.90766548</v>
      </c>
      <c r="AG61" s="16"/>
    </row>
    <row r="62" ht="15.75" customHeight="1">
      <c r="A62" s="16" t="s">
        <v>731</v>
      </c>
      <c r="B62" s="16" t="s">
        <v>730</v>
      </c>
      <c r="C62" s="16">
        <v>1957.0</v>
      </c>
      <c r="D62" s="16"/>
      <c r="E62" s="16">
        <v>1957.0</v>
      </c>
      <c r="F62" s="16" t="b">
        <v>0</v>
      </c>
      <c r="G62" s="16" t="b">
        <v>0</v>
      </c>
      <c r="H62" s="16" t="b">
        <v>0</v>
      </c>
      <c r="I62" s="16" t="b">
        <v>0</v>
      </c>
      <c r="J62" s="18">
        <v>65.0</v>
      </c>
      <c r="K62" s="16">
        <v>1.0</v>
      </c>
      <c r="L62" s="16">
        <v>150.0</v>
      </c>
      <c r="M62" s="16">
        <v>75.0</v>
      </c>
      <c r="N62" s="16">
        <v>160.0</v>
      </c>
      <c r="O62" s="16">
        <v>127.5</v>
      </c>
      <c r="P62" s="18">
        <v>233.0</v>
      </c>
      <c r="Q62" s="16">
        <v>258.0</v>
      </c>
      <c r="R62" s="16">
        <v>6.8</v>
      </c>
      <c r="S62" s="16">
        <v>0.960345</v>
      </c>
      <c r="T62" s="16">
        <v>0.960345</v>
      </c>
      <c r="U62" s="19">
        <f t="shared" si="1"/>
        <v>225</v>
      </c>
      <c r="V62" s="19">
        <f t="shared" si="2"/>
        <v>81.25863548</v>
      </c>
      <c r="W62" s="20">
        <f t="shared" si="3"/>
        <v>2.062745098</v>
      </c>
      <c r="X62" s="17">
        <v>263.0</v>
      </c>
      <c r="Y62" s="21">
        <f t="shared" si="4"/>
        <v>1.75</v>
      </c>
      <c r="Z62" s="21">
        <f t="shared" si="5"/>
        <v>723.25</v>
      </c>
      <c r="AA62" s="21">
        <f t="shared" si="6"/>
        <v>5.67254902</v>
      </c>
      <c r="AB62" s="22">
        <f t="shared" si="7"/>
        <v>1.168888889</v>
      </c>
      <c r="AC62" s="8">
        <f t="shared" ref="AC62:AC63" si="46">X62*IF(I62,1.5,1)*IF(S62*T62&gt;0,(S62*T62+0.02),1)</f>
        <v>247.8150425</v>
      </c>
      <c r="AD62" s="13">
        <f t="shared" ref="AD62:AD63" si="47">IFERROR(AC62/U62,#N/A)</f>
        <v>1.101400189</v>
      </c>
      <c r="AE62" s="8">
        <f t="shared" ref="AE62:AE63" si="48">IF(I62,1.5,1)*IF(S62*T62&gt;0,(S62*T62+0.02),1)*(0.2*(8.17*POWER(N62*R62,0.46))+0.8*(0.146*POWER(N62*Q62,0.639)))</f>
        <v>136.3602084</v>
      </c>
      <c r="AF62" s="73">
        <f t="shared" ref="AF62:AF63" si="49">If(F62,$AT$2*O62*(1-log(O62)*0.04+1/(O62/80)^0.6),$AT$3*O62*(1+1/(O62/12)^0.9-log(O62)*0.03))</f>
        <v>29.62198644</v>
      </c>
      <c r="AG62" s="74" t="str">
        <f t="shared" ref="AG62:AG63" si="50">If(F62,VLOOKUP(E62,#REF!,2),VLOOKUP(E62,#REF!,3))</f>
        <v>#REF!</v>
      </c>
      <c r="AH62" s="73">
        <f t="shared" ref="AH62:AH63" si="51">If(I62,2,0)</f>
        <v>0</v>
      </c>
      <c r="AI62" s="73">
        <f t="shared" ref="AI62:AI63" si="52">1.5-1.5/K62^0.2</f>
        <v>0</v>
      </c>
      <c r="AJ62" s="75">
        <f t="shared" ref="AJ62:AJ63" si="53">If(P62/Q62 &gt; 0.66,1+2.8*(P62/Q62-0.66)^1.5,1)</f>
        <v>1.335612051</v>
      </c>
      <c r="AK62" s="73">
        <f t="shared" ref="AK62:AK63" si="54">Max(0.8,Pow(V62/5,0.5))/4</f>
        <v>1.007835772</v>
      </c>
      <c r="AL62" s="73">
        <f t="shared" ref="AL62:AL63" si="55">IF(Q62&gt;300,IF(Q62&gt;460.39,7.5*8.5^((Q62/460.4-1)^0.6),6.5^((Q62/150-2)^1.1)),2.8^(Q62/150-2))</f>
        <v>0.7495416169</v>
      </c>
      <c r="AM62" s="73">
        <f t="shared" ref="AM62:AM63" si="56">If(ISBLANK(J62),1,2.6*(1-1/((J62*0.05)^0.26)))</f>
        <v>0.6862567402</v>
      </c>
      <c r="AN62" s="75">
        <v>63.29</v>
      </c>
      <c r="AO62" s="76">
        <v>63.0</v>
      </c>
      <c r="AP62" s="73">
        <f t="shared" ref="AP62:AP63" si="57">If(MOD(Log10(AO62),1)&gt;0.2,ROUND(AO62,1-INT(LOG10(AO62))), ROUND(2*AO62,1-INT(LOG10(2*AO62)))/2)</f>
        <v>63</v>
      </c>
      <c r="AQ62" s="29" t="str">
        <f t="shared" ref="AQ62:AQ63" si="58">VLOOKUP(A62,#REF!,27,FALSE)</f>
        <v>#REF!</v>
      </c>
      <c r="AR62" s="77" t="str">
        <f t="shared" ref="AR62:AR63" si="59">AP62/AQ62-1</f>
        <v>#REF!</v>
      </c>
      <c r="AS62" s="73"/>
      <c r="AT62" s="39"/>
    </row>
    <row r="63" ht="15.75" customHeight="1">
      <c r="A63" s="16" t="s">
        <v>528</v>
      </c>
      <c r="B63" s="16" t="s">
        <v>1008</v>
      </c>
      <c r="C63" s="16">
        <v>1957.0</v>
      </c>
      <c r="D63" s="16"/>
      <c r="E63" s="16">
        <v>1957.0</v>
      </c>
      <c r="F63" s="16" t="b">
        <v>1</v>
      </c>
      <c r="G63" s="16" t="b">
        <v>0</v>
      </c>
      <c r="H63" s="16" t="b">
        <v>0</v>
      </c>
      <c r="I63" s="16" t="b">
        <v>0</v>
      </c>
      <c r="J63" s="18">
        <v>120.0</v>
      </c>
      <c r="K63" s="16">
        <v>1.0</v>
      </c>
      <c r="L63" s="16">
        <v>470.0</v>
      </c>
      <c r="M63" s="16">
        <v>0.0</v>
      </c>
      <c r="N63" s="16">
        <v>1190.0</v>
      </c>
      <c r="O63" s="16">
        <v>972.3</v>
      </c>
      <c r="P63" s="18">
        <v>250.0</v>
      </c>
      <c r="Q63" s="16">
        <v>306.0</v>
      </c>
      <c r="R63" s="16">
        <v>5.69</v>
      </c>
      <c r="S63" s="16">
        <v>0.986364</v>
      </c>
      <c r="T63" s="16">
        <v>0.986364</v>
      </c>
      <c r="U63" s="19">
        <f t="shared" si="1"/>
        <v>470</v>
      </c>
      <c r="V63" s="19">
        <f t="shared" si="2"/>
        <v>83.31681269</v>
      </c>
      <c r="W63" s="20">
        <f t="shared" si="3"/>
        <v>0.5270014741</v>
      </c>
      <c r="X63" s="17">
        <f>0.2*(8.17*POWER(N63*R63,0.46))+0.8*(0.146*POWER(N63*Q63,0.639))</f>
        <v>512.4035333</v>
      </c>
      <c r="Y63" s="21">
        <f t="shared" si="4"/>
        <v>4</v>
      </c>
      <c r="Z63" s="21">
        <f t="shared" si="5"/>
        <v>2562.017666</v>
      </c>
      <c r="AA63" s="21">
        <f t="shared" si="6"/>
        <v>2.635007371</v>
      </c>
      <c r="AB63" s="22">
        <f t="shared" si="7"/>
        <v>1.090220284</v>
      </c>
      <c r="AC63" s="8">
        <f t="shared" si="46"/>
        <v>508.7726114</v>
      </c>
      <c r="AD63" s="13">
        <f t="shared" si="47"/>
        <v>1.082494918</v>
      </c>
      <c r="AE63" s="8">
        <f t="shared" si="48"/>
        <v>508.7726114</v>
      </c>
      <c r="AF63" s="73">
        <f t="shared" si="49"/>
        <v>128.8026763</v>
      </c>
      <c r="AG63" s="74" t="str">
        <f t="shared" si="50"/>
        <v>#REF!</v>
      </c>
      <c r="AH63" s="73">
        <f t="shared" si="51"/>
        <v>0</v>
      </c>
      <c r="AI63" s="73">
        <f t="shared" si="52"/>
        <v>0</v>
      </c>
      <c r="AJ63" s="75">
        <f t="shared" si="53"/>
        <v>1.174172823</v>
      </c>
      <c r="AK63" s="73">
        <f t="shared" si="54"/>
        <v>1.020519553</v>
      </c>
      <c r="AL63" s="73">
        <f t="shared" si="55"/>
        <v>1.055765151</v>
      </c>
      <c r="AM63" s="73">
        <f t="shared" si="56"/>
        <v>0.9682484915</v>
      </c>
      <c r="AN63" s="75">
        <v>588.48</v>
      </c>
      <c r="AO63" s="76">
        <v>590.0</v>
      </c>
      <c r="AP63" s="73">
        <f t="shared" si="57"/>
        <v>590</v>
      </c>
      <c r="AQ63" s="29" t="str">
        <f t="shared" si="58"/>
        <v>#REF!</v>
      </c>
      <c r="AR63" s="77" t="str">
        <f t="shared" si="59"/>
        <v>#REF!</v>
      </c>
      <c r="AS63" s="73"/>
      <c r="AT63" s="39"/>
    </row>
    <row r="64" ht="15.75" hidden="1" customHeight="1">
      <c r="A64" s="7" t="s">
        <v>894</v>
      </c>
      <c r="B64" s="7" t="s">
        <v>894</v>
      </c>
      <c r="C64" s="7">
        <v>1960.0</v>
      </c>
      <c r="D64" s="7"/>
      <c r="E64" s="7">
        <v>1960.0</v>
      </c>
      <c r="F64" s="7" t="b">
        <v>0</v>
      </c>
      <c r="G64" s="7" t="b">
        <v>1</v>
      </c>
      <c r="H64" s="7" t="b">
        <v>0</v>
      </c>
      <c r="I64" s="7" t="b">
        <v>0</v>
      </c>
      <c r="J64" s="7"/>
      <c r="K64" s="7"/>
      <c r="L64" s="7">
        <v>200.0</v>
      </c>
      <c r="M64" s="7">
        <v>0.0</v>
      </c>
      <c r="N64" s="7">
        <v>76.74777</v>
      </c>
      <c r="O64" s="7">
        <v>62.27508</v>
      </c>
      <c r="P64" s="7"/>
      <c r="Q64" s="7">
        <v>256.0</v>
      </c>
      <c r="R64" s="7">
        <v>2.03</v>
      </c>
      <c r="S64" s="7"/>
      <c r="T64" s="7"/>
      <c r="U64" s="10">
        <f t="shared" si="1"/>
        <v>200</v>
      </c>
      <c r="V64" s="10">
        <f t="shared" si="2"/>
        <v>82.74235011</v>
      </c>
      <c r="W64" s="11">
        <f t="shared" si="3"/>
        <v>1.306463909</v>
      </c>
      <c r="X64" s="8">
        <f t="shared" ref="X64:X66" si="60">0.2*(8.17*POW(N64*R64,0.46))+0.8*(0.146*POW(N64*Q64,0.639))</f>
        <v>81.36014445</v>
      </c>
      <c r="Y64" s="12">
        <f t="shared" si="4"/>
        <v>1.05</v>
      </c>
      <c r="Z64" s="12">
        <f t="shared" si="5"/>
        <v>166.7882961</v>
      </c>
      <c r="AA64" s="12">
        <f t="shared" si="6"/>
        <v>2.678251014</v>
      </c>
      <c r="AB64" s="13">
        <f t="shared" si="7"/>
        <v>0.4068007223</v>
      </c>
      <c r="AC64" s="8">
        <f t="shared" ref="AC64:AC66" si="61">IF(I64,X64*1.5,X64)*IF(S64*T64&gt;0,(S64*T64+0.02),1)</f>
        <v>81.36014445</v>
      </c>
      <c r="AG64" s="7"/>
    </row>
    <row r="65" ht="15.75" hidden="1" customHeight="1">
      <c r="A65" s="16" t="s">
        <v>898</v>
      </c>
      <c r="B65" s="16" t="s">
        <v>898</v>
      </c>
      <c r="C65" s="16">
        <v>1962.0</v>
      </c>
      <c r="D65" s="16"/>
      <c r="E65" s="16">
        <v>1962.0</v>
      </c>
      <c r="F65" s="16" t="b">
        <v>0</v>
      </c>
      <c r="G65" s="16" t="b">
        <v>1</v>
      </c>
      <c r="H65" s="16" t="b">
        <v>0</v>
      </c>
      <c r="I65" s="16" t="b">
        <v>0</v>
      </c>
      <c r="J65" s="16"/>
      <c r="K65" s="16"/>
      <c r="L65" s="16">
        <v>230.0</v>
      </c>
      <c r="M65" s="16">
        <v>0.0</v>
      </c>
      <c r="N65" s="16">
        <v>116.0</v>
      </c>
      <c r="O65" s="16">
        <v>93.074555</v>
      </c>
      <c r="P65" s="16"/>
      <c r="Q65" s="16">
        <v>281.15</v>
      </c>
      <c r="R65" s="16">
        <v>2.87</v>
      </c>
      <c r="S65" s="16"/>
      <c r="T65" s="16"/>
      <c r="U65" s="19">
        <f t="shared" si="1"/>
        <v>230</v>
      </c>
      <c r="V65" s="19">
        <f t="shared" si="2"/>
        <v>81.81864868</v>
      </c>
      <c r="W65" s="20">
        <f t="shared" si="3"/>
        <v>1.21480653</v>
      </c>
      <c r="X65" s="17">
        <f t="shared" si="60"/>
        <v>113.0675772</v>
      </c>
      <c r="Y65" s="21">
        <f t="shared" si="4"/>
        <v>1.05</v>
      </c>
      <c r="Z65" s="21">
        <f t="shared" si="5"/>
        <v>231.7885333</v>
      </c>
      <c r="AA65" s="21">
        <f t="shared" si="6"/>
        <v>2.490353387</v>
      </c>
      <c r="AB65" s="22">
        <f t="shared" si="7"/>
        <v>0.4915981618</v>
      </c>
      <c r="AC65" s="17">
        <f t="shared" si="61"/>
        <v>113.0675772</v>
      </c>
      <c r="AG65" s="16"/>
    </row>
    <row r="66" ht="15.75" hidden="1" customHeight="1">
      <c r="A66" s="7" t="s">
        <v>990</v>
      </c>
      <c r="B66" s="7" t="s">
        <v>898</v>
      </c>
      <c r="C66" s="7"/>
      <c r="D66" s="7" t="b">
        <v>0</v>
      </c>
      <c r="E66" s="7"/>
      <c r="F66" s="7" t="b">
        <v>0</v>
      </c>
      <c r="G66" s="7" t="b">
        <v>1</v>
      </c>
      <c r="H66" s="7" t="b">
        <v>0</v>
      </c>
      <c r="I66" s="7" t="b">
        <v>0</v>
      </c>
      <c r="J66" s="7"/>
      <c r="K66" s="7"/>
      <c r="L66" s="7"/>
      <c r="M66" s="7"/>
      <c r="N66" s="7">
        <v>99.0</v>
      </c>
      <c r="O66" s="7">
        <v>126.8</v>
      </c>
      <c r="P66" s="7"/>
      <c r="Q66" s="7">
        <v>284.95</v>
      </c>
      <c r="R66" s="7">
        <v>4.76</v>
      </c>
      <c r="S66" s="7"/>
      <c r="T66" s="7"/>
      <c r="U66" s="10">
        <f t="shared" si="1"/>
        <v>0</v>
      </c>
      <c r="V66" s="10">
        <f t="shared" si="2"/>
        <v>130.6060762</v>
      </c>
      <c r="W66" s="11">
        <f t="shared" si="3"/>
        <v>0.861570187</v>
      </c>
      <c r="X66" s="8">
        <f t="shared" si="60"/>
        <v>109.2470997</v>
      </c>
      <c r="Y66" s="12">
        <f t="shared" si="4"/>
        <v>1.05</v>
      </c>
      <c r="Z66" s="12">
        <f t="shared" si="5"/>
        <v>223.9565544</v>
      </c>
      <c r="AA66" s="12">
        <f t="shared" si="6"/>
        <v>1.766218883</v>
      </c>
      <c r="AB66" s="13" t="str">
        <f t="shared" si="7"/>
        <v>#N/A</v>
      </c>
      <c r="AC66" s="8">
        <f t="shared" si="61"/>
        <v>109.2470997</v>
      </c>
      <c r="AG66" s="7"/>
    </row>
    <row r="67" ht="15.75" customHeight="1">
      <c r="A67" s="16" t="s">
        <v>539</v>
      </c>
      <c r="B67" s="16" t="s">
        <v>1009</v>
      </c>
      <c r="C67" s="16">
        <v>1957.0</v>
      </c>
      <c r="D67" s="16"/>
      <c r="E67" s="16">
        <v>1957.0</v>
      </c>
      <c r="F67" s="16" t="b">
        <v>1</v>
      </c>
      <c r="G67" s="16" t="b">
        <v>0</v>
      </c>
      <c r="H67" s="16" t="b">
        <v>0</v>
      </c>
      <c r="I67" s="16" t="b">
        <v>0</v>
      </c>
      <c r="J67" s="18">
        <v>280.0</v>
      </c>
      <c r="K67" s="16">
        <v>1.0</v>
      </c>
      <c r="L67" s="16">
        <v>450.0</v>
      </c>
      <c r="M67" s="16">
        <v>0.0</v>
      </c>
      <c r="N67" s="16">
        <v>1250.0</v>
      </c>
      <c r="O67" s="16">
        <v>918.3</v>
      </c>
      <c r="P67" s="18">
        <v>241.0</v>
      </c>
      <c r="Q67" s="16">
        <v>308.0</v>
      </c>
      <c r="R67" s="16">
        <v>4.91</v>
      </c>
      <c r="S67" s="16">
        <v>0.986364</v>
      </c>
      <c r="T67" s="16">
        <v>0.986364</v>
      </c>
      <c r="U67" s="19">
        <f t="shared" si="1"/>
        <v>450</v>
      </c>
      <c r="V67" s="19">
        <f t="shared" si="2"/>
        <v>74.91243165</v>
      </c>
      <c r="W67" s="20">
        <f t="shared" si="3"/>
        <v>0.5699363659</v>
      </c>
      <c r="X67" s="17">
        <f t="shared" ref="X67:X68" si="62">0.2*(8.17*POWER(N67*R67,0.46))+0.8*(0.146*POWER(N67*Q67,0.639))</f>
        <v>523.3725648</v>
      </c>
      <c r="Y67" s="21">
        <f t="shared" si="4"/>
        <v>4</v>
      </c>
      <c r="Z67" s="21">
        <f t="shared" si="5"/>
        <v>2616.862824</v>
      </c>
      <c r="AA67" s="21">
        <f t="shared" si="6"/>
        <v>2.84968183</v>
      </c>
      <c r="AB67" s="22">
        <f t="shared" si="7"/>
        <v>1.163050144</v>
      </c>
      <c r="AC67" s="8">
        <f t="shared" ref="AC67:AC68" si="63">X67*IF(I67,1.5,1)*IF(S67*T67&gt;0,(S67*T67+0.02),1)</f>
        <v>519.6639157</v>
      </c>
      <c r="AD67" s="13">
        <f t="shared" ref="AD67:AD68" si="64">IFERROR(AC67/U67,#N/A)</f>
        <v>1.154808702</v>
      </c>
      <c r="AE67" s="8">
        <f t="shared" ref="AE67:AE68" si="65">IF(I67,1.5,1)*IF(S67*T67&gt;0,(S67*T67+0.02),1)*(0.2*(8.17*POWER(N67*R67,0.46))+0.8*(0.146*POWER(N67*Q67,0.639)))</f>
        <v>519.6639157</v>
      </c>
      <c r="AF67" s="73">
        <f t="shared" ref="AF67:AF68" si="66">If(F67,$AT$2*O67*(1-log(O67)*0.04+1/(O67/80)^0.6),$AT$3*O67*(1+1/(O67/12)^0.9-log(O67)*0.03))</f>
        <v>122.6173776</v>
      </c>
      <c r="AG67" s="74" t="str">
        <f t="shared" ref="AG67:AG68" si="67">If(F67,VLOOKUP(E67,#REF!,2),VLOOKUP(E67,#REF!,3))</f>
        <v>#REF!</v>
      </c>
      <c r="AH67" s="73">
        <f t="shared" ref="AH67:AH68" si="68">If(I67,2,0)</f>
        <v>0</v>
      </c>
      <c r="AI67" s="73">
        <f t="shared" ref="AI67:AI68" si="69">1.5-1.5/K67^0.2</f>
        <v>0</v>
      </c>
      <c r="AJ67" s="75">
        <f t="shared" ref="AJ67:AJ68" si="70">If(P67/Q67 &gt; 0.66,1+2.8*(P67/Q67-0.66)^1.5,1)</f>
        <v>1.120002276</v>
      </c>
      <c r="AK67" s="73">
        <f t="shared" ref="AK67:AK68" si="71">Max(0.8,Pow(V67/5,0.5))/4</f>
        <v>0.9676804202</v>
      </c>
      <c r="AL67" s="73">
        <f t="shared" ref="AL67:AL68" si="72">IF(Q67&gt;300,IF(Q67&gt;460.39,7.5*8.5^((Q67/460.4-1)^0.6),6.5^((Q67/150-2)^1.1)),2.8^(Q67/150-2))</f>
        <v>1.077308811</v>
      </c>
      <c r="AM67" s="73">
        <f t="shared" ref="AM67:AM68" si="73">If(ISBLANK(J67),1,2.6*(1-1/((J67*0.05)^0.26)))</f>
        <v>1.290878189</v>
      </c>
      <c r="AN67" s="75">
        <v>707.96</v>
      </c>
      <c r="AO67" s="76">
        <v>710.0</v>
      </c>
      <c r="AP67" s="73">
        <f t="shared" ref="AP67:AP68" si="74">If(MOD(Log10(AO67),1)&gt;0.2,ROUND(AO67,1-INT(LOG10(AO67))), ROUND(2*AO67,1-INT(LOG10(2*AO67)))/2)</f>
        <v>710</v>
      </c>
      <c r="AQ67" s="29" t="str">
        <f t="shared" ref="AQ67:AQ68" si="75">VLOOKUP(A67,#REF!,27,FALSE)</f>
        <v>#REF!</v>
      </c>
      <c r="AR67" s="77" t="str">
        <f t="shared" ref="AR67:AR68" si="76">AP67/AQ67-1</f>
        <v>#REF!</v>
      </c>
      <c r="AS67" s="73"/>
      <c r="AT67" s="39"/>
    </row>
    <row r="68" ht="15.75" customHeight="1">
      <c r="A68" s="16" t="s">
        <v>575</v>
      </c>
      <c r="B68" s="16" t="s">
        <v>573</v>
      </c>
      <c r="C68" s="16">
        <v>1957.0</v>
      </c>
      <c r="D68" s="16"/>
      <c r="E68" s="16">
        <v>1957.0</v>
      </c>
      <c r="F68" s="16" t="b">
        <v>1</v>
      </c>
      <c r="G68" s="16" t="b">
        <v>0</v>
      </c>
      <c r="H68" s="16" t="b">
        <v>0</v>
      </c>
      <c r="I68" s="16" t="b">
        <v>0</v>
      </c>
      <c r="J68" s="18">
        <v>110.0</v>
      </c>
      <c r="K68" s="16">
        <v>1.0</v>
      </c>
      <c r="L68" s="16">
        <v>200.0</v>
      </c>
      <c r="M68" s="16">
        <v>150.0</v>
      </c>
      <c r="N68" s="16">
        <v>625.0</v>
      </c>
      <c r="O68" s="16">
        <v>749.2</v>
      </c>
      <c r="P68" s="18">
        <v>231.0</v>
      </c>
      <c r="Q68" s="16">
        <v>255.0</v>
      </c>
      <c r="R68" s="16">
        <v>4.66</v>
      </c>
      <c r="S68" s="16">
        <v>0.93</v>
      </c>
      <c r="T68" s="16">
        <v>0.9</v>
      </c>
      <c r="U68" s="19">
        <f t="shared" si="1"/>
        <v>350</v>
      </c>
      <c r="V68" s="19">
        <f t="shared" si="2"/>
        <v>122.2354215</v>
      </c>
      <c r="W68" s="20">
        <f t="shared" si="3"/>
        <v>0.4145460594</v>
      </c>
      <c r="X68" s="17">
        <f t="shared" si="62"/>
        <v>310.5779077</v>
      </c>
      <c r="Y68" s="21">
        <f t="shared" si="4"/>
        <v>4</v>
      </c>
      <c r="Z68" s="21">
        <f t="shared" si="5"/>
        <v>1552.889539</v>
      </c>
      <c r="AA68" s="21">
        <f t="shared" si="6"/>
        <v>2.072730297</v>
      </c>
      <c r="AB68" s="22">
        <f t="shared" si="7"/>
        <v>0.8873654506</v>
      </c>
      <c r="AC68" s="8">
        <f t="shared" si="63"/>
        <v>266.1652669</v>
      </c>
      <c r="AD68" s="13">
        <f t="shared" si="64"/>
        <v>0.7604721911</v>
      </c>
      <c r="AE68" s="8">
        <f t="shared" si="65"/>
        <v>266.1652669</v>
      </c>
      <c r="AF68" s="73">
        <f t="shared" si="66"/>
        <v>103.0560175</v>
      </c>
      <c r="AG68" s="74" t="str">
        <f t="shared" si="67"/>
        <v>#REF!</v>
      </c>
      <c r="AH68" s="73">
        <f t="shared" si="68"/>
        <v>0</v>
      </c>
      <c r="AI68" s="73">
        <f t="shared" si="69"/>
        <v>0</v>
      </c>
      <c r="AJ68" s="75">
        <f t="shared" si="70"/>
        <v>1.341388645</v>
      </c>
      <c r="AK68" s="73">
        <f t="shared" si="71"/>
        <v>1.236099822</v>
      </c>
      <c r="AL68" s="73">
        <f t="shared" si="72"/>
        <v>0.7342645998</v>
      </c>
      <c r="AM68" s="73">
        <f t="shared" si="73"/>
        <v>0.9309127151</v>
      </c>
      <c r="AN68" s="75">
        <v>248.97</v>
      </c>
      <c r="AO68" s="76">
        <v>250.0</v>
      </c>
      <c r="AP68" s="73">
        <f t="shared" si="74"/>
        <v>250</v>
      </c>
      <c r="AQ68" s="29" t="str">
        <f t="shared" si="75"/>
        <v>#REF!</v>
      </c>
      <c r="AR68" s="77" t="str">
        <f t="shared" si="76"/>
        <v>#REF!</v>
      </c>
      <c r="AS68" s="73"/>
      <c r="AT68" s="39"/>
    </row>
    <row r="69" ht="15.75" hidden="1" customHeight="1">
      <c r="A69" s="16" t="s">
        <v>987</v>
      </c>
      <c r="B69" s="16" t="s">
        <v>987</v>
      </c>
      <c r="C69" s="16">
        <v>2018.0</v>
      </c>
      <c r="D69" s="16" t="b">
        <v>0</v>
      </c>
      <c r="E69" s="16">
        <v>2018.0</v>
      </c>
      <c r="F69" s="16" t="b">
        <v>0</v>
      </c>
      <c r="G69" s="16" t="b">
        <v>1</v>
      </c>
      <c r="H69" s="16" t="b">
        <v>0</v>
      </c>
      <c r="I69" s="16" t="b">
        <v>0</v>
      </c>
      <c r="J69" s="16"/>
      <c r="K69" s="16"/>
      <c r="L69" s="16"/>
      <c r="M69" s="16">
        <v>0.0</v>
      </c>
      <c r="N69" s="16">
        <v>85500.0</v>
      </c>
      <c r="O69" s="16">
        <v>20337.0</v>
      </c>
      <c r="P69" s="16"/>
      <c r="Q69" s="16">
        <v>265.0</v>
      </c>
      <c r="R69" s="16"/>
      <c r="S69" s="16"/>
      <c r="T69" s="16"/>
      <c r="U69" s="19">
        <f t="shared" si="1"/>
        <v>0</v>
      </c>
      <c r="V69" s="19">
        <f t="shared" si="2"/>
        <v>24.25493399</v>
      </c>
      <c r="W69" s="20">
        <f t="shared" si="3"/>
        <v>0.2878302367</v>
      </c>
      <c r="X69" s="17">
        <f>0.2*(8.17*POW(N69*R69,0.46))+0.8*(0.146*POW(N69*Q69,0.639))</f>
        <v>5853.603525</v>
      </c>
      <c r="Y69" s="21">
        <f t="shared" si="4"/>
        <v>1.05</v>
      </c>
      <c r="Z69" s="21">
        <f t="shared" si="5"/>
        <v>11999.88723</v>
      </c>
      <c r="AA69" s="21">
        <f t="shared" si="6"/>
        <v>0.5900519853</v>
      </c>
      <c r="AB69" s="22" t="str">
        <f t="shared" si="7"/>
        <v>#N/A</v>
      </c>
      <c r="AC69" s="17">
        <f>IF(I69,X69*1.5,X69)*IF(S69*T69&gt;0,(S69*T69+0.02),1)</f>
        <v>5853.603525</v>
      </c>
      <c r="AG69" s="16"/>
    </row>
    <row r="70" ht="15.75" customHeight="1">
      <c r="A70" s="7" t="s">
        <v>84</v>
      </c>
      <c r="B70" s="7" t="s">
        <v>83</v>
      </c>
      <c r="C70" s="7">
        <v>1958.0</v>
      </c>
      <c r="D70" s="7"/>
      <c r="E70" s="7">
        <v>1958.0</v>
      </c>
      <c r="F70" s="7" t="b">
        <v>0</v>
      </c>
      <c r="G70" s="7" t="b">
        <v>0</v>
      </c>
      <c r="H70" s="7" t="b">
        <v>1</v>
      </c>
      <c r="I70" s="7" t="b">
        <v>0</v>
      </c>
      <c r="J70" s="9">
        <v>150.0</v>
      </c>
      <c r="K70" s="7">
        <v>1.0</v>
      </c>
      <c r="L70" s="7">
        <v>100.0</v>
      </c>
      <c r="M70" s="7">
        <v>-15.0</v>
      </c>
      <c r="N70" s="7">
        <v>80.0</v>
      </c>
      <c r="O70" s="7">
        <v>33.0</v>
      </c>
      <c r="P70" s="9">
        <v>122.0</v>
      </c>
      <c r="Q70" s="7">
        <v>267.0</v>
      </c>
      <c r="R70" s="7">
        <v>1.4</v>
      </c>
      <c r="S70" s="7">
        <v>0.9875</v>
      </c>
      <c r="T70" s="7">
        <v>0.9875</v>
      </c>
      <c r="U70" s="10">
        <f t="shared" si="1"/>
        <v>85</v>
      </c>
      <c r="V70" s="10">
        <f t="shared" si="2"/>
        <v>42.06329366</v>
      </c>
      <c r="W70" s="11">
        <f t="shared" si="3"/>
        <v>2.501858127</v>
      </c>
      <c r="X70" s="8">
        <f t="shared" ref="X70:X71" si="77">0.2*(8.17*POWER(N70*R70,0.46))+0.8*(0.146*POWER(N70*Q70,0.639))</f>
        <v>82.56131819</v>
      </c>
      <c r="Y70" s="12">
        <f t="shared" si="4"/>
        <v>1.75</v>
      </c>
      <c r="Z70" s="12">
        <f t="shared" si="5"/>
        <v>227.043625</v>
      </c>
      <c r="AA70" s="12">
        <f t="shared" si="6"/>
        <v>6.880109849</v>
      </c>
      <c r="AB70" s="13">
        <f t="shared" si="7"/>
        <v>0.9713096258</v>
      </c>
      <c r="AC70" s="8">
        <f t="shared" ref="AC70:AC73" si="78">X70*IF(I70,1.5,1)*IF(S70*T70&gt;0,(S70*T70+0.02),1)</f>
        <v>82.16141181</v>
      </c>
      <c r="AD70" s="13">
        <f t="shared" ref="AD70:AD73" si="79">IFERROR(AC70/U70,#N/A)</f>
        <v>0.9666048448</v>
      </c>
      <c r="AE70" s="8">
        <f t="shared" ref="AE70:AE73" si="80">IF(I70,1.5,1)*IF(S70*T70&gt;0,(S70*T70+0.02),1)*(0.2*(8.17*POWER(N70*R70,0.46))+0.8*(0.146*POWER(N70*Q70,0.639)))</f>
        <v>82.16141181</v>
      </c>
      <c r="AF70" s="73">
        <f t="shared" ref="AF70:AF73" si="81">If(F70,$AT$2*O70*(1-log(O70)*0.04+1/(O70/80)^0.6),$AT$3*O70*(1+1/(O70/12)^0.9-log(O70)*0.03))</f>
        <v>9.850305593</v>
      </c>
      <c r="AG70" s="74" t="str">
        <f t="shared" ref="AG70:AG73" si="82">If(F70,VLOOKUP(E70,#REF!,2),VLOOKUP(E70,#REF!,3))</f>
        <v>#REF!</v>
      </c>
      <c r="AH70" s="73">
        <f t="shared" ref="AH70:AH73" si="83">If(I70,2,0)</f>
        <v>0</v>
      </c>
      <c r="AI70" s="73">
        <f t="shared" ref="AI70:AI73" si="84">1.5-1.5/K70^0.2</f>
        <v>0</v>
      </c>
      <c r="AJ70" s="75">
        <f t="shared" ref="AJ70:AJ73" si="85">If(P70/Q70 &gt; 0.66,1+2.8*(P70/Q70-0.66)^1.5,1)</f>
        <v>1</v>
      </c>
      <c r="AK70" s="73">
        <f t="shared" ref="AK70:AK73" si="86">Max(0.8,Pow(V70/5,0.5))/4</f>
        <v>0.7251145915</v>
      </c>
      <c r="AL70" s="73">
        <f t="shared" ref="AL70:AL73" si="87">IF(Q70&gt;300,IF(Q70&gt;460.39,7.5*8.5^((Q70/460.4-1)^0.6),6.5^((Q70/150-2)^1.1)),2.8^(Q70/150-2))</f>
        <v>0.7973063686</v>
      </c>
      <c r="AM70" s="73">
        <f t="shared" ref="AM70:AM73" si="88">If(ISBLANK(J70),1,2.6*(1-1/((J70*0.05)^0.26)))</f>
        <v>1.060224449</v>
      </c>
      <c r="AN70" s="75">
        <v>25.47</v>
      </c>
      <c r="AO70" s="76">
        <v>25.0</v>
      </c>
      <c r="AP70" s="73">
        <f t="shared" ref="AP70:AP73" si="89">If(MOD(Log10(AO70),1)&gt;0.2,ROUND(AO70,1-INT(LOG10(AO70))), ROUND(2*AO70,1-INT(LOG10(2*AO70)))/2)</f>
        <v>25</v>
      </c>
      <c r="AQ70" s="29" t="str">
        <f t="shared" ref="AQ70:AQ73" si="90">VLOOKUP(A70,#REF!,27,FALSE)</f>
        <v>#REF!</v>
      </c>
      <c r="AR70" s="77" t="str">
        <f t="shared" ref="AR70:AR73" si="91">AP70/AQ70-1</f>
        <v>#REF!</v>
      </c>
      <c r="AS70" s="73"/>
      <c r="AT70" s="39"/>
    </row>
    <row r="71" ht="15.75" customHeight="1">
      <c r="A71" s="7" t="s">
        <v>53</v>
      </c>
      <c r="B71" s="7" t="s">
        <v>54</v>
      </c>
      <c r="C71" s="7">
        <v>1958.0</v>
      </c>
      <c r="D71" s="7"/>
      <c r="E71" s="7">
        <v>1958.0</v>
      </c>
      <c r="F71" s="7" t="b">
        <v>1</v>
      </c>
      <c r="G71" s="7" t="b">
        <v>0</v>
      </c>
      <c r="H71" s="7" t="b">
        <v>1</v>
      </c>
      <c r="I71" s="7" t="b">
        <v>0</v>
      </c>
      <c r="J71" s="9">
        <v>60.0</v>
      </c>
      <c r="K71" s="7">
        <v>1.0</v>
      </c>
      <c r="L71" s="7">
        <v>150.0</v>
      </c>
      <c r="M71" s="7">
        <v>-50.0</v>
      </c>
      <c r="N71" s="7">
        <v>114.3</v>
      </c>
      <c r="O71" s="7">
        <v>67.0</v>
      </c>
      <c r="P71" s="9">
        <v>207.0</v>
      </c>
      <c r="Q71" s="7">
        <v>265.5</v>
      </c>
      <c r="R71" s="7">
        <v>3.4</v>
      </c>
      <c r="S71" s="7">
        <v>0.85</v>
      </c>
      <c r="T71" s="7">
        <v>0.9</v>
      </c>
      <c r="U71" s="10">
        <f t="shared" si="1"/>
        <v>100</v>
      </c>
      <c r="V71" s="10">
        <f t="shared" si="2"/>
        <v>59.77339114</v>
      </c>
      <c r="W71" s="11">
        <f t="shared" si="3"/>
        <v>1.65354</v>
      </c>
      <c r="X71" s="8">
        <f t="shared" si="77"/>
        <v>110.78718</v>
      </c>
      <c r="Y71" s="12">
        <f t="shared" si="4"/>
        <v>4</v>
      </c>
      <c r="Z71" s="12">
        <f t="shared" si="5"/>
        <v>553.9358999</v>
      </c>
      <c r="AA71" s="12">
        <f t="shared" si="6"/>
        <v>8.267699999</v>
      </c>
      <c r="AB71" s="13">
        <f t="shared" si="7"/>
        <v>1.1078718</v>
      </c>
      <c r="AC71" s="8">
        <f t="shared" si="78"/>
        <v>86.96793629</v>
      </c>
      <c r="AD71" s="13">
        <f t="shared" si="79"/>
        <v>0.8696793629</v>
      </c>
      <c r="AE71" s="8">
        <f t="shared" si="80"/>
        <v>86.96793629</v>
      </c>
      <c r="AF71" s="73">
        <f t="shared" si="81"/>
        <v>16.39536222</v>
      </c>
      <c r="AG71" s="74" t="str">
        <f t="shared" si="82"/>
        <v>#REF!</v>
      </c>
      <c r="AH71" s="73">
        <f t="shared" si="83"/>
        <v>0</v>
      </c>
      <c r="AI71" s="73">
        <f t="shared" si="84"/>
        <v>0</v>
      </c>
      <c r="AJ71" s="75">
        <f t="shared" si="85"/>
        <v>1.115900969</v>
      </c>
      <c r="AK71" s="73">
        <f t="shared" si="86"/>
        <v>0.8643884481</v>
      </c>
      <c r="AL71" s="73">
        <f t="shared" si="87"/>
        <v>0.7891392646</v>
      </c>
      <c r="AM71" s="73">
        <f t="shared" si="88"/>
        <v>0.6460123173</v>
      </c>
      <c r="AN71" s="75">
        <v>14.69</v>
      </c>
      <c r="AO71" s="76">
        <v>14.5</v>
      </c>
      <c r="AP71" s="73">
        <f t="shared" si="89"/>
        <v>14.5</v>
      </c>
      <c r="AQ71" s="29" t="str">
        <f t="shared" si="90"/>
        <v>#REF!</v>
      </c>
      <c r="AR71" s="77" t="str">
        <f t="shared" si="91"/>
        <v>#REF!</v>
      </c>
      <c r="AS71" s="73"/>
      <c r="AT71" s="39"/>
    </row>
    <row r="72" ht="15.75" customHeight="1">
      <c r="A72" s="16" t="s">
        <v>147</v>
      </c>
      <c r="B72" s="16" t="s">
        <v>148</v>
      </c>
      <c r="C72" s="16">
        <v>1958.0</v>
      </c>
      <c r="D72" s="16"/>
      <c r="E72" s="16">
        <v>1958.0</v>
      </c>
      <c r="F72" s="16" t="b">
        <v>1</v>
      </c>
      <c r="G72" s="16" t="b">
        <v>0</v>
      </c>
      <c r="H72" s="16" t="b">
        <v>1</v>
      </c>
      <c r="I72" s="16" t="b">
        <v>0</v>
      </c>
      <c r="J72" s="18">
        <v>140.0</v>
      </c>
      <c r="K72" s="16">
        <v>1.0</v>
      </c>
      <c r="L72" s="16">
        <v>100.0</v>
      </c>
      <c r="M72" s="16">
        <v>0.0</v>
      </c>
      <c r="N72" s="16">
        <v>173.0</v>
      </c>
      <c r="O72" s="16">
        <v>68.236</v>
      </c>
      <c r="P72" s="18">
        <v>189.0</v>
      </c>
      <c r="Q72" s="16">
        <v>267.0</v>
      </c>
      <c r="R72" s="16">
        <v>4.1</v>
      </c>
      <c r="S72" s="16">
        <v>0.995</v>
      </c>
      <c r="T72" s="16">
        <v>0.981667</v>
      </c>
      <c r="U72" s="19">
        <f t="shared" si="1"/>
        <v>100</v>
      </c>
      <c r="V72" s="19">
        <f t="shared" si="2"/>
        <v>40.22043659</v>
      </c>
      <c r="W72" s="20">
        <f t="shared" si="3"/>
        <v>1.597397268</v>
      </c>
      <c r="X72" s="17">
        <v>109.0</v>
      </c>
      <c r="Y72" s="21">
        <f t="shared" si="4"/>
        <v>4</v>
      </c>
      <c r="Z72" s="21">
        <f t="shared" si="5"/>
        <v>545</v>
      </c>
      <c r="AA72" s="21">
        <f t="shared" si="6"/>
        <v>7.986986342</v>
      </c>
      <c r="AB72" s="22">
        <f t="shared" si="7"/>
        <v>1.09</v>
      </c>
      <c r="AC72" s="8">
        <f t="shared" si="78"/>
        <v>108.6466945</v>
      </c>
      <c r="AD72" s="13">
        <f t="shared" si="79"/>
        <v>1.086466945</v>
      </c>
      <c r="AE72" s="8">
        <f t="shared" si="80"/>
        <v>144.7084979</v>
      </c>
      <c r="AF72" s="73">
        <f t="shared" si="81"/>
        <v>16.59587522</v>
      </c>
      <c r="AG72" s="74" t="str">
        <f t="shared" si="82"/>
        <v>#REF!</v>
      </c>
      <c r="AH72" s="73">
        <f t="shared" si="83"/>
        <v>0</v>
      </c>
      <c r="AI72" s="73">
        <f t="shared" si="84"/>
        <v>0</v>
      </c>
      <c r="AJ72" s="75">
        <f t="shared" si="85"/>
        <v>1.029321583</v>
      </c>
      <c r="AK72" s="73">
        <f t="shared" si="86"/>
        <v>0.7090525068</v>
      </c>
      <c r="AL72" s="73">
        <f t="shared" si="87"/>
        <v>0.7973063686</v>
      </c>
      <c r="AM72" s="73">
        <f t="shared" si="88"/>
        <v>1.032354509</v>
      </c>
      <c r="AN72" s="75">
        <v>42.97</v>
      </c>
      <c r="AO72" s="76">
        <v>43.0</v>
      </c>
      <c r="AP72" s="73">
        <f t="shared" si="89"/>
        <v>43</v>
      </c>
      <c r="AQ72" s="29" t="str">
        <f t="shared" si="90"/>
        <v>#REF!</v>
      </c>
      <c r="AR72" s="77" t="str">
        <f t="shared" si="91"/>
        <v>#REF!</v>
      </c>
      <c r="AS72" s="73"/>
      <c r="AT72" s="39"/>
    </row>
    <row r="73" ht="15.75" customHeight="1">
      <c r="A73" s="7" t="s">
        <v>152</v>
      </c>
      <c r="B73" s="7" t="s">
        <v>151</v>
      </c>
      <c r="C73" s="7">
        <v>1958.0</v>
      </c>
      <c r="D73" s="7"/>
      <c r="E73" s="7">
        <v>1958.0</v>
      </c>
      <c r="F73" s="7" t="b">
        <v>1</v>
      </c>
      <c r="G73" s="7" t="b">
        <v>0</v>
      </c>
      <c r="H73" s="7" t="b">
        <v>0</v>
      </c>
      <c r="I73" s="7" t="b">
        <v>0</v>
      </c>
      <c r="J73" s="9">
        <v>145.0</v>
      </c>
      <c r="K73" s="7">
        <v>1.0</v>
      </c>
      <c r="L73" s="7">
        <v>56.0</v>
      </c>
      <c r="M73" s="7">
        <v>10.0</v>
      </c>
      <c r="N73" s="7">
        <f>204*1.05</f>
        <v>214.2</v>
      </c>
      <c r="O73" s="7">
        <v>96.97</v>
      </c>
      <c r="P73" s="9">
        <v>214.8</v>
      </c>
      <c r="Q73" s="7">
        <v>251.0</v>
      </c>
      <c r="R73" s="7">
        <v>4.1</v>
      </c>
      <c r="S73" s="7">
        <v>0.995</v>
      </c>
      <c r="T73" s="7">
        <v>0.981667</v>
      </c>
      <c r="U73" s="10">
        <f t="shared" si="1"/>
        <v>66</v>
      </c>
      <c r="V73" s="10">
        <f t="shared" si="2"/>
        <v>46.16334308</v>
      </c>
      <c r="W73" s="11">
        <f t="shared" si="3"/>
        <v>1.237496133</v>
      </c>
      <c r="X73" s="8">
        <v>120.0</v>
      </c>
      <c r="Y73" s="12">
        <f t="shared" si="4"/>
        <v>4</v>
      </c>
      <c r="Z73" s="12">
        <f t="shared" si="5"/>
        <v>600</v>
      </c>
      <c r="AA73" s="12">
        <f t="shared" si="6"/>
        <v>6.187480664</v>
      </c>
      <c r="AB73" s="13">
        <f t="shared" si="7"/>
        <v>1.818181818</v>
      </c>
      <c r="AC73" s="8">
        <f t="shared" si="78"/>
        <v>119.6110398</v>
      </c>
      <c r="AD73" s="13">
        <f t="shared" si="79"/>
        <v>1.812288482</v>
      </c>
      <c r="AE73" s="8">
        <f t="shared" si="80"/>
        <v>159.4968863</v>
      </c>
      <c r="AF73" s="73">
        <f t="shared" si="81"/>
        <v>21.0795933</v>
      </c>
      <c r="AG73" s="74" t="str">
        <f t="shared" si="82"/>
        <v>#REF!</v>
      </c>
      <c r="AH73" s="73">
        <f t="shared" si="83"/>
        <v>0</v>
      </c>
      <c r="AI73" s="73">
        <f t="shared" si="84"/>
        <v>0</v>
      </c>
      <c r="AJ73" s="75">
        <f t="shared" si="85"/>
        <v>1.242549385</v>
      </c>
      <c r="AK73" s="73">
        <f t="shared" si="86"/>
        <v>0.7596326668</v>
      </c>
      <c r="AL73" s="73">
        <f t="shared" si="87"/>
        <v>0.7143785015</v>
      </c>
      <c r="AM73" s="73">
        <f t="shared" si="88"/>
        <v>1.046592255</v>
      </c>
      <c r="AN73" s="75">
        <v>61.61</v>
      </c>
      <c r="AO73" s="76">
        <v>62.0</v>
      </c>
      <c r="AP73" s="73">
        <f t="shared" si="89"/>
        <v>62</v>
      </c>
      <c r="AQ73" s="29" t="str">
        <f t="shared" si="90"/>
        <v>#REF!</v>
      </c>
      <c r="AR73" s="77" t="str">
        <f t="shared" si="91"/>
        <v>#REF!</v>
      </c>
      <c r="AS73" s="73"/>
      <c r="AT73" s="39"/>
    </row>
    <row r="74" ht="15.75" hidden="1" customHeight="1">
      <c r="A74" s="7" t="s">
        <v>886</v>
      </c>
      <c r="B74" s="7" t="s">
        <v>887</v>
      </c>
      <c r="C74" s="7">
        <v>1956.0</v>
      </c>
      <c r="D74" s="7"/>
      <c r="E74" s="7">
        <v>1956.0</v>
      </c>
      <c r="F74" s="7" t="b">
        <v>0</v>
      </c>
      <c r="G74" s="7" t="b">
        <v>1</v>
      </c>
      <c r="H74" s="7" t="b">
        <v>0</v>
      </c>
      <c r="I74" s="7" t="b">
        <v>0</v>
      </c>
      <c r="J74" s="7"/>
      <c r="K74" s="7"/>
      <c r="L74" s="7">
        <v>30.0</v>
      </c>
      <c r="M74" s="7">
        <v>0.0</v>
      </c>
      <c r="N74" s="7">
        <v>5.07</v>
      </c>
      <c r="O74" s="7">
        <v>8.0</v>
      </c>
      <c r="P74" s="7"/>
      <c r="Q74" s="7">
        <v>220.0</v>
      </c>
      <c r="R74" s="7"/>
      <c r="S74" s="7"/>
      <c r="T74" s="7"/>
      <c r="U74" s="10">
        <f t="shared" si="1"/>
        <v>30</v>
      </c>
      <c r="V74" s="10">
        <f t="shared" si="2"/>
        <v>160.9019661</v>
      </c>
      <c r="W74" s="11">
        <f t="shared" si="3"/>
        <v>1.293186121</v>
      </c>
      <c r="X74" s="8">
        <f t="shared" ref="X74:X75" si="92">0.2*(8.17*POW(N74*R74,0.46))+0.8*(0.146*POW(N74*Q74,0.639))</f>
        <v>10.34548897</v>
      </c>
      <c r="Y74" s="12">
        <f t="shared" si="4"/>
        <v>1.05</v>
      </c>
      <c r="Z74" s="12">
        <f t="shared" si="5"/>
        <v>21.20825238</v>
      </c>
      <c r="AA74" s="12">
        <f t="shared" si="6"/>
        <v>2.651031547</v>
      </c>
      <c r="AB74" s="13">
        <f t="shared" si="7"/>
        <v>0.3448496322</v>
      </c>
      <c r="AC74" s="8">
        <f t="shared" ref="AC74:AC75" si="93">IF(I74,X74*1.5,X74)*IF(S74*T74&gt;0,(S74*T74+0.02),1)</f>
        <v>10.34548897</v>
      </c>
      <c r="AG74" s="7"/>
    </row>
    <row r="75" ht="15.75" hidden="1" customHeight="1">
      <c r="A75" s="16" t="s">
        <v>891</v>
      </c>
      <c r="B75" s="16" t="s">
        <v>887</v>
      </c>
      <c r="C75" s="16">
        <v>1958.0</v>
      </c>
      <c r="D75" s="16"/>
      <c r="E75" s="16">
        <v>1958.0</v>
      </c>
      <c r="F75" s="16" t="b">
        <v>0</v>
      </c>
      <c r="G75" s="16" t="b">
        <v>1</v>
      </c>
      <c r="H75" s="16" t="b">
        <v>0</v>
      </c>
      <c r="I75" s="16" t="b">
        <v>0</v>
      </c>
      <c r="J75" s="16"/>
      <c r="K75" s="16"/>
      <c r="L75" s="16">
        <v>30.0</v>
      </c>
      <c r="M75" s="16">
        <v>30.0</v>
      </c>
      <c r="N75" s="16">
        <v>5.07</v>
      </c>
      <c r="O75" s="16">
        <v>8.0</v>
      </c>
      <c r="P75" s="16"/>
      <c r="Q75" s="16">
        <v>235.0</v>
      </c>
      <c r="R75" s="16"/>
      <c r="S75" s="16"/>
      <c r="T75" s="16"/>
      <c r="U75" s="19">
        <f t="shared" si="1"/>
        <v>60</v>
      </c>
      <c r="V75" s="19">
        <f t="shared" si="2"/>
        <v>160.9019661</v>
      </c>
      <c r="W75" s="20">
        <f t="shared" si="3"/>
        <v>1.348855123</v>
      </c>
      <c r="X75" s="17">
        <f t="shared" si="92"/>
        <v>10.79084099</v>
      </c>
      <c r="Y75" s="21">
        <f t="shared" si="4"/>
        <v>1.05</v>
      </c>
      <c r="Z75" s="21">
        <f t="shared" si="5"/>
        <v>22.12122402</v>
      </c>
      <c r="AA75" s="21">
        <f t="shared" si="6"/>
        <v>2.765153002</v>
      </c>
      <c r="AB75" s="22">
        <f t="shared" si="7"/>
        <v>0.1798473498</v>
      </c>
      <c r="AC75" s="17">
        <f t="shared" si="93"/>
        <v>10.79084099</v>
      </c>
      <c r="AG75" s="16"/>
    </row>
    <row r="76" ht="15.75" customHeight="1">
      <c r="A76" s="7" t="s">
        <v>154</v>
      </c>
      <c r="B76" s="7" t="s">
        <v>155</v>
      </c>
      <c r="C76" s="7">
        <v>1958.0</v>
      </c>
      <c r="D76" s="7"/>
      <c r="E76" s="7">
        <v>1958.0</v>
      </c>
      <c r="F76" s="7" t="b">
        <v>1</v>
      </c>
      <c r="G76" s="7" t="b">
        <v>0</v>
      </c>
      <c r="H76" s="7" t="b">
        <v>0</v>
      </c>
      <c r="I76" s="7" t="b">
        <v>0</v>
      </c>
      <c r="J76" s="9">
        <v>140.0</v>
      </c>
      <c r="K76" s="7">
        <v>1.0</v>
      </c>
      <c r="L76" s="7">
        <v>154.0</v>
      </c>
      <c r="M76" s="7">
        <v>0.0</v>
      </c>
      <c r="N76" s="7">
        <v>342.0</v>
      </c>
      <c r="O76" s="7">
        <v>256.395</v>
      </c>
      <c r="P76" s="9">
        <v>217.0</v>
      </c>
      <c r="Q76" s="7">
        <v>251.0</v>
      </c>
      <c r="R76" s="7">
        <v>4.1</v>
      </c>
      <c r="S76" s="7">
        <v>0.995</v>
      </c>
      <c r="T76" s="7">
        <v>0.981667</v>
      </c>
      <c r="U76" s="10">
        <f t="shared" si="1"/>
        <v>154</v>
      </c>
      <c r="V76" s="10">
        <f t="shared" si="2"/>
        <v>76.44740867</v>
      </c>
      <c r="W76" s="11">
        <f t="shared" si="3"/>
        <v>0.6201368981</v>
      </c>
      <c r="X76" s="8">
        <v>159.0</v>
      </c>
      <c r="Y76" s="12">
        <f t="shared" si="4"/>
        <v>4</v>
      </c>
      <c r="Z76" s="12">
        <f t="shared" si="5"/>
        <v>795</v>
      </c>
      <c r="AA76" s="12">
        <f t="shared" si="6"/>
        <v>3.100684491</v>
      </c>
      <c r="AB76" s="13">
        <f t="shared" si="7"/>
        <v>1.032467532</v>
      </c>
      <c r="AC76" s="8">
        <f t="shared" ref="AC76:AC80" si="94">X76*IF(I76,1.5,1)*IF(S76*T76&gt;0,(S76*T76+0.02),1)</f>
        <v>158.4846277</v>
      </c>
      <c r="AD76" s="13">
        <f t="shared" ref="AD76:AD80" si="95">IFERROR(AC76/U76,#N/A)</f>
        <v>1.029120959</v>
      </c>
      <c r="AE76" s="8">
        <f t="shared" ref="AE76:AE80" si="96">IF(I76,1.5,1)*IF(S76*T76&gt;0,(S76*T76+0.02),1)*(0.2*(8.17*POWER(N76*R76,0.46))+0.8*(0.146*POWER(N76*Q76,0.639)))</f>
        <v>211.0931567</v>
      </c>
      <c r="AF76" s="73">
        <f t="shared" ref="AF76:AF80" si="97">If(F76,$AT$2*O76*(1-log(O76)*0.04+1/(O76/80)^0.6),$AT$3*O76*(1+1/(O76/12)^0.9-log(O76)*0.03))</f>
        <v>43.09951078</v>
      </c>
      <c r="AG76" s="74" t="str">
        <f t="shared" ref="AG76:AG80" si="98">If(F76,VLOOKUP(E76,#REF!,2),VLOOKUP(E76,#REF!,3))</f>
        <v>#REF!</v>
      </c>
      <c r="AH76" s="73">
        <f t="shared" ref="AH76:AH80" si="99">If(I76,2,0)</f>
        <v>0</v>
      </c>
      <c r="AI76" s="73">
        <f t="shared" ref="AI76:AI80" si="100">1.5-1.5/K76^0.2</f>
        <v>0</v>
      </c>
      <c r="AJ76" s="75">
        <f t="shared" ref="AJ76:AJ80" si="101">If(P76/Q76 &gt; 0.66,1+2.8*(P76/Q76-0.66)^1.5,1)</f>
        <v>1.259018775</v>
      </c>
      <c r="AK76" s="73">
        <f t="shared" ref="AK76:AK80" si="102">Max(0.8,Pow(V76/5,0.5))/4</f>
        <v>0.9775441721</v>
      </c>
      <c r="AL76" s="73">
        <f t="shared" ref="AL76:AL80" si="103">IF(Q76&gt;300,IF(Q76&gt;460.39,7.5*8.5^((Q76/460.4-1)^0.6),6.5^((Q76/150-2)^1.1)),2.8^(Q76/150-2))</f>
        <v>0.7143785015</v>
      </c>
      <c r="AM76" s="73">
        <f t="shared" ref="AM76:AM80" si="104">If(ISBLANK(J76),1,2.6*(1-1/((J76*0.05)^0.26)))</f>
        <v>1.032354509</v>
      </c>
      <c r="AN76" s="75">
        <v>141.5</v>
      </c>
      <c r="AO76" s="76">
        <v>140.0</v>
      </c>
      <c r="AP76" s="73">
        <f t="shared" ref="AP76:AP80" si="105">If(MOD(Log10(AO76),1)&gt;0.2,ROUND(AO76,1-INT(LOG10(AO76))), ROUND(2*AO76,1-INT(LOG10(2*AO76)))/2)</f>
        <v>140</v>
      </c>
      <c r="AQ76" s="29" t="str">
        <f t="shared" ref="AQ76:AQ80" si="106">VLOOKUP(A76,#REF!,27,FALSE)</f>
        <v>#REF!</v>
      </c>
      <c r="AR76" s="77" t="str">
        <f t="shared" ref="AR76:AR80" si="107">AP76/AQ76-1</f>
        <v>#REF!</v>
      </c>
      <c r="AS76" s="73"/>
      <c r="AT76" s="39"/>
    </row>
    <row r="77" ht="15.75" customHeight="1">
      <c r="A77" s="7" t="s">
        <v>267</v>
      </c>
      <c r="B77" s="7" t="s">
        <v>266</v>
      </c>
      <c r="C77" s="7">
        <v>1958.0</v>
      </c>
      <c r="D77" s="7"/>
      <c r="E77" s="7">
        <v>1958.0</v>
      </c>
      <c r="F77" s="7" t="b">
        <v>1</v>
      </c>
      <c r="G77" s="7" t="b">
        <v>0</v>
      </c>
      <c r="H77" s="7" t="b">
        <v>0</v>
      </c>
      <c r="I77" s="7" t="b">
        <v>0</v>
      </c>
      <c r="J77" s="18">
        <v>330.0</v>
      </c>
      <c r="K77" s="7">
        <v>1.0</v>
      </c>
      <c r="L77" s="7">
        <v>275.0</v>
      </c>
      <c r="M77" s="7">
        <v>1.0</v>
      </c>
      <c r="N77" s="7">
        <v>460.0</v>
      </c>
      <c r="O77" s="7">
        <v>352.0</v>
      </c>
      <c r="P77" s="9">
        <v>215.0</v>
      </c>
      <c r="Q77" s="7">
        <v>309.0</v>
      </c>
      <c r="R77" s="7">
        <v>4.52</v>
      </c>
      <c r="S77" s="7">
        <v>0.960526</v>
      </c>
      <c r="T77" s="7">
        <v>0.960526</v>
      </c>
      <c r="U77" s="10">
        <f t="shared" si="1"/>
        <v>276</v>
      </c>
      <c r="V77" s="10">
        <f t="shared" si="2"/>
        <v>78.03045781</v>
      </c>
      <c r="W77" s="11">
        <f t="shared" si="3"/>
        <v>0.8067917884</v>
      </c>
      <c r="X77" s="8">
        <f t="shared" ref="X77:X80" si="108">0.2*(8.17*POWER(N77*R77,0.46))+0.8*(0.146*POWER(N77*Q77,0.639))</f>
        <v>283.9907095</v>
      </c>
      <c r="Y77" s="12">
        <f t="shared" si="4"/>
        <v>4</v>
      </c>
      <c r="Z77" s="12">
        <f t="shared" si="5"/>
        <v>1419.953548</v>
      </c>
      <c r="AA77" s="12">
        <f t="shared" si="6"/>
        <v>4.033958942</v>
      </c>
      <c r="AB77" s="13">
        <f t="shared" si="7"/>
        <v>1.028951846</v>
      </c>
      <c r="AC77" s="8">
        <f t="shared" si="94"/>
        <v>267.6925386</v>
      </c>
      <c r="AD77" s="13">
        <f t="shared" si="95"/>
        <v>0.9699005021</v>
      </c>
      <c r="AE77" s="8">
        <f t="shared" si="96"/>
        <v>267.6925386</v>
      </c>
      <c r="AF77" s="73">
        <f t="shared" si="97"/>
        <v>55.30146253</v>
      </c>
      <c r="AG77" s="74" t="str">
        <f t="shared" si="98"/>
        <v>#REF!</v>
      </c>
      <c r="AH77" s="73">
        <f t="shared" si="99"/>
        <v>0</v>
      </c>
      <c r="AI77" s="73">
        <f t="shared" si="100"/>
        <v>0</v>
      </c>
      <c r="AJ77" s="75">
        <f t="shared" si="101"/>
        <v>1.01896064</v>
      </c>
      <c r="AK77" s="73">
        <f t="shared" si="102"/>
        <v>0.9876136505</v>
      </c>
      <c r="AL77" s="73">
        <f t="shared" si="103"/>
        <v>1.088463321</v>
      </c>
      <c r="AM77" s="73">
        <f t="shared" si="104"/>
        <v>1.345624617</v>
      </c>
      <c r="AN77" s="75">
        <v>235.24</v>
      </c>
      <c r="AO77" s="76">
        <v>240.0</v>
      </c>
      <c r="AP77" s="73">
        <f t="shared" si="105"/>
        <v>240</v>
      </c>
      <c r="AQ77" s="29" t="str">
        <f t="shared" si="106"/>
        <v>#REF!</v>
      </c>
      <c r="AR77" s="77" t="str">
        <f t="shared" si="107"/>
        <v>#REF!</v>
      </c>
      <c r="AS77" s="73"/>
      <c r="AT77" s="39"/>
    </row>
    <row r="78" ht="15.75" customHeight="1">
      <c r="A78" s="16" t="s">
        <v>280</v>
      </c>
      <c r="B78" s="16" t="s">
        <v>279</v>
      </c>
      <c r="C78" s="16">
        <v>1958.0</v>
      </c>
      <c r="D78" s="16"/>
      <c r="E78" s="16">
        <v>1958.0</v>
      </c>
      <c r="F78" s="16" t="b">
        <v>1</v>
      </c>
      <c r="G78" s="16" t="b">
        <v>0</v>
      </c>
      <c r="H78" s="16" t="b">
        <v>0</v>
      </c>
      <c r="I78" s="16" t="b">
        <v>0</v>
      </c>
      <c r="J78" s="16">
        <v>182.0</v>
      </c>
      <c r="K78" s="16">
        <v>1.0</v>
      </c>
      <c r="L78" s="16">
        <v>300.0</v>
      </c>
      <c r="M78" s="16">
        <v>1.0</v>
      </c>
      <c r="N78" s="16">
        <v>945.3</v>
      </c>
      <c r="O78" s="16">
        <v>766.345</v>
      </c>
      <c r="P78" s="18">
        <v>247.62</v>
      </c>
      <c r="Q78" s="16">
        <v>288.0</v>
      </c>
      <c r="R78" s="16">
        <v>3.61</v>
      </c>
      <c r="S78" s="16">
        <v>0.969444</v>
      </c>
      <c r="T78" s="16">
        <v>0.969444</v>
      </c>
      <c r="U78" s="19">
        <f t="shared" si="1"/>
        <v>301</v>
      </c>
      <c r="V78" s="19">
        <f t="shared" si="2"/>
        <v>82.66734571</v>
      </c>
      <c r="W78" s="20">
        <f t="shared" si="3"/>
        <v>0.5428138463</v>
      </c>
      <c r="X78" s="17">
        <f t="shared" si="108"/>
        <v>415.9826771</v>
      </c>
      <c r="Y78" s="21">
        <f t="shared" si="4"/>
        <v>4</v>
      </c>
      <c r="Z78" s="21">
        <f t="shared" si="5"/>
        <v>2079.913385</v>
      </c>
      <c r="AA78" s="21">
        <f t="shared" si="6"/>
        <v>2.714069232</v>
      </c>
      <c r="AB78" s="22">
        <f t="shared" si="7"/>
        <v>1.382002249</v>
      </c>
      <c r="AC78" s="8">
        <f t="shared" si="94"/>
        <v>399.2691874</v>
      </c>
      <c r="AD78" s="13">
        <f t="shared" si="95"/>
        <v>1.326475706</v>
      </c>
      <c r="AE78" s="8">
        <f t="shared" si="96"/>
        <v>399.2691874</v>
      </c>
      <c r="AF78" s="73">
        <f t="shared" si="97"/>
        <v>105.0542622</v>
      </c>
      <c r="AG78" s="74" t="str">
        <f t="shared" si="98"/>
        <v>#REF!</v>
      </c>
      <c r="AH78" s="73">
        <f t="shared" si="99"/>
        <v>0</v>
      </c>
      <c r="AI78" s="73">
        <f t="shared" si="100"/>
        <v>0</v>
      </c>
      <c r="AJ78" s="75">
        <f t="shared" si="101"/>
        <v>1.250048404</v>
      </c>
      <c r="AK78" s="73">
        <f t="shared" si="102"/>
        <v>1.01653422</v>
      </c>
      <c r="AL78" s="73">
        <f t="shared" si="103"/>
        <v>0.9209315624</v>
      </c>
      <c r="AM78" s="73">
        <f t="shared" si="104"/>
        <v>1.135725208</v>
      </c>
      <c r="AN78" s="75">
        <v>422.5</v>
      </c>
      <c r="AO78" s="76">
        <v>420.0</v>
      </c>
      <c r="AP78" s="73">
        <f t="shared" si="105"/>
        <v>420</v>
      </c>
      <c r="AQ78" s="29" t="str">
        <f t="shared" si="106"/>
        <v>#REF!</v>
      </c>
      <c r="AR78" s="77" t="str">
        <f t="shared" si="107"/>
        <v>#REF!</v>
      </c>
      <c r="AS78" s="73"/>
      <c r="AT78" s="39"/>
    </row>
    <row r="79" ht="15.75" customHeight="1">
      <c r="A79" s="7" t="s">
        <v>285</v>
      </c>
      <c r="B79" s="7" t="s">
        <v>286</v>
      </c>
      <c r="C79" s="7">
        <v>1958.0</v>
      </c>
      <c r="D79" s="7"/>
      <c r="E79" s="7">
        <v>1958.0</v>
      </c>
      <c r="F79" s="7" t="b">
        <v>1</v>
      </c>
      <c r="G79" s="7" t="b">
        <v>0</v>
      </c>
      <c r="H79" s="7" t="b">
        <v>0</v>
      </c>
      <c r="I79" s="7" t="b">
        <v>0</v>
      </c>
      <c r="J79" s="9">
        <v>100.0</v>
      </c>
      <c r="K79" s="7">
        <v>1.0</v>
      </c>
      <c r="L79" s="7"/>
      <c r="M79" s="7">
        <v>0.0</v>
      </c>
      <c r="N79" s="7">
        <v>1670.0</v>
      </c>
      <c r="O79" s="7">
        <v>1801.5</v>
      </c>
      <c r="P79" s="9">
        <v>245.0</v>
      </c>
      <c r="Q79" s="7">
        <v>282.0</v>
      </c>
      <c r="R79" s="7">
        <v>3.92</v>
      </c>
      <c r="S79" s="7">
        <v>0.958696</v>
      </c>
      <c r="T79" s="7">
        <v>0.958696</v>
      </c>
      <c r="U79" s="10">
        <f t="shared" si="1"/>
        <v>0</v>
      </c>
      <c r="V79" s="10">
        <f t="shared" si="2"/>
        <v>110.0011229</v>
      </c>
      <c r="W79" s="11">
        <f t="shared" si="3"/>
        <v>0.3250612136</v>
      </c>
      <c r="X79" s="8">
        <f t="shared" si="108"/>
        <v>585.5977763</v>
      </c>
      <c r="Y79" s="12">
        <f t="shared" si="4"/>
        <v>4</v>
      </c>
      <c r="Z79" s="12">
        <f t="shared" si="5"/>
        <v>2927.988881</v>
      </c>
      <c r="AA79" s="12">
        <f t="shared" si="6"/>
        <v>1.625306068</v>
      </c>
      <c r="AB79" s="13" t="str">
        <f t="shared" si="7"/>
        <v>#N/A</v>
      </c>
      <c r="AC79" s="8">
        <f t="shared" si="94"/>
        <v>549.9337125</v>
      </c>
      <c r="AD79" s="13" t="str">
        <f t="shared" si="95"/>
        <v>#N/A</v>
      </c>
      <c r="AE79" s="8">
        <f t="shared" si="96"/>
        <v>549.9337125</v>
      </c>
      <c r="AF79" s="73">
        <f t="shared" si="97"/>
        <v>221.3927116</v>
      </c>
      <c r="AG79" s="74" t="str">
        <f t="shared" si="98"/>
        <v>#REF!</v>
      </c>
      <c r="AH79" s="73">
        <f t="shared" si="99"/>
        <v>0</v>
      </c>
      <c r="AI79" s="73">
        <f t="shared" si="100"/>
        <v>0</v>
      </c>
      <c r="AJ79" s="75">
        <f t="shared" si="101"/>
        <v>1.267138246</v>
      </c>
      <c r="AK79" s="73">
        <f t="shared" si="102"/>
        <v>1.172609925</v>
      </c>
      <c r="AL79" s="73">
        <f t="shared" si="103"/>
        <v>0.8837736245</v>
      </c>
      <c r="AM79" s="73">
        <f t="shared" si="104"/>
        <v>0.8890349162</v>
      </c>
      <c r="AN79" s="75">
        <v>678.41</v>
      </c>
      <c r="AO79" s="76">
        <v>680.0</v>
      </c>
      <c r="AP79" s="73">
        <f t="shared" si="105"/>
        <v>680</v>
      </c>
      <c r="AQ79" s="29" t="str">
        <f t="shared" si="106"/>
        <v>#REF!</v>
      </c>
      <c r="AR79" s="77" t="str">
        <f t="shared" si="107"/>
        <v>#REF!</v>
      </c>
      <c r="AS79" s="73"/>
      <c r="AT79" s="39"/>
    </row>
    <row r="80" ht="15.75" customHeight="1">
      <c r="A80" s="16" t="s">
        <v>332</v>
      </c>
      <c r="B80" s="16" t="s">
        <v>330</v>
      </c>
      <c r="C80" s="16">
        <v>1958.0</v>
      </c>
      <c r="D80" s="16"/>
      <c r="E80" s="16">
        <v>1958.0</v>
      </c>
      <c r="F80" s="16" t="b">
        <v>1</v>
      </c>
      <c r="G80" s="16" t="b">
        <v>0</v>
      </c>
      <c r="H80" s="16" t="b">
        <v>0</v>
      </c>
      <c r="I80" s="16" t="b">
        <v>0</v>
      </c>
      <c r="J80" s="18">
        <v>135.0</v>
      </c>
      <c r="K80" s="16">
        <v>1.0</v>
      </c>
      <c r="L80" s="16">
        <v>300.0</v>
      </c>
      <c r="M80" s="16">
        <v>1.0</v>
      </c>
      <c r="N80" s="16">
        <f>720*0.89</f>
        <v>640.8</v>
      </c>
      <c r="O80" s="16">
        <v>758.7</v>
      </c>
      <c r="P80" s="18">
        <v>248.0</v>
      </c>
      <c r="Q80" s="16">
        <v>282.0</v>
      </c>
      <c r="R80" s="16">
        <v>3.92</v>
      </c>
      <c r="S80" s="16">
        <v>0.960526</v>
      </c>
      <c r="T80" s="16">
        <v>0.960526</v>
      </c>
      <c r="U80" s="19">
        <f t="shared" si="1"/>
        <v>301</v>
      </c>
      <c r="V80" s="19">
        <f t="shared" si="2"/>
        <v>120.7332535</v>
      </c>
      <c r="W80" s="20">
        <f t="shared" si="3"/>
        <v>0.4309481205</v>
      </c>
      <c r="X80" s="17">
        <f t="shared" si="108"/>
        <v>326.960339</v>
      </c>
      <c r="Y80" s="21">
        <f t="shared" si="4"/>
        <v>4</v>
      </c>
      <c r="Z80" s="21">
        <f t="shared" si="5"/>
        <v>1634.801695</v>
      </c>
      <c r="AA80" s="21">
        <f t="shared" si="6"/>
        <v>2.154740603</v>
      </c>
      <c r="AB80" s="22">
        <f t="shared" si="7"/>
        <v>1.086246974</v>
      </c>
      <c r="AC80" s="8">
        <f t="shared" si="94"/>
        <v>308.1961495</v>
      </c>
      <c r="AD80" s="13">
        <f t="shared" si="95"/>
        <v>1.023907473</v>
      </c>
      <c r="AE80" s="8">
        <f t="shared" si="96"/>
        <v>308.1961495</v>
      </c>
      <c r="AF80" s="73">
        <f t="shared" si="97"/>
        <v>104.1636975</v>
      </c>
      <c r="AG80" s="74" t="str">
        <f t="shared" si="98"/>
        <v>#REF!</v>
      </c>
      <c r="AH80" s="73">
        <f t="shared" si="99"/>
        <v>0</v>
      </c>
      <c r="AI80" s="73">
        <f t="shared" si="100"/>
        <v>0</v>
      </c>
      <c r="AJ80" s="75">
        <f t="shared" si="101"/>
        <v>1.287812616</v>
      </c>
      <c r="AK80" s="73">
        <f t="shared" si="102"/>
        <v>1.228481041</v>
      </c>
      <c r="AL80" s="73">
        <f t="shared" si="103"/>
        <v>0.8837736245</v>
      </c>
      <c r="AM80" s="73">
        <f t="shared" si="104"/>
        <v>1.017461199</v>
      </c>
      <c r="AN80" s="75">
        <v>385.47</v>
      </c>
      <c r="AO80" s="76">
        <v>390.0</v>
      </c>
      <c r="AP80" s="73">
        <f t="shared" si="105"/>
        <v>390</v>
      </c>
      <c r="AQ80" s="29" t="str">
        <f t="shared" si="106"/>
        <v>#REF!</v>
      </c>
      <c r="AR80" s="77" t="str">
        <f t="shared" si="107"/>
        <v>#REF!</v>
      </c>
      <c r="AS80" s="73"/>
      <c r="AT80" s="39"/>
    </row>
    <row r="81" ht="15.75" hidden="1" customHeight="1">
      <c r="A81" s="16" t="s">
        <v>991</v>
      </c>
      <c r="B81" s="16" t="s">
        <v>991</v>
      </c>
      <c r="C81" s="16"/>
      <c r="D81" s="16"/>
      <c r="E81" s="16"/>
      <c r="F81" s="16" t="b">
        <v>0</v>
      </c>
      <c r="G81" s="16" t="b">
        <v>1</v>
      </c>
      <c r="H81" s="16" t="b">
        <v>0</v>
      </c>
      <c r="I81" s="16" t="b">
        <v>0</v>
      </c>
      <c r="J81" s="16"/>
      <c r="K81" s="16"/>
      <c r="L81" s="16"/>
      <c r="M81" s="16"/>
      <c r="N81" s="16">
        <v>21.77</v>
      </c>
      <c r="O81" s="16">
        <v>35.5</v>
      </c>
      <c r="P81" s="16"/>
      <c r="Q81" s="16">
        <v>204.0</v>
      </c>
      <c r="R81" s="16"/>
      <c r="S81" s="16"/>
      <c r="T81" s="16"/>
      <c r="U81" s="19">
        <f t="shared" si="1"/>
        <v>0</v>
      </c>
      <c r="V81" s="19">
        <f t="shared" si="2"/>
        <v>166.2835345</v>
      </c>
      <c r="W81" s="20">
        <f t="shared" si="3"/>
        <v>0.7046276852</v>
      </c>
      <c r="X81" s="17">
        <f t="shared" ref="X81:X93" si="109">0.2*(8.17*POW(N81*R81,0.46))+0.8*(0.146*POW(N81*Q81,0.639))</f>
        <v>25.01428283</v>
      </c>
      <c r="Y81" s="21">
        <f t="shared" si="4"/>
        <v>1.05</v>
      </c>
      <c r="Z81" s="21">
        <f t="shared" si="5"/>
        <v>51.27927979</v>
      </c>
      <c r="AA81" s="21">
        <f t="shared" si="6"/>
        <v>1.444486755</v>
      </c>
      <c r="AB81" s="22" t="str">
        <f t="shared" si="7"/>
        <v>#N/A</v>
      </c>
      <c r="AC81" s="17">
        <f t="shared" ref="AC81:AC93" si="110">IF(I81,X81*1.5,X81)*IF(S81*T81&gt;0,(S81*T81+0.02),1)</f>
        <v>25.01428283</v>
      </c>
      <c r="AG81" s="16"/>
    </row>
    <row r="82" ht="15.75" hidden="1" customHeight="1">
      <c r="A82" s="7" t="s">
        <v>888</v>
      </c>
      <c r="B82" s="7" t="s">
        <v>889</v>
      </c>
      <c r="C82" s="7">
        <v>1956.0</v>
      </c>
      <c r="D82" s="7"/>
      <c r="E82" s="7">
        <v>1956.0</v>
      </c>
      <c r="F82" s="7" t="b">
        <v>0</v>
      </c>
      <c r="G82" s="7" t="b">
        <v>1</v>
      </c>
      <c r="H82" s="7" t="b">
        <v>0</v>
      </c>
      <c r="I82" s="7" t="b">
        <v>0</v>
      </c>
      <c r="J82" s="7"/>
      <c r="K82" s="7"/>
      <c r="L82" s="7">
        <v>150.0</v>
      </c>
      <c r="M82" s="7">
        <v>0.0</v>
      </c>
      <c r="N82" s="7">
        <v>651.0</v>
      </c>
      <c r="O82" s="7">
        <v>304.3</v>
      </c>
      <c r="P82" s="7"/>
      <c r="Q82" s="7">
        <v>214.5</v>
      </c>
      <c r="R82" s="7"/>
      <c r="S82" s="7"/>
      <c r="T82" s="7"/>
      <c r="U82" s="10">
        <f t="shared" si="1"/>
        <v>150</v>
      </c>
      <c r="V82" s="10">
        <f t="shared" si="2"/>
        <v>47.66507568</v>
      </c>
      <c r="W82" s="11">
        <f t="shared" si="3"/>
        <v>0.7443911215</v>
      </c>
      <c r="X82" s="8">
        <f t="shared" si="109"/>
        <v>226.5182183</v>
      </c>
      <c r="Y82" s="12">
        <f t="shared" si="4"/>
        <v>1.05</v>
      </c>
      <c r="Z82" s="12">
        <f t="shared" si="5"/>
        <v>464.3623475</v>
      </c>
      <c r="AA82" s="12">
        <f t="shared" si="6"/>
        <v>1.526001799</v>
      </c>
      <c r="AB82" s="13">
        <f t="shared" si="7"/>
        <v>1.510121455</v>
      </c>
      <c r="AC82" s="8">
        <f t="shared" si="110"/>
        <v>226.5182183</v>
      </c>
      <c r="AG82" s="7"/>
    </row>
    <row r="83" ht="15.75" hidden="1" customHeight="1">
      <c r="A83" s="16" t="s">
        <v>895</v>
      </c>
      <c r="B83" s="16" t="s">
        <v>889</v>
      </c>
      <c r="C83" s="16">
        <v>1960.0</v>
      </c>
      <c r="D83" s="16"/>
      <c r="E83" s="16">
        <v>1960.0</v>
      </c>
      <c r="F83" s="16" t="b">
        <v>0</v>
      </c>
      <c r="G83" s="16" t="b">
        <v>1</v>
      </c>
      <c r="H83" s="16" t="b">
        <v>0</v>
      </c>
      <c r="I83" s="16" t="b">
        <v>0</v>
      </c>
      <c r="J83" s="16"/>
      <c r="K83" s="16"/>
      <c r="L83" s="16">
        <v>150.0</v>
      </c>
      <c r="M83" s="16">
        <v>0.0</v>
      </c>
      <c r="N83" s="16">
        <v>651.0</v>
      </c>
      <c r="O83" s="16">
        <v>324.6</v>
      </c>
      <c r="P83" s="16"/>
      <c r="Q83" s="16">
        <v>247.0</v>
      </c>
      <c r="R83" s="16">
        <v>2.75</v>
      </c>
      <c r="S83" s="16"/>
      <c r="T83" s="16"/>
      <c r="U83" s="19">
        <f t="shared" si="1"/>
        <v>150</v>
      </c>
      <c r="V83" s="19">
        <f t="shared" si="2"/>
        <v>50.84483591</v>
      </c>
      <c r="W83" s="20">
        <f t="shared" si="3"/>
        <v>0.9215200805</v>
      </c>
      <c r="X83" s="17">
        <f t="shared" si="109"/>
        <v>299.1254181</v>
      </c>
      <c r="Y83" s="21">
        <f t="shared" si="4"/>
        <v>1.05</v>
      </c>
      <c r="Z83" s="21">
        <f t="shared" si="5"/>
        <v>613.2071072</v>
      </c>
      <c r="AA83" s="21">
        <f t="shared" si="6"/>
        <v>1.889116165</v>
      </c>
      <c r="AB83" s="22">
        <f t="shared" si="7"/>
        <v>1.994169454</v>
      </c>
      <c r="AC83" s="17">
        <f t="shared" si="110"/>
        <v>299.1254181</v>
      </c>
      <c r="AG83" s="16"/>
    </row>
    <row r="84" ht="15.75" hidden="1" customHeight="1">
      <c r="A84" s="7" t="s">
        <v>896</v>
      </c>
      <c r="B84" s="7" t="s">
        <v>889</v>
      </c>
      <c r="C84" s="7">
        <v>1960.0</v>
      </c>
      <c r="D84" s="7"/>
      <c r="E84" s="7">
        <v>1960.0</v>
      </c>
      <c r="F84" s="7" t="b">
        <v>0</v>
      </c>
      <c r="G84" s="7" t="b">
        <v>1</v>
      </c>
      <c r="H84" s="7" t="b">
        <v>0</v>
      </c>
      <c r="I84" s="7" t="b">
        <v>0</v>
      </c>
      <c r="J84" s="7"/>
      <c r="K84" s="7"/>
      <c r="L84" s="7">
        <v>150.0</v>
      </c>
      <c r="M84" s="7">
        <v>0.0</v>
      </c>
      <c r="N84" s="7">
        <v>651.0</v>
      </c>
      <c r="O84" s="7">
        <v>349.3</v>
      </c>
      <c r="P84" s="7"/>
      <c r="Q84" s="7">
        <v>273.21</v>
      </c>
      <c r="R84" s="7">
        <v>2.75</v>
      </c>
      <c r="S84" s="7"/>
      <c r="T84" s="7"/>
      <c r="U84" s="10">
        <f t="shared" si="1"/>
        <v>150</v>
      </c>
      <c r="V84" s="10">
        <f t="shared" si="2"/>
        <v>54.71380525</v>
      </c>
      <c r="W84" s="11">
        <f t="shared" si="3"/>
        <v>0.9035970021</v>
      </c>
      <c r="X84" s="8">
        <f t="shared" si="109"/>
        <v>315.6264328</v>
      </c>
      <c r="Y84" s="12">
        <f t="shared" si="4"/>
        <v>1.05</v>
      </c>
      <c r="Z84" s="12">
        <f t="shared" si="5"/>
        <v>647.0341873</v>
      </c>
      <c r="AA84" s="12">
        <f t="shared" si="6"/>
        <v>1.852373854</v>
      </c>
      <c r="AB84" s="13">
        <f t="shared" si="7"/>
        <v>2.104176219</v>
      </c>
      <c r="AC84" s="8">
        <f t="shared" si="110"/>
        <v>315.6264328</v>
      </c>
      <c r="AG84" s="7"/>
    </row>
    <row r="85" ht="15.75" hidden="1" customHeight="1">
      <c r="A85" s="16" t="s">
        <v>951</v>
      </c>
      <c r="B85" s="16" t="s">
        <v>951</v>
      </c>
      <c r="C85" s="16">
        <v>1989.0</v>
      </c>
      <c r="D85" s="16"/>
      <c r="E85" s="16">
        <v>1989.0</v>
      </c>
      <c r="F85" s="16" t="b">
        <v>0</v>
      </c>
      <c r="G85" s="16" t="b">
        <v>1</v>
      </c>
      <c r="H85" s="16" t="b">
        <v>0</v>
      </c>
      <c r="I85" s="16" t="b">
        <v>0</v>
      </c>
      <c r="J85" s="16"/>
      <c r="K85" s="16"/>
      <c r="L85" s="16">
        <v>750.0</v>
      </c>
      <c r="M85" s="16">
        <v>0.0</v>
      </c>
      <c r="N85" s="16">
        <v>4350.0</v>
      </c>
      <c r="O85" s="16">
        <v>1875.0</v>
      </c>
      <c r="P85" s="16"/>
      <c r="Q85" s="16">
        <v>280.0</v>
      </c>
      <c r="R85" s="16"/>
      <c r="S85" s="16"/>
      <c r="T85" s="16"/>
      <c r="U85" s="19">
        <f t="shared" si="1"/>
        <v>750</v>
      </c>
      <c r="V85" s="19">
        <f t="shared" si="2"/>
        <v>43.95328491</v>
      </c>
      <c r="W85" s="20">
        <f t="shared" si="3"/>
        <v>0.4821366966</v>
      </c>
      <c r="X85" s="17">
        <f t="shared" si="109"/>
        <v>904.0063061</v>
      </c>
      <c r="Y85" s="21">
        <f t="shared" si="4"/>
        <v>1.05</v>
      </c>
      <c r="Z85" s="21">
        <f t="shared" si="5"/>
        <v>1853.212927</v>
      </c>
      <c r="AA85" s="21">
        <f t="shared" si="6"/>
        <v>0.988380228</v>
      </c>
      <c r="AB85" s="22">
        <f t="shared" si="7"/>
        <v>1.205341741</v>
      </c>
      <c r="AC85" s="17">
        <f t="shared" si="110"/>
        <v>904.0063061</v>
      </c>
      <c r="AG85" s="16"/>
    </row>
    <row r="86" ht="15.75" hidden="1" customHeight="1">
      <c r="A86" s="7" t="s">
        <v>904</v>
      </c>
      <c r="B86" s="7" t="s">
        <v>905</v>
      </c>
      <c r="C86" s="7">
        <v>1965.0</v>
      </c>
      <c r="D86" s="7"/>
      <c r="E86" s="7">
        <v>1965.0</v>
      </c>
      <c r="F86" s="7" t="b">
        <v>0</v>
      </c>
      <c r="G86" s="7" t="b">
        <v>1</v>
      </c>
      <c r="H86" s="7" t="b">
        <v>0</v>
      </c>
      <c r="I86" s="7" t="b">
        <v>0</v>
      </c>
      <c r="J86" s="7"/>
      <c r="K86" s="7"/>
      <c r="L86" s="7">
        <v>180.0</v>
      </c>
      <c r="M86" s="7">
        <v>0.0</v>
      </c>
      <c r="N86" s="7">
        <v>677.0</v>
      </c>
      <c r="O86" s="7">
        <v>369.23</v>
      </c>
      <c r="P86" s="7"/>
      <c r="Q86" s="7">
        <v>260.7</v>
      </c>
      <c r="R86" s="7">
        <v>5.51</v>
      </c>
      <c r="S86" s="7"/>
      <c r="T86" s="7"/>
      <c r="U86" s="10">
        <f t="shared" si="1"/>
        <v>180</v>
      </c>
      <c r="V86" s="10">
        <f t="shared" si="2"/>
        <v>55.61444848</v>
      </c>
      <c r="W86" s="11">
        <f t="shared" si="3"/>
        <v>0.9070510181</v>
      </c>
      <c r="X86" s="8">
        <f t="shared" si="109"/>
        <v>334.9104474</v>
      </c>
      <c r="Y86" s="12">
        <f t="shared" si="4"/>
        <v>1.05</v>
      </c>
      <c r="Z86" s="12">
        <f t="shared" si="5"/>
        <v>686.5664172</v>
      </c>
      <c r="AA86" s="12">
        <f t="shared" si="6"/>
        <v>1.859454587</v>
      </c>
      <c r="AB86" s="13">
        <f t="shared" si="7"/>
        <v>1.860613597</v>
      </c>
      <c r="AC86" s="8">
        <f t="shared" si="110"/>
        <v>334.9104474</v>
      </c>
      <c r="AG86" s="7"/>
    </row>
    <row r="87" ht="15.75" hidden="1" customHeight="1">
      <c r="A87" s="16" t="s">
        <v>906</v>
      </c>
      <c r="B87" s="16" t="s">
        <v>905</v>
      </c>
      <c r="C87" s="16">
        <v>1965.0</v>
      </c>
      <c r="D87" s="16"/>
      <c r="E87" s="16">
        <v>1965.0</v>
      </c>
      <c r="F87" s="16" t="b">
        <v>0</v>
      </c>
      <c r="G87" s="16" t="b">
        <v>1</v>
      </c>
      <c r="H87" s="16" t="b">
        <v>0</v>
      </c>
      <c r="I87" s="16" t="b">
        <v>0</v>
      </c>
      <c r="J87" s="16"/>
      <c r="K87" s="16"/>
      <c r="L87" s="16">
        <v>180.0</v>
      </c>
      <c r="M87" s="16">
        <v>0.0</v>
      </c>
      <c r="N87" s="16">
        <v>677.0</v>
      </c>
      <c r="O87" s="16">
        <v>318.1</v>
      </c>
      <c r="P87" s="16"/>
      <c r="Q87" s="16">
        <v>282.2</v>
      </c>
      <c r="R87" s="16">
        <v>5.51</v>
      </c>
      <c r="S87" s="16"/>
      <c r="T87" s="16"/>
      <c r="U87" s="19">
        <f t="shared" si="1"/>
        <v>180</v>
      </c>
      <c r="V87" s="19">
        <f t="shared" si="2"/>
        <v>47.91310582</v>
      </c>
      <c r="W87" s="20">
        <f t="shared" si="3"/>
        <v>1.095805845</v>
      </c>
      <c r="X87" s="17">
        <f t="shared" si="109"/>
        <v>348.5758393</v>
      </c>
      <c r="Y87" s="21">
        <f t="shared" si="4"/>
        <v>1.05</v>
      </c>
      <c r="Z87" s="21">
        <f t="shared" si="5"/>
        <v>714.5804706</v>
      </c>
      <c r="AA87" s="21">
        <f t="shared" si="6"/>
        <v>2.246401983</v>
      </c>
      <c r="AB87" s="22">
        <f t="shared" si="7"/>
        <v>1.936532441</v>
      </c>
      <c r="AC87" s="17">
        <f t="shared" si="110"/>
        <v>348.5758393</v>
      </c>
      <c r="AG87" s="16"/>
    </row>
    <row r="88" ht="15.75" hidden="1" customHeight="1">
      <c r="A88" s="7" t="s">
        <v>984</v>
      </c>
      <c r="B88" s="7" t="s">
        <v>984</v>
      </c>
      <c r="C88" s="7">
        <v>2013.0</v>
      </c>
      <c r="D88" s="7"/>
      <c r="E88" s="7">
        <v>2013.0</v>
      </c>
      <c r="F88" s="7" t="b">
        <v>0</v>
      </c>
      <c r="G88" s="7" t="b">
        <v>1</v>
      </c>
      <c r="H88" s="7" t="b">
        <v>0</v>
      </c>
      <c r="I88" s="7" t="b">
        <v>0</v>
      </c>
      <c r="J88" s="7"/>
      <c r="K88" s="7"/>
      <c r="L88" s="7">
        <v>350.0</v>
      </c>
      <c r="M88" s="7">
        <v>0.0</v>
      </c>
      <c r="N88" s="7">
        <v>1224.0</v>
      </c>
      <c r="O88" s="7">
        <v>330.7653</v>
      </c>
      <c r="P88" s="7"/>
      <c r="Q88" s="7">
        <v>293.1</v>
      </c>
      <c r="R88" s="7"/>
      <c r="S88" s="7"/>
      <c r="T88" s="7"/>
      <c r="U88" s="10">
        <f t="shared" si="1"/>
        <v>350</v>
      </c>
      <c r="V88" s="10">
        <f t="shared" si="2"/>
        <v>27.55610606</v>
      </c>
      <c r="W88" s="11">
        <f t="shared" si="3"/>
        <v>1.251521557</v>
      </c>
      <c r="X88" s="8">
        <f t="shared" si="109"/>
        <v>413.9599032</v>
      </c>
      <c r="Y88" s="12">
        <f t="shared" si="4"/>
        <v>1.05</v>
      </c>
      <c r="Z88" s="12">
        <f t="shared" si="5"/>
        <v>848.6178016</v>
      </c>
      <c r="AA88" s="12">
        <f t="shared" si="6"/>
        <v>2.565619192</v>
      </c>
      <c r="AB88" s="13">
        <f t="shared" si="7"/>
        <v>1.182742581</v>
      </c>
      <c r="AC88" s="8">
        <f t="shared" si="110"/>
        <v>413.9599032</v>
      </c>
      <c r="AG88" s="7"/>
    </row>
    <row r="89" ht="15.75" hidden="1" customHeight="1">
      <c r="A89" s="16" t="s">
        <v>985</v>
      </c>
      <c r="B89" s="16" t="s">
        <v>985</v>
      </c>
      <c r="C89" s="16">
        <v>2013.0</v>
      </c>
      <c r="D89" s="16"/>
      <c r="E89" s="16">
        <v>2013.0</v>
      </c>
      <c r="F89" s="16" t="b">
        <v>0</v>
      </c>
      <c r="G89" s="16" t="b">
        <v>1</v>
      </c>
      <c r="H89" s="16" t="b">
        <v>0</v>
      </c>
      <c r="I89" s="16" t="b">
        <v>0</v>
      </c>
      <c r="J89" s="16"/>
      <c r="K89" s="16"/>
      <c r="L89" s="16">
        <v>350.0</v>
      </c>
      <c r="M89" s="16">
        <v>0.0</v>
      </c>
      <c r="N89" s="16">
        <v>1224.0</v>
      </c>
      <c r="O89" s="16">
        <v>396.2921</v>
      </c>
      <c r="P89" s="16"/>
      <c r="Q89" s="16">
        <v>300.6</v>
      </c>
      <c r="R89" s="16"/>
      <c r="S89" s="16"/>
      <c r="T89" s="16"/>
      <c r="U89" s="19">
        <f t="shared" si="1"/>
        <v>350</v>
      </c>
      <c r="V89" s="19">
        <f t="shared" si="2"/>
        <v>33.01515345</v>
      </c>
      <c r="W89" s="20">
        <f t="shared" si="3"/>
        <v>1.061584844</v>
      </c>
      <c r="X89" s="17">
        <f t="shared" si="109"/>
        <v>420.6976873</v>
      </c>
      <c r="Y89" s="21">
        <f t="shared" si="4"/>
        <v>1.05</v>
      </c>
      <c r="Z89" s="21">
        <f t="shared" si="5"/>
        <v>862.430259</v>
      </c>
      <c r="AA89" s="21">
        <f t="shared" si="6"/>
        <v>2.176248931</v>
      </c>
      <c r="AB89" s="22">
        <f t="shared" si="7"/>
        <v>1.201993392</v>
      </c>
      <c r="AC89" s="17">
        <f t="shared" si="110"/>
        <v>420.6976873</v>
      </c>
      <c r="AG89" s="16"/>
    </row>
    <row r="90" ht="15.75" hidden="1" customHeight="1">
      <c r="A90" s="7" t="s">
        <v>986</v>
      </c>
      <c r="B90" s="7" t="s">
        <v>986</v>
      </c>
      <c r="C90" s="7">
        <v>2013.0</v>
      </c>
      <c r="D90" s="7"/>
      <c r="E90" s="7">
        <v>2013.0</v>
      </c>
      <c r="F90" s="7" t="b">
        <v>0</v>
      </c>
      <c r="G90" s="7" t="b">
        <v>1</v>
      </c>
      <c r="H90" s="7" t="b">
        <v>0</v>
      </c>
      <c r="I90" s="7" t="b">
        <v>0</v>
      </c>
      <c r="J90" s="7"/>
      <c r="K90" s="7"/>
      <c r="L90" s="7">
        <v>550.0</v>
      </c>
      <c r="M90" s="7">
        <v>0.0</v>
      </c>
      <c r="N90" s="7">
        <v>2300.0</v>
      </c>
      <c r="O90" s="7">
        <v>533.3418</v>
      </c>
      <c r="P90" s="7"/>
      <c r="Q90" s="7">
        <v>294.4</v>
      </c>
      <c r="R90" s="7"/>
      <c r="S90" s="7"/>
      <c r="T90" s="7"/>
      <c r="U90" s="10">
        <f t="shared" si="1"/>
        <v>550</v>
      </c>
      <c r="V90" s="10">
        <f t="shared" si="2"/>
        <v>23.64596865</v>
      </c>
      <c r="W90" s="11">
        <f t="shared" si="3"/>
        <v>1.164749588</v>
      </c>
      <c r="X90" s="8">
        <f t="shared" si="109"/>
        <v>621.2096418</v>
      </c>
      <c r="Y90" s="12">
        <f t="shared" si="4"/>
        <v>1.05</v>
      </c>
      <c r="Z90" s="12">
        <f t="shared" si="5"/>
        <v>1273.479766</v>
      </c>
      <c r="AA90" s="12">
        <f t="shared" si="6"/>
        <v>2.387736655</v>
      </c>
      <c r="AB90" s="13">
        <f t="shared" si="7"/>
        <v>1.129472076</v>
      </c>
      <c r="AC90" s="8">
        <f t="shared" si="110"/>
        <v>621.2096418</v>
      </c>
      <c r="AG90" s="7"/>
    </row>
    <row r="91" ht="15.75" hidden="1" customHeight="1">
      <c r="A91" s="16" t="s">
        <v>936</v>
      </c>
      <c r="B91" s="16" t="s">
        <v>936</v>
      </c>
      <c r="C91" s="16">
        <v>1975.0</v>
      </c>
      <c r="D91" s="16"/>
      <c r="E91" s="16">
        <v>1975.0</v>
      </c>
      <c r="F91" s="16" t="b">
        <v>0</v>
      </c>
      <c r="G91" s="16" t="b">
        <v>1</v>
      </c>
      <c r="H91" s="16" t="b">
        <v>0</v>
      </c>
      <c r="I91" s="16" t="b">
        <v>0</v>
      </c>
      <c r="J91" s="16"/>
      <c r="K91" s="16"/>
      <c r="L91" s="16">
        <v>361.0</v>
      </c>
      <c r="M91" s="16">
        <v>0.0</v>
      </c>
      <c r="N91" s="16">
        <v>1269.0</v>
      </c>
      <c r="O91" s="16">
        <v>460.0</v>
      </c>
      <c r="P91" s="16"/>
      <c r="Q91" s="16">
        <v>261.0</v>
      </c>
      <c r="R91" s="16"/>
      <c r="S91" s="16"/>
      <c r="T91" s="16"/>
      <c r="U91" s="19">
        <f t="shared" si="1"/>
        <v>361</v>
      </c>
      <c r="V91" s="19">
        <f t="shared" si="2"/>
        <v>36.96370816</v>
      </c>
      <c r="W91" s="20">
        <f t="shared" si="3"/>
        <v>0.855126316</v>
      </c>
      <c r="X91" s="17">
        <f t="shared" si="109"/>
        <v>393.3581054</v>
      </c>
      <c r="Y91" s="21">
        <f t="shared" si="4"/>
        <v>1.05</v>
      </c>
      <c r="Z91" s="21">
        <f t="shared" si="5"/>
        <v>806.384116</v>
      </c>
      <c r="AA91" s="21">
        <f t="shared" si="6"/>
        <v>1.753008948</v>
      </c>
      <c r="AB91" s="22">
        <f t="shared" si="7"/>
        <v>1.089634641</v>
      </c>
      <c r="AC91" s="17">
        <f t="shared" si="110"/>
        <v>393.3581054</v>
      </c>
      <c r="AG91" s="16"/>
    </row>
    <row r="92" ht="15.75" hidden="1" customHeight="1">
      <c r="A92" s="7" t="s">
        <v>952</v>
      </c>
      <c r="B92" s="7" t="s">
        <v>952</v>
      </c>
      <c r="C92" s="7">
        <v>1989.0</v>
      </c>
      <c r="D92" s="7"/>
      <c r="E92" s="7">
        <v>1989.0</v>
      </c>
      <c r="F92" s="7" t="b">
        <v>0</v>
      </c>
      <c r="G92" s="7" t="b">
        <v>1</v>
      </c>
      <c r="H92" s="7" t="b">
        <v>0</v>
      </c>
      <c r="I92" s="7" t="b">
        <v>0</v>
      </c>
      <c r="J92" s="7"/>
      <c r="K92" s="7"/>
      <c r="L92" s="7"/>
      <c r="M92" s="7">
        <v>0.0</v>
      </c>
      <c r="N92" s="7">
        <v>1457.0</v>
      </c>
      <c r="O92" s="7">
        <v>538.0</v>
      </c>
      <c r="P92" s="7"/>
      <c r="Q92" s="7">
        <v>265.0</v>
      </c>
      <c r="R92" s="7"/>
      <c r="S92" s="7"/>
      <c r="T92" s="7"/>
      <c r="U92" s="10">
        <f t="shared" si="1"/>
        <v>0</v>
      </c>
      <c r="V92" s="10">
        <f t="shared" si="2"/>
        <v>37.65321352</v>
      </c>
      <c r="W92" s="11">
        <f t="shared" si="3"/>
        <v>0.8064275091</v>
      </c>
      <c r="X92" s="8">
        <f t="shared" si="109"/>
        <v>433.8579999</v>
      </c>
      <c r="Y92" s="12">
        <f t="shared" si="4"/>
        <v>1.05</v>
      </c>
      <c r="Z92" s="12">
        <f t="shared" si="5"/>
        <v>889.4088998</v>
      </c>
      <c r="AA92" s="12">
        <f t="shared" si="6"/>
        <v>1.653176394</v>
      </c>
      <c r="AB92" s="13" t="str">
        <f t="shared" si="7"/>
        <v>#N/A</v>
      </c>
      <c r="AC92" s="8">
        <f t="shared" si="110"/>
        <v>433.8579999</v>
      </c>
      <c r="AG92" s="7"/>
    </row>
    <row r="93" ht="15.75" hidden="1" customHeight="1">
      <c r="A93" s="16" t="s">
        <v>971</v>
      </c>
      <c r="B93" s="16" t="s">
        <v>971</v>
      </c>
      <c r="C93" s="16">
        <v>2001.0</v>
      </c>
      <c r="D93" s="16"/>
      <c r="E93" s="16">
        <v>2001.0</v>
      </c>
      <c r="F93" s="16" t="b">
        <v>0</v>
      </c>
      <c r="G93" s="16" t="b">
        <v>1</v>
      </c>
      <c r="H93" s="16" t="b">
        <v>0</v>
      </c>
      <c r="I93" s="16" t="b">
        <v>0</v>
      </c>
      <c r="J93" s="16"/>
      <c r="K93" s="16"/>
      <c r="L93" s="16">
        <v>500.0</v>
      </c>
      <c r="M93" s="16">
        <v>0.0</v>
      </c>
      <c r="N93" s="16">
        <v>1723.0</v>
      </c>
      <c r="O93" s="16">
        <v>765.0</v>
      </c>
      <c r="P93" s="16"/>
      <c r="Q93" s="16">
        <v>282.4</v>
      </c>
      <c r="R93" s="16"/>
      <c r="S93" s="16"/>
      <c r="T93" s="16"/>
      <c r="U93" s="19">
        <f t="shared" si="1"/>
        <v>500</v>
      </c>
      <c r="V93" s="19">
        <f t="shared" si="2"/>
        <v>45.27468953</v>
      </c>
      <c r="W93" s="20">
        <f t="shared" si="3"/>
        <v>0.6574613669</v>
      </c>
      <c r="X93" s="17">
        <f t="shared" si="109"/>
        <v>502.9579457</v>
      </c>
      <c r="Y93" s="21">
        <f t="shared" si="4"/>
        <v>1.05</v>
      </c>
      <c r="Z93" s="21">
        <f t="shared" si="5"/>
        <v>1031.063789</v>
      </c>
      <c r="AA93" s="21">
        <f t="shared" si="6"/>
        <v>1.347795802</v>
      </c>
      <c r="AB93" s="22">
        <f t="shared" si="7"/>
        <v>1.005915891</v>
      </c>
      <c r="AC93" s="17">
        <f t="shared" si="110"/>
        <v>502.9579457</v>
      </c>
      <c r="AG93" s="16"/>
    </row>
    <row r="94" ht="15.75" customHeight="1">
      <c r="A94" s="7" t="s">
        <v>442</v>
      </c>
      <c r="B94" s="7" t="s">
        <v>443</v>
      </c>
      <c r="C94" s="7">
        <v>1958.0</v>
      </c>
      <c r="D94" s="7"/>
      <c r="E94" s="7">
        <v>1958.0</v>
      </c>
      <c r="F94" s="7" t="b">
        <v>1</v>
      </c>
      <c r="G94" s="7" t="b">
        <v>0</v>
      </c>
      <c r="H94" s="7" t="b">
        <v>1</v>
      </c>
      <c r="I94" s="7" t="b">
        <v>0</v>
      </c>
      <c r="J94" s="9">
        <v>440.0</v>
      </c>
      <c r="K94" s="7">
        <v>1.0</v>
      </c>
      <c r="L94" s="7">
        <v>250.0</v>
      </c>
      <c r="M94" s="7">
        <v>0.0</v>
      </c>
      <c r="N94" s="7">
        <v>125.0</v>
      </c>
      <c r="O94" s="7">
        <v>49.4</v>
      </c>
      <c r="P94" s="9">
        <v>142.0</v>
      </c>
      <c r="Q94" s="7">
        <v>316.0</v>
      </c>
      <c r="R94" s="7">
        <v>4.5</v>
      </c>
      <c r="S94" s="7">
        <v>0.98125</v>
      </c>
      <c r="T94" s="7">
        <v>0.95625</v>
      </c>
      <c r="U94" s="10">
        <f t="shared" si="1"/>
        <v>250</v>
      </c>
      <c r="V94" s="10">
        <f t="shared" si="2"/>
        <v>40.29918462</v>
      </c>
      <c r="W94" s="11">
        <f t="shared" si="3"/>
        <v>2.655118467</v>
      </c>
      <c r="X94" s="8">
        <f t="shared" ref="X94:X97" si="111">0.2*(8.17*POWER(N94*R94,0.46))+0.8*(0.146*POWER(N94*Q94,0.639))</f>
        <v>131.1628523</v>
      </c>
      <c r="Y94" s="12">
        <f t="shared" si="4"/>
        <v>4</v>
      </c>
      <c r="Z94" s="12">
        <f t="shared" si="5"/>
        <v>655.8142614</v>
      </c>
      <c r="AA94" s="12">
        <f t="shared" si="6"/>
        <v>13.27559234</v>
      </c>
      <c r="AB94" s="13">
        <f t="shared" si="7"/>
        <v>0.5246514091</v>
      </c>
      <c r="AC94" s="8">
        <f t="shared" ref="AC94:AC97" si="112">X94*IF(I94,1.5,1)*IF(S94*T94&gt;0,(S94*T94+0.02),1)</f>
        <v>125.6960256</v>
      </c>
      <c r="AD94" s="13">
        <f t="shared" ref="AD94:AD97" si="113">IFERROR(AC94/U94,#N/A)</f>
        <v>0.5027841023</v>
      </c>
      <c r="AE94" s="8">
        <f t="shared" ref="AE94:AE97" si="114">IF(I94,1.5,1)*IF(S94*T94&gt;0,(S94*T94+0.02),1)*(0.2*(8.17*POWER(N94*R94,0.46))+0.8*(0.146*POWER(N94*Q94,0.639)))</f>
        <v>125.6960256</v>
      </c>
      <c r="AF94" s="73">
        <f t="shared" ref="AF94:AF97" si="115">If(F94,$AT$2*O94*(1-log(O94)*0.04+1/(O94/80)^0.6),$AT$3*O94*(1+1/(O94/12)^0.9-log(O94)*0.03))</f>
        <v>13.44275225</v>
      </c>
      <c r="AG94" s="74" t="str">
        <f t="shared" ref="AG94:AG97" si="116">If(F94,VLOOKUP(E94,#REF!,2),VLOOKUP(E94,#REF!,3))</f>
        <v>#REF!</v>
      </c>
      <c r="AH94" s="73">
        <f t="shared" ref="AH94:AH97" si="117">If(I94,2,0)</f>
        <v>0</v>
      </c>
      <c r="AI94" s="73">
        <f t="shared" ref="AI94:AI97" si="118">1.5-1.5/K94^0.2</f>
        <v>0</v>
      </c>
      <c r="AJ94" s="75">
        <f t="shared" ref="AJ94:AJ97" si="119">If(P94/Q94 &gt; 0.66,1+2.8*(P94/Q94-0.66)^1.5,1)</f>
        <v>1</v>
      </c>
      <c r="AK94" s="73">
        <f t="shared" ref="AK94:AK97" si="120">Max(0.8,Pow(V94/5,0.5))/4</f>
        <v>0.7097462982</v>
      </c>
      <c r="AL94" s="73">
        <f t="shared" ref="AL94:AL97" si="121">IF(Q94&gt;300,IF(Q94&gt;460.39,7.5*8.5^((Q94/460.4-1)^0.6),6.5^((Q94/150-2)^1.1)),2.8^(Q94/150-2))</f>
        <v>1.173066849</v>
      </c>
      <c r="AM94" s="73">
        <f t="shared" ref="AM94:AM97" si="122">If(ISBLANK(J94),1,2.6*(1-1/((J94*0.05)^0.26)))</f>
        <v>1.43602554</v>
      </c>
      <c r="AN94" s="75">
        <v>58.73</v>
      </c>
      <c r="AO94" s="76">
        <v>59.0</v>
      </c>
      <c r="AP94" s="73">
        <f t="shared" ref="AP94:AP97" si="123">If(MOD(Log10(AO94),1)&gt;0.2,ROUND(AO94,1-INT(LOG10(AO94))), ROUND(2*AO94,1-INT(LOG10(2*AO94)))/2)</f>
        <v>59</v>
      </c>
      <c r="AQ94" s="29" t="str">
        <f t="shared" ref="AQ94:AQ97" si="124">VLOOKUP(A94,#REF!,27,FALSE)</f>
        <v>#REF!</v>
      </c>
      <c r="AR94" s="77" t="str">
        <f t="shared" ref="AR94:AR97" si="125">AP94/AQ94-1</f>
        <v>#REF!</v>
      </c>
      <c r="AS94" s="73"/>
      <c r="AT94" s="39"/>
    </row>
    <row r="95" ht="15.75" customHeight="1">
      <c r="A95" s="7" t="s">
        <v>530</v>
      </c>
      <c r="B95" s="7" t="s">
        <v>1008</v>
      </c>
      <c r="C95" s="7">
        <v>1958.0</v>
      </c>
      <c r="D95" s="7"/>
      <c r="E95" s="7">
        <v>1958.0</v>
      </c>
      <c r="F95" s="7" t="b">
        <v>1</v>
      </c>
      <c r="G95" s="7" t="b">
        <v>0</v>
      </c>
      <c r="H95" s="7" t="b">
        <v>0</v>
      </c>
      <c r="I95" s="7" t="b">
        <v>0</v>
      </c>
      <c r="J95" s="9">
        <v>125.0</v>
      </c>
      <c r="K95" s="7">
        <v>1.0</v>
      </c>
      <c r="L95" s="7">
        <v>470.0</v>
      </c>
      <c r="M95" s="7">
        <v>0.0</v>
      </c>
      <c r="N95" s="7">
        <v>1190.0</v>
      </c>
      <c r="O95" s="7">
        <v>972.8</v>
      </c>
      <c r="P95" s="9">
        <v>253.0</v>
      </c>
      <c r="Q95" s="7">
        <v>310.0</v>
      </c>
      <c r="R95" s="7">
        <v>5.69</v>
      </c>
      <c r="S95" s="7">
        <v>0.968182</v>
      </c>
      <c r="T95" s="7">
        <v>0.968182</v>
      </c>
      <c r="U95" s="10">
        <f t="shared" si="1"/>
        <v>470</v>
      </c>
      <c r="V95" s="10">
        <f t="shared" si="2"/>
        <v>83.35965791</v>
      </c>
      <c r="W95" s="11">
        <f t="shared" si="3"/>
        <v>0.5303106577</v>
      </c>
      <c r="X95" s="8">
        <f t="shared" si="111"/>
        <v>515.8862078</v>
      </c>
      <c r="Y95" s="12">
        <f t="shared" si="4"/>
        <v>4</v>
      </c>
      <c r="Z95" s="12">
        <f t="shared" si="5"/>
        <v>2579.431039</v>
      </c>
      <c r="AA95" s="12">
        <f t="shared" si="6"/>
        <v>2.651553289</v>
      </c>
      <c r="AB95" s="13">
        <f t="shared" si="7"/>
        <v>1.097630229</v>
      </c>
      <c r="AC95" s="8">
        <f t="shared" si="112"/>
        <v>493.8972728</v>
      </c>
      <c r="AD95" s="13">
        <f t="shared" si="113"/>
        <v>1.050845261</v>
      </c>
      <c r="AE95" s="8">
        <f t="shared" si="114"/>
        <v>493.8972728</v>
      </c>
      <c r="AF95" s="73">
        <f t="shared" si="115"/>
        <v>128.8598249</v>
      </c>
      <c r="AG95" s="74" t="str">
        <f t="shared" si="116"/>
        <v>#REF!</v>
      </c>
      <c r="AH95" s="73">
        <f t="shared" si="117"/>
        <v>0</v>
      </c>
      <c r="AI95" s="73">
        <f t="shared" si="118"/>
        <v>0</v>
      </c>
      <c r="AJ95" s="75">
        <f t="shared" si="119"/>
        <v>1.172736268</v>
      </c>
      <c r="AK95" s="73">
        <f t="shared" si="120"/>
        <v>1.020781918</v>
      </c>
      <c r="AL95" s="73">
        <f t="shared" si="121"/>
        <v>1.099860153</v>
      </c>
      <c r="AM95" s="73">
        <f t="shared" si="122"/>
        <v>0.9854758578</v>
      </c>
      <c r="AN95" s="75">
        <v>500.35</v>
      </c>
      <c r="AO95" s="76">
        <v>500.0</v>
      </c>
      <c r="AP95" s="73">
        <f t="shared" si="123"/>
        <v>500</v>
      </c>
      <c r="AQ95" s="29" t="str">
        <f t="shared" si="124"/>
        <v>#REF!</v>
      </c>
      <c r="AR95" s="77" t="str">
        <f t="shared" si="125"/>
        <v>#REF!</v>
      </c>
      <c r="AS95" s="73"/>
      <c r="AT95" s="39"/>
    </row>
    <row r="96" ht="15.75" customHeight="1">
      <c r="A96" s="16" t="s">
        <v>529</v>
      </c>
      <c r="B96" s="16" t="s">
        <v>1008</v>
      </c>
      <c r="C96" s="16">
        <v>1958.0</v>
      </c>
      <c r="D96" s="16"/>
      <c r="E96" s="16">
        <v>1958.0</v>
      </c>
      <c r="F96" s="16" t="b">
        <v>1</v>
      </c>
      <c r="G96" s="16" t="b">
        <v>0</v>
      </c>
      <c r="H96" s="16" t="b">
        <v>0</v>
      </c>
      <c r="I96" s="16" t="b">
        <v>0</v>
      </c>
      <c r="J96" s="18">
        <v>120.0</v>
      </c>
      <c r="K96" s="16">
        <v>1.0</v>
      </c>
      <c r="L96" s="16">
        <v>470.0</v>
      </c>
      <c r="M96" s="16">
        <v>20.0</v>
      </c>
      <c r="N96" s="16">
        <v>1190.0</v>
      </c>
      <c r="O96" s="16">
        <v>996.4</v>
      </c>
      <c r="P96" s="18">
        <v>254.0</v>
      </c>
      <c r="Q96" s="16">
        <v>312.0</v>
      </c>
      <c r="R96" s="16">
        <v>5.69</v>
      </c>
      <c r="S96" s="16">
        <v>0.985606</v>
      </c>
      <c r="T96" s="16">
        <v>0.985606</v>
      </c>
      <c r="U96" s="19">
        <f t="shared" si="1"/>
        <v>490</v>
      </c>
      <c r="V96" s="19">
        <f t="shared" si="2"/>
        <v>85.38195224</v>
      </c>
      <c r="W96" s="20">
        <f t="shared" si="3"/>
        <v>0.5194916278</v>
      </c>
      <c r="X96" s="17">
        <f t="shared" si="111"/>
        <v>517.6214579</v>
      </c>
      <c r="Y96" s="21">
        <f t="shared" si="4"/>
        <v>4</v>
      </c>
      <c r="Z96" s="21">
        <f t="shared" si="5"/>
        <v>2588.10729</v>
      </c>
      <c r="AA96" s="21">
        <f t="shared" si="6"/>
        <v>2.597458139</v>
      </c>
      <c r="AB96" s="22">
        <f t="shared" si="7"/>
        <v>1.056370322</v>
      </c>
      <c r="AC96" s="8">
        <f t="shared" si="112"/>
        <v>513.1798451</v>
      </c>
      <c r="AD96" s="13">
        <f t="shared" si="113"/>
        <v>1.047305806</v>
      </c>
      <c r="AE96" s="8">
        <f t="shared" si="114"/>
        <v>513.1798451</v>
      </c>
      <c r="AF96" s="73">
        <f t="shared" si="115"/>
        <v>131.5547768</v>
      </c>
      <c r="AG96" s="74" t="str">
        <f t="shared" si="116"/>
        <v>#REF!</v>
      </c>
      <c r="AH96" s="73">
        <f t="shared" si="117"/>
        <v>0</v>
      </c>
      <c r="AI96" s="73">
        <f t="shared" si="118"/>
        <v>0</v>
      </c>
      <c r="AJ96" s="75">
        <f t="shared" si="119"/>
        <v>1.169384173</v>
      </c>
      <c r="AK96" s="73">
        <f t="shared" si="120"/>
        <v>1.033089736</v>
      </c>
      <c r="AL96" s="73">
        <f t="shared" si="121"/>
        <v>1.123356654</v>
      </c>
      <c r="AM96" s="73">
        <f t="shared" si="122"/>
        <v>0.9682484915</v>
      </c>
      <c r="AN96" s="75">
        <v>591.9</v>
      </c>
      <c r="AO96" s="76">
        <v>590.0</v>
      </c>
      <c r="AP96" s="73">
        <f t="shared" si="123"/>
        <v>590</v>
      </c>
      <c r="AQ96" s="29" t="str">
        <f t="shared" si="124"/>
        <v>#REF!</v>
      </c>
      <c r="AR96" s="77" t="str">
        <f t="shared" si="125"/>
        <v>#REF!</v>
      </c>
      <c r="AS96" s="73"/>
      <c r="AT96" s="39"/>
    </row>
    <row r="97" ht="15.75" customHeight="1">
      <c r="A97" s="7" t="s">
        <v>541</v>
      </c>
      <c r="B97" s="7" t="s">
        <v>1009</v>
      </c>
      <c r="C97" s="7">
        <v>1958.0</v>
      </c>
      <c r="D97" s="7"/>
      <c r="E97" s="7">
        <v>1958.0</v>
      </c>
      <c r="F97" s="7" t="b">
        <v>1</v>
      </c>
      <c r="G97" s="7" t="b">
        <v>0</v>
      </c>
      <c r="H97" s="7" t="b">
        <v>0</v>
      </c>
      <c r="I97" s="7" t="b">
        <v>0</v>
      </c>
      <c r="J97" s="9">
        <v>330.0</v>
      </c>
      <c r="K97" s="7">
        <v>1.0</v>
      </c>
      <c r="L97" s="7">
        <v>450.0</v>
      </c>
      <c r="M97" s="7">
        <v>0.0</v>
      </c>
      <c r="N97" s="7">
        <v>1250.0</v>
      </c>
      <c r="O97" s="7">
        <v>803.2</v>
      </c>
      <c r="P97" s="9">
        <v>246.0</v>
      </c>
      <c r="Q97" s="7">
        <v>315.0</v>
      </c>
      <c r="R97" s="7">
        <v>3.92</v>
      </c>
      <c r="S97" s="7">
        <v>0.968182</v>
      </c>
      <c r="T97" s="7">
        <v>0.968182</v>
      </c>
      <c r="U97" s="10">
        <f t="shared" si="1"/>
        <v>450</v>
      </c>
      <c r="V97" s="10">
        <f t="shared" si="2"/>
        <v>65.52288479</v>
      </c>
      <c r="W97" s="11">
        <f t="shared" si="3"/>
        <v>0.6483441124</v>
      </c>
      <c r="X97" s="8">
        <f t="shared" si="111"/>
        <v>520.749991</v>
      </c>
      <c r="Y97" s="12">
        <f t="shared" si="4"/>
        <v>4</v>
      </c>
      <c r="Z97" s="12">
        <f t="shared" si="5"/>
        <v>2603.749955</v>
      </c>
      <c r="AA97" s="12">
        <f t="shared" si="6"/>
        <v>3.241720562</v>
      </c>
      <c r="AB97" s="13">
        <f t="shared" si="7"/>
        <v>1.157222202</v>
      </c>
      <c r="AC97" s="8">
        <f t="shared" si="112"/>
        <v>498.553744</v>
      </c>
      <c r="AD97" s="13">
        <f t="shared" si="113"/>
        <v>1.107897209</v>
      </c>
      <c r="AE97" s="8">
        <f t="shared" si="114"/>
        <v>498.553744</v>
      </c>
      <c r="AF97" s="73">
        <f t="shared" si="115"/>
        <v>109.337505</v>
      </c>
      <c r="AG97" s="74" t="str">
        <f t="shared" si="116"/>
        <v>#REF!</v>
      </c>
      <c r="AH97" s="73">
        <f t="shared" si="117"/>
        <v>0</v>
      </c>
      <c r="AI97" s="73">
        <f t="shared" si="118"/>
        <v>0</v>
      </c>
      <c r="AJ97" s="75">
        <f t="shared" si="119"/>
        <v>1.117782201</v>
      </c>
      <c r="AK97" s="73">
        <f t="shared" si="120"/>
        <v>0.9050061104</v>
      </c>
      <c r="AL97" s="73">
        <f t="shared" si="121"/>
        <v>1.160304571</v>
      </c>
      <c r="AM97" s="73">
        <f t="shared" si="122"/>
        <v>1.345624617</v>
      </c>
      <c r="AN97" s="75">
        <v>549.5</v>
      </c>
      <c r="AO97" s="76">
        <v>550.0</v>
      </c>
      <c r="AP97" s="73">
        <f t="shared" si="123"/>
        <v>550</v>
      </c>
      <c r="AQ97" s="29" t="str">
        <f t="shared" si="124"/>
        <v>#REF!</v>
      </c>
      <c r="AR97" s="77" t="str">
        <f t="shared" si="125"/>
        <v>#REF!</v>
      </c>
      <c r="AS97" s="73"/>
      <c r="AT97" s="39"/>
    </row>
    <row r="98" ht="15.75" hidden="1" customHeight="1">
      <c r="A98" s="7" t="s">
        <v>928</v>
      </c>
      <c r="B98" s="7" t="s">
        <v>928</v>
      </c>
      <c r="C98" s="7">
        <v>1970.0</v>
      </c>
      <c r="D98" s="7"/>
      <c r="E98" s="7">
        <v>1970.0</v>
      </c>
      <c r="F98" s="7" t="b">
        <v>0</v>
      </c>
      <c r="G98" s="7" t="b">
        <v>1</v>
      </c>
      <c r="H98" s="7" t="b">
        <v>0</v>
      </c>
      <c r="I98" s="7" t="b">
        <v>0</v>
      </c>
      <c r="J98" s="7"/>
      <c r="K98" s="7"/>
      <c r="L98" s="7"/>
      <c r="M98" s="7">
        <v>0.0</v>
      </c>
      <c r="N98" s="7">
        <v>67.0</v>
      </c>
      <c r="O98" s="7">
        <v>50.0</v>
      </c>
      <c r="P98" s="7"/>
      <c r="Q98" s="7">
        <v>275.0</v>
      </c>
      <c r="R98" s="7">
        <v>5.8</v>
      </c>
      <c r="S98" s="7"/>
      <c r="T98" s="7"/>
      <c r="U98" s="10">
        <f t="shared" si="1"/>
        <v>0</v>
      </c>
      <c r="V98" s="10">
        <f t="shared" si="2"/>
        <v>76.09822463</v>
      </c>
      <c r="W98" s="11">
        <f t="shared" si="3"/>
        <v>1.749367592</v>
      </c>
      <c r="X98" s="8">
        <f>0.2*(8.17*POW(N98*R98,0.46))+0.8*(0.146*POW(N98*Q98,0.639))</f>
        <v>87.46837958</v>
      </c>
      <c r="Y98" s="12">
        <f t="shared" si="4"/>
        <v>1.05</v>
      </c>
      <c r="Z98" s="12">
        <f t="shared" si="5"/>
        <v>179.3101781</v>
      </c>
      <c r="AA98" s="12">
        <f t="shared" si="6"/>
        <v>3.586203563</v>
      </c>
      <c r="AB98" s="13" t="str">
        <f t="shared" si="7"/>
        <v>#N/A</v>
      </c>
      <c r="AC98" s="8">
        <f>IF(I98,X98*1.5,X98)*IF(S98*T98&gt;0,(S98*T98+0.02),1)</f>
        <v>87.46837958</v>
      </c>
      <c r="AG98" s="7"/>
    </row>
    <row r="99" ht="15.75" customHeight="1">
      <c r="A99" s="16" t="s">
        <v>540</v>
      </c>
      <c r="B99" s="16" t="s">
        <v>1009</v>
      </c>
      <c r="C99" s="16">
        <v>1958.0</v>
      </c>
      <c r="D99" s="16"/>
      <c r="E99" s="16">
        <v>1958.0</v>
      </c>
      <c r="F99" s="16" t="b">
        <v>1</v>
      </c>
      <c r="G99" s="16" t="b">
        <v>0</v>
      </c>
      <c r="H99" s="16" t="b">
        <v>0</v>
      </c>
      <c r="I99" s="16" t="b">
        <v>0</v>
      </c>
      <c r="J99" s="18">
        <v>285.0</v>
      </c>
      <c r="K99" s="16">
        <v>1.0</v>
      </c>
      <c r="L99" s="16">
        <v>450.0</v>
      </c>
      <c r="M99" s="16">
        <v>20.0</v>
      </c>
      <c r="N99" s="16">
        <v>1250.0</v>
      </c>
      <c r="O99" s="16">
        <v>945.4</v>
      </c>
      <c r="P99" s="18">
        <v>246.0</v>
      </c>
      <c r="Q99" s="16">
        <v>315.0</v>
      </c>
      <c r="R99" s="16">
        <v>5.08</v>
      </c>
      <c r="S99" s="16">
        <v>0.985606</v>
      </c>
      <c r="T99" s="16">
        <v>0.985606</v>
      </c>
      <c r="U99" s="19">
        <f t="shared" si="1"/>
        <v>470</v>
      </c>
      <c r="V99" s="19">
        <f t="shared" si="2"/>
        <v>77.12317639</v>
      </c>
      <c r="W99" s="20">
        <f t="shared" si="3"/>
        <v>0.5617319662</v>
      </c>
      <c r="X99" s="17">
        <f t="shared" ref="X99:X105" si="126">0.2*(8.17*POWER(N99*R99,0.46))+0.8*(0.146*POWER(N99*Q99,0.639))</f>
        <v>531.0614009</v>
      </c>
      <c r="Y99" s="21">
        <f t="shared" si="4"/>
        <v>4</v>
      </c>
      <c r="Z99" s="21">
        <f t="shared" si="5"/>
        <v>2655.307004</v>
      </c>
      <c r="AA99" s="21">
        <f t="shared" si="6"/>
        <v>2.808659831</v>
      </c>
      <c r="AB99" s="22">
        <f t="shared" si="7"/>
        <v>1.129917874</v>
      </c>
      <c r="AC99" s="8">
        <f t="shared" ref="AC99:AC105" si="127">X99*IF(I99,1.5,1)*IF(S99*T99&gt;0,(S99*T99+0.02),1)</f>
        <v>526.5044624</v>
      </c>
      <c r="AD99" s="13">
        <f t="shared" ref="AD99:AD105" si="128">IFERROR(AC99/U99,#N/A)</f>
        <v>1.120222261</v>
      </c>
      <c r="AE99" s="8">
        <f t="shared" ref="AE99:AE105" si="129">IF(I99,1.5,1)*IF(S99*T99&gt;0,(S99*T99+0.02),1)*(0.2*(8.17*POWER(N99*R99,0.46))+0.8*(0.146*POWER(N99*Q99,0.639)))</f>
        <v>526.5044624</v>
      </c>
      <c r="AF99" s="73">
        <f t="shared" ref="AF99:AF105" si="130">If(F99,$AT$2*O99*(1-log(O99)*0.04+1/(O99/80)^0.6),$AT$3*O99*(1+1/(O99/12)^0.9-log(O99)*0.03))</f>
        <v>125.7248092</v>
      </c>
      <c r="AG99" s="74" t="str">
        <f t="shared" ref="AG99:AG105" si="131">If(F99,VLOOKUP(E99,#REF!,2),VLOOKUP(E99,#REF!,3))</f>
        <v>#REF!</v>
      </c>
      <c r="AH99" s="73">
        <f t="shared" ref="AH99:AH105" si="132">If(I99,2,0)</f>
        <v>0</v>
      </c>
      <c r="AI99" s="73">
        <f t="shared" ref="AI99:AI105" si="133">1.5-1.5/K99^0.2</f>
        <v>0</v>
      </c>
      <c r="AJ99" s="75">
        <f t="shared" ref="AJ99:AJ105" si="134">If(P99/Q99 &gt; 0.66,1+2.8*(P99/Q99-0.66)^1.5,1)</f>
        <v>1.117782201</v>
      </c>
      <c r="AK99" s="73">
        <f t="shared" ref="AK99:AK105" si="135">Max(0.8,Pow(V99/5,0.5))/4</f>
        <v>0.9818552362</v>
      </c>
      <c r="AL99" s="73">
        <f t="shared" ref="AL99:AL105" si="136">IF(Q99&gt;300,IF(Q99&gt;460.39,7.5*8.5^((Q99/460.4-1)^0.6),6.5^((Q99/150-2)^1.1)),2.8^(Q99/150-2))</f>
        <v>1.160304571</v>
      </c>
      <c r="AM99" s="73">
        <f t="shared" ref="AM99:AM105" si="137">If(ISBLANK(J99),1,2.6*(1-1/((J99*0.05)^0.26)))</f>
        <v>1.296888783</v>
      </c>
      <c r="AN99" s="75">
        <v>729.2</v>
      </c>
      <c r="AO99" s="76">
        <v>730.0</v>
      </c>
      <c r="AP99" s="73">
        <f t="shared" ref="AP99:AP105" si="138">If(MOD(Log10(AO99),1)&gt;0.2,ROUND(AO99,1-INT(LOG10(AO99))), ROUND(2*AO99,1-INT(LOG10(2*AO99)))/2)</f>
        <v>730</v>
      </c>
      <c r="AQ99" s="29" t="str">
        <f t="shared" ref="AQ99:AQ105" si="139">VLOOKUP(A99,#REF!,27,FALSE)</f>
        <v>#REF!</v>
      </c>
      <c r="AR99" s="77" t="str">
        <f t="shared" ref="AR99:AR105" si="140">AP99/AQ99-1</f>
        <v>#REF!</v>
      </c>
      <c r="AS99" s="73"/>
      <c r="AT99" s="39"/>
    </row>
    <row r="100" ht="15.75" customHeight="1">
      <c r="A100" s="7" t="s">
        <v>721</v>
      </c>
      <c r="B100" s="7" t="s">
        <v>1011</v>
      </c>
      <c r="C100" s="7">
        <v>1958.0</v>
      </c>
      <c r="D100" s="7"/>
      <c r="E100" s="7">
        <v>1958.0</v>
      </c>
      <c r="F100" s="7" t="b">
        <v>1</v>
      </c>
      <c r="G100" s="7" t="b">
        <v>0</v>
      </c>
      <c r="H100" s="7" t="b">
        <v>0</v>
      </c>
      <c r="I100" s="7" t="b">
        <v>0</v>
      </c>
      <c r="J100" s="9">
        <v>182.0</v>
      </c>
      <c r="K100" s="7">
        <v>1.0</v>
      </c>
      <c r="L100" s="7">
        <v>280.0</v>
      </c>
      <c r="M100" s="7">
        <v>0.0</v>
      </c>
      <c r="N100" s="7">
        <v>945.3</v>
      </c>
      <c r="O100" s="7">
        <v>696.6</v>
      </c>
      <c r="P100" s="9">
        <v>247.62</v>
      </c>
      <c r="Q100" s="7">
        <v>288.0</v>
      </c>
      <c r="R100" s="7">
        <v>3.61</v>
      </c>
      <c r="S100" s="7">
        <v>0.962903</v>
      </c>
      <c r="T100" s="7">
        <v>0.962903</v>
      </c>
      <c r="U100" s="10">
        <f t="shared" si="1"/>
        <v>280</v>
      </c>
      <c r="V100" s="10">
        <f t="shared" si="2"/>
        <v>75.14379688</v>
      </c>
      <c r="W100" s="11">
        <f t="shared" si="3"/>
        <v>0.5971614658</v>
      </c>
      <c r="X100" s="8">
        <f t="shared" si="126"/>
        <v>415.9826771</v>
      </c>
      <c r="Y100" s="12">
        <f t="shared" si="4"/>
        <v>4</v>
      </c>
      <c r="Z100" s="12">
        <f t="shared" si="5"/>
        <v>2079.913385</v>
      </c>
      <c r="AA100" s="12">
        <f t="shared" si="6"/>
        <v>2.985807329</v>
      </c>
      <c r="AB100" s="13">
        <f t="shared" si="7"/>
        <v>1.485652418</v>
      </c>
      <c r="AC100" s="8">
        <f t="shared" si="127"/>
        <v>394.011382</v>
      </c>
      <c r="AD100" s="13">
        <f t="shared" si="128"/>
        <v>1.407183507</v>
      </c>
      <c r="AE100" s="8">
        <f t="shared" si="129"/>
        <v>394.011382</v>
      </c>
      <c r="AF100" s="73">
        <f t="shared" si="130"/>
        <v>96.90140135</v>
      </c>
      <c r="AG100" s="74" t="str">
        <f t="shared" si="131"/>
        <v>#REF!</v>
      </c>
      <c r="AH100" s="73">
        <f t="shared" si="132"/>
        <v>0</v>
      </c>
      <c r="AI100" s="73">
        <f t="shared" si="133"/>
        <v>0</v>
      </c>
      <c r="AJ100" s="75">
        <f t="shared" si="134"/>
        <v>1.250048404</v>
      </c>
      <c r="AK100" s="73">
        <f t="shared" si="135"/>
        <v>0.9691735969</v>
      </c>
      <c r="AL100" s="73">
        <f t="shared" si="136"/>
        <v>0.9209315624</v>
      </c>
      <c r="AM100" s="73">
        <f t="shared" si="137"/>
        <v>1.135725208</v>
      </c>
      <c r="AN100" s="75">
        <v>363.55</v>
      </c>
      <c r="AO100" s="76">
        <v>360.0</v>
      </c>
      <c r="AP100" s="73">
        <f t="shared" si="138"/>
        <v>360</v>
      </c>
      <c r="AQ100" s="29" t="str">
        <f t="shared" si="139"/>
        <v>#REF!</v>
      </c>
      <c r="AR100" s="77" t="str">
        <f t="shared" si="140"/>
        <v>#REF!</v>
      </c>
      <c r="AS100" s="73"/>
      <c r="AT100" s="39"/>
    </row>
    <row r="101" ht="15.75" customHeight="1">
      <c r="A101" s="16" t="s">
        <v>807</v>
      </c>
      <c r="B101" s="16" t="s">
        <v>808</v>
      </c>
      <c r="C101" s="16">
        <v>1958.0</v>
      </c>
      <c r="D101" s="16"/>
      <c r="E101" s="16">
        <v>1958.0</v>
      </c>
      <c r="F101" s="16" t="b">
        <v>1</v>
      </c>
      <c r="G101" s="16" t="b">
        <v>0</v>
      </c>
      <c r="H101" s="16" t="b">
        <v>0</v>
      </c>
      <c r="I101" s="16" t="b">
        <v>0</v>
      </c>
      <c r="J101" s="18">
        <v>145.0</v>
      </c>
      <c r="K101" s="16">
        <v>1.0</v>
      </c>
      <c r="L101" s="16">
        <v>300.0</v>
      </c>
      <c r="M101" s="16">
        <v>-20.0</v>
      </c>
      <c r="N101" s="16">
        <v>776.0</v>
      </c>
      <c r="O101" s="16">
        <v>698.0</v>
      </c>
      <c r="P101" s="18">
        <v>239.3</v>
      </c>
      <c r="Q101" s="16">
        <v>282.4</v>
      </c>
      <c r="R101" s="16">
        <v>5.345</v>
      </c>
      <c r="S101" s="16">
        <v>0.969444</v>
      </c>
      <c r="T101" s="16">
        <v>0.969444</v>
      </c>
      <c r="U101" s="19">
        <f t="shared" si="1"/>
        <v>280</v>
      </c>
      <c r="V101" s="19">
        <f t="shared" si="2"/>
        <v>91.72189621</v>
      </c>
      <c r="W101" s="20">
        <f t="shared" si="3"/>
        <v>0.5408653559</v>
      </c>
      <c r="X101" s="17">
        <f t="shared" si="126"/>
        <v>377.5240184</v>
      </c>
      <c r="Y101" s="21">
        <f t="shared" si="4"/>
        <v>4</v>
      </c>
      <c r="Z101" s="21">
        <f t="shared" si="5"/>
        <v>1887.620092</v>
      </c>
      <c r="AA101" s="21">
        <f t="shared" si="6"/>
        <v>2.70432678</v>
      </c>
      <c r="AB101" s="22">
        <f t="shared" si="7"/>
        <v>1.348300066</v>
      </c>
      <c r="AC101" s="8">
        <f t="shared" si="127"/>
        <v>362.3557335</v>
      </c>
      <c r="AD101" s="13">
        <f t="shared" si="128"/>
        <v>1.29412762</v>
      </c>
      <c r="AE101" s="8">
        <f t="shared" si="129"/>
        <v>362.3557335</v>
      </c>
      <c r="AF101" s="73">
        <f t="shared" si="130"/>
        <v>97.06570549</v>
      </c>
      <c r="AG101" s="74" t="str">
        <f t="shared" si="131"/>
        <v>#REF!</v>
      </c>
      <c r="AH101" s="73">
        <f t="shared" si="132"/>
        <v>0</v>
      </c>
      <c r="AI101" s="73">
        <f t="shared" si="133"/>
        <v>0</v>
      </c>
      <c r="AJ101" s="75">
        <f t="shared" si="134"/>
        <v>1.227112744</v>
      </c>
      <c r="AK101" s="73">
        <f t="shared" si="135"/>
        <v>1.070758471</v>
      </c>
      <c r="AL101" s="73">
        <f t="shared" si="136"/>
        <v>0.8862034933</v>
      </c>
      <c r="AM101" s="73">
        <f t="shared" si="137"/>
        <v>1.046592255</v>
      </c>
      <c r="AN101" s="75">
        <v>348.95</v>
      </c>
      <c r="AO101" s="76">
        <v>350.0</v>
      </c>
      <c r="AP101" s="73">
        <f t="shared" si="138"/>
        <v>350</v>
      </c>
      <c r="AQ101" s="29" t="str">
        <f t="shared" si="139"/>
        <v>#REF!</v>
      </c>
      <c r="AR101" s="77" t="str">
        <f t="shared" si="140"/>
        <v>#REF!</v>
      </c>
      <c r="AS101" s="73"/>
      <c r="AT101" s="39"/>
    </row>
    <row r="102" ht="15.75" customHeight="1">
      <c r="A102" s="16" t="s">
        <v>85</v>
      </c>
      <c r="B102" s="16" t="s">
        <v>83</v>
      </c>
      <c r="C102" s="16">
        <v>1959.0</v>
      </c>
      <c r="D102" s="16"/>
      <c r="E102" s="16">
        <v>1959.0</v>
      </c>
      <c r="F102" s="16" t="b">
        <v>0</v>
      </c>
      <c r="G102" s="16" t="b">
        <v>0</v>
      </c>
      <c r="H102" s="16" t="b">
        <v>1</v>
      </c>
      <c r="I102" s="16" t="b">
        <v>0</v>
      </c>
      <c r="J102" s="18">
        <v>150.0</v>
      </c>
      <c r="K102" s="16">
        <v>1.0</v>
      </c>
      <c r="L102" s="16">
        <v>100.0</v>
      </c>
      <c r="M102" s="16">
        <v>1.0</v>
      </c>
      <c r="N102" s="16">
        <v>80.0</v>
      </c>
      <c r="O102" s="16">
        <v>33.4</v>
      </c>
      <c r="P102" s="18">
        <v>122.0</v>
      </c>
      <c r="Q102" s="16">
        <v>270.0</v>
      </c>
      <c r="R102" s="16">
        <v>1.4</v>
      </c>
      <c r="S102" s="16">
        <v>0.978125</v>
      </c>
      <c r="T102" s="16">
        <v>0.99</v>
      </c>
      <c r="U102" s="19">
        <f t="shared" si="1"/>
        <v>101</v>
      </c>
      <c r="V102" s="19">
        <f t="shared" si="2"/>
        <v>42.57315177</v>
      </c>
      <c r="W102" s="20">
        <f t="shared" si="3"/>
        <v>2.486535894</v>
      </c>
      <c r="X102" s="17">
        <f t="shared" si="126"/>
        <v>83.05029885</v>
      </c>
      <c r="Y102" s="21">
        <f t="shared" si="4"/>
        <v>1.75</v>
      </c>
      <c r="Z102" s="21">
        <f t="shared" si="5"/>
        <v>228.3883218</v>
      </c>
      <c r="AA102" s="21">
        <f t="shared" si="6"/>
        <v>6.837973707</v>
      </c>
      <c r="AB102" s="22">
        <f t="shared" si="7"/>
        <v>0.8222801866</v>
      </c>
      <c r="AC102" s="8">
        <f t="shared" si="127"/>
        <v>82.0822438</v>
      </c>
      <c r="AD102" s="13">
        <f t="shared" si="128"/>
        <v>0.8126954832</v>
      </c>
      <c r="AE102" s="8">
        <f t="shared" si="129"/>
        <v>82.0822438</v>
      </c>
      <c r="AF102" s="73">
        <f t="shared" si="130"/>
        <v>9.936664744</v>
      </c>
      <c r="AG102" s="74" t="str">
        <f t="shared" si="131"/>
        <v>#REF!</v>
      </c>
      <c r="AH102" s="73">
        <f t="shared" si="132"/>
        <v>0</v>
      </c>
      <c r="AI102" s="73">
        <f t="shared" si="133"/>
        <v>0</v>
      </c>
      <c r="AJ102" s="75">
        <f t="shared" si="134"/>
        <v>1</v>
      </c>
      <c r="AK102" s="73">
        <f t="shared" si="135"/>
        <v>0.7294959884</v>
      </c>
      <c r="AL102" s="73">
        <f t="shared" si="136"/>
        <v>0.8138950248</v>
      </c>
      <c r="AM102" s="73">
        <f t="shared" si="137"/>
        <v>1.060224449</v>
      </c>
      <c r="AN102" s="75">
        <v>23.56</v>
      </c>
      <c r="AO102" s="76">
        <v>24.0</v>
      </c>
      <c r="AP102" s="73">
        <f t="shared" si="138"/>
        <v>24</v>
      </c>
      <c r="AQ102" s="29" t="str">
        <f t="shared" si="139"/>
        <v>#REF!</v>
      </c>
      <c r="AR102" s="77" t="str">
        <f t="shared" si="140"/>
        <v>#REF!</v>
      </c>
      <c r="AS102" s="73"/>
      <c r="AT102" s="39"/>
    </row>
    <row r="103" ht="15.75" customHeight="1">
      <c r="A103" s="16" t="s">
        <v>57</v>
      </c>
      <c r="B103" s="16" t="s">
        <v>54</v>
      </c>
      <c r="C103" s="16">
        <v>1959.0</v>
      </c>
      <c r="D103" s="16"/>
      <c r="E103" s="16">
        <v>1959.0</v>
      </c>
      <c r="F103" s="16" t="b">
        <v>1</v>
      </c>
      <c r="G103" s="16" t="b">
        <v>0</v>
      </c>
      <c r="H103" s="16" t="b">
        <v>1</v>
      </c>
      <c r="I103" s="16" t="b">
        <v>0</v>
      </c>
      <c r="J103" s="18">
        <v>100.0</v>
      </c>
      <c r="K103" s="16">
        <v>1.0</v>
      </c>
      <c r="L103" s="16">
        <v>150.0</v>
      </c>
      <c r="M103" s="16">
        <v>0.0</v>
      </c>
      <c r="N103" s="16">
        <v>127.0</v>
      </c>
      <c r="O103" s="16">
        <v>67.0</v>
      </c>
      <c r="P103" s="18">
        <v>207.0</v>
      </c>
      <c r="Q103" s="16">
        <v>265.5</v>
      </c>
      <c r="R103" s="16">
        <v>3.4</v>
      </c>
      <c r="S103" s="16">
        <v>0.9825</v>
      </c>
      <c r="T103" s="16">
        <v>0.981579</v>
      </c>
      <c r="U103" s="19">
        <f t="shared" si="1"/>
        <v>150</v>
      </c>
      <c r="V103" s="19">
        <f t="shared" si="2"/>
        <v>53.79605202</v>
      </c>
      <c r="W103" s="20">
        <f t="shared" si="3"/>
        <v>1.761129207</v>
      </c>
      <c r="X103" s="17">
        <f t="shared" si="126"/>
        <v>117.9956569</v>
      </c>
      <c r="Y103" s="21">
        <f t="shared" si="4"/>
        <v>4</v>
      </c>
      <c r="Z103" s="21">
        <f t="shared" si="5"/>
        <v>589.9782844</v>
      </c>
      <c r="AA103" s="21">
        <f t="shared" si="6"/>
        <v>8.805646035</v>
      </c>
      <c r="AB103" s="22">
        <f t="shared" si="7"/>
        <v>0.7866377125</v>
      </c>
      <c r="AC103" s="8">
        <f t="shared" si="127"/>
        <v>116.155086</v>
      </c>
      <c r="AD103" s="13">
        <f t="shared" si="128"/>
        <v>0.7743672399</v>
      </c>
      <c r="AE103" s="8">
        <f t="shared" si="129"/>
        <v>116.155086</v>
      </c>
      <c r="AF103" s="73">
        <f t="shared" si="130"/>
        <v>16.39536222</v>
      </c>
      <c r="AG103" s="74" t="str">
        <f t="shared" si="131"/>
        <v>#REF!</v>
      </c>
      <c r="AH103" s="73">
        <f t="shared" si="132"/>
        <v>0</v>
      </c>
      <c r="AI103" s="73">
        <f t="shared" si="133"/>
        <v>0</v>
      </c>
      <c r="AJ103" s="75">
        <f t="shared" si="134"/>
        <v>1.115900969</v>
      </c>
      <c r="AK103" s="73">
        <f t="shared" si="135"/>
        <v>0.8200308837</v>
      </c>
      <c r="AL103" s="73">
        <f t="shared" si="136"/>
        <v>0.7891392646</v>
      </c>
      <c r="AM103" s="73">
        <f t="shared" si="137"/>
        <v>0.8890349162</v>
      </c>
      <c r="AN103" s="75">
        <v>36.43</v>
      </c>
      <c r="AO103" s="76">
        <v>36.0</v>
      </c>
      <c r="AP103" s="73">
        <f t="shared" si="138"/>
        <v>36</v>
      </c>
      <c r="AQ103" s="29" t="str">
        <f t="shared" si="139"/>
        <v>#REF!</v>
      </c>
      <c r="AR103" s="77" t="str">
        <f t="shared" si="140"/>
        <v>#REF!</v>
      </c>
      <c r="AS103" s="73"/>
      <c r="AT103" s="39"/>
    </row>
    <row r="104" ht="15.75" customHeight="1">
      <c r="A104" s="7" t="s">
        <v>56</v>
      </c>
      <c r="B104" s="7" t="s">
        <v>54</v>
      </c>
      <c r="C104" s="7">
        <v>1959.0</v>
      </c>
      <c r="D104" s="7"/>
      <c r="E104" s="7">
        <v>1959.0</v>
      </c>
      <c r="F104" s="7" t="b">
        <v>1</v>
      </c>
      <c r="G104" s="7" t="b">
        <v>0</v>
      </c>
      <c r="H104" s="7" t="b">
        <v>1</v>
      </c>
      <c r="I104" s="7" t="b">
        <v>0</v>
      </c>
      <c r="J104" s="9">
        <v>120.0</v>
      </c>
      <c r="K104" s="7">
        <v>1.0</v>
      </c>
      <c r="L104" s="7">
        <v>150.0</v>
      </c>
      <c r="M104" s="7">
        <v>0.0</v>
      </c>
      <c r="N104" s="7">
        <v>127.0</v>
      </c>
      <c r="O104" s="7">
        <v>68.9</v>
      </c>
      <c r="P104" s="9">
        <v>191.0</v>
      </c>
      <c r="Q104" s="7">
        <v>276.0</v>
      </c>
      <c r="R104" s="7">
        <v>3.4</v>
      </c>
      <c r="S104" s="7">
        <v>0.9825</v>
      </c>
      <c r="T104" s="7">
        <v>0.981579</v>
      </c>
      <c r="U104" s="10">
        <f t="shared" si="1"/>
        <v>150</v>
      </c>
      <c r="V104" s="10">
        <f t="shared" si="2"/>
        <v>55.32161171</v>
      </c>
      <c r="W104" s="11">
        <f t="shared" si="3"/>
        <v>1.745837616</v>
      </c>
      <c r="X104" s="8">
        <f t="shared" si="126"/>
        <v>120.2882117</v>
      </c>
      <c r="Y104" s="12">
        <f t="shared" si="4"/>
        <v>4</v>
      </c>
      <c r="Z104" s="12">
        <f t="shared" si="5"/>
        <v>601.4410586</v>
      </c>
      <c r="AA104" s="12">
        <f t="shared" si="6"/>
        <v>8.729188078</v>
      </c>
      <c r="AB104" s="13">
        <f t="shared" si="7"/>
        <v>0.8019214115</v>
      </c>
      <c r="AC104" s="8">
        <f t="shared" si="127"/>
        <v>118.4118801</v>
      </c>
      <c r="AD104" s="13">
        <f t="shared" si="128"/>
        <v>0.7894125341</v>
      </c>
      <c r="AE104" s="8">
        <f t="shared" si="129"/>
        <v>118.4118801</v>
      </c>
      <c r="AF104" s="73">
        <f t="shared" si="130"/>
        <v>16.70328061</v>
      </c>
      <c r="AG104" s="74" t="str">
        <f t="shared" si="131"/>
        <v>#REF!</v>
      </c>
      <c r="AH104" s="73">
        <f t="shared" si="132"/>
        <v>0</v>
      </c>
      <c r="AI104" s="73">
        <f t="shared" si="133"/>
        <v>0</v>
      </c>
      <c r="AJ104" s="75">
        <f t="shared" si="134"/>
        <v>1.016049918</v>
      </c>
      <c r="AK104" s="73">
        <f t="shared" si="135"/>
        <v>0.8315769034</v>
      </c>
      <c r="AL104" s="73">
        <f t="shared" si="136"/>
        <v>0.8481149427</v>
      </c>
      <c r="AM104" s="73">
        <f t="shared" si="137"/>
        <v>0.9682484915</v>
      </c>
      <c r="AN104" s="75">
        <v>39.81</v>
      </c>
      <c r="AO104" s="76">
        <v>40.0</v>
      </c>
      <c r="AP104" s="73">
        <f t="shared" si="138"/>
        <v>40</v>
      </c>
      <c r="AQ104" s="29" t="str">
        <f t="shared" si="139"/>
        <v>#REF!</v>
      </c>
      <c r="AR104" s="77" t="str">
        <f t="shared" si="140"/>
        <v>#REF!</v>
      </c>
      <c r="AS104" s="73"/>
      <c r="AT104" s="39"/>
    </row>
    <row r="105" ht="15.75" customHeight="1">
      <c r="A105" s="7" t="s">
        <v>281</v>
      </c>
      <c r="B105" s="7" t="s">
        <v>279</v>
      </c>
      <c r="C105" s="7">
        <v>1959.0</v>
      </c>
      <c r="D105" s="7"/>
      <c r="E105" s="7">
        <v>1959.0</v>
      </c>
      <c r="F105" s="7" t="b">
        <v>1</v>
      </c>
      <c r="G105" s="7" t="b">
        <v>0</v>
      </c>
      <c r="H105" s="7" t="b">
        <v>0</v>
      </c>
      <c r="I105" s="7" t="b">
        <v>0</v>
      </c>
      <c r="J105" s="9">
        <v>165.0</v>
      </c>
      <c r="K105" s="7">
        <v>1.0</v>
      </c>
      <c r="L105" s="7">
        <v>300.0</v>
      </c>
      <c r="M105" s="7">
        <v>30.0</v>
      </c>
      <c r="N105" s="7">
        <v>933.66</v>
      </c>
      <c r="O105" s="7">
        <v>782.886</v>
      </c>
      <c r="P105" s="9">
        <v>245.0</v>
      </c>
      <c r="Q105" s="7">
        <v>284.0</v>
      </c>
      <c r="R105" s="7">
        <v>3.65</v>
      </c>
      <c r="S105" s="7">
        <v>0.975</v>
      </c>
      <c r="T105" s="7">
        <v>0.975</v>
      </c>
      <c r="U105" s="10">
        <f t="shared" si="1"/>
        <v>330</v>
      </c>
      <c r="V105" s="10">
        <f t="shared" si="2"/>
        <v>85.50452464</v>
      </c>
      <c r="W105" s="11">
        <f t="shared" si="3"/>
        <v>0.5238809125</v>
      </c>
      <c r="X105" s="8">
        <f t="shared" si="126"/>
        <v>410.139032</v>
      </c>
      <c r="Y105" s="12">
        <f t="shared" si="4"/>
        <v>4</v>
      </c>
      <c r="Z105" s="12">
        <f t="shared" si="5"/>
        <v>2050.69516</v>
      </c>
      <c r="AA105" s="12">
        <f t="shared" si="6"/>
        <v>2.619404562</v>
      </c>
      <c r="AB105" s="13">
        <f t="shared" si="7"/>
        <v>1.242845552</v>
      </c>
      <c r="AC105" s="8">
        <f t="shared" si="127"/>
        <v>398.091198</v>
      </c>
      <c r="AD105" s="13">
        <f t="shared" si="128"/>
        <v>1.206336964</v>
      </c>
      <c r="AE105" s="8">
        <f t="shared" si="129"/>
        <v>398.091198</v>
      </c>
      <c r="AF105" s="73">
        <f t="shared" si="130"/>
        <v>106.9786526</v>
      </c>
      <c r="AG105" s="74" t="str">
        <f t="shared" si="131"/>
        <v>#REF!</v>
      </c>
      <c r="AH105" s="73">
        <f t="shared" si="132"/>
        <v>0</v>
      </c>
      <c r="AI105" s="73">
        <f t="shared" si="133"/>
        <v>0</v>
      </c>
      <c r="AJ105" s="75">
        <f t="shared" si="134"/>
        <v>1.255482819</v>
      </c>
      <c r="AK105" s="73">
        <f t="shared" si="135"/>
        <v>1.03383101</v>
      </c>
      <c r="AL105" s="73">
        <f t="shared" si="136"/>
        <v>0.8959899602</v>
      </c>
      <c r="AM105" s="73">
        <f t="shared" si="137"/>
        <v>1.097912191</v>
      </c>
      <c r="AN105" s="75">
        <v>394.9</v>
      </c>
      <c r="AO105" s="76">
        <v>390.0</v>
      </c>
      <c r="AP105" s="73">
        <f t="shared" si="138"/>
        <v>390</v>
      </c>
      <c r="AQ105" s="29" t="str">
        <f t="shared" si="139"/>
        <v>#REF!</v>
      </c>
      <c r="AR105" s="77" t="str">
        <f t="shared" si="140"/>
        <v>#REF!</v>
      </c>
      <c r="AS105" s="73"/>
      <c r="AT105" s="39"/>
    </row>
    <row r="106" ht="15.75" hidden="1" customHeight="1">
      <c r="A106" s="7" t="s">
        <v>977</v>
      </c>
      <c r="B106" s="7" t="s">
        <v>978</v>
      </c>
      <c r="C106" s="7">
        <v>2002.0</v>
      </c>
      <c r="D106" s="7"/>
      <c r="E106" s="7">
        <v>2002.0</v>
      </c>
      <c r="F106" s="7" t="b">
        <v>0</v>
      </c>
      <c r="G106" s="7" t="b">
        <v>1</v>
      </c>
      <c r="H106" s="7" t="b">
        <v>0</v>
      </c>
      <c r="I106" s="7" t="b">
        <v>0</v>
      </c>
      <c r="J106" s="7"/>
      <c r="K106" s="7"/>
      <c r="L106" s="7"/>
      <c r="M106" s="7">
        <v>0.0</v>
      </c>
      <c r="N106" s="7">
        <v>37800.0</v>
      </c>
      <c r="O106" s="7">
        <v>7040.0</v>
      </c>
      <c r="P106" s="7"/>
      <c r="Q106" s="7">
        <v>277.0</v>
      </c>
      <c r="R106" s="7">
        <v>6.4</v>
      </c>
      <c r="S106" s="7"/>
      <c r="T106" s="7"/>
      <c r="U106" s="10">
        <f t="shared" si="1"/>
        <v>0</v>
      </c>
      <c r="V106" s="10">
        <f t="shared" si="2"/>
        <v>18.99154</v>
      </c>
      <c r="W106" s="11">
        <f t="shared" si="3"/>
        <v>0.5772584426</v>
      </c>
      <c r="X106" s="8">
        <f t="shared" ref="X106:X107" si="141">0.2*(8.17*POW(N106*R106,0.46))+0.8*(0.146*POW(N106*Q106,0.639))</f>
        <v>4063.899436</v>
      </c>
      <c r="Y106" s="12">
        <f t="shared" si="4"/>
        <v>1.05</v>
      </c>
      <c r="Z106" s="12">
        <f t="shared" si="5"/>
        <v>8330.993844</v>
      </c>
      <c r="AA106" s="12">
        <f t="shared" si="6"/>
        <v>1.183379807</v>
      </c>
      <c r="AB106" s="13" t="str">
        <f t="shared" si="7"/>
        <v>#N/A</v>
      </c>
      <c r="AC106" s="8">
        <f t="shared" ref="AC106:AC107" si="142">IF(I106,X106*1.5,X106)*IF(S106*T106&gt;0,(S106*T106+0.02),1)</f>
        <v>4063.899436</v>
      </c>
      <c r="AG106" s="7"/>
    </row>
    <row r="107" ht="15.75" hidden="1" customHeight="1">
      <c r="A107" s="16" t="s">
        <v>992</v>
      </c>
      <c r="B107" s="16" t="s">
        <v>978</v>
      </c>
      <c r="C107" s="16"/>
      <c r="D107" s="16"/>
      <c r="E107" s="16"/>
      <c r="F107" s="16" t="b">
        <v>0</v>
      </c>
      <c r="G107" s="16" t="b">
        <v>1</v>
      </c>
      <c r="H107" s="16" t="b">
        <v>0</v>
      </c>
      <c r="I107" s="16" t="b">
        <v>0</v>
      </c>
      <c r="J107" s="16"/>
      <c r="K107" s="16"/>
      <c r="L107" s="16"/>
      <c r="M107" s="16"/>
      <c r="N107" s="16">
        <v>36000.0</v>
      </c>
      <c r="O107" s="16">
        <v>7040.0</v>
      </c>
      <c r="P107" s="16"/>
      <c r="Q107" s="16">
        <v>277.0</v>
      </c>
      <c r="R107" s="16">
        <v>6.4</v>
      </c>
      <c r="S107" s="16"/>
      <c r="T107" s="16"/>
      <c r="U107" s="19">
        <f t="shared" si="1"/>
        <v>0</v>
      </c>
      <c r="V107" s="19">
        <f t="shared" si="2"/>
        <v>19.941117</v>
      </c>
      <c r="W107" s="20">
        <f t="shared" si="3"/>
        <v>0.5601301288</v>
      </c>
      <c r="X107" s="17">
        <f t="shared" si="141"/>
        <v>3943.316107</v>
      </c>
      <c r="Y107" s="21">
        <f t="shared" si="4"/>
        <v>1.05</v>
      </c>
      <c r="Z107" s="21">
        <f t="shared" si="5"/>
        <v>8083.798019</v>
      </c>
      <c r="AA107" s="21">
        <f t="shared" si="6"/>
        <v>1.148266764</v>
      </c>
      <c r="AB107" s="22" t="str">
        <f t="shared" si="7"/>
        <v>#N/A</v>
      </c>
      <c r="AC107" s="17">
        <f t="shared" si="142"/>
        <v>3943.316107</v>
      </c>
      <c r="AG107" s="16"/>
    </row>
    <row r="108" ht="15.75" customHeight="1">
      <c r="A108" s="16" t="s">
        <v>290</v>
      </c>
      <c r="B108" s="16" t="s">
        <v>288</v>
      </c>
      <c r="C108" s="16">
        <v>1959.0</v>
      </c>
      <c r="D108" s="16"/>
      <c r="E108" s="16">
        <v>1959.0</v>
      </c>
      <c r="F108" s="16" t="b">
        <v>1</v>
      </c>
      <c r="G108" s="16" t="b">
        <v>0</v>
      </c>
      <c r="H108" s="16" t="b">
        <v>0</v>
      </c>
      <c r="I108" s="16" t="b">
        <v>0</v>
      </c>
      <c r="J108" s="18">
        <v>137.0</v>
      </c>
      <c r="K108" s="16">
        <v>1.0</v>
      </c>
      <c r="L108" s="16">
        <v>250.0</v>
      </c>
      <c r="M108" s="16">
        <v>0.0</v>
      </c>
      <c r="N108" s="16">
        <v>839.0</v>
      </c>
      <c r="O108" s="16">
        <v>765.95</v>
      </c>
      <c r="P108" s="18">
        <v>249.5</v>
      </c>
      <c r="Q108" s="16">
        <v>286.0</v>
      </c>
      <c r="R108" s="16">
        <v>4.05</v>
      </c>
      <c r="S108" s="16">
        <v>0.978571</v>
      </c>
      <c r="T108" s="16">
        <v>0.978571</v>
      </c>
      <c r="U108" s="19">
        <f t="shared" si="1"/>
        <v>250</v>
      </c>
      <c r="V108" s="19">
        <f t="shared" si="2"/>
        <v>93.09316222</v>
      </c>
      <c r="W108" s="20">
        <f t="shared" si="3"/>
        <v>0.5077970739</v>
      </c>
      <c r="X108" s="17">
        <f t="shared" ref="X108:X121" si="143">0.2*(8.17*POWER(N108*R108,0.46))+0.8*(0.146*POWER(N108*Q108,0.639))</f>
        <v>388.9471688</v>
      </c>
      <c r="Y108" s="21">
        <f t="shared" si="4"/>
        <v>4</v>
      </c>
      <c r="Z108" s="21">
        <f t="shared" si="5"/>
        <v>1944.735844</v>
      </c>
      <c r="AA108" s="21">
        <f t="shared" si="6"/>
        <v>2.53898537</v>
      </c>
      <c r="AB108" s="22">
        <f t="shared" si="7"/>
        <v>1.555788675</v>
      </c>
      <c r="AC108" s="8">
        <f t="shared" ref="AC108:AC121" si="144">X108*IF(I108,1.5,1)*IF(S108*T108&gt;0,(S108*T108+0.02),1)</f>
        <v>380.2352197</v>
      </c>
      <c r="AD108" s="13">
        <f t="shared" ref="AD108:AD121" si="145">IFERROR(AC108/U108,#N/A)</f>
        <v>1.520940879</v>
      </c>
      <c r="AE108" s="8">
        <f t="shared" ref="AE108:AE121" si="146">IF(I108,1.5,1)*IF(S108*T108&gt;0,(S108*T108+0.02),1)*(0.2*(8.17*POWER(N108*R108,0.46))+0.8*(0.146*POWER(N108*Q108,0.639)))</f>
        <v>380.2352197</v>
      </c>
      <c r="AF108" s="73">
        <f t="shared" ref="AF108:AF121" si="147">If(F108,$AT$2*O108*(1-log(O108)*0.04+1/(O108/80)^0.6),$AT$3*O108*(1+1/(O108/12)^0.9-log(O108)*0.03))</f>
        <v>105.0082666</v>
      </c>
      <c r="AG108" s="74" t="str">
        <f t="shared" ref="AG108:AG121" si="148">If(F108,VLOOKUP(E108,#REF!,2),VLOOKUP(E108,#REF!,3))</f>
        <v>#REF!</v>
      </c>
      <c r="AH108" s="73">
        <f t="shared" ref="AH108:AH121" si="149">If(I108,2,0)</f>
        <v>0</v>
      </c>
      <c r="AI108" s="73">
        <f t="shared" ref="AI108:AI121" si="150">1.5-1.5/K108^0.2</f>
        <v>0</v>
      </c>
      <c r="AJ108" s="75">
        <f t="shared" ref="AJ108:AJ121" si="151">If(P108/Q108 &gt; 0.66,1+2.8*(P108/Q108-0.66)^1.5,1)</f>
        <v>1.274044546</v>
      </c>
      <c r="AK108" s="73">
        <f t="shared" ref="AK108:AK121" si="152">Max(0.8,Pow(V108/5,0.5))/4</f>
        <v>1.078732834</v>
      </c>
      <c r="AL108" s="73">
        <f t="shared" ref="AL108:AL121" si="153">IF(Q108&gt;300,IF(Q108&gt;460.39,7.5*8.5^((Q108/460.4-1)^0.6),6.5^((Q108/150-2)^1.1)),2.8^(Q108/150-2))</f>
        <v>0.9083751615</v>
      </c>
      <c r="AM108" s="73">
        <f t="shared" ref="AM108:AM121" si="154">If(ISBLANK(J108),1,2.6*(1-1/((J108*0.05)^0.26)))</f>
        <v>1.023500638</v>
      </c>
      <c r="AN108" s="75">
        <v>391.21</v>
      </c>
      <c r="AO108" s="76">
        <v>390.0</v>
      </c>
      <c r="AP108" s="73">
        <f t="shared" ref="AP108:AP121" si="155">If(MOD(Log10(AO108),1)&gt;0.2,ROUND(AO108,1-INT(LOG10(AO108))), ROUND(2*AO108,1-INT(LOG10(2*AO108)))/2)</f>
        <v>390</v>
      </c>
      <c r="AQ108" s="29" t="str">
        <f t="shared" ref="AQ108:AQ121" si="156">VLOOKUP(A108,#REF!,27,FALSE)</f>
        <v>#REF!</v>
      </c>
      <c r="AR108" s="77" t="str">
        <f t="shared" ref="AR108:AR121" si="157">AP108/AQ108-1</f>
        <v>#REF!</v>
      </c>
      <c r="AS108" s="73"/>
      <c r="AT108" s="37"/>
    </row>
    <row r="109" ht="15.75" customHeight="1">
      <c r="A109" s="16" t="s">
        <v>340</v>
      </c>
      <c r="B109" s="16" t="s">
        <v>339</v>
      </c>
      <c r="C109" s="16">
        <v>1959.0</v>
      </c>
      <c r="D109" s="16"/>
      <c r="E109" s="16">
        <v>1959.0</v>
      </c>
      <c r="F109" s="16" t="b">
        <v>1</v>
      </c>
      <c r="G109" s="16" t="b">
        <v>0</v>
      </c>
      <c r="H109" s="16" t="b">
        <v>1</v>
      </c>
      <c r="I109" s="16" t="b">
        <v>0</v>
      </c>
      <c r="J109" s="18">
        <v>160.0</v>
      </c>
      <c r="K109" s="16">
        <v>1.0</v>
      </c>
      <c r="L109" s="16">
        <v>250.0</v>
      </c>
      <c r="M109" s="16">
        <v>0.0</v>
      </c>
      <c r="N109" s="16">
        <f>500*1.18</f>
        <v>590</v>
      </c>
      <c r="O109" s="16">
        <v>362.88</v>
      </c>
      <c r="P109" s="18">
        <v>232.5</v>
      </c>
      <c r="Q109" s="16">
        <v>310.0</v>
      </c>
      <c r="R109" s="16">
        <v>5.65</v>
      </c>
      <c r="S109" s="16">
        <v>0.987705</v>
      </c>
      <c r="T109" s="16">
        <v>0.993966</v>
      </c>
      <c r="U109" s="19">
        <f t="shared" si="1"/>
        <v>250</v>
      </c>
      <c r="V109" s="19">
        <f t="shared" si="2"/>
        <v>62.71773191</v>
      </c>
      <c r="W109" s="20">
        <f t="shared" si="3"/>
        <v>0.929652133</v>
      </c>
      <c r="X109" s="17">
        <f t="shared" si="143"/>
        <v>337.352166</v>
      </c>
      <c r="Y109" s="21">
        <f t="shared" si="4"/>
        <v>4</v>
      </c>
      <c r="Z109" s="21">
        <f t="shared" si="5"/>
        <v>1686.76083</v>
      </c>
      <c r="AA109" s="21">
        <f t="shared" si="6"/>
        <v>4.648260665</v>
      </c>
      <c r="AB109" s="22">
        <f t="shared" si="7"/>
        <v>1.349408664</v>
      </c>
      <c r="AC109" s="8">
        <f t="shared" si="144"/>
        <v>337.940909</v>
      </c>
      <c r="AD109" s="13">
        <f t="shared" si="145"/>
        <v>1.351763636</v>
      </c>
      <c r="AE109" s="8">
        <f t="shared" si="146"/>
        <v>337.940909</v>
      </c>
      <c r="AF109" s="73">
        <f t="shared" si="147"/>
        <v>56.66376923</v>
      </c>
      <c r="AG109" s="74" t="str">
        <f t="shared" si="148"/>
        <v>#REF!</v>
      </c>
      <c r="AH109" s="73">
        <f t="shared" si="149"/>
        <v>0</v>
      </c>
      <c r="AI109" s="73">
        <f t="shared" si="150"/>
        <v>0</v>
      </c>
      <c r="AJ109" s="75">
        <f t="shared" si="151"/>
        <v>1.0756</v>
      </c>
      <c r="AK109" s="73">
        <f t="shared" si="152"/>
        <v>0.8854217351</v>
      </c>
      <c r="AL109" s="73">
        <f t="shared" si="153"/>
        <v>1.099860153</v>
      </c>
      <c r="AM109" s="73">
        <f t="shared" si="154"/>
        <v>1.085846338</v>
      </c>
      <c r="AN109" s="75">
        <v>234.4</v>
      </c>
      <c r="AO109" s="76">
        <v>230.0</v>
      </c>
      <c r="AP109" s="73">
        <f t="shared" si="155"/>
        <v>230</v>
      </c>
      <c r="AQ109" s="29" t="str">
        <f t="shared" si="156"/>
        <v>#REF!</v>
      </c>
      <c r="AR109" s="77" t="str">
        <f t="shared" si="157"/>
        <v>#REF!</v>
      </c>
      <c r="AS109" s="73"/>
      <c r="AT109" s="39"/>
    </row>
    <row r="110" ht="15.75" customHeight="1">
      <c r="A110" s="7" t="s">
        <v>531</v>
      </c>
      <c r="B110" s="7" t="s">
        <v>1008</v>
      </c>
      <c r="C110" s="7">
        <v>1959.0</v>
      </c>
      <c r="D110" s="7"/>
      <c r="E110" s="7">
        <v>1959.0</v>
      </c>
      <c r="F110" s="7" t="b">
        <v>1</v>
      </c>
      <c r="G110" s="7" t="b">
        <v>0</v>
      </c>
      <c r="H110" s="7" t="b">
        <v>0</v>
      </c>
      <c r="I110" s="7" t="b">
        <v>0</v>
      </c>
      <c r="J110" s="9">
        <v>120.0</v>
      </c>
      <c r="K110" s="7">
        <v>1.0</v>
      </c>
      <c r="L110" s="7">
        <v>470.0</v>
      </c>
      <c r="M110" s="7">
        <v>40.0</v>
      </c>
      <c r="N110" s="7">
        <v>1190.0</v>
      </c>
      <c r="O110" s="7">
        <v>996.4</v>
      </c>
      <c r="P110" s="9">
        <v>256.0</v>
      </c>
      <c r="Q110" s="7">
        <v>313.0</v>
      </c>
      <c r="R110" s="7">
        <v>5.69</v>
      </c>
      <c r="S110" s="7">
        <v>0.997727</v>
      </c>
      <c r="T110" s="7">
        <v>0.997727</v>
      </c>
      <c r="U110" s="10">
        <f t="shared" si="1"/>
        <v>510</v>
      </c>
      <c r="V110" s="10">
        <f t="shared" si="2"/>
        <v>85.38195224</v>
      </c>
      <c r="W110" s="11">
        <f t="shared" si="3"/>
        <v>0.5203608758</v>
      </c>
      <c r="X110" s="8">
        <f t="shared" si="143"/>
        <v>518.4875767</v>
      </c>
      <c r="Y110" s="12">
        <f t="shared" si="4"/>
        <v>4</v>
      </c>
      <c r="Z110" s="12">
        <f t="shared" si="5"/>
        <v>2592.437883</v>
      </c>
      <c r="AA110" s="12">
        <f t="shared" si="6"/>
        <v>2.601804379</v>
      </c>
      <c r="AB110" s="13">
        <f t="shared" si="7"/>
        <v>1.016642307</v>
      </c>
      <c r="AC110" s="8">
        <f t="shared" si="144"/>
        <v>526.5029625</v>
      </c>
      <c r="AD110" s="13">
        <f t="shared" si="145"/>
        <v>1.03235875</v>
      </c>
      <c r="AE110" s="8">
        <f t="shared" si="146"/>
        <v>526.5029625</v>
      </c>
      <c r="AF110" s="73">
        <f t="shared" si="147"/>
        <v>131.5547768</v>
      </c>
      <c r="AG110" s="74" t="str">
        <f t="shared" si="148"/>
        <v>#REF!</v>
      </c>
      <c r="AH110" s="73">
        <f t="shared" si="149"/>
        <v>0</v>
      </c>
      <c r="AI110" s="73">
        <f t="shared" si="150"/>
        <v>0</v>
      </c>
      <c r="AJ110" s="75">
        <f t="shared" si="151"/>
        <v>1.175669205</v>
      </c>
      <c r="AK110" s="73">
        <f t="shared" si="152"/>
        <v>1.033089736</v>
      </c>
      <c r="AL110" s="73">
        <f t="shared" si="153"/>
        <v>1.135448076</v>
      </c>
      <c r="AM110" s="73">
        <f t="shared" si="154"/>
        <v>0.9682484915</v>
      </c>
      <c r="AN110" s="75">
        <v>663.89</v>
      </c>
      <c r="AO110" s="76">
        <v>660.0</v>
      </c>
      <c r="AP110" s="73">
        <f t="shared" si="155"/>
        <v>660</v>
      </c>
      <c r="AQ110" s="29" t="str">
        <f t="shared" si="156"/>
        <v>#REF!</v>
      </c>
      <c r="AR110" s="77" t="str">
        <f t="shared" si="157"/>
        <v>#REF!</v>
      </c>
      <c r="AS110" s="73"/>
      <c r="AT110" s="39"/>
    </row>
    <row r="111" ht="15.75" customHeight="1">
      <c r="A111" s="7" t="s">
        <v>542</v>
      </c>
      <c r="B111" s="7" t="s">
        <v>1009</v>
      </c>
      <c r="C111" s="7">
        <v>1959.0</v>
      </c>
      <c r="D111" s="7"/>
      <c r="E111" s="7">
        <v>1959.0</v>
      </c>
      <c r="F111" s="7" t="b">
        <v>1</v>
      </c>
      <c r="G111" s="7" t="b">
        <v>0</v>
      </c>
      <c r="H111" s="7" t="b">
        <v>0</v>
      </c>
      <c r="I111" s="7" t="b">
        <v>0</v>
      </c>
      <c r="J111" s="9">
        <v>300.0</v>
      </c>
      <c r="K111" s="7">
        <v>1.0</v>
      </c>
      <c r="L111" s="7">
        <v>450.0</v>
      </c>
      <c r="M111" s="7">
        <v>40.0</v>
      </c>
      <c r="N111" s="7">
        <v>1250.0</v>
      </c>
      <c r="O111" s="7">
        <v>941.0</v>
      </c>
      <c r="P111" s="9">
        <v>248.0</v>
      </c>
      <c r="Q111" s="7">
        <v>315.0</v>
      </c>
      <c r="R111" s="7">
        <v>5.08</v>
      </c>
      <c r="S111" s="7">
        <v>0.997727</v>
      </c>
      <c r="T111" s="7">
        <v>0.997727</v>
      </c>
      <c r="U111" s="10">
        <f t="shared" si="1"/>
        <v>490</v>
      </c>
      <c r="V111" s="10">
        <f t="shared" si="2"/>
        <v>76.76423629</v>
      </c>
      <c r="W111" s="11">
        <f t="shared" si="3"/>
        <v>0.5643585557</v>
      </c>
      <c r="X111" s="8">
        <f t="shared" si="143"/>
        <v>531.0614009</v>
      </c>
      <c r="Y111" s="12">
        <f t="shared" si="4"/>
        <v>4</v>
      </c>
      <c r="Z111" s="12">
        <f t="shared" si="5"/>
        <v>2655.307004</v>
      </c>
      <c r="AA111" s="12">
        <f t="shared" si="6"/>
        <v>2.821792778</v>
      </c>
      <c r="AB111" s="13">
        <f t="shared" si="7"/>
        <v>1.083798777</v>
      </c>
      <c r="AC111" s="8">
        <f t="shared" si="144"/>
        <v>539.2711675</v>
      </c>
      <c r="AD111" s="13">
        <f t="shared" si="145"/>
        <v>1.100553403</v>
      </c>
      <c r="AE111" s="8">
        <f t="shared" si="146"/>
        <v>539.2711675</v>
      </c>
      <c r="AF111" s="73">
        <f t="shared" si="147"/>
        <v>125.2207449</v>
      </c>
      <c r="AG111" s="74" t="str">
        <f t="shared" si="148"/>
        <v>#REF!</v>
      </c>
      <c r="AH111" s="73">
        <f t="shared" si="149"/>
        <v>0</v>
      </c>
      <c r="AI111" s="73">
        <f t="shared" si="150"/>
        <v>0</v>
      </c>
      <c r="AJ111" s="75">
        <f t="shared" si="151"/>
        <v>1.127177054</v>
      </c>
      <c r="AK111" s="73">
        <f t="shared" si="152"/>
        <v>0.9795677381</v>
      </c>
      <c r="AL111" s="73">
        <f t="shared" si="153"/>
        <v>1.160304571</v>
      </c>
      <c r="AM111" s="73">
        <f t="shared" si="154"/>
        <v>1.314152039</v>
      </c>
      <c r="AN111" s="75">
        <v>818.19</v>
      </c>
      <c r="AO111" s="76">
        <v>820.0</v>
      </c>
      <c r="AP111" s="73">
        <f t="shared" si="155"/>
        <v>820</v>
      </c>
      <c r="AQ111" s="29" t="str">
        <f t="shared" si="156"/>
        <v>#REF!</v>
      </c>
      <c r="AR111" s="77" t="str">
        <f t="shared" si="157"/>
        <v>#REF!</v>
      </c>
      <c r="AS111" s="73"/>
      <c r="AT111" s="39"/>
    </row>
    <row r="112" ht="15.75" customHeight="1">
      <c r="A112" s="7" t="s">
        <v>576</v>
      </c>
      <c r="B112" s="7" t="s">
        <v>573</v>
      </c>
      <c r="C112" s="7">
        <v>1959.0</v>
      </c>
      <c r="D112" s="7"/>
      <c r="E112" s="7">
        <v>1959.0</v>
      </c>
      <c r="F112" s="7" t="b">
        <v>1</v>
      </c>
      <c r="G112" s="7" t="b">
        <v>0</v>
      </c>
      <c r="H112" s="7" t="b">
        <v>0</v>
      </c>
      <c r="I112" s="7" t="b">
        <v>0</v>
      </c>
      <c r="J112" s="9">
        <v>140.0</v>
      </c>
      <c r="K112" s="7">
        <v>1.0</v>
      </c>
      <c r="L112" s="7">
        <v>200.0</v>
      </c>
      <c r="M112" s="7">
        <v>20.0</v>
      </c>
      <c r="N112" s="7">
        <v>655.0</v>
      </c>
      <c r="O112" s="7">
        <v>730.2</v>
      </c>
      <c r="P112" s="9">
        <v>230.0</v>
      </c>
      <c r="Q112" s="7">
        <v>264.0</v>
      </c>
      <c r="R112" s="7">
        <v>4.36</v>
      </c>
      <c r="S112" s="7">
        <v>0.987383</v>
      </c>
      <c r="T112" s="7">
        <v>0.987383</v>
      </c>
      <c r="U112" s="10">
        <f t="shared" si="1"/>
        <v>220</v>
      </c>
      <c r="V112" s="10">
        <f t="shared" si="2"/>
        <v>113.6788972</v>
      </c>
      <c r="W112" s="11">
        <f t="shared" si="3"/>
        <v>0.4426034383</v>
      </c>
      <c r="X112" s="8">
        <f t="shared" si="143"/>
        <v>323.1890306</v>
      </c>
      <c r="Y112" s="12">
        <f t="shared" si="4"/>
        <v>4</v>
      </c>
      <c r="Z112" s="12">
        <f t="shared" si="5"/>
        <v>1615.945153</v>
      </c>
      <c r="AA112" s="12">
        <f t="shared" si="6"/>
        <v>2.213017191</v>
      </c>
      <c r="AB112" s="13">
        <f t="shared" si="7"/>
        <v>1.469041048</v>
      </c>
      <c r="AC112" s="8">
        <f t="shared" si="144"/>
        <v>321.5489073</v>
      </c>
      <c r="AD112" s="13">
        <f t="shared" si="145"/>
        <v>1.461585942</v>
      </c>
      <c r="AE112" s="8">
        <f t="shared" si="146"/>
        <v>321.5489073</v>
      </c>
      <c r="AF112" s="73">
        <f t="shared" si="147"/>
        <v>100.8371627</v>
      </c>
      <c r="AG112" s="74" t="str">
        <f t="shared" si="148"/>
        <v>#REF!</v>
      </c>
      <c r="AH112" s="73">
        <f t="shared" si="149"/>
        <v>0</v>
      </c>
      <c r="AI112" s="73">
        <f t="shared" si="150"/>
        <v>0</v>
      </c>
      <c r="AJ112" s="75">
        <f t="shared" si="151"/>
        <v>1.271791762</v>
      </c>
      <c r="AK112" s="73">
        <f t="shared" si="152"/>
        <v>1.192051263</v>
      </c>
      <c r="AL112" s="73">
        <f t="shared" si="153"/>
        <v>0.7810558193</v>
      </c>
      <c r="AM112" s="73">
        <f t="shared" si="154"/>
        <v>1.032354509</v>
      </c>
      <c r="AN112" s="75">
        <v>372.29</v>
      </c>
      <c r="AO112" s="76">
        <v>370.0</v>
      </c>
      <c r="AP112" s="73">
        <f t="shared" si="155"/>
        <v>370</v>
      </c>
      <c r="AQ112" s="29" t="str">
        <f t="shared" si="156"/>
        <v>#REF!</v>
      </c>
      <c r="AR112" s="77" t="str">
        <f t="shared" si="157"/>
        <v>#REF!</v>
      </c>
      <c r="AS112" s="73"/>
      <c r="AT112" s="39"/>
    </row>
    <row r="113" ht="15.75" customHeight="1">
      <c r="A113" s="16" t="s">
        <v>723</v>
      </c>
      <c r="B113" s="16" t="s">
        <v>1011</v>
      </c>
      <c r="C113" s="16">
        <v>1959.0</v>
      </c>
      <c r="D113" s="16"/>
      <c r="E113" s="16">
        <v>1959.0</v>
      </c>
      <c r="F113" s="16" t="b">
        <v>1</v>
      </c>
      <c r="G113" s="16" t="b">
        <v>0</v>
      </c>
      <c r="H113" s="16" t="b">
        <v>0</v>
      </c>
      <c r="I113" s="16" t="b">
        <v>0</v>
      </c>
      <c r="J113" s="18">
        <v>156.0</v>
      </c>
      <c r="K113" s="18">
        <v>1.0</v>
      </c>
      <c r="L113" s="16">
        <v>280.0</v>
      </c>
      <c r="M113" s="16">
        <v>1.0</v>
      </c>
      <c r="N113" s="16">
        <v>945.3</v>
      </c>
      <c r="O113" s="16">
        <v>763.0</v>
      </c>
      <c r="P113" s="18">
        <v>249.5</v>
      </c>
      <c r="Q113" s="16">
        <v>282.0</v>
      </c>
      <c r="R113" s="16">
        <v>3.6</v>
      </c>
      <c r="S113" s="16">
        <v>0.965</v>
      </c>
      <c r="T113" s="16">
        <v>0.965</v>
      </c>
      <c r="U113" s="19">
        <f t="shared" si="1"/>
        <v>281</v>
      </c>
      <c r="V113" s="19">
        <f t="shared" si="2"/>
        <v>82.30651309</v>
      </c>
      <c r="W113" s="20">
        <f t="shared" si="3"/>
        <v>0.5390002789</v>
      </c>
      <c r="X113" s="17">
        <f t="shared" si="143"/>
        <v>411.2572128</v>
      </c>
      <c r="Y113" s="21">
        <f t="shared" si="4"/>
        <v>4</v>
      </c>
      <c r="Z113" s="21">
        <f t="shared" si="5"/>
        <v>2056.286064</v>
      </c>
      <c r="AA113" s="21">
        <f t="shared" si="6"/>
        <v>2.695001395</v>
      </c>
      <c r="AB113" s="22">
        <f t="shared" si="7"/>
        <v>1.4635488</v>
      </c>
      <c r="AC113" s="8">
        <f t="shared" si="144"/>
        <v>391.1981423</v>
      </c>
      <c r="AD113" s="13">
        <f t="shared" si="145"/>
        <v>1.392164207</v>
      </c>
      <c r="AE113" s="8">
        <f t="shared" si="146"/>
        <v>391.1981423</v>
      </c>
      <c r="AF113" s="73">
        <f t="shared" si="147"/>
        <v>104.6646936</v>
      </c>
      <c r="AG113" s="74" t="str">
        <f t="shared" si="148"/>
        <v>#REF!</v>
      </c>
      <c r="AH113" s="73">
        <f t="shared" si="149"/>
        <v>0</v>
      </c>
      <c r="AI113" s="73">
        <f t="shared" si="150"/>
        <v>0</v>
      </c>
      <c r="AJ113" s="75">
        <f t="shared" si="151"/>
        <v>1.298340849</v>
      </c>
      <c r="AK113" s="73">
        <f t="shared" si="152"/>
        <v>1.014313272</v>
      </c>
      <c r="AL113" s="73">
        <f t="shared" si="153"/>
        <v>0.8837736245</v>
      </c>
      <c r="AM113" s="73">
        <f t="shared" si="154"/>
        <v>1.075846347</v>
      </c>
      <c r="AN113" s="75">
        <v>354.87</v>
      </c>
      <c r="AO113" s="76">
        <v>350.0</v>
      </c>
      <c r="AP113" s="73">
        <f t="shared" si="155"/>
        <v>350</v>
      </c>
      <c r="AQ113" s="29" t="str">
        <f t="shared" si="156"/>
        <v>#REF!</v>
      </c>
      <c r="AR113" s="77" t="str">
        <f t="shared" si="157"/>
        <v>#REF!</v>
      </c>
      <c r="AS113" s="73"/>
      <c r="AT113" s="39"/>
    </row>
    <row r="114" ht="15.75" customHeight="1">
      <c r="A114" s="7" t="s">
        <v>809</v>
      </c>
      <c r="B114" s="7" t="s">
        <v>810</v>
      </c>
      <c r="C114" s="7">
        <v>1959.0</v>
      </c>
      <c r="D114" s="7"/>
      <c r="E114" s="7">
        <v>1959.0</v>
      </c>
      <c r="F114" s="7" t="b">
        <v>1</v>
      </c>
      <c r="G114" s="7" t="b">
        <v>0</v>
      </c>
      <c r="H114" s="7" t="b">
        <v>1</v>
      </c>
      <c r="I114" s="7" t="b">
        <v>0</v>
      </c>
      <c r="J114" s="9">
        <v>132.0</v>
      </c>
      <c r="K114" s="7">
        <v>1.0</v>
      </c>
      <c r="L114" s="7">
        <v>300.0</v>
      </c>
      <c r="M114" s="7">
        <v>20.0</v>
      </c>
      <c r="N114" s="7">
        <v>905.0</v>
      </c>
      <c r="O114" s="7">
        <v>721.4</v>
      </c>
      <c r="P114" s="9">
        <v>200.0</v>
      </c>
      <c r="Q114" s="7">
        <v>289.9</v>
      </c>
      <c r="R114" s="7">
        <v>5.236</v>
      </c>
      <c r="S114" s="7">
        <v>0.986364</v>
      </c>
      <c r="T114" s="7">
        <v>0.986364</v>
      </c>
      <c r="U114" s="10">
        <f t="shared" si="1"/>
        <v>320</v>
      </c>
      <c r="V114" s="10">
        <f t="shared" si="2"/>
        <v>81.28433966</v>
      </c>
      <c r="W114" s="11">
        <f t="shared" si="3"/>
        <v>0.5809720423</v>
      </c>
      <c r="X114" s="8">
        <f t="shared" si="143"/>
        <v>419.1132313</v>
      </c>
      <c r="Y114" s="12">
        <f t="shared" si="4"/>
        <v>4</v>
      </c>
      <c r="Z114" s="12">
        <f t="shared" si="5"/>
        <v>2095.566157</v>
      </c>
      <c r="AA114" s="12">
        <f t="shared" si="6"/>
        <v>2.904860212</v>
      </c>
      <c r="AB114" s="13">
        <f t="shared" si="7"/>
        <v>1.309728848</v>
      </c>
      <c r="AC114" s="8">
        <f t="shared" si="144"/>
        <v>416.1433701</v>
      </c>
      <c r="AD114" s="13">
        <f t="shared" si="145"/>
        <v>1.300448031</v>
      </c>
      <c r="AE114" s="8">
        <f t="shared" si="146"/>
        <v>416.1433701</v>
      </c>
      <c r="AF114" s="73">
        <f t="shared" si="147"/>
        <v>99.80786423</v>
      </c>
      <c r="AG114" s="74" t="str">
        <f t="shared" si="148"/>
        <v>#REF!</v>
      </c>
      <c r="AH114" s="73">
        <f t="shared" si="149"/>
        <v>0</v>
      </c>
      <c r="AI114" s="73">
        <f t="shared" si="150"/>
        <v>0</v>
      </c>
      <c r="AJ114" s="75">
        <f t="shared" si="151"/>
        <v>1.014471506</v>
      </c>
      <c r="AK114" s="73">
        <f t="shared" si="152"/>
        <v>1.007995162</v>
      </c>
      <c r="AL114" s="73">
        <f t="shared" si="153"/>
        <v>0.9330208721</v>
      </c>
      <c r="AM114" s="73">
        <f t="shared" si="154"/>
        <v>1.008187449</v>
      </c>
      <c r="AN114" s="75">
        <v>310.81</v>
      </c>
      <c r="AO114" s="76">
        <v>310.0</v>
      </c>
      <c r="AP114" s="73">
        <f t="shared" si="155"/>
        <v>310</v>
      </c>
      <c r="AQ114" s="29" t="str">
        <f t="shared" si="156"/>
        <v>#REF!</v>
      </c>
      <c r="AR114" s="77" t="str">
        <f t="shared" si="157"/>
        <v>#REF!</v>
      </c>
      <c r="AS114" s="73"/>
      <c r="AT114" s="39"/>
    </row>
    <row r="115" ht="15.75" customHeight="1">
      <c r="A115" s="16" t="s">
        <v>811</v>
      </c>
      <c r="B115" s="16" t="s">
        <v>810</v>
      </c>
      <c r="C115" s="16">
        <v>1959.0</v>
      </c>
      <c r="D115" s="16"/>
      <c r="E115" s="16">
        <v>1959.0</v>
      </c>
      <c r="F115" s="16" t="b">
        <v>1</v>
      </c>
      <c r="G115" s="16" t="b">
        <v>0</v>
      </c>
      <c r="H115" s="16" t="b">
        <v>0</v>
      </c>
      <c r="I115" s="16" t="b">
        <v>0</v>
      </c>
      <c r="J115" s="18">
        <v>145.0</v>
      </c>
      <c r="K115" s="16">
        <v>1.0</v>
      </c>
      <c r="L115" s="16">
        <v>300.0</v>
      </c>
      <c r="M115" s="16">
        <v>0.0</v>
      </c>
      <c r="N115" s="16">
        <v>876.0</v>
      </c>
      <c r="O115" s="16">
        <v>695.8</v>
      </c>
      <c r="P115" s="18">
        <v>247.5</v>
      </c>
      <c r="Q115" s="16">
        <v>280.6</v>
      </c>
      <c r="R115" s="16">
        <v>5.44</v>
      </c>
      <c r="S115" s="16">
        <v>0.992045</v>
      </c>
      <c r="T115" s="16">
        <v>0.992045</v>
      </c>
      <c r="U115" s="19">
        <f t="shared" si="1"/>
        <v>300</v>
      </c>
      <c r="V115" s="19">
        <f t="shared" si="2"/>
        <v>80.995267</v>
      </c>
      <c r="W115" s="20">
        <f t="shared" si="3"/>
        <v>0.5827771057</v>
      </c>
      <c r="X115" s="17">
        <f t="shared" si="143"/>
        <v>405.4963101</v>
      </c>
      <c r="Y115" s="21">
        <f t="shared" si="4"/>
        <v>4</v>
      </c>
      <c r="Z115" s="21">
        <f t="shared" si="5"/>
        <v>2027.481551</v>
      </c>
      <c r="AA115" s="21">
        <f t="shared" si="6"/>
        <v>2.913885528</v>
      </c>
      <c r="AB115" s="22">
        <f t="shared" si="7"/>
        <v>1.351654367</v>
      </c>
      <c r="AC115" s="8">
        <f t="shared" si="144"/>
        <v>407.1804507</v>
      </c>
      <c r="AD115" s="13">
        <f t="shared" si="145"/>
        <v>1.357268169</v>
      </c>
      <c r="AE115" s="8">
        <f t="shared" si="146"/>
        <v>407.1804507</v>
      </c>
      <c r="AF115" s="73">
        <f t="shared" si="147"/>
        <v>96.80750071</v>
      </c>
      <c r="AG115" s="74" t="str">
        <f t="shared" si="148"/>
        <v>#REF!</v>
      </c>
      <c r="AH115" s="73">
        <f t="shared" si="149"/>
        <v>0</v>
      </c>
      <c r="AI115" s="73">
        <f t="shared" si="150"/>
        <v>0</v>
      </c>
      <c r="AJ115" s="75">
        <f t="shared" si="151"/>
        <v>1.29295467</v>
      </c>
      <c r="AK115" s="73">
        <f t="shared" si="152"/>
        <v>1.006201191</v>
      </c>
      <c r="AL115" s="73">
        <f t="shared" si="153"/>
        <v>0.8753214302</v>
      </c>
      <c r="AM115" s="73">
        <f t="shared" si="154"/>
        <v>1.046592255</v>
      </c>
      <c r="AN115" s="75">
        <v>399.06</v>
      </c>
      <c r="AO115" s="76">
        <v>400.0</v>
      </c>
      <c r="AP115" s="73">
        <f t="shared" si="155"/>
        <v>400</v>
      </c>
      <c r="AQ115" s="29" t="str">
        <f t="shared" si="156"/>
        <v>#REF!</v>
      </c>
      <c r="AR115" s="77" t="str">
        <f t="shared" si="157"/>
        <v>#REF!</v>
      </c>
      <c r="AS115" s="73"/>
      <c r="AT115" s="39"/>
    </row>
    <row r="116" ht="15.75" customHeight="1">
      <c r="A116" s="7" t="s">
        <v>838</v>
      </c>
      <c r="B116" s="7" t="s">
        <v>839</v>
      </c>
      <c r="C116" s="7">
        <v>1959.0</v>
      </c>
      <c r="D116" s="7"/>
      <c r="E116" s="7">
        <v>1959.0</v>
      </c>
      <c r="F116" s="7" t="b">
        <v>1</v>
      </c>
      <c r="G116" s="7" t="b">
        <v>0</v>
      </c>
      <c r="H116" s="7" t="b">
        <v>1</v>
      </c>
      <c r="I116" s="7" t="b">
        <v>1</v>
      </c>
      <c r="J116" s="9">
        <v>360.0</v>
      </c>
      <c r="K116" s="9">
        <v>6.0</v>
      </c>
      <c r="L116" s="7">
        <v>1130.0</v>
      </c>
      <c r="M116" s="7">
        <v>0.0</v>
      </c>
      <c r="N116" s="7">
        <v>415.0</v>
      </c>
      <c r="O116" s="7">
        <v>224.0</v>
      </c>
      <c r="P116" s="9">
        <v>220.0</v>
      </c>
      <c r="Q116" s="7">
        <v>244.0</v>
      </c>
      <c r="R116" s="7">
        <v>4.13</v>
      </c>
      <c r="S116" s="7">
        <v>0.996</v>
      </c>
      <c r="T116" s="7">
        <v>0.99</v>
      </c>
      <c r="U116" s="10">
        <f t="shared" si="1"/>
        <v>1130</v>
      </c>
      <c r="V116" s="10">
        <f t="shared" si="2"/>
        <v>55.04010387</v>
      </c>
      <c r="W116" s="11">
        <f t="shared" si="3"/>
        <v>1.047715389</v>
      </c>
      <c r="X116" s="8">
        <f t="shared" si="143"/>
        <v>234.6882471</v>
      </c>
      <c r="Y116" s="12">
        <f t="shared" si="4"/>
        <v>4</v>
      </c>
      <c r="Z116" s="12">
        <f t="shared" si="5"/>
        <v>1173.441236</v>
      </c>
      <c r="AA116" s="12">
        <f t="shared" si="6"/>
        <v>5.238576945</v>
      </c>
      <c r="AB116" s="13">
        <f t="shared" si="7"/>
        <v>0.2076887143</v>
      </c>
      <c r="AC116" s="8">
        <f t="shared" si="144"/>
        <v>354.1586462</v>
      </c>
      <c r="AD116" s="13">
        <f t="shared" si="145"/>
        <v>0.3134147312</v>
      </c>
      <c r="AE116" s="8">
        <f t="shared" si="146"/>
        <v>354.1586462</v>
      </c>
      <c r="AF116" s="73">
        <f t="shared" si="147"/>
        <v>38.84521756</v>
      </c>
      <c r="AG116" s="74" t="str">
        <f t="shared" si="148"/>
        <v>#REF!</v>
      </c>
      <c r="AH116" s="73">
        <f t="shared" si="149"/>
        <v>2</v>
      </c>
      <c r="AI116" s="73">
        <f t="shared" si="150"/>
        <v>0.4517593218</v>
      </c>
      <c r="AJ116" s="75">
        <f t="shared" si="151"/>
        <v>1.332590243</v>
      </c>
      <c r="AK116" s="73">
        <f t="shared" si="152"/>
        <v>0.8294584368</v>
      </c>
      <c r="AL116" s="73">
        <f t="shared" si="153"/>
        <v>0.6808649873</v>
      </c>
      <c r="AM116" s="73">
        <f t="shared" si="154"/>
        <v>1.373683712</v>
      </c>
      <c r="AN116" s="75">
        <v>364.27</v>
      </c>
      <c r="AO116" s="76">
        <v>360.0</v>
      </c>
      <c r="AP116" s="73">
        <f t="shared" si="155"/>
        <v>360</v>
      </c>
      <c r="AQ116" s="29" t="str">
        <f t="shared" si="156"/>
        <v>#REF!</v>
      </c>
      <c r="AR116" s="77" t="str">
        <f t="shared" si="157"/>
        <v>#REF!</v>
      </c>
      <c r="AS116" s="73"/>
      <c r="AT116" s="39"/>
    </row>
    <row r="117" ht="15.75" customHeight="1">
      <c r="A117" s="7" t="s">
        <v>86</v>
      </c>
      <c r="B117" s="7" t="s">
        <v>83</v>
      </c>
      <c r="C117" s="7">
        <v>1960.0</v>
      </c>
      <c r="D117" s="7"/>
      <c r="E117" s="7">
        <v>1960.0</v>
      </c>
      <c r="F117" s="7" t="b">
        <v>0</v>
      </c>
      <c r="G117" s="7" t="b">
        <v>0</v>
      </c>
      <c r="H117" s="7" t="b">
        <v>1</v>
      </c>
      <c r="I117" s="7" t="b">
        <v>0</v>
      </c>
      <c r="J117" s="9">
        <v>150.0</v>
      </c>
      <c r="K117" s="7">
        <v>1.0</v>
      </c>
      <c r="L117" s="7">
        <v>100.0</v>
      </c>
      <c r="M117" s="7">
        <v>1.0</v>
      </c>
      <c r="N117" s="7">
        <v>80.0</v>
      </c>
      <c r="O117" s="7">
        <v>34.25</v>
      </c>
      <c r="P117" s="9">
        <v>122.0</v>
      </c>
      <c r="Q117" s="7">
        <v>270.0</v>
      </c>
      <c r="R117" s="7">
        <v>1.4</v>
      </c>
      <c r="S117" s="7">
        <v>0.978125</v>
      </c>
      <c r="T117" s="7">
        <v>0.99</v>
      </c>
      <c r="U117" s="10">
        <f t="shared" si="1"/>
        <v>101</v>
      </c>
      <c r="V117" s="10">
        <f t="shared" si="2"/>
        <v>43.65660024</v>
      </c>
      <c r="W117" s="11">
        <f t="shared" si="3"/>
        <v>2.424826244</v>
      </c>
      <c r="X117" s="8">
        <f t="shared" si="143"/>
        <v>83.05029885</v>
      </c>
      <c r="Y117" s="12">
        <f t="shared" si="4"/>
        <v>1.75</v>
      </c>
      <c r="Z117" s="12">
        <f t="shared" si="5"/>
        <v>228.3883218</v>
      </c>
      <c r="AA117" s="12">
        <f t="shared" si="6"/>
        <v>6.66827217</v>
      </c>
      <c r="AB117" s="13">
        <f t="shared" si="7"/>
        <v>0.8222801866</v>
      </c>
      <c r="AC117" s="8">
        <f t="shared" si="144"/>
        <v>82.0822438</v>
      </c>
      <c r="AD117" s="13">
        <f t="shared" si="145"/>
        <v>0.8126954832</v>
      </c>
      <c r="AE117" s="8">
        <f t="shared" si="146"/>
        <v>82.0822438</v>
      </c>
      <c r="AF117" s="73">
        <f t="shared" si="147"/>
        <v>10.12000825</v>
      </c>
      <c r="AG117" s="74" t="str">
        <f t="shared" si="148"/>
        <v>#REF!</v>
      </c>
      <c r="AH117" s="73">
        <f t="shared" si="149"/>
        <v>0</v>
      </c>
      <c r="AI117" s="73">
        <f t="shared" si="150"/>
        <v>0</v>
      </c>
      <c r="AJ117" s="75">
        <f t="shared" si="151"/>
        <v>1</v>
      </c>
      <c r="AK117" s="73">
        <f t="shared" si="152"/>
        <v>0.7387201791</v>
      </c>
      <c r="AL117" s="73">
        <f t="shared" si="153"/>
        <v>0.8138950248</v>
      </c>
      <c r="AM117" s="73">
        <f t="shared" si="154"/>
        <v>1.060224449</v>
      </c>
      <c r="AN117" s="75">
        <v>22.26</v>
      </c>
      <c r="AO117" s="76">
        <v>22.0</v>
      </c>
      <c r="AP117" s="73">
        <f t="shared" si="155"/>
        <v>22</v>
      </c>
      <c r="AQ117" s="29" t="str">
        <f t="shared" si="156"/>
        <v>#REF!</v>
      </c>
      <c r="AR117" s="77" t="str">
        <f t="shared" si="157"/>
        <v>#REF!</v>
      </c>
      <c r="AS117" s="73"/>
      <c r="AT117" s="39"/>
    </row>
    <row r="118" ht="15.75" customHeight="1">
      <c r="A118" s="16" t="s">
        <v>89</v>
      </c>
      <c r="B118" s="16" t="s">
        <v>90</v>
      </c>
      <c r="C118" s="16">
        <v>1960.0</v>
      </c>
      <c r="D118" s="16"/>
      <c r="E118" s="16">
        <v>1960.0</v>
      </c>
      <c r="F118" s="16" t="b">
        <v>0</v>
      </c>
      <c r="G118" s="16" t="b">
        <v>0</v>
      </c>
      <c r="H118" s="16" t="b">
        <v>1</v>
      </c>
      <c r="I118" s="16" t="b">
        <v>0</v>
      </c>
      <c r="J118" s="18">
        <v>300.0</v>
      </c>
      <c r="K118" s="18">
        <v>999.0</v>
      </c>
      <c r="L118" s="16">
        <v>150.0</v>
      </c>
      <c r="M118" s="16">
        <v>0.0</v>
      </c>
      <c r="N118" s="16">
        <v>90.0</v>
      </c>
      <c r="O118" s="16">
        <v>35.1</v>
      </c>
      <c r="P118" s="18">
        <v>65.0</v>
      </c>
      <c r="Q118" s="16">
        <v>278.0</v>
      </c>
      <c r="R118" s="16">
        <v>1.4</v>
      </c>
      <c r="S118" s="16">
        <v>0.983333</v>
      </c>
      <c r="T118" s="16">
        <v>0.979412</v>
      </c>
      <c r="U118" s="19">
        <f t="shared" si="1"/>
        <v>150</v>
      </c>
      <c r="V118" s="19">
        <f t="shared" si="2"/>
        <v>39.76893219</v>
      </c>
      <c r="W118" s="20">
        <f t="shared" si="3"/>
        <v>2.581645489</v>
      </c>
      <c r="X118" s="17">
        <f t="shared" si="143"/>
        <v>90.61575665</v>
      </c>
      <c r="Y118" s="21">
        <f t="shared" si="4"/>
        <v>1.75</v>
      </c>
      <c r="Z118" s="21">
        <f t="shared" si="5"/>
        <v>249.1933308</v>
      </c>
      <c r="AA118" s="21">
        <f t="shared" si="6"/>
        <v>7.099525094</v>
      </c>
      <c r="AB118" s="22">
        <f t="shared" si="7"/>
        <v>0.6041050444</v>
      </c>
      <c r="AC118" s="8">
        <f t="shared" si="144"/>
        <v>89.08327568</v>
      </c>
      <c r="AD118" s="13">
        <f t="shared" si="145"/>
        <v>0.5938885045</v>
      </c>
      <c r="AE118" s="8">
        <f t="shared" si="146"/>
        <v>89.08327568</v>
      </c>
      <c r="AF118" s="73">
        <f t="shared" si="147"/>
        <v>10.30312871</v>
      </c>
      <c r="AG118" s="74" t="str">
        <f t="shared" si="148"/>
        <v>#REF!</v>
      </c>
      <c r="AH118" s="73">
        <f t="shared" si="149"/>
        <v>0</v>
      </c>
      <c r="AI118" s="73">
        <f t="shared" si="150"/>
        <v>1.123141633</v>
      </c>
      <c r="AJ118" s="75">
        <f t="shared" si="151"/>
        <v>1</v>
      </c>
      <c r="AK118" s="73">
        <f t="shared" si="152"/>
        <v>0.7050614529</v>
      </c>
      <c r="AL118" s="73">
        <f t="shared" si="153"/>
        <v>0.8598383712</v>
      </c>
      <c r="AM118" s="73">
        <f t="shared" si="154"/>
        <v>1.314152039</v>
      </c>
      <c r="AN118" s="75">
        <v>47.07</v>
      </c>
      <c r="AO118" s="76">
        <v>47.0</v>
      </c>
      <c r="AP118" s="73">
        <f t="shared" si="155"/>
        <v>47</v>
      </c>
      <c r="AQ118" s="29" t="str">
        <f t="shared" si="156"/>
        <v>#REF!</v>
      </c>
      <c r="AR118" s="77" t="str">
        <f t="shared" si="157"/>
        <v>#REF!</v>
      </c>
      <c r="AS118" s="73"/>
      <c r="AT118" s="39"/>
    </row>
    <row r="119" ht="15.75" customHeight="1">
      <c r="A119" s="16" t="s">
        <v>197</v>
      </c>
      <c r="B119" s="16" t="s">
        <v>198</v>
      </c>
      <c r="C119" s="16">
        <v>1960.0</v>
      </c>
      <c r="D119" s="16"/>
      <c r="E119" s="16">
        <v>1960.0</v>
      </c>
      <c r="F119" s="16" t="b">
        <v>0</v>
      </c>
      <c r="G119" s="16" t="b">
        <v>0</v>
      </c>
      <c r="H119" s="16" t="b">
        <v>1</v>
      </c>
      <c r="I119" s="16" t="b">
        <v>0</v>
      </c>
      <c r="J119" s="18">
        <v>450.0</v>
      </c>
      <c r="K119" s="18">
        <v>1.0</v>
      </c>
      <c r="L119" s="16">
        <v>200.0</v>
      </c>
      <c r="M119" s="16">
        <v>0.0</v>
      </c>
      <c r="N119" s="18">
        <v>204.0</v>
      </c>
      <c r="O119" s="16">
        <v>200.1699</v>
      </c>
      <c r="P119" s="18">
        <v>110.0</v>
      </c>
      <c r="Q119" s="16">
        <v>304.0</v>
      </c>
      <c r="R119" s="16">
        <v>1.38</v>
      </c>
      <c r="S119" s="16">
        <v>0.98</v>
      </c>
      <c r="T119" s="16">
        <v>0.985</v>
      </c>
      <c r="U119" s="19">
        <f t="shared" si="1"/>
        <v>200</v>
      </c>
      <c r="V119" s="19">
        <f t="shared" si="2"/>
        <v>100.0571038</v>
      </c>
      <c r="W119" s="20">
        <f t="shared" si="3"/>
        <v>0.7829823418</v>
      </c>
      <c r="X119" s="17">
        <f t="shared" si="143"/>
        <v>156.7294971</v>
      </c>
      <c r="Y119" s="21">
        <f t="shared" si="4"/>
        <v>1.75</v>
      </c>
      <c r="Z119" s="21">
        <f t="shared" si="5"/>
        <v>431.0061169</v>
      </c>
      <c r="AA119" s="21">
        <f t="shared" si="6"/>
        <v>2.15320144</v>
      </c>
      <c r="AB119" s="22">
        <f t="shared" si="7"/>
        <v>0.7836474853</v>
      </c>
      <c r="AC119" s="8">
        <f t="shared" si="144"/>
        <v>154.4255734</v>
      </c>
      <c r="AD119" s="13">
        <f t="shared" si="145"/>
        <v>0.7721278672</v>
      </c>
      <c r="AE119" s="8">
        <f t="shared" si="146"/>
        <v>154.4255734</v>
      </c>
      <c r="AF119" s="73">
        <f t="shared" si="147"/>
        <v>44.49499829</v>
      </c>
      <c r="AG119" s="74" t="str">
        <f t="shared" si="148"/>
        <v>#REF!</v>
      </c>
      <c r="AH119" s="73">
        <f t="shared" si="149"/>
        <v>0</v>
      </c>
      <c r="AI119" s="73">
        <f t="shared" si="150"/>
        <v>0</v>
      </c>
      <c r="AJ119" s="75">
        <f t="shared" si="151"/>
        <v>1</v>
      </c>
      <c r="AK119" s="73">
        <f t="shared" si="152"/>
        <v>1.118353163</v>
      </c>
      <c r="AL119" s="73">
        <f t="shared" si="153"/>
        <v>1.03535013</v>
      </c>
      <c r="AM119" s="73">
        <f t="shared" si="154"/>
        <v>1.442806746</v>
      </c>
      <c r="AN119" s="75">
        <v>203.4</v>
      </c>
      <c r="AO119" s="76">
        <v>200.0</v>
      </c>
      <c r="AP119" s="73">
        <f t="shared" si="155"/>
        <v>200</v>
      </c>
      <c r="AQ119" s="29" t="str">
        <f t="shared" si="156"/>
        <v>#REF!</v>
      </c>
      <c r="AR119" s="77" t="str">
        <f t="shared" si="157"/>
        <v>#REF!</v>
      </c>
      <c r="AS119" s="73"/>
      <c r="AT119" s="39"/>
    </row>
    <row r="120" ht="15.75" customHeight="1">
      <c r="A120" s="16" t="s">
        <v>200</v>
      </c>
      <c r="B120" s="16" t="s">
        <v>201</v>
      </c>
      <c r="C120" s="16">
        <v>1960.0</v>
      </c>
      <c r="D120" s="16"/>
      <c r="E120" s="16">
        <v>1960.0</v>
      </c>
      <c r="F120" s="16" t="b">
        <v>0</v>
      </c>
      <c r="G120" s="16" t="b">
        <v>0</v>
      </c>
      <c r="H120" s="16" t="b">
        <v>1</v>
      </c>
      <c r="I120" s="16" t="b">
        <v>0</v>
      </c>
      <c r="J120" s="18">
        <v>123.0</v>
      </c>
      <c r="K120" s="18">
        <v>3.0</v>
      </c>
      <c r="L120" s="16">
        <v>150.0</v>
      </c>
      <c r="M120" s="16">
        <v>0.0</v>
      </c>
      <c r="N120" s="16">
        <v>83.9</v>
      </c>
      <c r="O120" s="16">
        <v>26.68932</v>
      </c>
      <c r="P120" s="18">
        <v>127.0</v>
      </c>
      <c r="Q120" s="16">
        <v>300.0</v>
      </c>
      <c r="R120" s="16">
        <v>1.03</v>
      </c>
      <c r="S120" s="16">
        <v>0.98</v>
      </c>
      <c r="T120" s="16">
        <v>0.98</v>
      </c>
      <c r="U120" s="19">
        <f t="shared" si="1"/>
        <v>150</v>
      </c>
      <c r="V120" s="19">
        <f t="shared" si="2"/>
        <v>32.43805988</v>
      </c>
      <c r="W120" s="20">
        <f t="shared" si="3"/>
        <v>3.315838996</v>
      </c>
      <c r="X120" s="17">
        <f t="shared" si="143"/>
        <v>88.49748803</v>
      </c>
      <c r="Y120" s="21">
        <f t="shared" si="4"/>
        <v>1.75</v>
      </c>
      <c r="Z120" s="21">
        <f t="shared" si="5"/>
        <v>243.3680921</v>
      </c>
      <c r="AA120" s="21">
        <f t="shared" si="6"/>
        <v>9.118557238</v>
      </c>
      <c r="AB120" s="22">
        <f t="shared" si="7"/>
        <v>0.5899832535</v>
      </c>
      <c r="AC120" s="8">
        <f t="shared" si="144"/>
        <v>86.76293726</v>
      </c>
      <c r="AD120" s="13">
        <f t="shared" si="145"/>
        <v>0.5784195817</v>
      </c>
      <c r="AE120" s="8">
        <f t="shared" si="146"/>
        <v>86.76293726</v>
      </c>
      <c r="AF120" s="73">
        <f t="shared" si="147"/>
        <v>8.480095671</v>
      </c>
      <c r="AG120" s="74" t="str">
        <f t="shared" si="148"/>
        <v>#REF!</v>
      </c>
      <c r="AH120" s="73">
        <f t="shared" si="149"/>
        <v>0</v>
      </c>
      <c r="AI120" s="73">
        <f t="shared" si="150"/>
        <v>0.2958876574</v>
      </c>
      <c r="AJ120" s="75">
        <f t="shared" si="151"/>
        <v>1</v>
      </c>
      <c r="AK120" s="73">
        <f t="shared" si="152"/>
        <v>0.6367697767</v>
      </c>
      <c r="AL120" s="73">
        <f t="shared" si="153"/>
        <v>1</v>
      </c>
      <c r="AM120" s="73">
        <f t="shared" si="154"/>
        <v>0.9786909091</v>
      </c>
      <c r="AN120" s="75">
        <v>22.65</v>
      </c>
      <c r="AO120" s="76">
        <v>23.0</v>
      </c>
      <c r="AP120" s="73">
        <f t="shared" si="155"/>
        <v>23</v>
      </c>
      <c r="AQ120" s="29" t="str">
        <f t="shared" si="156"/>
        <v>#REF!</v>
      </c>
      <c r="AR120" s="77" t="str">
        <f t="shared" si="157"/>
        <v>#REF!</v>
      </c>
      <c r="AS120" s="73"/>
      <c r="AT120" s="39"/>
    </row>
    <row r="121" ht="15.75" customHeight="1">
      <c r="A121" s="16" t="s">
        <v>268</v>
      </c>
      <c r="B121" s="16" t="s">
        <v>266</v>
      </c>
      <c r="C121" s="16">
        <v>1960.0</v>
      </c>
      <c r="D121" s="16"/>
      <c r="E121" s="16">
        <v>1960.0</v>
      </c>
      <c r="F121" s="16" t="b">
        <v>1</v>
      </c>
      <c r="G121" s="16" t="b">
        <v>0</v>
      </c>
      <c r="H121" s="16" t="b">
        <v>0</v>
      </c>
      <c r="I121" s="16" t="b">
        <v>0</v>
      </c>
      <c r="J121" s="18">
        <v>350.0</v>
      </c>
      <c r="K121" s="16">
        <v>1.0</v>
      </c>
      <c r="L121" s="16">
        <v>275.0</v>
      </c>
      <c r="M121" s="16">
        <v>20.0</v>
      </c>
      <c r="N121" s="16">
        <v>413.0</v>
      </c>
      <c r="O121" s="16">
        <v>366.1</v>
      </c>
      <c r="P121" s="18">
        <v>217.0</v>
      </c>
      <c r="Q121" s="16">
        <v>313.0</v>
      </c>
      <c r="R121" s="16">
        <v>4.52</v>
      </c>
      <c r="S121" s="16">
        <v>0.991189</v>
      </c>
      <c r="T121" s="16">
        <v>0.991189</v>
      </c>
      <c r="U121" s="19">
        <f t="shared" si="1"/>
        <v>295</v>
      </c>
      <c r="V121" s="19">
        <f t="shared" si="2"/>
        <v>90.39179285</v>
      </c>
      <c r="W121" s="20">
        <f t="shared" si="3"/>
        <v>0.7316397127</v>
      </c>
      <c r="X121" s="17">
        <f t="shared" si="143"/>
        <v>267.8532988</v>
      </c>
      <c r="Y121" s="21">
        <f t="shared" si="4"/>
        <v>4</v>
      </c>
      <c r="Z121" s="21">
        <f t="shared" si="5"/>
        <v>1339.266494</v>
      </c>
      <c r="AA121" s="21">
        <f t="shared" si="6"/>
        <v>3.658198563</v>
      </c>
      <c r="AB121" s="22">
        <f t="shared" si="7"/>
        <v>0.9079772841</v>
      </c>
      <c r="AC121" s="8">
        <f t="shared" si="144"/>
        <v>268.5110484</v>
      </c>
      <c r="AD121" s="13">
        <f t="shared" si="145"/>
        <v>0.9102069437</v>
      </c>
      <c r="AE121" s="8">
        <f t="shared" si="146"/>
        <v>268.5110484</v>
      </c>
      <c r="AF121" s="73">
        <f t="shared" si="147"/>
        <v>57.06608497</v>
      </c>
      <c r="AG121" s="74" t="str">
        <f t="shared" si="148"/>
        <v>#REF!</v>
      </c>
      <c r="AH121" s="73">
        <f t="shared" si="149"/>
        <v>0</v>
      </c>
      <c r="AI121" s="73">
        <f t="shared" si="150"/>
        <v>0</v>
      </c>
      <c r="AJ121" s="75">
        <f t="shared" si="151"/>
        <v>1.017007603</v>
      </c>
      <c r="AK121" s="73">
        <f t="shared" si="152"/>
        <v>1.062966326</v>
      </c>
      <c r="AL121" s="73">
        <f t="shared" si="153"/>
        <v>1.135448076</v>
      </c>
      <c r="AM121" s="73">
        <f t="shared" si="154"/>
        <v>1.364668672</v>
      </c>
      <c r="AN121" s="75">
        <v>294.43</v>
      </c>
      <c r="AO121" s="76">
        <v>290.0</v>
      </c>
      <c r="AP121" s="73">
        <f t="shared" si="155"/>
        <v>290</v>
      </c>
      <c r="AQ121" s="29" t="str">
        <f t="shared" si="156"/>
        <v>#REF!</v>
      </c>
      <c r="AR121" s="77" t="str">
        <f t="shared" si="157"/>
        <v>#REF!</v>
      </c>
      <c r="AS121" s="73"/>
      <c r="AT121" s="39"/>
    </row>
    <row r="122" ht="15.75" hidden="1" customHeight="1">
      <c r="A122" s="7" t="s">
        <v>890</v>
      </c>
      <c r="B122" s="7" t="s">
        <v>890</v>
      </c>
      <c r="C122" s="7">
        <v>1957.0</v>
      </c>
      <c r="D122" s="7"/>
      <c r="E122" s="7">
        <v>1957.0</v>
      </c>
      <c r="F122" s="7" t="b">
        <v>0</v>
      </c>
      <c r="G122" s="7" t="b">
        <v>1</v>
      </c>
      <c r="H122" s="7" t="b">
        <v>0</v>
      </c>
      <c r="I122" s="7" t="b">
        <v>0</v>
      </c>
      <c r="J122" s="7"/>
      <c r="K122" s="7"/>
      <c r="L122" s="7">
        <v>150.0</v>
      </c>
      <c r="M122" s="7">
        <v>0.0</v>
      </c>
      <c r="N122" s="7">
        <v>21.7</v>
      </c>
      <c r="O122" s="7">
        <v>17.3</v>
      </c>
      <c r="P122" s="7"/>
      <c r="Q122" s="7">
        <v>237.46</v>
      </c>
      <c r="R122" s="7"/>
      <c r="S122" s="7"/>
      <c r="T122" s="7"/>
      <c r="U122" s="10">
        <f t="shared" si="1"/>
        <v>150</v>
      </c>
      <c r="V122" s="10">
        <f t="shared" si="2"/>
        <v>81.29534762</v>
      </c>
      <c r="W122" s="11">
        <f t="shared" si="3"/>
        <v>1.58999887</v>
      </c>
      <c r="X122" s="8">
        <f t="shared" ref="X122:X131" si="158">0.2*(8.17*POW(N122*R122,0.46))+0.8*(0.146*POW(N122*Q122,0.639))</f>
        <v>27.50698045</v>
      </c>
      <c r="Y122" s="12">
        <f t="shared" si="4"/>
        <v>1.05</v>
      </c>
      <c r="Z122" s="12">
        <f t="shared" si="5"/>
        <v>56.38930993</v>
      </c>
      <c r="AA122" s="12">
        <f t="shared" si="6"/>
        <v>3.259497684</v>
      </c>
      <c r="AB122" s="13">
        <f t="shared" si="7"/>
        <v>0.1833798697</v>
      </c>
      <c r="AC122" s="8">
        <f t="shared" ref="AC122:AC131" si="159">IF(I122,X122*1.5,X122)*IF(S122*T122&gt;0,(S122*T122+0.02),1)</f>
        <v>27.50698045</v>
      </c>
      <c r="AG122" s="7"/>
    </row>
    <row r="123" ht="15.75" hidden="1" customHeight="1">
      <c r="A123" s="16" t="s">
        <v>955</v>
      </c>
      <c r="B123" s="16" t="s">
        <v>956</v>
      </c>
      <c r="C123" s="16">
        <v>1990.0</v>
      </c>
      <c r="D123" s="16"/>
      <c r="E123" s="16">
        <v>1990.0</v>
      </c>
      <c r="F123" s="16" t="b">
        <v>0</v>
      </c>
      <c r="G123" s="16" t="b">
        <v>1</v>
      </c>
      <c r="H123" s="16" t="b">
        <v>0</v>
      </c>
      <c r="I123" s="16" t="b">
        <v>0</v>
      </c>
      <c r="J123" s="16"/>
      <c r="K123" s="16"/>
      <c r="L123" s="16">
        <v>900.0</v>
      </c>
      <c r="M123" s="16">
        <v>0.0</v>
      </c>
      <c r="N123" s="16">
        <f>1196*1.010708</f>
        <v>1208.806768</v>
      </c>
      <c r="O123" s="16">
        <v>666.0</v>
      </c>
      <c r="P123" s="16"/>
      <c r="Q123" s="16">
        <v>283.4</v>
      </c>
      <c r="R123" s="16"/>
      <c r="S123" s="16"/>
      <c r="T123" s="16"/>
      <c r="U123" s="19">
        <f t="shared" si="1"/>
        <v>900</v>
      </c>
      <c r="V123" s="19">
        <f t="shared" si="2"/>
        <v>56.18193195</v>
      </c>
      <c r="W123" s="20">
        <f t="shared" si="3"/>
        <v>0.6035012352</v>
      </c>
      <c r="X123" s="17">
        <f t="shared" si="158"/>
        <v>401.9318227</v>
      </c>
      <c r="Y123" s="21">
        <f t="shared" si="4"/>
        <v>1.05</v>
      </c>
      <c r="Z123" s="21">
        <f t="shared" si="5"/>
        <v>823.9602364</v>
      </c>
      <c r="AA123" s="21">
        <f t="shared" si="6"/>
        <v>1.237177532</v>
      </c>
      <c r="AB123" s="22">
        <f t="shared" si="7"/>
        <v>0.4465909141</v>
      </c>
      <c r="AC123" s="17">
        <f t="shared" si="159"/>
        <v>401.9318227</v>
      </c>
      <c r="AG123" s="16"/>
    </row>
    <row r="124" ht="15.75" hidden="1" customHeight="1">
      <c r="A124" s="7" t="s">
        <v>957</v>
      </c>
      <c r="B124" s="7" t="s">
        <v>956</v>
      </c>
      <c r="C124" s="7">
        <v>1990.0</v>
      </c>
      <c r="D124" s="7"/>
      <c r="E124" s="7">
        <v>1990.0</v>
      </c>
      <c r="F124" s="7" t="b">
        <v>0</v>
      </c>
      <c r="G124" s="7" t="b">
        <v>1</v>
      </c>
      <c r="H124" s="7" t="b">
        <v>0</v>
      </c>
      <c r="I124" s="7" t="b">
        <v>0</v>
      </c>
      <c r="J124" s="7"/>
      <c r="K124" s="7"/>
      <c r="L124" s="7">
        <v>900.0</v>
      </c>
      <c r="M124" s="7">
        <v>0.0</v>
      </c>
      <c r="N124" s="7">
        <v>1196.0</v>
      </c>
      <c r="O124" s="7">
        <v>644.0</v>
      </c>
      <c r="P124" s="7"/>
      <c r="Q124" s="7">
        <v>274.0</v>
      </c>
      <c r="R124" s="7"/>
      <c r="S124" s="7"/>
      <c r="T124" s="7"/>
      <c r="U124" s="10">
        <f t="shared" si="1"/>
        <v>900</v>
      </c>
      <c r="V124" s="10">
        <f t="shared" si="2"/>
        <v>54.90779592</v>
      </c>
      <c r="W124" s="11">
        <f t="shared" si="3"/>
        <v>0.6066662135</v>
      </c>
      <c r="X124" s="8">
        <f t="shared" si="158"/>
        <v>390.6930415</v>
      </c>
      <c r="Y124" s="12">
        <f t="shared" si="4"/>
        <v>1.05</v>
      </c>
      <c r="Z124" s="12">
        <f t="shared" si="5"/>
        <v>800.9207351</v>
      </c>
      <c r="AA124" s="12">
        <f t="shared" si="6"/>
        <v>1.243665738</v>
      </c>
      <c r="AB124" s="13">
        <f t="shared" si="7"/>
        <v>0.4341033794</v>
      </c>
      <c r="AC124" s="8">
        <f t="shared" si="159"/>
        <v>390.6930415</v>
      </c>
      <c r="AG124" s="7"/>
    </row>
    <row r="125" ht="15.75" hidden="1" customHeight="1">
      <c r="A125" s="16" t="s">
        <v>965</v>
      </c>
      <c r="B125" s="16" t="s">
        <v>966</v>
      </c>
      <c r="C125" s="16">
        <v>1998.0</v>
      </c>
      <c r="D125" s="16"/>
      <c r="E125" s="16">
        <v>1998.0</v>
      </c>
      <c r="F125" s="16" t="b">
        <v>0</v>
      </c>
      <c r="G125" s="16" t="b">
        <v>1</v>
      </c>
      <c r="H125" s="16" t="b">
        <v>0</v>
      </c>
      <c r="I125" s="16" t="b">
        <v>0</v>
      </c>
      <c r="J125" s="16"/>
      <c r="K125" s="16"/>
      <c r="L125" s="16">
        <v>1200.0</v>
      </c>
      <c r="M125" s="16">
        <v>0.0</v>
      </c>
      <c r="N125" s="16">
        <v>2204.0</v>
      </c>
      <c r="O125" s="16">
        <v>915.0</v>
      </c>
      <c r="P125" s="16"/>
      <c r="Q125" s="16">
        <v>290.7</v>
      </c>
      <c r="R125" s="16"/>
      <c r="S125" s="16"/>
      <c r="T125" s="16"/>
      <c r="U125" s="19">
        <f t="shared" si="1"/>
        <v>1200</v>
      </c>
      <c r="V125" s="19">
        <f t="shared" si="2"/>
        <v>42.33395336</v>
      </c>
      <c r="W125" s="20">
        <f t="shared" si="3"/>
        <v>0.6553530578</v>
      </c>
      <c r="X125" s="17">
        <f t="shared" si="158"/>
        <v>599.6480479</v>
      </c>
      <c r="Y125" s="21">
        <f t="shared" si="4"/>
        <v>1.05</v>
      </c>
      <c r="Z125" s="21">
        <f t="shared" si="5"/>
        <v>1229.278498</v>
      </c>
      <c r="AA125" s="21">
        <f t="shared" si="6"/>
        <v>1.343473768</v>
      </c>
      <c r="AB125" s="22">
        <f t="shared" si="7"/>
        <v>0.4997067066</v>
      </c>
      <c r="AC125" s="17">
        <f t="shared" si="159"/>
        <v>599.6480479</v>
      </c>
      <c r="AG125" s="16"/>
    </row>
    <row r="126" ht="15.75" hidden="1" customHeight="1">
      <c r="A126" s="7" t="s">
        <v>967</v>
      </c>
      <c r="B126" s="7" t="s">
        <v>966</v>
      </c>
      <c r="C126" s="7">
        <v>1998.0</v>
      </c>
      <c r="D126" s="7"/>
      <c r="E126" s="7">
        <v>1998.0</v>
      </c>
      <c r="F126" s="7" t="b">
        <v>0</v>
      </c>
      <c r="G126" s="7" t="b">
        <v>1</v>
      </c>
      <c r="H126" s="7" t="b">
        <v>0</v>
      </c>
      <c r="I126" s="7" t="b">
        <v>0</v>
      </c>
      <c r="J126" s="7"/>
      <c r="K126" s="7"/>
      <c r="L126" s="7">
        <v>1200.0</v>
      </c>
      <c r="M126" s="7">
        <v>0.0</v>
      </c>
      <c r="N126" s="7">
        <v>2000.0</v>
      </c>
      <c r="O126" s="7">
        <v>885.0</v>
      </c>
      <c r="P126" s="7"/>
      <c r="Q126" s="7">
        <v>277.8</v>
      </c>
      <c r="R126" s="7"/>
      <c r="S126" s="7"/>
      <c r="T126" s="7"/>
      <c r="U126" s="10">
        <f t="shared" si="1"/>
        <v>1200</v>
      </c>
      <c r="V126" s="10">
        <f t="shared" si="2"/>
        <v>45.12244229</v>
      </c>
      <c r="W126" s="11">
        <f t="shared" si="3"/>
        <v>0.618589639</v>
      </c>
      <c r="X126" s="8">
        <f t="shared" si="158"/>
        <v>547.4518305</v>
      </c>
      <c r="Y126" s="12">
        <f t="shared" si="4"/>
        <v>1.05</v>
      </c>
      <c r="Z126" s="12">
        <f t="shared" si="5"/>
        <v>1122.276253</v>
      </c>
      <c r="AA126" s="12">
        <f t="shared" si="6"/>
        <v>1.26810876</v>
      </c>
      <c r="AB126" s="13">
        <f t="shared" si="7"/>
        <v>0.4562098588</v>
      </c>
      <c r="AC126" s="8">
        <f t="shared" si="159"/>
        <v>547.4518305</v>
      </c>
      <c r="AG126" s="7"/>
    </row>
    <row r="127" ht="15.75" hidden="1" customHeight="1">
      <c r="A127" s="16" t="s">
        <v>968</v>
      </c>
      <c r="B127" s="16" t="s">
        <v>966</v>
      </c>
      <c r="C127" s="16">
        <v>1998.0</v>
      </c>
      <c r="D127" s="16"/>
      <c r="E127" s="16">
        <v>1998.0</v>
      </c>
      <c r="F127" s="16" t="b">
        <v>0</v>
      </c>
      <c r="G127" s="16" t="b">
        <v>1</v>
      </c>
      <c r="H127" s="16" t="b">
        <v>0</v>
      </c>
      <c r="I127" s="16" t="b">
        <v>0</v>
      </c>
      <c r="J127" s="16"/>
      <c r="K127" s="16"/>
      <c r="L127" s="16">
        <v>1200.0</v>
      </c>
      <c r="M127" s="16">
        <v>0.0</v>
      </c>
      <c r="N127" s="16">
        <v>2275.0</v>
      </c>
      <c r="O127" s="16">
        <v>875.0</v>
      </c>
      <c r="P127" s="16"/>
      <c r="Q127" s="16">
        <v>279.8</v>
      </c>
      <c r="R127" s="16"/>
      <c r="S127" s="16"/>
      <c r="T127" s="16"/>
      <c r="U127" s="19">
        <f t="shared" si="1"/>
        <v>1200</v>
      </c>
      <c r="V127" s="19">
        <f t="shared" si="2"/>
        <v>39.21985423</v>
      </c>
      <c r="W127" s="20">
        <f t="shared" si="3"/>
        <v>0.6824668985</v>
      </c>
      <c r="X127" s="17">
        <f t="shared" si="158"/>
        <v>597.1585362</v>
      </c>
      <c r="Y127" s="21">
        <f t="shared" si="4"/>
        <v>1.05</v>
      </c>
      <c r="Z127" s="21">
        <f t="shared" si="5"/>
        <v>1224.174999</v>
      </c>
      <c r="AA127" s="21">
        <f t="shared" si="6"/>
        <v>1.399057142</v>
      </c>
      <c r="AB127" s="22">
        <f t="shared" si="7"/>
        <v>0.4976321135</v>
      </c>
      <c r="AC127" s="17">
        <f t="shared" si="159"/>
        <v>597.1585362</v>
      </c>
      <c r="AG127" s="16"/>
    </row>
    <row r="128" ht="15.75" hidden="1" customHeight="1">
      <c r="A128" s="7" t="s">
        <v>974</v>
      </c>
      <c r="B128" s="7" t="s">
        <v>975</v>
      </c>
      <c r="C128" s="7">
        <v>2002.0</v>
      </c>
      <c r="D128" s="7"/>
      <c r="E128" s="7">
        <v>2002.0</v>
      </c>
      <c r="F128" s="7" t="b">
        <v>0</v>
      </c>
      <c r="G128" s="7" t="b">
        <v>1</v>
      </c>
      <c r="H128" s="7" t="b">
        <v>0</v>
      </c>
      <c r="I128" s="7" t="b">
        <v>0</v>
      </c>
      <c r="J128" s="7"/>
      <c r="K128" s="7"/>
      <c r="L128" s="7">
        <v>1800.0</v>
      </c>
      <c r="M128" s="7">
        <v>0.0</v>
      </c>
      <c r="N128" s="7">
        <f>3380*0.9822</f>
        <v>3319.836</v>
      </c>
      <c r="O128" s="7">
        <v>1248.91</v>
      </c>
      <c r="P128" s="7"/>
      <c r="Q128" s="7">
        <v>274.0</v>
      </c>
      <c r="R128" s="7"/>
      <c r="S128" s="7"/>
      <c r="T128" s="7"/>
      <c r="U128" s="10">
        <f t="shared" si="1"/>
        <v>1800</v>
      </c>
      <c r="V128" s="10">
        <f t="shared" si="2"/>
        <v>38.36134592</v>
      </c>
      <c r="W128" s="11">
        <f t="shared" si="3"/>
        <v>0.6006587888</v>
      </c>
      <c r="X128" s="8">
        <f t="shared" si="158"/>
        <v>750.1687679</v>
      </c>
      <c r="Y128" s="12">
        <f t="shared" si="4"/>
        <v>1.05</v>
      </c>
      <c r="Z128" s="12">
        <f t="shared" si="5"/>
        <v>1537.845974</v>
      </c>
      <c r="AA128" s="12">
        <f t="shared" si="6"/>
        <v>1.231350517</v>
      </c>
      <c r="AB128" s="13">
        <f t="shared" si="7"/>
        <v>0.4167604266</v>
      </c>
      <c r="AC128" s="8">
        <f t="shared" si="159"/>
        <v>750.1687679</v>
      </c>
      <c r="AG128" s="7"/>
    </row>
    <row r="129" ht="15.75" hidden="1" customHeight="1">
      <c r="A129" s="16" t="s">
        <v>976</v>
      </c>
      <c r="B129" s="16" t="s">
        <v>975</v>
      </c>
      <c r="C129" s="16">
        <v>2002.0</v>
      </c>
      <c r="D129" s="16"/>
      <c r="E129" s="16">
        <v>2002.0</v>
      </c>
      <c r="F129" s="16" t="b">
        <v>0</v>
      </c>
      <c r="G129" s="16" t="b">
        <v>1</v>
      </c>
      <c r="H129" s="16" t="b">
        <v>0</v>
      </c>
      <c r="I129" s="16" t="b">
        <v>0</v>
      </c>
      <c r="J129" s="16"/>
      <c r="K129" s="16"/>
      <c r="L129" s="16">
        <v>1800.0</v>
      </c>
      <c r="M129" s="16">
        <v>0.0</v>
      </c>
      <c r="N129" s="16">
        <v>3380.0</v>
      </c>
      <c r="O129" s="16">
        <v>1235.947</v>
      </c>
      <c r="P129" s="16"/>
      <c r="Q129" s="16">
        <v>274.0</v>
      </c>
      <c r="R129" s="16"/>
      <c r="S129" s="16"/>
      <c r="T129" s="16"/>
      <c r="U129" s="19">
        <f t="shared" si="1"/>
        <v>1800</v>
      </c>
      <c r="V129" s="19">
        <f t="shared" si="2"/>
        <v>37.28743167</v>
      </c>
      <c r="W129" s="20">
        <f t="shared" si="3"/>
        <v>0.6139646635</v>
      </c>
      <c r="X129" s="17">
        <f t="shared" si="158"/>
        <v>758.8277839</v>
      </c>
      <c r="Y129" s="21">
        <f t="shared" si="4"/>
        <v>1.05</v>
      </c>
      <c r="Z129" s="21">
        <f t="shared" si="5"/>
        <v>1555.596957</v>
      </c>
      <c r="AA129" s="21">
        <f t="shared" si="6"/>
        <v>1.25862756</v>
      </c>
      <c r="AB129" s="22">
        <f t="shared" si="7"/>
        <v>0.4215709911</v>
      </c>
      <c r="AC129" s="17">
        <f t="shared" si="159"/>
        <v>758.8277839</v>
      </c>
      <c r="AG129" s="16"/>
    </row>
    <row r="130" ht="15.75" hidden="1" customHeight="1">
      <c r="A130" s="7" t="s">
        <v>988</v>
      </c>
      <c r="B130" s="7" t="s">
        <v>988</v>
      </c>
      <c r="C130" s="7">
        <v>2018.0</v>
      </c>
      <c r="D130" s="7"/>
      <c r="E130" s="7">
        <v>2018.0</v>
      </c>
      <c r="F130" s="7" t="b">
        <v>0</v>
      </c>
      <c r="G130" s="7" t="b">
        <v>1</v>
      </c>
      <c r="H130" s="7" t="b">
        <v>0</v>
      </c>
      <c r="I130" s="7" t="b">
        <v>0</v>
      </c>
      <c r="J130" s="7"/>
      <c r="K130" s="7"/>
      <c r="L130" s="7">
        <v>2400.0</v>
      </c>
      <c r="M130" s="7">
        <v>0.0</v>
      </c>
      <c r="N130" s="7">
        <v>5100.0</v>
      </c>
      <c r="O130" s="7">
        <v>1658.0</v>
      </c>
      <c r="P130" s="7"/>
      <c r="Q130" s="7">
        <v>275.0</v>
      </c>
      <c r="R130" s="7"/>
      <c r="S130" s="7"/>
      <c r="T130" s="7"/>
      <c r="U130" s="10">
        <f t="shared" si="1"/>
        <v>2400</v>
      </c>
      <c r="V130" s="10">
        <f t="shared" si="2"/>
        <v>33.15077404</v>
      </c>
      <c r="W130" s="11">
        <f t="shared" si="3"/>
        <v>0.5966631965</v>
      </c>
      <c r="X130" s="8">
        <f t="shared" si="158"/>
        <v>989.2675798</v>
      </c>
      <c r="Y130" s="12">
        <f t="shared" si="4"/>
        <v>1.05</v>
      </c>
      <c r="Z130" s="12">
        <f t="shared" si="5"/>
        <v>2027.998539</v>
      </c>
      <c r="AA130" s="12">
        <f t="shared" si="6"/>
        <v>1.223159553</v>
      </c>
      <c r="AB130" s="13">
        <f t="shared" si="7"/>
        <v>0.4121948249</v>
      </c>
      <c r="AC130" s="8">
        <f t="shared" si="159"/>
        <v>989.2675798</v>
      </c>
      <c r="AG130" s="7"/>
    </row>
    <row r="131" ht="15.75" hidden="1" customHeight="1">
      <c r="A131" s="16" t="s">
        <v>989</v>
      </c>
      <c r="B131" s="16" t="s">
        <v>989</v>
      </c>
      <c r="C131" s="16">
        <v>2020.0</v>
      </c>
      <c r="D131" s="16"/>
      <c r="E131" s="16">
        <v>2020.0</v>
      </c>
      <c r="F131" s="16" t="b">
        <v>0</v>
      </c>
      <c r="G131" s="16" t="b">
        <v>1</v>
      </c>
      <c r="H131" s="16" t="b">
        <v>0</v>
      </c>
      <c r="I131" s="16" t="b">
        <v>0</v>
      </c>
      <c r="J131" s="16"/>
      <c r="K131" s="16"/>
      <c r="L131" s="16">
        <v>2500.0</v>
      </c>
      <c r="M131" s="16">
        <v>0.0</v>
      </c>
      <c r="N131" s="16">
        <v>5400.0</v>
      </c>
      <c r="O131" s="16">
        <v>2026.0</v>
      </c>
      <c r="P131" s="16"/>
      <c r="Q131" s="16">
        <v>275.0</v>
      </c>
      <c r="R131" s="16"/>
      <c r="S131" s="16"/>
      <c r="T131" s="16"/>
      <c r="U131" s="19">
        <f t="shared" si="1"/>
        <v>2500</v>
      </c>
      <c r="V131" s="19">
        <f t="shared" si="2"/>
        <v>38.25824151</v>
      </c>
      <c r="W131" s="20">
        <f t="shared" si="3"/>
        <v>0.5064500352</v>
      </c>
      <c r="X131" s="17">
        <f t="shared" si="158"/>
        <v>1026.067771</v>
      </c>
      <c r="Y131" s="21">
        <f t="shared" si="4"/>
        <v>1.05</v>
      </c>
      <c r="Z131" s="21">
        <f t="shared" si="5"/>
        <v>2103.438931</v>
      </c>
      <c r="AA131" s="21">
        <f t="shared" si="6"/>
        <v>1.038222572</v>
      </c>
      <c r="AB131" s="22">
        <f t="shared" si="7"/>
        <v>0.4104271085</v>
      </c>
      <c r="AC131" s="17">
        <f t="shared" si="159"/>
        <v>1026.067771</v>
      </c>
      <c r="AG131" s="16"/>
    </row>
    <row r="132" ht="15.75" customHeight="1">
      <c r="A132" s="16" t="s">
        <v>282</v>
      </c>
      <c r="B132" s="16" t="s">
        <v>279</v>
      </c>
      <c r="C132" s="16">
        <v>1960.0</v>
      </c>
      <c r="D132" s="16"/>
      <c r="E132" s="16">
        <v>1960.0</v>
      </c>
      <c r="F132" s="16" t="b">
        <v>1</v>
      </c>
      <c r="G132" s="16" t="b">
        <v>0</v>
      </c>
      <c r="H132" s="16" t="b">
        <v>0</v>
      </c>
      <c r="I132" s="16" t="b">
        <v>0</v>
      </c>
      <c r="J132" s="18">
        <v>165.0</v>
      </c>
      <c r="K132" s="16">
        <v>1.0</v>
      </c>
      <c r="L132" s="16">
        <v>300.0</v>
      </c>
      <c r="M132" s="16">
        <v>40.0</v>
      </c>
      <c r="N132" s="16">
        <f>923.56</f>
        <v>923.56</v>
      </c>
      <c r="O132" s="16">
        <v>849.6</v>
      </c>
      <c r="P132" s="18">
        <v>248.3</v>
      </c>
      <c r="Q132" s="16">
        <v>286.2</v>
      </c>
      <c r="R132" s="16">
        <v>3.69</v>
      </c>
      <c r="S132" s="16">
        <v>0.986036</v>
      </c>
      <c r="T132" s="16">
        <v>0.986036</v>
      </c>
      <c r="U132" s="19">
        <f t="shared" si="1"/>
        <v>340</v>
      </c>
      <c r="V132" s="19">
        <f t="shared" si="2"/>
        <v>93.80558838</v>
      </c>
      <c r="W132" s="20">
        <f t="shared" si="3"/>
        <v>0.4819343295</v>
      </c>
      <c r="X132" s="17">
        <f t="shared" ref="X132:X145" si="160">0.2*(8.17*POWER(N132*R132,0.46))+0.8*(0.146*POWER(N132*Q132,0.639))</f>
        <v>409.4514063</v>
      </c>
      <c r="Y132" s="21">
        <f t="shared" si="4"/>
        <v>4</v>
      </c>
      <c r="Z132" s="21">
        <f t="shared" si="5"/>
        <v>2047.257032</v>
      </c>
      <c r="AA132" s="21">
        <f t="shared" si="6"/>
        <v>2.409671647</v>
      </c>
      <c r="AB132" s="22">
        <f t="shared" si="7"/>
        <v>1.204268842</v>
      </c>
      <c r="AC132" s="8">
        <f t="shared" ref="AC132:AC261" si="161">X132*IF(I132,1.5,1)*IF(S132*T132&gt;0,(S132*T132+0.02),1)</f>
        <v>406.2851159</v>
      </c>
      <c r="AD132" s="13">
        <f t="shared" ref="AD132:AD261" si="162">IFERROR(AC132/U132,#N/A)</f>
        <v>1.194956223</v>
      </c>
      <c r="AE132" s="8">
        <f t="shared" ref="AE132:AE261" si="163">IF(I132,1.5,1)*IF(S132*T132&gt;0,(S132*T132+0.02),1)*(0.2*(8.17*POWER(N132*R132,0.46))+0.8*(0.146*POWER(N132*Q132,0.639)))</f>
        <v>406.2851159</v>
      </c>
      <c r="AF132" s="73">
        <f t="shared" ref="AF132:AF261" si="164">If(F132,$AT$2*O132*(1-log(O132)*0.04+1/(O132/80)^0.6),$AT$3*O132*(1+1/(O132/12)^0.9-log(O132)*0.03))</f>
        <v>114.7077988</v>
      </c>
      <c r="AG132" s="74" t="str">
        <f t="shared" ref="AG132:AG261" si="165">If(F132,VLOOKUP(E132,#REF!,2),VLOOKUP(E132,#REF!,3))</f>
        <v>#REF!</v>
      </c>
      <c r="AH132" s="73">
        <f t="shared" ref="AH132:AH261" si="166">If(I132,2,0)</f>
        <v>0</v>
      </c>
      <c r="AI132" s="73">
        <f t="shared" ref="AI132:AI261" si="167">1.5-1.5/K132^0.2</f>
        <v>0</v>
      </c>
      <c r="AJ132" s="75">
        <f t="shared" ref="AJ132:AJ261" si="168">If(P132/Q132 &gt; 0.66,1+2.8*(P132/Q132-0.66)^1.5,1)</f>
        <v>1.264801832</v>
      </c>
      <c r="AK132" s="73">
        <f t="shared" ref="AK132:AK261" si="169">Max(0.8,Pow(V132/5,0.5))/4</f>
        <v>1.082852647</v>
      </c>
      <c r="AL132" s="73">
        <f t="shared" ref="AL132:AL261" si="170">IF(Q132&gt;300,IF(Q132&gt;460.39,7.5*8.5^((Q132/460.4-1)^0.6),6.5^((Q132/150-2)^1.1)),2.8^(Q132/150-2))</f>
        <v>0.9096230588</v>
      </c>
      <c r="AM132" s="73">
        <f t="shared" ref="AM132:AM261" si="171">If(ISBLANK(J132),1,2.6*(1-1/((J132*0.05)^0.26)))</f>
        <v>1.097912191</v>
      </c>
      <c r="AN132" s="75">
        <v>451.42</v>
      </c>
      <c r="AO132" s="76">
        <v>450.0</v>
      </c>
      <c r="AP132" s="73">
        <f t="shared" ref="AP132:AP261" si="172">If(MOD(Log10(AO132),1)&gt;0.2,ROUND(AO132,1-INT(LOG10(AO132))), ROUND(2*AO132,1-INT(LOG10(2*AO132)))/2)</f>
        <v>450</v>
      </c>
      <c r="AQ132" s="29" t="str">
        <f t="shared" ref="AQ132:AQ261" si="173">VLOOKUP(A132,#REF!,27,FALSE)</f>
        <v>#REF!</v>
      </c>
      <c r="AR132" s="77" t="str">
        <f t="shared" ref="AR132:AR261" si="174">AP132/AQ132-1</f>
        <v>#REF!</v>
      </c>
      <c r="AS132" s="73"/>
      <c r="AT132" s="39"/>
    </row>
    <row r="133" ht="15.75" customHeight="1">
      <c r="A133" s="7" t="s">
        <v>333</v>
      </c>
      <c r="B133" s="7" t="s">
        <v>330</v>
      </c>
      <c r="C133" s="7">
        <v>1960.0</v>
      </c>
      <c r="D133" s="7"/>
      <c r="E133" s="7">
        <v>1960.0</v>
      </c>
      <c r="F133" s="7" t="b">
        <v>1</v>
      </c>
      <c r="G133" s="7" t="b">
        <v>0</v>
      </c>
      <c r="H133" s="7" t="b">
        <v>0</v>
      </c>
      <c r="I133" s="7" t="b">
        <v>0</v>
      </c>
      <c r="J133" s="9">
        <v>150.0</v>
      </c>
      <c r="K133" s="7">
        <v>1.0</v>
      </c>
      <c r="L133" s="7">
        <v>300.0</v>
      </c>
      <c r="M133" s="7">
        <v>15.0</v>
      </c>
      <c r="N133" s="7">
        <v>828.0</v>
      </c>
      <c r="O133" s="7">
        <v>831.4</v>
      </c>
      <c r="P133" s="9">
        <v>251.0</v>
      </c>
      <c r="Q133" s="7">
        <v>290.0</v>
      </c>
      <c r="R133" s="7">
        <v>4.04</v>
      </c>
      <c r="S133" s="7">
        <v>0.991189</v>
      </c>
      <c r="T133" s="7">
        <v>0.991189</v>
      </c>
      <c r="U133" s="10">
        <f t="shared" si="1"/>
        <v>315</v>
      </c>
      <c r="V133" s="10">
        <f t="shared" si="2"/>
        <v>102.390345</v>
      </c>
      <c r="W133" s="11">
        <f t="shared" si="3"/>
        <v>0.4673977797</v>
      </c>
      <c r="X133" s="8">
        <f t="shared" si="160"/>
        <v>388.594514</v>
      </c>
      <c r="Y133" s="12">
        <f t="shared" si="4"/>
        <v>4</v>
      </c>
      <c r="Z133" s="12">
        <f t="shared" si="5"/>
        <v>1942.97257</v>
      </c>
      <c r="AA133" s="12">
        <f t="shared" si="6"/>
        <v>2.336988898</v>
      </c>
      <c r="AB133" s="13">
        <f t="shared" si="7"/>
        <v>1.233633378</v>
      </c>
      <c r="AC133" s="8">
        <f t="shared" si="161"/>
        <v>389.5487598</v>
      </c>
      <c r="AD133" s="13">
        <f t="shared" si="162"/>
        <v>1.23666273</v>
      </c>
      <c r="AE133" s="8">
        <f t="shared" si="163"/>
        <v>389.5487598</v>
      </c>
      <c r="AF133" s="73">
        <f t="shared" si="164"/>
        <v>112.6041901</v>
      </c>
      <c r="AG133" s="74" t="str">
        <f t="shared" si="165"/>
        <v>#REF!</v>
      </c>
      <c r="AH133" s="73">
        <f t="shared" si="166"/>
        <v>0</v>
      </c>
      <c r="AI133" s="73">
        <f t="shared" si="167"/>
        <v>0</v>
      </c>
      <c r="AJ133" s="75">
        <f t="shared" si="168"/>
        <v>1.260873776</v>
      </c>
      <c r="AK133" s="73">
        <f t="shared" si="169"/>
        <v>1.131317512</v>
      </c>
      <c r="AL133" s="73">
        <f t="shared" si="170"/>
        <v>0.9336615296</v>
      </c>
      <c r="AM133" s="73">
        <f t="shared" si="171"/>
        <v>1.060224449</v>
      </c>
      <c r="AN133" s="75">
        <v>475.39</v>
      </c>
      <c r="AO133" s="76">
        <v>480.0</v>
      </c>
      <c r="AP133" s="73">
        <f t="shared" si="172"/>
        <v>480</v>
      </c>
      <c r="AQ133" s="29" t="str">
        <f t="shared" si="173"/>
        <v>#REF!</v>
      </c>
      <c r="AR133" s="77" t="str">
        <f t="shared" si="174"/>
        <v>#REF!</v>
      </c>
      <c r="AS133" s="73"/>
      <c r="AT133" s="39"/>
    </row>
    <row r="134" ht="15.75" customHeight="1">
      <c r="A134" s="16" t="s">
        <v>444</v>
      </c>
      <c r="B134" s="16" t="s">
        <v>443</v>
      </c>
      <c r="C134" s="16">
        <v>1960.0</v>
      </c>
      <c r="D134" s="16"/>
      <c r="E134" s="16">
        <v>1960.0</v>
      </c>
      <c r="F134" s="16" t="b">
        <v>1</v>
      </c>
      <c r="G134" s="16" t="b">
        <v>0</v>
      </c>
      <c r="H134" s="16" t="b">
        <v>1</v>
      </c>
      <c r="I134" s="16" t="b">
        <v>0</v>
      </c>
      <c r="J134" s="18">
        <v>440.0</v>
      </c>
      <c r="K134" s="16">
        <v>1.0</v>
      </c>
      <c r="L134" s="16">
        <v>250.0</v>
      </c>
      <c r="M134" s="16">
        <v>20.0</v>
      </c>
      <c r="N134" s="16">
        <v>121.0</v>
      </c>
      <c r="O134" s="16">
        <v>54.5</v>
      </c>
      <c r="P134" s="18">
        <v>163.0</v>
      </c>
      <c r="Q134" s="16">
        <v>323.5</v>
      </c>
      <c r="R134" s="16">
        <v>5.0</v>
      </c>
      <c r="S134" s="16">
        <v>0.998993</v>
      </c>
      <c r="T134" s="16">
        <v>0.993624</v>
      </c>
      <c r="U134" s="19">
        <f t="shared" si="1"/>
        <v>270</v>
      </c>
      <c r="V134" s="19">
        <f t="shared" si="2"/>
        <v>45.92936648</v>
      </c>
      <c r="W134" s="20">
        <f t="shared" si="3"/>
        <v>2.414751007</v>
      </c>
      <c r="X134" s="17">
        <f t="shared" si="160"/>
        <v>131.6039299</v>
      </c>
      <c r="Y134" s="21">
        <f t="shared" si="4"/>
        <v>4</v>
      </c>
      <c r="Z134" s="21">
        <f t="shared" si="5"/>
        <v>658.0196493</v>
      </c>
      <c r="AA134" s="21">
        <f t="shared" si="6"/>
        <v>12.07375503</v>
      </c>
      <c r="AB134" s="22">
        <f t="shared" si="7"/>
        <v>0.4874219624</v>
      </c>
      <c r="AC134" s="8">
        <f t="shared" si="161"/>
        <v>133.2652216</v>
      </c>
      <c r="AD134" s="13">
        <f t="shared" si="162"/>
        <v>0.4935748949</v>
      </c>
      <c r="AE134" s="8">
        <f t="shared" si="163"/>
        <v>133.2652216</v>
      </c>
      <c r="AF134" s="73">
        <f t="shared" si="164"/>
        <v>14.31943592</v>
      </c>
      <c r="AG134" s="74" t="str">
        <f t="shared" si="165"/>
        <v>#REF!</v>
      </c>
      <c r="AH134" s="73">
        <f t="shared" si="166"/>
        <v>0</v>
      </c>
      <c r="AI134" s="73">
        <f t="shared" si="167"/>
        <v>0</v>
      </c>
      <c r="AJ134" s="75">
        <f t="shared" si="168"/>
        <v>1</v>
      </c>
      <c r="AK134" s="73">
        <f t="shared" si="169"/>
        <v>0.7577051412</v>
      </c>
      <c r="AL134" s="73">
        <f t="shared" si="170"/>
        <v>1.275874637</v>
      </c>
      <c r="AM134" s="73">
        <f t="shared" si="171"/>
        <v>1.43602554</v>
      </c>
      <c r="AN134" s="75">
        <v>79.42</v>
      </c>
      <c r="AO134" s="76">
        <v>79.0</v>
      </c>
      <c r="AP134" s="73">
        <f t="shared" si="172"/>
        <v>79</v>
      </c>
      <c r="AQ134" s="29" t="str">
        <f t="shared" si="173"/>
        <v>#REF!</v>
      </c>
      <c r="AR134" s="77" t="str">
        <f t="shared" si="174"/>
        <v>#REF!</v>
      </c>
      <c r="AS134" s="73"/>
      <c r="AT134" s="39"/>
    </row>
    <row r="135" ht="15.75" customHeight="1">
      <c r="A135" s="7" t="s">
        <v>445</v>
      </c>
      <c r="B135" s="7" t="s">
        <v>446</v>
      </c>
      <c r="C135" s="7">
        <v>1960.0</v>
      </c>
      <c r="D135" s="7"/>
      <c r="E135" s="7">
        <v>1960.0</v>
      </c>
      <c r="F135" s="7" t="b">
        <v>1</v>
      </c>
      <c r="G135" s="7" t="b">
        <v>0</v>
      </c>
      <c r="H135" s="7" t="b">
        <v>1</v>
      </c>
      <c r="I135" s="7" t="b">
        <v>0</v>
      </c>
      <c r="J135" s="9">
        <v>250.0</v>
      </c>
      <c r="K135" s="7">
        <v>1.0</v>
      </c>
      <c r="L135" s="7">
        <v>350.0</v>
      </c>
      <c r="M135" s="7">
        <v>0.0</v>
      </c>
      <c r="N135" s="7">
        <v>410.0</v>
      </c>
      <c r="O135" s="7">
        <v>297.9</v>
      </c>
      <c r="P135" s="9">
        <v>194.0</v>
      </c>
      <c r="Q135" s="7">
        <v>326.0</v>
      </c>
      <c r="R135" s="7">
        <v>6.82</v>
      </c>
      <c r="S135" s="7">
        <v>0.996778</v>
      </c>
      <c r="T135" s="7">
        <v>0.988983</v>
      </c>
      <c r="U135" s="10">
        <f t="shared" si="1"/>
        <v>350</v>
      </c>
      <c r="V135" s="10">
        <f t="shared" si="2"/>
        <v>74.09108755</v>
      </c>
      <c r="W135" s="11">
        <f t="shared" si="3"/>
        <v>0.9505690824</v>
      </c>
      <c r="X135" s="8">
        <f t="shared" si="160"/>
        <v>283.1745296</v>
      </c>
      <c r="Y135" s="12">
        <f t="shared" si="4"/>
        <v>4</v>
      </c>
      <c r="Z135" s="12">
        <f t="shared" si="5"/>
        <v>1415.872648</v>
      </c>
      <c r="AA135" s="12">
        <f t="shared" si="6"/>
        <v>4.752845412</v>
      </c>
      <c r="AB135" s="13">
        <f t="shared" si="7"/>
        <v>0.8090700847</v>
      </c>
      <c r="AC135" s="8">
        <f t="shared" si="161"/>
        <v>284.8159499</v>
      </c>
      <c r="AD135" s="13">
        <f t="shared" si="162"/>
        <v>0.8137598568</v>
      </c>
      <c r="AE135" s="8">
        <f t="shared" si="163"/>
        <v>284.8159499</v>
      </c>
      <c r="AF135" s="73">
        <f t="shared" si="164"/>
        <v>48.45317221</v>
      </c>
      <c r="AG135" s="74" t="str">
        <f t="shared" si="165"/>
        <v>#REF!</v>
      </c>
      <c r="AH135" s="73">
        <f t="shared" si="166"/>
        <v>0</v>
      </c>
      <c r="AI135" s="73">
        <f t="shared" si="167"/>
        <v>0</v>
      </c>
      <c r="AJ135" s="75">
        <f t="shared" si="168"/>
        <v>1</v>
      </c>
      <c r="AK135" s="73">
        <f t="shared" si="169"/>
        <v>0.9623609481</v>
      </c>
      <c r="AL135" s="73">
        <f t="shared" si="170"/>
        <v>1.312966516</v>
      </c>
      <c r="AM135" s="73">
        <f t="shared" si="171"/>
        <v>1.251730393</v>
      </c>
      <c r="AN135" s="75">
        <v>253.77</v>
      </c>
      <c r="AO135" s="76">
        <v>250.0</v>
      </c>
      <c r="AP135" s="73">
        <f t="shared" si="172"/>
        <v>250</v>
      </c>
      <c r="AQ135" s="29" t="str">
        <f t="shared" si="173"/>
        <v>#REF!</v>
      </c>
      <c r="AR135" s="77" t="str">
        <f t="shared" si="174"/>
        <v>#REF!</v>
      </c>
      <c r="AS135" s="73"/>
      <c r="AT135" s="39"/>
    </row>
    <row r="136" ht="15.75" customHeight="1">
      <c r="A136" s="16" t="s">
        <v>532</v>
      </c>
      <c r="B136" s="16" t="s">
        <v>1008</v>
      </c>
      <c r="C136" s="16">
        <v>1960.0</v>
      </c>
      <c r="D136" s="16"/>
      <c r="E136" s="16">
        <v>1960.0</v>
      </c>
      <c r="F136" s="16" t="b">
        <v>1</v>
      </c>
      <c r="G136" s="16" t="b">
        <v>0</v>
      </c>
      <c r="H136" s="16" t="b">
        <v>0</v>
      </c>
      <c r="I136" s="16" t="b">
        <v>0</v>
      </c>
      <c r="J136" s="18">
        <v>120.0</v>
      </c>
      <c r="K136" s="16">
        <v>1.0</v>
      </c>
      <c r="L136" s="16">
        <v>470.0</v>
      </c>
      <c r="M136" s="16">
        <v>50.0</v>
      </c>
      <c r="N136" s="16">
        <v>1180.0</v>
      </c>
      <c r="O136" s="16">
        <v>995.37</v>
      </c>
      <c r="P136" s="18">
        <v>256.05</v>
      </c>
      <c r="Q136" s="16">
        <v>313.15</v>
      </c>
      <c r="R136" s="16">
        <v>5.84</v>
      </c>
      <c r="S136" s="16">
        <v>0.999794</v>
      </c>
      <c r="T136" s="16">
        <v>0.999794</v>
      </c>
      <c r="U136" s="19">
        <f t="shared" si="1"/>
        <v>520</v>
      </c>
      <c r="V136" s="19">
        <f t="shared" si="2"/>
        <v>86.01651898</v>
      </c>
      <c r="W136" s="20">
        <f t="shared" si="3"/>
        <v>0.5195090137</v>
      </c>
      <c r="X136" s="17">
        <f t="shared" si="160"/>
        <v>517.1036869</v>
      </c>
      <c r="Y136" s="21">
        <f t="shared" si="4"/>
        <v>4</v>
      </c>
      <c r="Z136" s="21">
        <f t="shared" si="5"/>
        <v>2585.518435</v>
      </c>
      <c r="AA136" s="21">
        <f t="shared" si="6"/>
        <v>2.597545068</v>
      </c>
      <c r="AB136" s="22">
        <f t="shared" si="7"/>
        <v>0.9944301672</v>
      </c>
      <c r="AC136" s="8">
        <f t="shared" si="161"/>
        <v>527.2327359</v>
      </c>
      <c r="AD136" s="13">
        <f t="shared" si="162"/>
        <v>1.013909107</v>
      </c>
      <c r="AE136" s="8">
        <f t="shared" si="163"/>
        <v>527.2327359</v>
      </c>
      <c r="AF136" s="73">
        <f t="shared" si="164"/>
        <v>131.4372576</v>
      </c>
      <c r="AG136" s="74" t="str">
        <f t="shared" si="165"/>
        <v>#REF!</v>
      </c>
      <c r="AH136" s="73">
        <f t="shared" si="166"/>
        <v>0</v>
      </c>
      <c r="AI136" s="73">
        <f t="shared" si="167"/>
        <v>0</v>
      </c>
      <c r="AJ136" s="75">
        <f t="shared" si="168"/>
        <v>1.175281989</v>
      </c>
      <c r="AK136" s="73">
        <f t="shared" si="169"/>
        <v>1.03692164</v>
      </c>
      <c r="AL136" s="73">
        <f t="shared" si="170"/>
        <v>1.137281256</v>
      </c>
      <c r="AM136" s="73">
        <f t="shared" si="171"/>
        <v>0.9682484915</v>
      </c>
      <c r="AN136" s="75">
        <v>683.11</v>
      </c>
      <c r="AO136" s="76">
        <v>680.0</v>
      </c>
      <c r="AP136" s="73">
        <f t="shared" si="172"/>
        <v>680</v>
      </c>
      <c r="AQ136" s="29" t="str">
        <f t="shared" si="173"/>
        <v>#REF!</v>
      </c>
      <c r="AR136" s="77" t="str">
        <f t="shared" si="174"/>
        <v>#REF!</v>
      </c>
      <c r="AS136" s="73"/>
      <c r="AT136" s="39"/>
    </row>
    <row r="137" ht="15.75" customHeight="1">
      <c r="A137" s="16" t="s">
        <v>543</v>
      </c>
      <c r="B137" s="16" t="s">
        <v>1009</v>
      </c>
      <c r="C137" s="16">
        <v>1960.0</v>
      </c>
      <c r="D137" s="16"/>
      <c r="E137" s="16">
        <v>1960.0</v>
      </c>
      <c r="F137" s="16" t="b">
        <v>1</v>
      </c>
      <c r="G137" s="16" t="b">
        <v>0</v>
      </c>
      <c r="H137" s="16" t="b">
        <v>0</v>
      </c>
      <c r="I137" s="16" t="b">
        <v>0</v>
      </c>
      <c r="J137" s="18">
        <v>300.0</v>
      </c>
      <c r="K137" s="16">
        <v>1.0</v>
      </c>
      <c r="L137" s="16">
        <v>450.0</v>
      </c>
      <c r="M137" s="16">
        <v>50.0</v>
      </c>
      <c r="N137" s="16">
        <v>1251.0</v>
      </c>
      <c r="O137" s="16">
        <v>941.47</v>
      </c>
      <c r="P137" s="18">
        <v>248.1</v>
      </c>
      <c r="Q137" s="16">
        <v>315.0</v>
      </c>
      <c r="R137" s="16">
        <v>5.1</v>
      </c>
      <c r="S137" s="16">
        <v>0.999794</v>
      </c>
      <c r="T137" s="16">
        <v>0.999794</v>
      </c>
      <c r="U137" s="19">
        <f t="shared" si="1"/>
        <v>500</v>
      </c>
      <c r="V137" s="19">
        <f t="shared" si="2"/>
        <v>76.74118467</v>
      </c>
      <c r="W137" s="20">
        <f t="shared" si="3"/>
        <v>0.5645275154</v>
      </c>
      <c r="X137" s="17">
        <f t="shared" si="160"/>
        <v>531.4857199</v>
      </c>
      <c r="Y137" s="21">
        <f t="shared" si="4"/>
        <v>4</v>
      </c>
      <c r="Z137" s="21">
        <f t="shared" si="5"/>
        <v>2657.428599</v>
      </c>
      <c r="AA137" s="21">
        <f t="shared" si="6"/>
        <v>2.822637577</v>
      </c>
      <c r="AB137" s="22">
        <f t="shared" si="7"/>
        <v>1.06297144</v>
      </c>
      <c r="AC137" s="8">
        <f t="shared" si="161"/>
        <v>541.8964847</v>
      </c>
      <c r="AD137" s="13">
        <f t="shared" si="162"/>
        <v>1.083792969</v>
      </c>
      <c r="AE137" s="8">
        <f t="shared" si="163"/>
        <v>541.8964847</v>
      </c>
      <c r="AF137" s="73">
        <f t="shared" si="164"/>
        <v>125.2745966</v>
      </c>
      <c r="AG137" s="74" t="str">
        <f t="shared" si="165"/>
        <v>#REF!</v>
      </c>
      <c r="AH137" s="73">
        <f t="shared" si="166"/>
        <v>0</v>
      </c>
      <c r="AI137" s="73">
        <f t="shared" si="167"/>
        <v>0</v>
      </c>
      <c r="AJ137" s="75">
        <f t="shared" si="168"/>
        <v>1.127653075</v>
      </c>
      <c r="AK137" s="73">
        <f t="shared" si="169"/>
        <v>0.9794206494</v>
      </c>
      <c r="AL137" s="73">
        <f t="shared" si="170"/>
        <v>1.160304571</v>
      </c>
      <c r="AM137" s="73">
        <f t="shared" si="171"/>
        <v>1.314152039</v>
      </c>
      <c r="AN137" s="75">
        <v>840.61</v>
      </c>
      <c r="AO137" s="76">
        <v>840.0</v>
      </c>
      <c r="AP137" s="73">
        <f t="shared" si="172"/>
        <v>840</v>
      </c>
      <c r="AQ137" s="29" t="str">
        <f t="shared" si="173"/>
        <v>#REF!</v>
      </c>
      <c r="AR137" s="77" t="str">
        <f t="shared" si="174"/>
        <v>#REF!</v>
      </c>
      <c r="AS137" s="73"/>
      <c r="AT137" s="39"/>
    </row>
    <row r="138" ht="15.75" customHeight="1">
      <c r="A138" s="7" t="s">
        <v>548</v>
      </c>
      <c r="B138" s="7" t="s">
        <v>549</v>
      </c>
      <c r="C138" s="7">
        <v>1960.0</v>
      </c>
      <c r="D138" s="7"/>
      <c r="E138" s="7">
        <v>1960.0</v>
      </c>
      <c r="F138" s="7" t="b">
        <v>1</v>
      </c>
      <c r="G138" s="7" t="b">
        <v>0</v>
      </c>
      <c r="H138" s="7" t="b">
        <v>1</v>
      </c>
      <c r="I138" s="7" t="b">
        <v>0</v>
      </c>
      <c r="J138" s="9">
        <v>330.0</v>
      </c>
      <c r="K138" s="7">
        <v>1.0</v>
      </c>
      <c r="L138" s="7">
        <v>300.0</v>
      </c>
      <c r="M138" s="7">
        <v>0.0</v>
      </c>
      <c r="N138" s="7">
        <v>210.0</v>
      </c>
      <c r="O138" s="7">
        <v>101.6</v>
      </c>
      <c r="P138" s="9">
        <v>224.0</v>
      </c>
      <c r="Q138" s="7">
        <v>334.0</v>
      </c>
      <c r="R138" s="7">
        <v>7.75</v>
      </c>
      <c r="S138" s="7">
        <v>0.99</v>
      </c>
      <c r="T138" s="7">
        <v>0.95</v>
      </c>
      <c r="U138" s="10">
        <f t="shared" si="1"/>
        <v>300</v>
      </c>
      <c r="V138" s="10">
        <f t="shared" si="2"/>
        <v>49.3348414</v>
      </c>
      <c r="W138" s="11">
        <f t="shared" si="3"/>
        <v>1.918568837</v>
      </c>
      <c r="X138" s="8">
        <f t="shared" si="160"/>
        <v>194.9265938</v>
      </c>
      <c r="Y138" s="12">
        <f t="shared" si="4"/>
        <v>4</v>
      </c>
      <c r="Z138" s="12">
        <f t="shared" si="5"/>
        <v>974.632969</v>
      </c>
      <c r="AA138" s="12">
        <f t="shared" si="6"/>
        <v>9.592844183</v>
      </c>
      <c r="AB138" s="13">
        <f t="shared" si="7"/>
        <v>0.6497553127</v>
      </c>
      <c r="AC138" s="8">
        <f t="shared" si="161"/>
        <v>187.2269934</v>
      </c>
      <c r="AD138" s="13">
        <f t="shared" si="162"/>
        <v>0.6240899778</v>
      </c>
      <c r="AE138" s="8">
        <f t="shared" si="163"/>
        <v>187.2269934</v>
      </c>
      <c r="AF138" s="73">
        <f t="shared" si="164"/>
        <v>21.77641043</v>
      </c>
      <c r="AG138" s="74" t="str">
        <f t="shared" si="165"/>
        <v>#REF!</v>
      </c>
      <c r="AH138" s="73">
        <f t="shared" si="166"/>
        <v>0</v>
      </c>
      <c r="AI138" s="73">
        <f t="shared" si="167"/>
        <v>0</v>
      </c>
      <c r="AJ138" s="75">
        <f t="shared" si="168"/>
        <v>1.003081153</v>
      </c>
      <c r="AK138" s="73">
        <f t="shared" si="169"/>
        <v>0.7852932685</v>
      </c>
      <c r="AL138" s="73">
        <f t="shared" si="170"/>
        <v>1.441597272</v>
      </c>
      <c r="AM138" s="73">
        <f t="shared" si="171"/>
        <v>1.345624617</v>
      </c>
      <c r="AN138" s="75">
        <v>98.24</v>
      </c>
      <c r="AO138" s="76">
        <v>98.0</v>
      </c>
      <c r="AP138" s="73">
        <f t="shared" si="172"/>
        <v>98</v>
      </c>
      <c r="AQ138" s="29" t="str">
        <f t="shared" si="173"/>
        <v>#REF!</v>
      </c>
      <c r="AR138" s="77" t="str">
        <f t="shared" si="174"/>
        <v>#REF!</v>
      </c>
      <c r="AS138" s="73"/>
      <c r="AT138" s="39"/>
    </row>
    <row r="139" ht="15.75" customHeight="1">
      <c r="A139" s="16" t="s">
        <v>577</v>
      </c>
      <c r="B139" s="16" t="s">
        <v>573</v>
      </c>
      <c r="C139" s="16">
        <v>1960.0</v>
      </c>
      <c r="D139" s="16"/>
      <c r="E139" s="16">
        <v>1960.0</v>
      </c>
      <c r="F139" s="16" t="b">
        <v>1</v>
      </c>
      <c r="G139" s="16" t="b">
        <v>0</v>
      </c>
      <c r="H139" s="16" t="b">
        <v>0</v>
      </c>
      <c r="I139" s="16" t="b">
        <v>0</v>
      </c>
      <c r="J139" s="18">
        <v>140.0</v>
      </c>
      <c r="K139" s="16">
        <v>1.0</v>
      </c>
      <c r="L139" s="16">
        <v>200.0</v>
      </c>
      <c r="M139" s="16">
        <v>20.0</v>
      </c>
      <c r="N139" s="16">
        <v>622.0</v>
      </c>
      <c r="O139" s="16">
        <v>730.6</v>
      </c>
      <c r="P139" s="18">
        <v>230.0</v>
      </c>
      <c r="Q139" s="16">
        <v>264.0</v>
      </c>
      <c r="R139" s="16">
        <v>4.36</v>
      </c>
      <c r="S139" s="16">
        <v>0.988253</v>
      </c>
      <c r="T139" s="16">
        <v>0.988253</v>
      </c>
      <c r="U139" s="19">
        <f t="shared" si="1"/>
        <v>220</v>
      </c>
      <c r="V139" s="19">
        <f t="shared" si="2"/>
        <v>119.7756693</v>
      </c>
      <c r="W139" s="20">
        <f t="shared" si="3"/>
        <v>0.4287691705</v>
      </c>
      <c r="X139" s="17">
        <f t="shared" si="160"/>
        <v>313.258756</v>
      </c>
      <c r="Y139" s="21">
        <f t="shared" si="4"/>
        <v>4</v>
      </c>
      <c r="Z139" s="21">
        <f t="shared" si="5"/>
        <v>1566.29378</v>
      </c>
      <c r="AA139" s="21">
        <f t="shared" si="6"/>
        <v>2.143845853</v>
      </c>
      <c r="AB139" s="22">
        <f t="shared" si="7"/>
        <v>1.423903436</v>
      </c>
      <c r="AC139" s="8">
        <f t="shared" si="161"/>
        <v>312.2074571</v>
      </c>
      <c r="AD139" s="13">
        <f t="shared" si="162"/>
        <v>1.419124805</v>
      </c>
      <c r="AE139" s="8">
        <f t="shared" si="163"/>
        <v>312.2074571</v>
      </c>
      <c r="AF139" s="73">
        <f t="shared" si="164"/>
        <v>100.8839244</v>
      </c>
      <c r="AG139" s="74" t="str">
        <f t="shared" si="165"/>
        <v>#REF!</v>
      </c>
      <c r="AH139" s="73">
        <f t="shared" si="166"/>
        <v>0</v>
      </c>
      <c r="AI139" s="73">
        <f t="shared" si="167"/>
        <v>0</v>
      </c>
      <c r="AJ139" s="75">
        <f t="shared" si="168"/>
        <v>1.271791762</v>
      </c>
      <c r="AK139" s="73">
        <f t="shared" si="169"/>
        <v>1.223599553</v>
      </c>
      <c r="AL139" s="73">
        <f t="shared" si="170"/>
        <v>0.7810558193</v>
      </c>
      <c r="AM139" s="73">
        <f t="shared" si="171"/>
        <v>1.032354509</v>
      </c>
      <c r="AN139" s="75">
        <v>352.42</v>
      </c>
      <c r="AO139" s="76">
        <v>350.0</v>
      </c>
      <c r="AP139" s="73">
        <f t="shared" si="172"/>
        <v>350</v>
      </c>
      <c r="AQ139" s="29" t="str">
        <f t="shared" si="173"/>
        <v>#REF!</v>
      </c>
      <c r="AR139" s="77" t="str">
        <f t="shared" si="174"/>
        <v>#REF!</v>
      </c>
      <c r="AS139" s="73"/>
      <c r="AT139" s="39"/>
    </row>
    <row r="140" ht="15.75" customHeight="1">
      <c r="A140" s="7" t="s">
        <v>578</v>
      </c>
      <c r="B140" s="7" t="s">
        <v>579</v>
      </c>
      <c r="C140" s="7">
        <v>1960.0</v>
      </c>
      <c r="D140" s="7"/>
      <c r="E140" s="7">
        <v>1960.0</v>
      </c>
      <c r="F140" s="7" t="b">
        <v>1</v>
      </c>
      <c r="G140" s="7" t="b">
        <v>0</v>
      </c>
      <c r="H140" s="7" t="b">
        <v>0</v>
      </c>
      <c r="I140" s="7" t="b">
        <v>0</v>
      </c>
      <c r="J140" s="9">
        <v>146.0</v>
      </c>
      <c r="K140" s="7">
        <v>1.0</v>
      </c>
      <c r="L140" s="7">
        <v>330.0</v>
      </c>
      <c r="M140" s="7">
        <v>0.0</v>
      </c>
      <c r="N140" s="7">
        <v>675.0</v>
      </c>
      <c r="O140" s="7">
        <v>869.9</v>
      </c>
      <c r="P140" s="9">
        <v>246.0</v>
      </c>
      <c r="Q140" s="7">
        <v>289.0</v>
      </c>
      <c r="R140" s="7">
        <v>7.35</v>
      </c>
      <c r="S140" s="7">
        <v>0.994828</v>
      </c>
      <c r="T140" s="7">
        <v>0.994828</v>
      </c>
      <c r="U140" s="10">
        <f t="shared" si="1"/>
        <v>330</v>
      </c>
      <c r="V140" s="10">
        <f t="shared" si="2"/>
        <v>131.4149824</v>
      </c>
      <c r="W140" s="11">
        <f t="shared" si="3"/>
        <v>0.4165486112</v>
      </c>
      <c r="X140" s="8">
        <f t="shared" si="160"/>
        <v>362.3556369</v>
      </c>
      <c r="Y140" s="12">
        <f t="shared" si="4"/>
        <v>4</v>
      </c>
      <c r="Z140" s="12">
        <f t="shared" si="5"/>
        <v>1811.778184</v>
      </c>
      <c r="AA140" s="12">
        <f t="shared" si="6"/>
        <v>2.082743056</v>
      </c>
      <c r="AB140" s="13">
        <f t="shared" si="7"/>
        <v>1.098047384</v>
      </c>
      <c r="AC140" s="8">
        <f t="shared" si="161"/>
        <v>365.8642358</v>
      </c>
      <c r="AD140" s="13">
        <f t="shared" si="162"/>
        <v>1.108679502</v>
      </c>
      <c r="AE140" s="8">
        <f t="shared" si="163"/>
        <v>365.8642358</v>
      </c>
      <c r="AF140" s="73">
        <f t="shared" si="164"/>
        <v>117.0499678</v>
      </c>
      <c r="AG140" s="74" t="str">
        <f t="shared" si="165"/>
        <v>#REF!</v>
      </c>
      <c r="AH140" s="73">
        <f t="shared" si="166"/>
        <v>0</v>
      </c>
      <c r="AI140" s="73">
        <f t="shared" si="167"/>
        <v>0</v>
      </c>
      <c r="AJ140" s="75">
        <f t="shared" si="168"/>
        <v>1.234114109</v>
      </c>
      <c r="AK140" s="73">
        <f t="shared" si="169"/>
        <v>1.281673625</v>
      </c>
      <c r="AL140" s="73">
        <f t="shared" si="170"/>
        <v>0.9272747011</v>
      </c>
      <c r="AM140" s="73">
        <f t="shared" si="171"/>
        <v>1.049365636</v>
      </c>
      <c r="AN140" s="75">
        <v>537.11</v>
      </c>
      <c r="AO140" s="76">
        <v>540.0</v>
      </c>
      <c r="AP140" s="73">
        <f t="shared" si="172"/>
        <v>540</v>
      </c>
      <c r="AQ140" s="29" t="str">
        <f t="shared" si="173"/>
        <v>#REF!</v>
      </c>
      <c r="AR140" s="77" t="str">
        <f t="shared" si="174"/>
        <v>#REF!</v>
      </c>
      <c r="AS140" s="73"/>
      <c r="AT140" s="39"/>
    </row>
    <row r="141" ht="15.75" customHeight="1">
      <c r="A141" s="7" t="s">
        <v>724</v>
      </c>
      <c r="B141" s="7" t="s">
        <v>1011</v>
      </c>
      <c r="C141" s="7">
        <v>1960.0</v>
      </c>
      <c r="D141" s="7"/>
      <c r="E141" s="7">
        <v>1960.0</v>
      </c>
      <c r="F141" s="7" t="b">
        <v>1</v>
      </c>
      <c r="G141" s="7" t="b">
        <v>0</v>
      </c>
      <c r="H141" s="7" t="b">
        <v>0</v>
      </c>
      <c r="I141" s="7" t="b">
        <v>0</v>
      </c>
      <c r="J141" s="9">
        <v>156.0</v>
      </c>
      <c r="K141" s="7">
        <v>1.0</v>
      </c>
      <c r="L141" s="7">
        <v>280.0</v>
      </c>
      <c r="M141" s="7">
        <v>-15.0</v>
      </c>
      <c r="N141" s="7">
        <v>945.3</v>
      </c>
      <c r="O141" s="7">
        <v>791.2</v>
      </c>
      <c r="P141" s="9">
        <v>249.0</v>
      </c>
      <c r="Q141" s="7">
        <v>284.0</v>
      </c>
      <c r="R141" s="7">
        <v>3.96</v>
      </c>
      <c r="S141" s="7">
        <v>0.988462</v>
      </c>
      <c r="T141" s="7">
        <v>0.988462</v>
      </c>
      <c r="U141" s="10">
        <f t="shared" si="1"/>
        <v>265</v>
      </c>
      <c r="V141" s="10">
        <f t="shared" si="2"/>
        <v>85.34851003</v>
      </c>
      <c r="W141" s="11">
        <f t="shared" si="3"/>
        <v>0.5256480915</v>
      </c>
      <c r="X141" s="8">
        <f t="shared" si="160"/>
        <v>415.89277</v>
      </c>
      <c r="Y141" s="12">
        <f t="shared" si="4"/>
        <v>4</v>
      </c>
      <c r="Z141" s="12">
        <f t="shared" si="5"/>
        <v>2079.46385</v>
      </c>
      <c r="AA141" s="12">
        <f t="shared" si="6"/>
        <v>2.628240457</v>
      </c>
      <c r="AB141" s="13">
        <f t="shared" si="7"/>
        <v>1.569406679</v>
      </c>
      <c r="AC141" s="8">
        <f t="shared" si="161"/>
        <v>414.6688497</v>
      </c>
      <c r="AD141" s="13">
        <f t="shared" si="162"/>
        <v>1.564788112</v>
      </c>
      <c r="AE141" s="8">
        <f t="shared" si="163"/>
        <v>414.6688497</v>
      </c>
      <c r="AF141" s="73">
        <f t="shared" si="164"/>
        <v>107.9446598</v>
      </c>
      <c r="AG141" s="74" t="str">
        <f t="shared" si="165"/>
        <v>#REF!</v>
      </c>
      <c r="AH141" s="73">
        <f t="shared" si="166"/>
        <v>0</v>
      </c>
      <c r="AI141" s="73">
        <f t="shared" si="167"/>
        <v>0</v>
      </c>
      <c r="AJ141" s="75">
        <f t="shared" si="168"/>
        <v>1.282571553</v>
      </c>
      <c r="AK141" s="73">
        <f t="shared" si="169"/>
        <v>1.032887397</v>
      </c>
      <c r="AL141" s="73">
        <f t="shared" si="170"/>
        <v>0.8959899602</v>
      </c>
      <c r="AM141" s="73">
        <f t="shared" si="171"/>
        <v>1.075846347</v>
      </c>
      <c r="AN141" s="75">
        <v>416.61</v>
      </c>
      <c r="AO141" s="76">
        <v>420.0</v>
      </c>
      <c r="AP141" s="73">
        <f t="shared" si="172"/>
        <v>420</v>
      </c>
      <c r="AQ141" s="29" t="str">
        <f t="shared" si="173"/>
        <v>#REF!</v>
      </c>
      <c r="AR141" s="77" t="str">
        <f t="shared" si="174"/>
        <v>#REF!</v>
      </c>
      <c r="AS141" s="73"/>
      <c r="AT141" s="39"/>
    </row>
    <row r="142" ht="15.75" customHeight="1">
      <c r="A142" s="16" t="s">
        <v>821</v>
      </c>
      <c r="B142" s="16" t="s">
        <v>820</v>
      </c>
      <c r="C142" s="16">
        <v>1960.0</v>
      </c>
      <c r="D142" s="16"/>
      <c r="E142" s="16">
        <v>1960.0</v>
      </c>
      <c r="F142" s="16" t="b">
        <v>1</v>
      </c>
      <c r="G142" s="16" t="b">
        <v>0</v>
      </c>
      <c r="H142" s="16" t="b">
        <v>1</v>
      </c>
      <c r="I142" s="16" t="b">
        <v>0</v>
      </c>
      <c r="J142" s="18">
        <v>245.0</v>
      </c>
      <c r="K142" s="16">
        <v>1.0</v>
      </c>
      <c r="L142" s="16">
        <v>400.0</v>
      </c>
      <c r="M142" s="16">
        <v>100.0</v>
      </c>
      <c r="N142" s="16">
        <v>217.0</v>
      </c>
      <c r="O142" s="16">
        <v>156.3</v>
      </c>
      <c r="P142" s="18">
        <v>213.03</v>
      </c>
      <c r="Q142" s="18">
        <v>318.68</v>
      </c>
      <c r="R142" s="16">
        <v>4.2</v>
      </c>
      <c r="S142" s="16">
        <v>0.95</v>
      </c>
      <c r="T142" s="16">
        <v>0.97</v>
      </c>
      <c r="U142" s="19">
        <f t="shared" si="1"/>
        <v>500</v>
      </c>
      <c r="V142" s="19">
        <f t="shared" si="2"/>
        <v>73.44776204</v>
      </c>
      <c r="W142" s="20">
        <f t="shared" si="3"/>
        <v>1.165268141</v>
      </c>
      <c r="X142" s="17">
        <f t="shared" si="160"/>
        <v>182.1314104</v>
      </c>
      <c r="Y142" s="21">
        <f t="shared" si="4"/>
        <v>4</v>
      </c>
      <c r="Z142" s="21">
        <f t="shared" si="5"/>
        <v>910.6570521</v>
      </c>
      <c r="AA142" s="21">
        <f t="shared" si="6"/>
        <v>5.826340704</v>
      </c>
      <c r="AB142" s="22">
        <f t="shared" si="7"/>
        <v>0.3642628208</v>
      </c>
      <c r="AC142" s="8">
        <f t="shared" si="161"/>
        <v>171.4767229</v>
      </c>
      <c r="AD142" s="13">
        <f t="shared" si="162"/>
        <v>0.3429534458</v>
      </c>
      <c r="AE142" s="8">
        <f t="shared" si="163"/>
        <v>171.4767229</v>
      </c>
      <c r="AF142" s="73">
        <f t="shared" si="164"/>
        <v>29.6592848</v>
      </c>
      <c r="AG142" s="74" t="str">
        <f t="shared" si="165"/>
        <v>#REF!</v>
      </c>
      <c r="AH142" s="73">
        <f t="shared" si="166"/>
        <v>0</v>
      </c>
      <c r="AI142" s="73">
        <f t="shared" si="167"/>
        <v>0</v>
      </c>
      <c r="AJ142" s="75">
        <f t="shared" si="168"/>
        <v>1.002185048</v>
      </c>
      <c r="AK142" s="73">
        <f t="shared" si="169"/>
        <v>0.9581737971</v>
      </c>
      <c r="AL142" s="73">
        <f t="shared" si="170"/>
        <v>1.208363134</v>
      </c>
      <c r="AM142" s="73">
        <f t="shared" si="171"/>
        <v>1.2446297</v>
      </c>
      <c r="AN142" s="75">
        <v>105.75</v>
      </c>
      <c r="AO142" s="76">
        <v>105.0</v>
      </c>
      <c r="AP142" s="73">
        <f t="shared" si="172"/>
        <v>105</v>
      </c>
      <c r="AQ142" s="29" t="str">
        <f t="shared" si="173"/>
        <v>#REF!</v>
      </c>
      <c r="AR142" s="77" t="str">
        <f t="shared" si="174"/>
        <v>#REF!</v>
      </c>
      <c r="AS142" s="73"/>
      <c r="AT142" s="39"/>
    </row>
    <row r="143" ht="15.75" customHeight="1">
      <c r="A143" s="16" t="s">
        <v>144</v>
      </c>
      <c r="B143" s="16" t="s">
        <v>145</v>
      </c>
      <c r="C143" s="16">
        <v>1961.0</v>
      </c>
      <c r="D143" s="16"/>
      <c r="E143" s="16">
        <v>1961.0</v>
      </c>
      <c r="F143" s="16" t="b">
        <v>0</v>
      </c>
      <c r="G143" s="16" t="b">
        <v>0</v>
      </c>
      <c r="H143" s="16" t="b">
        <v>1</v>
      </c>
      <c r="I143" s="16" t="b">
        <v>0</v>
      </c>
      <c r="J143" s="18">
        <v>375.0</v>
      </c>
      <c r="K143" s="18">
        <v>999.0</v>
      </c>
      <c r="L143" s="16">
        <v>300.0</v>
      </c>
      <c r="M143" s="16">
        <v>0.0</v>
      </c>
      <c r="N143" s="16">
        <v>172.0</v>
      </c>
      <c r="O143" s="16">
        <v>53.38</v>
      </c>
      <c r="P143" s="18">
        <v>127.0</v>
      </c>
      <c r="Q143" s="16">
        <v>357.0</v>
      </c>
      <c r="R143" s="16">
        <v>1.03</v>
      </c>
      <c r="S143" s="16">
        <v>0.98</v>
      </c>
      <c r="T143" s="16">
        <v>0.98</v>
      </c>
      <c r="U143" s="19">
        <f t="shared" si="1"/>
        <v>300</v>
      </c>
      <c r="V143" s="19">
        <f t="shared" si="2"/>
        <v>31.64677401</v>
      </c>
      <c r="W143" s="20">
        <f t="shared" si="3"/>
        <v>2.841502619</v>
      </c>
      <c r="X143" s="17">
        <f t="shared" si="160"/>
        <v>151.6794098</v>
      </c>
      <c r="Y143" s="21">
        <f t="shared" si="4"/>
        <v>1.75</v>
      </c>
      <c r="Z143" s="21">
        <f t="shared" si="5"/>
        <v>417.1183769</v>
      </c>
      <c r="AA143" s="21">
        <f t="shared" si="6"/>
        <v>7.814132202</v>
      </c>
      <c r="AB143" s="22">
        <f t="shared" si="7"/>
        <v>0.5055980326</v>
      </c>
      <c r="AC143" s="8">
        <f t="shared" si="161"/>
        <v>148.7064934</v>
      </c>
      <c r="AD143" s="13">
        <f t="shared" si="162"/>
        <v>0.4956883112</v>
      </c>
      <c r="AE143" s="8">
        <f t="shared" si="163"/>
        <v>148.7064934</v>
      </c>
      <c r="AF143" s="73">
        <f t="shared" si="164"/>
        <v>14.19998258</v>
      </c>
      <c r="AG143" s="74" t="str">
        <f t="shared" si="165"/>
        <v>#REF!</v>
      </c>
      <c r="AH143" s="73">
        <f t="shared" si="166"/>
        <v>0</v>
      </c>
      <c r="AI143" s="73">
        <f t="shared" si="167"/>
        <v>1.123141633</v>
      </c>
      <c r="AJ143" s="75">
        <f t="shared" si="168"/>
        <v>1</v>
      </c>
      <c r="AK143" s="73">
        <f t="shared" si="169"/>
        <v>0.628955225</v>
      </c>
      <c r="AL143" s="73">
        <f t="shared" si="170"/>
        <v>1.9072965</v>
      </c>
      <c r="AM143" s="73">
        <f t="shared" si="171"/>
        <v>1.386630659</v>
      </c>
      <c r="AN143" s="75">
        <v>138.73</v>
      </c>
      <c r="AO143" s="76">
        <v>140.0</v>
      </c>
      <c r="AP143" s="73">
        <f t="shared" si="172"/>
        <v>140</v>
      </c>
      <c r="AQ143" s="29" t="str">
        <f t="shared" si="173"/>
        <v>#REF!</v>
      </c>
      <c r="AR143" s="77" t="str">
        <f t="shared" si="174"/>
        <v>#REF!</v>
      </c>
      <c r="AS143" s="73"/>
      <c r="AT143" s="39"/>
    </row>
    <row r="144" ht="15.75" customHeight="1">
      <c r="A144" s="16" t="s">
        <v>1013</v>
      </c>
      <c r="B144" s="16" t="s">
        <v>1014</v>
      </c>
      <c r="C144" s="16">
        <v>1961.0</v>
      </c>
      <c r="D144" s="16"/>
      <c r="E144" s="16">
        <v>1961.0</v>
      </c>
      <c r="F144" s="16" t="b">
        <v>0</v>
      </c>
      <c r="G144" s="16" t="b">
        <v>0</v>
      </c>
      <c r="H144" s="16" t="b">
        <v>1</v>
      </c>
      <c r="I144" s="16" t="b">
        <v>0</v>
      </c>
      <c r="J144" s="18">
        <v>107.0</v>
      </c>
      <c r="K144" s="18">
        <v>3.0</v>
      </c>
      <c r="L144" s="16">
        <v>60.0</v>
      </c>
      <c r="M144" s="16">
        <v>0.0</v>
      </c>
      <c r="N144" s="16">
        <v>15.7</v>
      </c>
      <c r="O144" s="16">
        <v>1.96</v>
      </c>
      <c r="P144" s="18">
        <v>107.0</v>
      </c>
      <c r="Q144" s="16">
        <v>272.0</v>
      </c>
      <c r="R144" s="16">
        <v>1.18</v>
      </c>
      <c r="S144" s="16">
        <v>0.996875</v>
      </c>
      <c r="T144" s="16">
        <v>0.996341</v>
      </c>
      <c r="U144" s="19">
        <f t="shared" si="1"/>
        <v>60</v>
      </c>
      <c r="V144" s="19">
        <f t="shared" si="2"/>
        <v>12.73021511</v>
      </c>
      <c r="W144" s="20">
        <f t="shared" si="3"/>
        <v>15.63958424</v>
      </c>
      <c r="X144" s="17">
        <f t="shared" si="160"/>
        <v>30.65358511</v>
      </c>
      <c r="Y144" s="21">
        <f t="shared" si="4"/>
        <v>1.75</v>
      </c>
      <c r="Z144" s="21">
        <f t="shared" si="5"/>
        <v>84.29735906</v>
      </c>
      <c r="AA144" s="21">
        <f t="shared" si="6"/>
        <v>43.00885666</v>
      </c>
      <c r="AB144" s="22">
        <f t="shared" si="7"/>
        <v>0.5108930852</v>
      </c>
      <c r="AC144" s="8">
        <f t="shared" si="161"/>
        <v>31.0590534</v>
      </c>
      <c r="AD144" s="13">
        <f t="shared" si="162"/>
        <v>0.51765089</v>
      </c>
      <c r="AE144" s="8">
        <f t="shared" si="163"/>
        <v>31.0590534</v>
      </c>
      <c r="AF144" s="73">
        <f t="shared" si="164"/>
        <v>2.629896515</v>
      </c>
      <c r="AG144" s="74" t="str">
        <f t="shared" si="165"/>
        <v>#REF!</v>
      </c>
      <c r="AH144" s="73">
        <f t="shared" si="166"/>
        <v>0</v>
      </c>
      <c r="AI144" s="73">
        <f t="shared" si="167"/>
        <v>0.2958876574</v>
      </c>
      <c r="AJ144" s="75">
        <f t="shared" si="168"/>
        <v>1</v>
      </c>
      <c r="AK144" s="73">
        <f t="shared" si="169"/>
        <v>0.3989081208</v>
      </c>
      <c r="AL144" s="73">
        <f t="shared" si="170"/>
        <v>0.825145434</v>
      </c>
      <c r="AM144" s="73">
        <f t="shared" si="171"/>
        <v>0.9188697431</v>
      </c>
      <c r="AN144" s="75">
        <v>5.6</v>
      </c>
      <c r="AO144" s="76">
        <v>5.6</v>
      </c>
      <c r="AP144" s="73">
        <f t="shared" si="172"/>
        <v>5.6</v>
      </c>
      <c r="AQ144" s="29" t="str">
        <f t="shared" si="173"/>
        <v>#REF!</v>
      </c>
      <c r="AR144" s="77" t="str">
        <f t="shared" si="174"/>
        <v>#REF!</v>
      </c>
      <c r="AS144" s="73"/>
      <c r="AT144" s="39"/>
    </row>
    <row r="145" ht="15.75" customHeight="1">
      <c r="A145" s="7" t="s">
        <v>437</v>
      </c>
      <c r="B145" s="7" t="s">
        <v>438</v>
      </c>
      <c r="C145" s="7">
        <v>1961.0</v>
      </c>
      <c r="D145" s="7"/>
      <c r="E145" s="7">
        <v>1961.0</v>
      </c>
      <c r="F145" s="7" t="b">
        <v>0</v>
      </c>
      <c r="G145" s="7" t="b">
        <v>0</v>
      </c>
      <c r="H145" s="7" t="b">
        <v>1</v>
      </c>
      <c r="I145" s="7" t="b">
        <v>0</v>
      </c>
      <c r="J145" s="9">
        <v>57.0</v>
      </c>
      <c r="K145" s="9">
        <v>2.0</v>
      </c>
      <c r="L145" s="7">
        <v>30.0</v>
      </c>
      <c r="M145" s="7">
        <v>0.0</v>
      </c>
      <c r="N145" s="7">
        <v>9.8</v>
      </c>
      <c r="O145" s="7">
        <v>0.225</v>
      </c>
      <c r="P145" s="9">
        <v>49.0</v>
      </c>
      <c r="Q145" s="7">
        <v>234.97</v>
      </c>
      <c r="R145" s="7">
        <v>1.31</v>
      </c>
      <c r="S145" s="7">
        <v>0.999048</v>
      </c>
      <c r="T145" s="7">
        <v>0.999048</v>
      </c>
      <c r="U145" s="10">
        <f t="shared" si="1"/>
        <v>30</v>
      </c>
      <c r="V145" s="10">
        <f t="shared" si="2"/>
        <v>2.341185176</v>
      </c>
      <c r="W145" s="11">
        <f t="shared" si="3"/>
        <v>96.56374465</v>
      </c>
      <c r="X145" s="8">
        <f t="shared" si="160"/>
        <v>21.72684255</v>
      </c>
      <c r="Y145" s="12">
        <f t="shared" si="4"/>
        <v>1.75</v>
      </c>
      <c r="Z145" s="12">
        <f t="shared" si="5"/>
        <v>59.748817</v>
      </c>
      <c r="AA145" s="12">
        <f t="shared" si="6"/>
        <v>265.5502978</v>
      </c>
      <c r="AB145" s="13">
        <f t="shared" si="7"/>
        <v>0.7242280849</v>
      </c>
      <c r="AC145" s="8">
        <f t="shared" si="161"/>
        <v>22.12003118</v>
      </c>
      <c r="AD145" s="13">
        <f t="shared" si="162"/>
        <v>0.7373343727</v>
      </c>
      <c r="AE145" s="8">
        <f t="shared" si="163"/>
        <v>22.12003118</v>
      </c>
      <c r="AF145" s="73">
        <f t="shared" si="164"/>
        <v>1.824259573</v>
      </c>
      <c r="AG145" s="74" t="str">
        <f t="shared" si="165"/>
        <v>#REF!</v>
      </c>
      <c r="AH145" s="73">
        <f t="shared" si="166"/>
        <v>0</v>
      </c>
      <c r="AI145" s="73">
        <f t="shared" si="167"/>
        <v>0.1941741551</v>
      </c>
      <c r="AJ145" s="75">
        <f t="shared" si="168"/>
        <v>1</v>
      </c>
      <c r="AK145" s="73">
        <f t="shared" si="169"/>
        <v>0.2</v>
      </c>
      <c r="AL145" s="73">
        <f t="shared" si="170"/>
        <v>0.6399441718</v>
      </c>
      <c r="AM145" s="73">
        <f t="shared" si="171"/>
        <v>0.6197788973</v>
      </c>
      <c r="AN145" s="75">
        <v>1.81</v>
      </c>
      <c r="AO145" s="76">
        <v>1.8</v>
      </c>
      <c r="AP145" s="73">
        <f t="shared" si="172"/>
        <v>1.8</v>
      </c>
      <c r="AQ145" s="29" t="str">
        <f t="shared" si="173"/>
        <v>#REF!</v>
      </c>
      <c r="AR145" s="77" t="str">
        <f t="shared" si="174"/>
        <v>#REF!</v>
      </c>
      <c r="AS145" s="73"/>
      <c r="AT145" s="39"/>
    </row>
    <row r="146" ht="15.75" customHeight="1">
      <c r="A146" s="7" t="s">
        <v>732</v>
      </c>
      <c r="B146" s="7" t="s">
        <v>730</v>
      </c>
      <c r="C146" s="7">
        <v>1961.0</v>
      </c>
      <c r="D146" s="7"/>
      <c r="E146" s="7">
        <v>1961.0</v>
      </c>
      <c r="F146" s="7" t="b">
        <v>0</v>
      </c>
      <c r="G146" s="7" t="b">
        <v>0</v>
      </c>
      <c r="H146" s="7" t="b">
        <v>0</v>
      </c>
      <c r="I146" s="7" t="b">
        <v>0</v>
      </c>
      <c r="J146" s="9">
        <v>75.0</v>
      </c>
      <c r="K146" s="7">
        <v>1.0</v>
      </c>
      <c r="L146" s="7">
        <v>150.0</v>
      </c>
      <c r="M146" s="7">
        <v>50.0</v>
      </c>
      <c r="N146" s="7">
        <v>160.0</v>
      </c>
      <c r="O146" s="7">
        <v>146.3</v>
      </c>
      <c r="P146" s="9">
        <v>233.0</v>
      </c>
      <c r="Q146" s="7">
        <v>258.0</v>
      </c>
      <c r="R146" s="7">
        <v>6.8</v>
      </c>
      <c r="S146" s="7">
        <v>0.960345</v>
      </c>
      <c r="T146" s="7">
        <v>0.960345</v>
      </c>
      <c r="U146" s="10">
        <f t="shared" si="1"/>
        <v>200</v>
      </c>
      <c r="V146" s="10">
        <f t="shared" si="2"/>
        <v>93.24030095</v>
      </c>
      <c r="W146" s="11">
        <f t="shared" si="3"/>
        <v>1.797676008</v>
      </c>
      <c r="X146" s="8">
        <v>263.0</v>
      </c>
      <c r="Y146" s="12">
        <f t="shared" si="4"/>
        <v>1.75</v>
      </c>
      <c r="Z146" s="12">
        <f t="shared" si="5"/>
        <v>723.25</v>
      </c>
      <c r="AA146" s="12">
        <f t="shared" si="6"/>
        <v>4.943609023</v>
      </c>
      <c r="AB146" s="13">
        <f t="shared" si="7"/>
        <v>1.315</v>
      </c>
      <c r="AC146" s="8">
        <f t="shared" si="161"/>
        <v>247.8150425</v>
      </c>
      <c r="AD146" s="13">
        <f t="shared" si="162"/>
        <v>1.239075213</v>
      </c>
      <c r="AE146" s="8">
        <f t="shared" si="163"/>
        <v>136.3602084</v>
      </c>
      <c r="AF146" s="73">
        <f t="shared" si="164"/>
        <v>33.48536563</v>
      </c>
      <c r="AG146" s="74" t="str">
        <f t="shared" si="165"/>
        <v>#REF!</v>
      </c>
      <c r="AH146" s="73">
        <f t="shared" si="166"/>
        <v>0</v>
      </c>
      <c r="AI146" s="73">
        <f t="shared" si="167"/>
        <v>0</v>
      </c>
      <c r="AJ146" s="75">
        <f t="shared" si="168"/>
        <v>1.335612051</v>
      </c>
      <c r="AK146" s="73">
        <f t="shared" si="169"/>
        <v>1.079584995</v>
      </c>
      <c r="AL146" s="73">
        <f t="shared" si="170"/>
        <v>0.7495416169</v>
      </c>
      <c r="AM146" s="73">
        <f t="shared" si="171"/>
        <v>0.7561515678</v>
      </c>
      <c r="AN146" s="75">
        <v>60.44</v>
      </c>
      <c r="AO146" s="76">
        <v>60.0</v>
      </c>
      <c r="AP146" s="73">
        <f t="shared" si="172"/>
        <v>60</v>
      </c>
      <c r="AQ146" s="29" t="str">
        <f t="shared" si="173"/>
        <v>#REF!</v>
      </c>
      <c r="AR146" s="77" t="str">
        <f t="shared" si="174"/>
        <v>#REF!</v>
      </c>
      <c r="AS146" s="73"/>
      <c r="AT146" s="39"/>
    </row>
    <row r="147" ht="15.75" customHeight="1">
      <c r="A147" s="16" t="s">
        <v>58</v>
      </c>
      <c r="B147" s="16" t="s">
        <v>54</v>
      </c>
      <c r="C147" s="16">
        <v>1961.0</v>
      </c>
      <c r="D147" s="16"/>
      <c r="E147" s="16">
        <v>1961.0</v>
      </c>
      <c r="F147" s="16" t="b">
        <v>1</v>
      </c>
      <c r="G147" s="16" t="b">
        <v>0</v>
      </c>
      <c r="H147" s="16" t="b">
        <v>1</v>
      </c>
      <c r="I147" s="16" t="b">
        <v>0</v>
      </c>
      <c r="J147" s="18">
        <v>240.0</v>
      </c>
      <c r="K147" s="18">
        <v>2.0</v>
      </c>
      <c r="L147" s="16">
        <v>150.0</v>
      </c>
      <c r="M147" s="16">
        <v>50.0</v>
      </c>
      <c r="N147" s="16">
        <v>130.0</v>
      </c>
      <c r="O147" s="16">
        <v>70.7</v>
      </c>
      <c r="P147" s="18">
        <v>152.0</v>
      </c>
      <c r="Q147" s="16">
        <v>285.0</v>
      </c>
      <c r="R147" s="16">
        <v>3.4</v>
      </c>
      <c r="S147" s="16">
        <v>0.991288</v>
      </c>
      <c r="T147" s="16">
        <v>0.991791</v>
      </c>
      <c r="U147" s="19">
        <f t="shared" si="1"/>
        <v>200</v>
      </c>
      <c r="V147" s="19">
        <f t="shared" si="2"/>
        <v>55.45687388</v>
      </c>
      <c r="W147" s="20">
        <f t="shared" si="3"/>
        <v>1.753221159</v>
      </c>
      <c r="X147" s="17">
        <f>0.2*(8.17*POWER(N147*R147,0.46))+0.8*(0.146*POWER(N147*Q147,0.639))</f>
        <v>123.9527359</v>
      </c>
      <c r="Y147" s="21">
        <f t="shared" si="4"/>
        <v>4</v>
      </c>
      <c r="Z147" s="21">
        <f t="shared" si="5"/>
        <v>619.7636797</v>
      </c>
      <c r="AA147" s="21">
        <f t="shared" si="6"/>
        <v>8.766105795</v>
      </c>
      <c r="AB147" s="22">
        <f t="shared" si="7"/>
        <v>0.6197636797</v>
      </c>
      <c r="AC147" s="8">
        <f t="shared" si="161"/>
        <v>124.3432511</v>
      </c>
      <c r="AD147" s="13">
        <f t="shared" si="162"/>
        <v>0.6217162556</v>
      </c>
      <c r="AE147" s="8">
        <f t="shared" si="163"/>
        <v>124.3432511</v>
      </c>
      <c r="AF147" s="73">
        <f t="shared" si="164"/>
        <v>16.99336796</v>
      </c>
      <c r="AG147" s="74" t="str">
        <f t="shared" si="165"/>
        <v>#REF!</v>
      </c>
      <c r="AH147" s="73">
        <f t="shared" si="166"/>
        <v>0</v>
      </c>
      <c r="AI147" s="73">
        <f t="shared" si="167"/>
        <v>0.1941741551</v>
      </c>
      <c r="AJ147" s="75">
        <f t="shared" si="168"/>
        <v>1</v>
      </c>
      <c r="AK147" s="73">
        <f t="shared" si="169"/>
        <v>0.8325928918</v>
      </c>
      <c r="AL147" s="73">
        <f t="shared" si="170"/>
        <v>0.9021613075</v>
      </c>
      <c r="AM147" s="73">
        <f t="shared" si="171"/>
        <v>1.237344028</v>
      </c>
      <c r="AN147" s="75">
        <v>58.47</v>
      </c>
      <c r="AO147" s="76">
        <v>58.0</v>
      </c>
      <c r="AP147" s="73">
        <f t="shared" si="172"/>
        <v>58</v>
      </c>
      <c r="AQ147" s="29" t="str">
        <f t="shared" si="173"/>
        <v>#REF!</v>
      </c>
      <c r="AR147" s="77" t="str">
        <f t="shared" si="174"/>
        <v>#REF!</v>
      </c>
      <c r="AS147" s="73"/>
      <c r="AT147" s="39"/>
    </row>
    <row r="148" ht="15.75" customHeight="1">
      <c r="A148" s="7" t="s">
        <v>149</v>
      </c>
      <c r="B148" s="7" t="s">
        <v>148</v>
      </c>
      <c r="C148" s="7">
        <v>1961.0</v>
      </c>
      <c r="D148" s="7"/>
      <c r="E148" s="7">
        <v>1961.0</v>
      </c>
      <c r="F148" s="7" t="b">
        <v>1</v>
      </c>
      <c r="G148" s="7" t="b">
        <v>0</v>
      </c>
      <c r="H148" s="7" t="b">
        <v>1</v>
      </c>
      <c r="I148" s="7" t="b">
        <v>0</v>
      </c>
      <c r="J148" s="9">
        <v>140.0</v>
      </c>
      <c r="K148" s="7">
        <v>1.0</v>
      </c>
      <c r="L148" s="7">
        <v>100.0</v>
      </c>
      <c r="M148" s="7">
        <v>20.0</v>
      </c>
      <c r="N148" s="7">
        <f>173*0.95</f>
        <v>164.35</v>
      </c>
      <c r="O148" s="7">
        <v>75.1</v>
      </c>
      <c r="P148" s="9">
        <v>204.0</v>
      </c>
      <c r="Q148" s="7">
        <v>279.4</v>
      </c>
      <c r="R148" s="7">
        <v>6.9</v>
      </c>
      <c r="S148" s="7">
        <v>0.995</v>
      </c>
      <c r="T148" s="7">
        <v>0.981667</v>
      </c>
      <c r="U148" s="10">
        <f t="shared" si="1"/>
        <v>120</v>
      </c>
      <c r="V148" s="10">
        <f t="shared" si="2"/>
        <v>46.59609819</v>
      </c>
      <c r="W148" s="11">
        <f t="shared" si="3"/>
        <v>1.531291611</v>
      </c>
      <c r="X148" s="8">
        <v>115.0</v>
      </c>
      <c r="Y148" s="12">
        <f t="shared" si="4"/>
        <v>4</v>
      </c>
      <c r="Z148" s="12">
        <f t="shared" si="5"/>
        <v>575</v>
      </c>
      <c r="AA148" s="12">
        <f t="shared" si="6"/>
        <v>7.656458056</v>
      </c>
      <c r="AB148" s="13">
        <f t="shared" si="7"/>
        <v>0.9583333333</v>
      </c>
      <c r="AC148" s="8">
        <f t="shared" si="161"/>
        <v>114.6272465</v>
      </c>
      <c r="AD148" s="13">
        <f t="shared" si="162"/>
        <v>0.955227054</v>
      </c>
      <c r="AE148" s="8">
        <f t="shared" si="163"/>
        <v>152.3266326</v>
      </c>
      <c r="AF148" s="73">
        <f t="shared" si="164"/>
        <v>17.69620046</v>
      </c>
      <c r="AG148" s="74" t="str">
        <f t="shared" si="165"/>
        <v>#REF!</v>
      </c>
      <c r="AH148" s="73">
        <f t="shared" si="166"/>
        <v>0</v>
      </c>
      <c r="AI148" s="73">
        <f t="shared" si="167"/>
        <v>0</v>
      </c>
      <c r="AJ148" s="75">
        <f t="shared" si="168"/>
        <v>1.052007931</v>
      </c>
      <c r="AK148" s="73">
        <f t="shared" si="169"/>
        <v>0.7631849234</v>
      </c>
      <c r="AL148" s="73">
        <f t="shared" si="170"/>
        <v>0.8681410595</v>
      </c>
      <c r="AM148" s="73">
        <f t="shared" si="171"/>
        <v>1.032354509</v>
      </c>
      <c r="AN148" s="75">
        <v>42.97</v>
      </c>
      <c r="AO148" s="76">
        <v>43.0</v>
      </c>
      <c r="AP148" s="73">
        <f t="shared" si="172"/>
        <v>43</v>
      </c>
      <c r="AQ148" s="29" t="str">
        <f t="shared" si="173"/>
        <v>#REF!</v>
      </c>
      <c r="AR148" s="77" t="str">
        <f t="shared" si="174"/>
        <v>#REF!</v>
      </c>
      <c r="AS148" s="73"/>
      <c r="AT148" s="37"/>
    </row>
    <row r="149" ht="15.75" customHeight="1">
      <c r="A149" s="16" t="s">
        <v>153</v>
      </c>
      <c r="B149" s="16" t="s">
        <v>151</v>
      </c>
      <c r="C149" s="16">
        <v>1961.0</v>
      </c>
      <c r="D149" s="16"/>
      <c r="E149" s="16">
        <v>1961.0</v>
      </c>
      <c r="F149" s="16" t="b">
        <v>1</v>
      </c>
      <c r="G149" s="16" t="b">
        <v>0</v>
      </c>
      <c r="H149" s="16" t="b">
        <v>0</v>
      </c>
      <c r="I149" s="16" t="b">
        <v>0</v>
      </c>
      <c r="J149" s="18">
        <v>145.0</v>
      </c>
      <c r="K149" s="16">
        <v>1.0</v>
      </c>
      <c r="L149" s="16">
        <v>56.0</v>
      </c>
      <c r="M149" s="16">
        <v>20.0</v>
      </c>
      <c r="N149" s="16">
        <v>204.0</v>
      </c>
      <c r="O149" s="16">
        <v>133.447</v>
      </c>
      <c r="P149" s="18">
        <v>226.0</v>
      </c>
      <c r="Q149" s="16">
        <v>269.0</v>
      </c>
      <c r="R149" s="16">
        <v>6.9</v>
      </c>
      <c r="S149" s="16">
        <v>0.995</v>
      </c>
      <c r="T149" s="16">
        <v>0.981667</v>
      </c>
      <c r="U149" s="19">
        <f t="shared" si="1"/>
        <v>76</v>
      </c>
      <c r="V149" s="19">
        <f t="shared" si="2"/>
        <v>66.70493582</v>
      </c>
      <c r="W149" s="20">
        <f t="shared" si="3"/>
        <v>0.9591822971</v>
      </c>
      <c r="X149" s="17">
        <v>128.0</v>
      </c>
      <c r="Y149" s="21">
        <f t="shared" si="4"/>
        <v>4</v>
      </c>
      <c r="Z149" s="21">
        <f t="shared" si="5"/>
        <v>640</v>
      </c>
      <c r="AA149" s="21">
        <f t="shared" si="6"/>
        <v>4.795911485</v>
      </c>
      <c r="AB149" s="22">
        <f t="shared" si="7"/>
        <v>1.684210526</v>
      </c>
      <c r="AC149" s="8">
        <f t="shared" si="161"/>
        <v>127.5851091</v>
      </c>
      <c r="AD149" s="13">
        <f t="shared" si="162"/>
        <v>1.678751436</v>
      </c>
      <c r="AE149" s="8">
        <f t="shared" si="163"/>
        <v>170.0315842</v>
      </c>
      <c r="AF149" s="73">
        <f t="shared" si="164"/>
        <v>26.43264826</v>
      </c>
      <c r="AG149" s="74" t="str">
        <f t="shared" si="165"/>
        <v>#REF!</v>
      </c>
      <c r="AH149" s="73">
        <f t="shared" si="166"/>
        <v>0</v>
      </c>
      <c r="AI149" s="73">
        <f t="shared" si="167"/>
        <v>0</v>
      </c>
      <c r="AJ149" s="75">
        <f t="shared" si="168"/>
        <v>1.214094113</v>
      </c>
      <c r="AK149" s="73">
        <f t="shared" si="169"/>
        <v>0.9131329026</v>
      </c>
      <c r="AL149" s="73">
        <f t="shared" si="170"/>
        <v>0.8083274741</v>
      </c>
      <c r="AM149" s="73">
        <f t="shared" si="171"/>
        <v>1.046592255</v>
      </c>
      <c r="AN149" s="75">
        <v>75.87</v>
      </c>
      <c r="AO149" s="76">
        <v>76.0</v>
      </c>
      <c r="AP149" s="73">
        <f t="shared" si="172"/>
        <v>76</v>
      </c>
      <c r="AQ149" s="29" t="str">
        <f t="shared" si="173"/>
        <v>#REF!</v>
      </c>
      <c r="AR149" s="77" t="str">
        <f t="shared" si="174"/>
        <v>#REF!</v>
      </c>
      <c r="AS149" s="73"/>
      <c r="AT149" s="39"/>
    </row>
    <row r="150" ht="15.75" customHeight="1">
      <c r="A150" s="16" t="s">
        <v>156</v>
      </c>
      <c r="B150" s="16" t="s">
        <v>155</v>
      </c>
      <c r="C150" s="16">
        <v>1961.0</v>
      </c>
      <c r="D150" s="16"/>
      <c r="E150" s="16">
        <v>1961.0</v>
      </c>
      <c r="F150" s="16" t="b">
        <v>1</v>
      </c>
      <c r="G150" s="16" t="b">
        <v>0</v>
      </c>
      <c r="H150" s="16" t="b">
        <v>0</v>
      </c>
      <c r="I150" s="16" t="b">
        <v>0</v>
      </c>
      <c r="J150" s="18">
        <v>140.0</v>
      </c>
      <c r="K150" s="16">
        <v>1.0</v>
      </c>
      <c r="L150" s="16">
        <v>154.0</v>
      </c>
      <c r="M150" s="16">
        <v>20.0</v>
      </c>
      <c r="N150" s="16">
        <f>342*0.95</f>
        <v>324.9</v>
      </c>
      <c r="O150" s="16">
        <v>266.893</v>
      </c>
      <c r="P150" s="18">
        <v>226.0</v>
      </c>
      <c r="Q150" s="16">
        <v>269.0</v>
      </c>
      <c r="R150" s="16">
        <v>6.9</v>
      </c>
      <c r="S150" s="16">
        <v>0.995</v>
      </c>
      <c r="T150" s="16">
        <v>0.981667</v>
      </c>
      <c r="U150" s="19">
        <f t="shared" si="1"/>
        <v>174</v>
      </c>
      <c r="V150" s="19">
        <f t="shared" si="2"/>
        <v>83.76581054</v>
      </c>
      <c r="W150" s="20">
        <f t="shared" si="3"/>
        <v>0.6332125608</v>
      </c>
      <c r="X150" s="17">
        <v>169.0</v>
      </c>
      <c r="Y150" s="21">
        <f t="shared" si="4"/>
        <v>4</v>
      </c>
      <c r="Z150" s="21">
        <f t="shared" si="5"/>
        <v>845</v>
      </c>
      <c r="AA150" s="21">
        <f t="shared" si="6"/>
        <v>3.166062804</v>
      </c>
      <c r="AB150" s="22">
        <f t="shared" si="7"/>
        <v>0.9712643678</v>
      </c>
      <c r="AC150" s="8">
        <f t="shared" si="161"/>
        <v>168.4522144</v>
      </c>
      <c r="AD150" s="13">
        <f t="shared" si="162"/>
        <v>0.9681161746</v>
      </c>
      <c r="AE150" s="8">
        <f t="shared" si="163"/>
        <v>223.9996265</v>
      </c>
      <c r="AF150" s="73">
        <f t="shared" si="164"/>
        <v>44.46307457</v>
      </c>
      <c r="AG150" s="74" t="str">
        <f t="shared" si="165"/>
        <v>#REF!</v>
      </c>
      <c r="AH150" s="73">
        <f t="shared" si="166"/>
        <v>0</v>
      </c>
      <c r="AI150" s="73">
        <f t="shared" si="167"/>
        <v>0</v>
      </c>
      <c r="AJ150" s="75">
        <f t="shared" si="168"/>
        <v>1.214094113</v>
      </c>
      <c r="AK150" s="73">
        <f t="shared" si="169"/>
        <v>1.02326567</v>
      </c>
      <c r="AL150" s="73">
        <f t="shared" si="170"/>
        <v>0.8083274741</v>
      </c>
      <c r="AM150" s="73">
        <f t="shared" si="171"/>
        <v>1.032354509</v>
      </c>
      <c r="AN150" s="75">
        <v>133.14</v>
      </c>
      <c r="AO150" s="76">
        <v>135.0</v>
      </c>
      <c r="AP150" s="73">
        <f t="shared" si="172"/>
        <v>135</v>
      </c>
      <c r="AQ150" s="29" t="str">
        <f t="shared" si="173"/>
        <v>#REF!</v>
      </c>
      <c r="AR150" s="77" t="str">
        <f t="shared" si="174"/>
        <v>#REF!</v>
      </c>
      <c r="AS150" s="73"/>
      <c r="AT150" s="39"/>
    </row>
    <row r="151" ht="15.75" customHeight="1">
      <c r="A151" s="7" t="s">
        <v>1012</v>
      </c>
      <c r="B151" s="7" t="s">
        <v>158</v>
      </c>
      <c r="C151" s="7">
        <v>1961.0</v>
      </c>
      <c r="D151" s="7"/>
      <c r="E151" s="7">
        <v>1961.0</v>
      </c>
      <c r="F151" s="7" t="b">
        <v>1</v>
      </c>
      <c r="G151" s="7" t="b">
        <v>0</v>
      </c>
      <c r="H151" s="7" t="b">
        <v>0</v>
      </c>
      <c r="I151" s="7" t="b">
        <v>0</v>
      </c>
      <c r="J151" s="9">
        <v>155.0</v>
      </c>
      <c r="K151" s="7">
        <v>1.0</v>
      </c>
      <c r="L151" s="7">
        <v>250.0</v>
      </c>
      <c r="M151" s="7">
        <v>0.0</v>
      </c>
      <c r="N151" s="7">
        <v>911.0</v>
      </c>
      <c r="O151" s="7">
        <v>846.76</v>
      </c>
      <c r="P151" s="9">
        <v>255.7</v>
      </c>
      <c r="Q151" s="7">
        <v>295.0</v>
      </c>
      <c r="R151" s="7">
        <v>4.05</v>
      </c>
      <c r="S151" s="7">
        <v>0.995455</v>
      </c>
      <c r="T151" s="7">
        <v>0.995455</v>
      </c>
      <c r="U151" s="10">
        <f t="shared" si="1"/>
        <v>250</v>
      </c>
      <c r="V151" s="10">
        <f t="shared" si="2"/>
        <v>94.78099868</v>
      </c>
      <c r="W151" s="11">
        <f t="shared" si="3"/>
        <v>0.4908640113</v>
      </c>
      <c r="X151" s="8">
        <f t="shared" ref="X151:X173" si="175">0.2*(8.17*POWER(N151*R151,0.46))+0.8*(0.146*POWER(N151*Q151,0.639))</f>
        <v>415.6440102</v>
      </c>
      <c r="Y151" s="12">
        <f t="shared" si="4"/>
        <v>4</v>
      </c>
      <c r="Z151" s="12">
        <f t="shared" si="5"/>
        <v>2078.220051</v>
      </c>
      <c r="AA151" s="12">
        <f t="shared" si="6"/>
        <v>2.454320057</v>
      </c>
      <c r="AB151" s="13">
        <f t="shared" si="7"/>
        <v>1.662576041</v>
      </c>
      <c r="AC151" s="8">
        <f t="shared" si="161"/>
        <v>420.1872723</v>
      </c>
      <c r="AD151" s="13">
        <f t="shared" si="162"/>
        <v>1.680749089</v>
      </c>
      <c r="AE151" s="8">
        <f t="shared" si="163"/>
        <v>420.1872723</v>
      </c>
      <c r="AF151" s="73">
        <f t="shared" si="164"/>
        <v>114.3797789</v>
      </c>
      <c r="AG151" s="74" t="str">
        <f t="shared" si="165"/>
        <v>#REF!</v>
      </c>
      <c r="AH151" s="73">
        <f t="shared" si="166"/>
        <v>0</v>
      </c>
      <c r="AI151" s="73">
        <f t="shared" si="167"/>
        <v>0</v>
      </c>
      <c r="AJ151" s="75">
        <f t="shared" si="168"/>
        <v>1.263281146</v>
      </c>
      <c r="AK151" s="73">
        <f t="shared" si="169"/>
        <v>1.088467952</v>
      </c>
      <c r="AL151" s="73">
        <f t="shared" si="170"/>
        <v>0.9662616258</v>
      </c>
      <c r="AM151" s="73">
        <f t="shared" si="171"/>
        <v>1.073295783</v>
      </c>
      <c r="AN151" s="75">
        <v>506.53</v>
      </c>
      <c r="AO151" s="76">
        <v>510.0</v>
      </c>
      <c r="AP151" s="73">
        <f t="shared" si="172"/>
        <v>510</v>
      </c>
      <c r="AQ151" s="29" t="str">
        <f t="shared" si="173"/>
        <v>#REF!</v>
      </c>
      <c r="AR151" s="77" t="str">
        <f t="shared" si="174"/>
        <v>#REF!</v>
      </c>
      <c r="AS151" s="73"/>
      <c r="AT151" s="39"/>
    </row>
    <row r="152" ht="15.75" customHeight="1">
      <c r="A152" s="16" t="s">
        <v>447</v>
      </c>
      <c r="B152" s="16" t="s">
        <v>446</v>
      </c>
      <c r="C152" s="16">
        <v>1961.0</v>
      </c>
      <c r="D152" s="16"/>
      <c r="E152" s="16">
        <v>1961.0</v>
      </c>
      <c r="F152" s="16" t="b">
        <v>1</v>
      </c>
      <c r="G152" s="16" t="b">
        <v>0</v>
      </c>
      <c r="H152" s="16" t="b">
        <v>1</v>
      </c>
      <c r="I152" s="16" t="b">
        <v>0</v>
      </c>
      <c r="J152" s="18">
        <v>165.0</v>
      </c>
      <c r="K152" s="16">
        <v>1.0</v>
      </c>
      <c r="L152" s="16">
        <v>350.0</v>
      </c>
      <c r="M152" s="16">
        <v>-25.0</v>
      </c>
      <c r="N152" s="16">
        <v>410.0</v>
      </c>
      <c r="O152" s="16">
        <v>297.9</v>
      </c>
      <c r="P152" s="18">
        <v>194.0</v>
      </c>
      <c r="Q152" s="16">
        <v>326.0</v>
      </c>
      <c r="R152" s="16">
        <v>6.82</v>
      </c>
      <c r="S152" s="16">
        <v>0.996778</v>
      </c>
      <c r="T152" s="16">
        <v>0.988983</v>
      </c>
      <c r="U152" s="19">
        <f t="shared" si="1"/>
        <v>325</v>
      </c>
      <c r="V152" s="19">
        <f t="shared" si="2"/>
        <v>74.09108755</v>
      </c>
      <c r="W152" s="20">
        <f t="shared" si="3"/>
        <v>0.9505690824</v>
      </c>
      <c r="X152" s="17">
        <f t="shared" si="175"/>
        <v>283.1745296</v>
      </c>
      <c r="Y152" s="21">
        <f t="shared" si="4"/>
        <v>4</v>
      </c>
      <c r="Z152" s="21">
        <f t="shared" si="5"/>
        <v>1415.872648</v>
      </c>
      <c r="AA152" s="21">
        <f t="shared" si="6"/>
        <v>4.752845412</v>
      </c>
      <c r="AB152" s="22">
        <f t="shared" si="7"/>
        <v>0.871306245</v>
      </c>
      <c r="AC152" s="8">
        <f t="shared" si="161"/>
        <v>284.8159499</v>
      </c>
      <c r="AD152" s="13">
        <f t="shared" si="162"/>
        <v>0.8763567689</v>
      </c>
      <c r="AE152" s="8">
        <f t="shared" si="163"/>
        <v>284.8159499</v>
      </c>
      <c r="AF152" s="73">
        <f t="shared" si="164"/>
        <v>48.45317221</v>
      </c>
      <c r="AG152" s="74" t="str">
        <f t="shared" si="165"/>
        <v>#REF!</v>
      </c>
      <c r="AH152" s="73">
        <f t="shared" si="166"/>
        <v>0</v>
      </c>
      <c r="AI152" s="73">
        <f t="shared" si="167"/>
        <v>0</v>
      </c>
      <c r="AJ152" s="75">
        <f t="shared" si="168"/>
        <v>1</v>
      </c>
      <c r="AK152" s="73">
        <f t="shared" si="169"/>
        <v>0.9623609481</v>
      </c>
      <c r="AL152" s="73">
        <f t="shared" si="170"/>
        <v>1.312966516</v>
      </c>
      <c r="AM152" s="73">
        <f t="shared" si="171"/>
        <v>1.097912191</v>
      </c>
      <c r="AN152" s="75">
        <v>212.45</v>
      </c>
      <c r="AO152" s="76">
        <v>210.0</v>
      </c>
      <c r="AP152" s="73">
        <f t="shared" si="172"/>
        <v>210</v>
      </c>
      <c r="AQ152" s="29" t="str">
        <f t="shared" si="173"/>
        <v>#REF!</v>
      </c>
      <c r="AR152" s="77" t="str">
        <f t="shared" si="174"/>
        <v>#REF!</v>
      </c>
      <c r="AS152" s="73"/>
      <c r="AT152" s="39"/>
    </row>
    <row r="153" ht="15.75" customHeight="1">
      <c r="A153" s="16" t="s">
        <v>550</v>
      </c>
      <c r="B153" s="16" t="s">
        <v>549</v>
      </c>
      <c r="C153" s="16">
        <v>1961.0</v>
      </c>
      <c r="D153" s="16"/>
      <c r="E153" s="16">
        <v>1961.0</v>
      </c>
      <c r="F153" s="16" t="b">
        <v>1</v>
      </c>
      <c r="G153" s="16" t="b">
        <v>0</v>
      </c>
      <c r="H153" s="16" t="b">
        <v>1</v>
      </c>
      <c r="I153" s="16" t="b">
        <v>0</v>
      </c>
      <c r="J153" s="18">
        <v>260.0</v>
      </c>
      <c r="K153" s="16">
        <v>1.0</v>
      </c>
      <c r="L153" s="16">
        <v>300.0</v>
      </c>
      <c r="M153" s="16">
        <v>50.0</v>
      </c>
      <c r="N153" s="16">
        <v>168.0</v>
      </c>
      <c r="O153" s="16">
        <v>105.5</v>
      </c>
      <c r="P153" s="18">
        <v>220.0</v>
      </c>
      <c r="Q153" s="16">
        <v>362.0</v>
      </c>
      <c r="R153" s="16">
        <v>7.9</v>
      </c>
      <c r="S153" s="16">
        <v>0.999085</v>
      </c>
      <c r="T153" s="16">
        <v>0.991768</v>
      </c>
      <c r="U153" s="19">
        <f t="shared" si="1"/>
        <v>350</v>
      </c>
      <c r="V153" s="19">
        <f t="shared" si="2"/>
        <v>64.03575009</v>
      </c>
      <c r="W153" s="20">
        <f t="shared" si="3"/>
        <v>1.685548751</v>
      </c>
      <c r="X153" s="17">
        <f t="shared" si="175"/>
        <v>177.8253932</v>
      </c>
      <c r="Y153" s="21">
        <f t="shared" si="4"/>
        <v>4</v>
      </c>
      <c r="Z153" s="21">
        <f t="shared" si="5"/>
        <v>889.1269662</v>
      </c>
      <c r="AA153" s="21">
        <f t="shared" si="6"/>
        <v>8.427743756</v>
      </c>
      <c r="AB153" s="22">
        <f t="shared" si="7"/>
        <v>0.5080725521</v>
      </c>
      <c r="AC153" s="8">
        <f t="shared" si="161"/>
        <v>179.7566717</v>
      </c>
      <c r="AD153" s="13">
        <f t="shared" si="162"/>
        <v>0.5135904905</v>
      </c>
      <c r="AE153" s="8">
        <f t="shared" si="163"/>
        <v>179.7566717</v>
      </c>
      <c r="AF153" s="73">
        <f t="shared" si="164"/>
        <v>22.35891671</v>
      </c>
      <c r="AG153" s="74" t="str">
        <f t="shared" si="165"/>
        <v>#REF!</v>
      </c>
      <c r="AH153" s="73">
        <f t="shared" si="166"/>
        <v>0</v>
      </c>
      <c r="AI153" s="73">
        <f t="shared" si="167"/>
        <v>0</v>
      </c>
      <c r="AJ153" s="75">
        <f t="shared" si="168"/>
        <v>1</v>
      </c>
      <c r="AK153" s="73">
        <f t="shared" si="169"/>
        <v>0.8946769675</v>
      </c>
      <c r="AL153" s="73">
        <f t="shared" si="170"/>
        <v>2.030447596</v>
      </c>
      <c r="AM153" s="73">
        <f t="shared" si="171"/>
        <v>1.265409355</v>
      </c>
      <c r="AN153" s="75">
        <v>176.05</v>
      </c>
      <c r="AO153" s="76">
        <v>180.0</v>
      </c>
      <c r="AP153" s="73">
        <f t="shared" si="172"/>
        <v>180</v>
      </c>
      <c r="AQ153" s="29" t="str">
        <f t="shared" si="173"/>
        <v>#REF!</v>
      </c>
      <c r="AR153" s="77" t="str">
        <f t="shared" si="174"/>
        <v>#REF!</v>
      </c>
      <c r="AS153" s="73"/>
      <c r="AT153" s="39"/>
    </row>
    <row r="154" ht="15.75" customHeight="1">
      <c r="A154" s="7" t="s">
        <v>551</v>
      </c>
      <c r="B154" s="7" t="s">
        <v>552</v>
      </c>
      <c r="C154" s="7">
        <v>1961.0</v>
      </c>
      <c r="D154" s="7"/>
      <c r="E154" s="7">
        <v>1961.0</v>
      </c>
      <c r="F154" s="7" t="b">
        <v>1</v>
      </c>
      <c r="G154" s="7" t="b">
        <v>0</v>
      </c>
      <c r="H154" s="7" t="b">
        <v>0</v>
      </c>
      <c r="I154" s="7" t="b">
        <v>0</v>
      </c>
      <c r="J154" s="9">
        <v>110.0</v>
      </c>
      <c r="K154" s="7">
        <v>1.0</v>
      </c>
      <c r="L154" s="7">
        <v>590.0</v>
      </c>
      <c r="M154" s="7">
        <v>0.0</v>
      </c>
      <c r="N154" s="7">
        <v>1492.0</v>
      </c>
      <c r="O154" s="7">
        <v>1628.0</v>
      </c>
      <c r="P154" s="9">
        <v>268.0</v>
      </c>
      <c r="Q154" s="7">
        <v>309.5</v>
      </c>
      <c r="R154" s="7">
        <v>7.85</v>
      </c>
      <c r="S154" s="7">
        <v>0.923913</v>
      </c>
      <c r="T154" s="7">
        <v>0.923913</v>
      </c>
      <c r="U154" s="10">
        <f t="shared" si="1"/>
        <v>590</v>
      </c>
      <c r="V154" s="10">
        <f t="shared" si="2"/>
        <v>111.2666213</v>
      </c>
      <c r="W154" s="11">
        <f t="shared" si="3"/>
        <v>0.3734593929</v>
      </c>
      <c r="X154" s="8">
        <f t="shared" si="175"/>
        <v>607.9918917</v>
      </c>
      <c r="Y154" s="12">
        <f t="shared" si="4"/>
        <v>4</v>
      </c>
      <c r="Z154" s="12">
        <f t="shared" si="5"/>
        <v>3039.959458</v>
      </c>
      <c r="AA154" s="12">
        <f t="shared" si="6"/>
        <v>1.867296965</v>
      </c>
      <c r="AB154" s="13">
        <f t="shared" si="7"/>
        <v>1.030494732</v>
      </c>
      <c r="AC154" s="8">
        <f t="shared" si="161"/>
        <v>531.1509772</v>
      </c>
      <c r="AD154" s="13">
        <f t="shared" si="162"/>
        <v>0.9002558936</v>
      </c>
      <c r="AE154" s="8">
        <f t="shared" si="163"/>
        <v>531.1509772</v>
      </c>
      <c r="AF154" s="73">
        <f t="shared" si="164"/>
        <v>202.3031792</v>
      </c>
      <c r="AG154" s="74" t="str">
        <f t="shared" si="165"/>
        <v>#REF!</v>
      </c>
      <c r="AH154" s="73">
        <f t="shared" si="166"/>
        <v>0</v>
      </c>
      <c r="AI154" s="73">
        <f t="shared" si="167"/>
        <v>0</v>
      </c>
      <c r="AJ154" s="75">
        <f t="shared" si="168"/>
        <v>1.261627222</v>
      </c>
      <c r="AK154" s="73">
        <f t="shared" si="169"/>
        <v>1.179335731</v>
      </c>
      <c r="AL154" s="73">
        <f t="shared" si="170"/>
        <v>1.094131896</v>
      </c>
      <c r="AM154" s="73">
        <f t="shared" si="171"/>
        <v>0.9309127151</v>
      </c>
      <c r="AN154" s="75">
        <v>506.59</v>
      </c>
      <c r="AO154" s="76">
        <v>510.0</v>
      </c>
      <c r="AP154" s="73">
        <f t="shared" si="172"/>
        <v>510</v>
      </c>
      <c r="AQ154" s="29" t="str">
        <f t="shared" si="173"/>
        <v>#REF!</v>
      </c>
      <c r="AR154" s="77" t="str">
        <f t="shared" si="174"/>
        <v>#REF!</v>
      </c>
      <c r="AS154" s="73"/>
      <c r="AT154" s="39"/>
    </row>
    <row r="155" ht="15.75" customHeight="1">
      <c r="A155" s="16" t="s">
        <v>580</v>
      </c>
      <c r="B155" s="16" t="s">
        <v>579</v>
      </c>
      <c r="C155" s="16">
        <v>1961.0</v>
      </c>
      <c r="D155" s="16"/>
      <c r="E155" s="16">
        <v>1961.0</v>
      </c>
      <c r="F155" s="16" t="b">
        <v>1</v>
      </c>
      <c r="G155" s="16" t="b">
        <v>0</v>
      </c>
      <c r="H155" s="16" t="b">
        <v>0</v>
      </c>
      <c r="I155" s="16" t="b">
        <v>0</v>
      </c>
      <c r="J155" s="18">
        <v>90.0</v>
      </c>
      <c r="K155" s="16">
        <v>1.0</v>
      </c>
      <c r="L155" s="16">
        <v>330.0</v>
      </c>
      <c r="M155" s="16">
        <v>10.0</v>
      </c>
      <c r="N155" s="16">
        <v>653.0</v>
      </c>
      <c r="O155" s="16">
        <v>869.9</v>
      </c>
      <c r="P155" s="18">
        <v>246.0</v>
      </c>
      <c r="Q155" s="16">
        <v>289.0</v>
      </c>
      <c r="R155" s="16">
        <v>7.35</v>
      </c>
      <c r="S155" s="16">
        <v>0.984807</v>
      </c>
      <c r="T155" s="16">
        <v>0.984807</v>
      </c>
      <c r="U155" s="19">
        <f t="shared" si="1"/>
        <v>340</v>
      </c>
      <c r="V155" s="19">
        <f t="shared" si="2"/>
        <v>135.8424397</v>
      </c>
      <c r="W155" s="20">
        <f t="shared" si="3"/>
        <v>0.4083697567</v>
      </c>
      <c r="X155" s="17">
        <f t="shared" si="175"/>
        <v>355.2408514</v>
      </c>
      <c r="Y155" s="21">
        <f t="shared" si="4"/>
        <v>4</v>
      </c>
      <c r="Z155" s="21">
        <f t="shared" si="5"/>
        <v>1776.204257</v>
      </c>
      <c r="AA155" s="21">
        <f t="shared" si="6"/>
        <v>2.041848783</v>
      </c>
      <c r="AB155" s="22">
        <f t="shared" si="7"/>
        <v>1.044826033</v>
      </c>
      <c r="AC155" s="8">
        <f t="shared" si="161"/>
        <v>351.6333191</v>
      </c>
      <c r="AD155" s="13">
        <f t="shared" si="162"/>
        <v>1.034215645</v>
      </c>
      <c r="AE155" s="8">
        <f t="shared" si="163"/>
        <v>351.6333191</v>
      </c>
      <c r="AF155" s="73">
        <f t="shared" si="164"/>
        <v>117.0499678</v>
      </c>
      <c r="AG155" s="74" t="str">
        <f t="shared" si="165"/>
        <v>#REF!</v>
      </c>
      <c r="AH155" s="73">
        <f t="shared" si="166"/>
        <v>0</v>
      </c>
      <c r="AI155" s="73">
        <f t="shared" si="167"/>
        <v>0</v>
      </c>
      <c r="AJ155" s="75">
        <f t="shared" si="168"/>
        <v>1.234114109</v>
      </c>
      <c r="AK155" s="73">
        <f t="shared" si="169"/>
        <v>1.303084992</v>
      </c>
      <c r="AL155" s="73">
        <f t="shared" si="170"/>
        <v>0.9272747011</v>
      </c>
      <c r="AM155" s="73">
        <f t="shared" si="171"/>
        <v>0.841517323</v>
      </c>
      <c r="AN155" s="75">
        <v>365.03</v>
      </c>
      <c r="AO155" s="76">
        <v>370.0</v>
      </c>
      <c r="AP155" s="73">
        <f t="shared" si="172"/>
        <v>370</v>
      </c>
      <c r="AQ155" s="29" t="str">
        <f t="shared" si="173"/>
        <v>#REF!</v>
      </c>
      <c r="AR155" s="77" t="str">
        <f t="shared" si="174"/>
        <v>#REF!</v>
      </c>
      <c r="AS155" s="73"/>
      <c r="AT155" s="39"/>
    </row>
    <row r="156" ht="15.75" customHeight="1">
      <c r="A156" s="7" t="s">
        <v>585</v>
      </c>
      <c r="B156" s="7" t="s">
        <v>586</v>
      </c>
      <c r="C156" s="7">
        <v>1961.0</v>
      </c>
      <c r="D156" s="7"/>
      <c r="E156" s="7">
        <v>1961.0</v>
      </c>
      <c r="F156" s="7" t="b">
        <v>1</v>
      </c>
      <c r="G156" s="7" t="b">
        <v>0</v>
      </c>
      <c r="H156" s="7" t="b">
        <v>1</v>
      </c>
      <c r="I156" s="7" t="b">
        <v>0</v>
      </c>
      <c r="J156" s="9">
        <v>125.0</v>
      </c>
      <c r="K156" s="7">
        <v>1.0</v>
      </c>
      <c r="L156" s="7">
        <v>350.0</v>
      </c>
      <c r="M156" s="7">
        <v>0.0</v>
      </c>
      <c r="N156" s="7">
        <v>760.0</v>
      </c>
      <c r="O156" s="7">
        <v>882.6</v>
      </c>
      <c r="P156" s="9">
        <v>230.0</v>
      </c>
      <c r="Q156" s="7">
        <v>293.0</v>
      </c>
      <c r="R156" s="7">
        <v>7.35</v>
      </c>
      <c r="S156" s="7">
        <v>0.99717</v>
      </c>
      <c r="T156" s="7">
        <v>0.993396</v>
      </c>
      <c r="U156" s="10">
        <f t="shared" si="1"/>
        <v>350</v>
      </c>
      <c r="V156" s="10">
        <f t="shared" si="2"/>
        <v>118.4212535</v>
      </c>
      <c r="W156" s="11">
        <f t="shared" si="3"/>
        <v>0.4438015602</v>
      </c>
      <c r="X156" s="8">
        <f t="shared" si="175"/>
        <v>391.6992571</v>
      </c>
      <c r="Y156" s="12">
        <f t="shared" si="4"/>
        <v>4</v>
      </c>
      <c r="Z156" s="12">
        <f t="shared" si="5"/>
        <v>1958.496285</v>
      </c>
      <c r="AA156" s="12">
        <f t="shared" si="6"/>
        <v>2.219007801</v>
      </c>
      <c r="AB156" s="13">
        <f t="shared" si="7"/>
        <v>1.119140734</v>
      </c>
      <c r="AC156" s="8">
        <f t="shared" si="161"/>
        <v>395.845272</v>
      </c>
      <c r="AD156" s="13">
        <f t="shared" si="162"/>
        <v>1.130986491</v>
      </c>
      <c r="AE156" s="8">
        <f t="shared" si="163"/>
        <v>395.845272</v>
      </c>
      <c r="AF156" s="73">
        <f t="shared" si="164"/>
        <v>118.5130967</v>
      </c>
      <c r="AG156" s="74" t="str">
        <f t="shared" si="165"/>
        <v>#REF!</v>
      </c>
      <c r="AH156" s="73">
        <f t="shared" si="166"/>
        <v>0</v>
      </c>
      <c r="AI156" s="73">
        <f t="shared" si="167"/>
        <v>0</v>
      </c>
      <c r="AJ156" s="75">
        <f t="shared" si="168"/>
        <v>1.123718348</v>
      </c>
      <c r="AK156" s="73">
        <f t="shared" si="169"/>
        <v>1.216661691</v>
      </c>
      <c r="AL156" s="73">
        <f t="shared" si="170"/>
        <v>0.9530871741</v>
      </c>
      <c r="AM156" s="73">
        <f t="shared" si="171"/>
        <v>0.9854758578</v>
      </c>
      <c r="AN156" s="75">
        <v>447.29</v>
      </c>
      <c r="AO156" s="76">
        <v>450.0</v>
      </c>
      <c r="AP156" s="73">
        <f t="shared" si="172"/>
        <v>450</v>
      </c>
      <c r="AQ156" s="29" t="str">
        <f t="shared" si="173"/>
        <v>#REF!</v>
      </c>
      <c r="AR156" s="77" t="str">
        <f t="shared" si="174"/>
        <v>#REF!</v>
      </c>
      <c r="AS156" s="73"/>
      <c r="AT156" s="39"/>
    </row>
    <row r="157" ht="15.75" customHeight="1">
      <c r="A157" s="7" t="s">
        <v>629</v>
      </c>
      <c r="B157" s="7" t="s">
        <v>630</v>
      </c>
      <c r="C157" s="7">
        <v>1961.0</v>
      </c>
      <c r="D157" s="7"/>
      <c r="E157" s="7">
        <v>1961.0</v>
      </c>
      <c r="F157" s="7" t="b">
        <v>1</v>
      </c>
      <c r="G157" s="7" t="b">
        <v>0</v>
      </c>
      <c r="H157" s="7" t="b">
        <v>1</v>
      </c>
      <c r="I157" s="7" t="b">
        <v>0</v>
      </c>
      <c r="J157" s="9">
        <v>250.0</v>
      </c>
      <c r="K157" s="9">
        <v>5.0</v>
      </c>
      <c r="L157" s="7">
        <v>400.0</v>
      </c>
      <c r="M157" s="7">
        <v>0.0</v>
      </c>
      <c r="N157" s="7">
        <v>153.0</v>
      </c>
      <c r="O157" s="7">
        <v>63.7</v>
      </c>
      <c r="P157" s="9">
        <v>162.0</v>
      </c>
      <c r="Q157" s="7">
        <v>338.6</v>
      </c>
      <c r="R157" s="7">
        <v>5.3</v>
      </c>
      <c r="S157" s="7">
        <v>0.98908</v>
      </c>
      <c r="T157" s="7">
        <v>0.986905</v>
      </c>
      <c r="U157" s="10">
        <f t="shared" si="1"/>
        <v>400</v>
      </c>
      <c r="V157" s="10">
        <f t="shared" si="2"/>
        <v>42.45485136</v>
      </c>
      <c r="W157" s="11">
        <f t="shared" si="3"/>
        <v>2.445859637</v>
      </c>
      <c r="X157" s="8">
        <f t="shared" si="175"/>
        <v>155.8012589</v>
      </c>
      <c r="Y157" s="12">
        <f t="shared" si="4"/>
        <v>4</v>
      </c>
      <c r="Z157" s="12">
        <f t="shared" si="5"/>
        <v>779.0062945</v>
      </c>
      <c r="AA157" s="12">
        <f t="shared" si="6"/>
        <v>12.22929819</v>
      </c>
      <c r="AB157" s="13">
        <f t="shared" si="7"/>
        <v>0.3895031472</v>
      </c>
      <c r="AC157" s="8">
        <f t="shared" si="161"/>
        <v>155.197996</v>
      </c>
      <c r="AD157" s="13">
        <f t="shared" si="162"/>
        <v>0.38799499</v>
      </c>
      <c r="AE157" s="8">
        <f t="shared" si="163"/>
        <v>155.197996</v>
      </c>
      <c r="AF157" s="73">
        <f t="shared" si="164"/>
        <v>15.85613713</v>
      </c>
      <c r="AG157" s="74" t="str">
        <f t="shared" si="165"/>
        <v>#REF!</v>
      </c>
      <c r="AH157" s="73">
        <f t="shared" si="166"/>
        <v>0</v>
      </c>
      <c r="AI157" s="73">
        <f t="shared" si="167"/>
        <v>0.4128305045</v>
      </c>
      <c r="AJ157" s="75">
        <f t="shared" si="168"/>
        <v>1</v>
      </c>
      <c r="AK157" s="73">
        <f t="shared" si="169"/>
        <v>0.7284817376</v>
      </c>
      <c r="AL157" s="73">
        <f t="shared" si="170"/>
        <v>1.522781112</v>
      </c>
      <c r="AM157" s="73">
        <f t="shared" si="171"/>
        <v>1.251730393</v>
      </c>
      <c r="AN157" s="75">
        <v>94.19</v>
      </c>
      <c r="AO157" s="76">
        <v>94.0</v>
      </c>
      <c r="AP157" s="73">
        <f t="shared" si="172"/>
        <v>94</v>
      </c>
      <c r="AQ157" s="29" t="str">
        <f t="shared" si="173"/>
        <v>#REF!</v>
      </c>
      <c r="AR157" s="77" t="str">
        <f t="shared" si="174"/>
        <v>#REF!</v>
      </c>
      <c r="AS157" s="73"/>
      <c r="AT157" s="39"/>
    </row>
    <row r="158" ht="15.75" customHeight="1">
      <c r="A158" s="7" t="s">
        <v>646</v>
      </c>
      <c r="B158" s="7" t="s">
        <v>647</v>
      </c>
      <c r="C158" s="7">
        <v>1961.0</v>
      </c>
      <c r="D158" s="7"/>
      <c r="E158" s="7">
        <v>1961.0</v>
      </c>
      <c r="F158" s="7" t="b">
        <v>1</v>
      </c>
      <c r="G158" s="7" t="b">
        <v>0</v>
      </c>
      <c r="H158" s="7" t="b">
        <v>1</v>
      </c>
      <c r="I158" s="7" t="b">
        <v>0</v>
      </c>
      <c r="J158" s="9">
        <v>90.0</v>
      </c>
      <c r="K158" s="7">
        <v>1.0</v>
      </c>
      <c r="L158" s="7">
        <v>90.0</v>
      </c>
      <c r="M158" s="7">
        <v>-5.0</v>
      </c>
      <c r="N158" s="7">
        <v>101.0</v>
      </c>
      <c r="O158" s="7">
        <v>81.2</v>
      </c>
      <c r="P158" s="9">
        <v>243.0</v>
      </c>
      <c r="Q158" s="7">
        <v>279.0</v>
      </c>
      <c r="R158" s="7">
        <v>6.62</v>
      </c>
      <c r="S158" s="7">
        <v>0.984807</v>
      </c>
      <c r="T158" s="7">
        <v>0.984807</v>
      </c>
      <c r="U158" s="10">
        <f t="shared" si="1"/>
        <v>85</v>
      </c>
      <c r="V158" s="10">
        <f t="shared" si="2"/>
        <v>81.9811448</v>
      </c>
      <c r="W158" s="11">
        <f t="shared" si="3"/>
        <v>1.404327897</v>
      </c>
      <c r="X158" s="8">
        <f t="shared" si="175"/>
        <v>114.0314252</v>
      </c>
      <c r="Y158" s="12">
        <f t="shared" si="4"/>
        <v>4</v>
      </c>
      <c r="Z158" s="12">
        <f t="shared" si="5"/>
        <v>570.157126</v>
      </c>
      <c r="AA158" s="12">
        <f t="shared" si="6"/>
        <v>7.021639483</v>
      </c>
      <c r="AB158" s="13">
        <f t="shared" si="7"/>
        <v>1.341546179</v>
      </c>
      <c r="AC158" s="8">
        <f t="shared" si="161"/>
        <v>112.8734164</v>
      </c>
      <c r="AD158" s="13">
        <f t="shared" si="162"/>
        <v>1.327922546</v>
      </c>
      <c r="AE158" s="8">
        <f t="shared" si="163"/>
        <v>112.8734164</v>
      </c>
      <c r="AF158" s="73">
        <f t="shared" si="164"/>
        <v>18.6570743</v>
      </c>
      <c r="AG158" s="74" t="str">
        <f t="shared" si="165"/>
        <v>#REF!</v>
      </c>
      <c r="AH158" s="73">
        <f t="shared" si="166"/>
        <v>0</v>
      </c>
      <c r="AI158" s="73">
        <f t="shared" si="167"/>
        <v>0</v>
      </c>
      <c r="AJ158" s="75">
        <f t="shared" si="168"/>
        <v>1.27132019</v>
      </c>
      <c r="AK158" s="73">
        <f t="shared" si="169"/>
        <v>1.012306431</v>
      </c>
      <c r="AL158" s="73">
        <f t="shared" si="170"/>
        <v>0.8657607157</v>
      </c>
      <c r="AM158" s="73">
        <f t="shared" si="171"/>
        <v>0.841517323</v>
      </c>
      <c r="AN158" s="75">
        <v>48.9</v>
      </c>
      <c r="AO158" s="76">
        <v>49.0</v>
      </c>
      <c r="AP158" s="73">
        <f t="shared" si="172"/>
        <v>49</v>
      </c>
      <c r="AQ158" s="29" t="str">
        <f t="shared" si="173"/>
        <v>#REF!</v>
      </c>
      <c r="AR158" s="77" t="str">
        <f t="shared" si="174"/>
        <v>#REF!</v>
      </c>
      <c r="AS158" s="73"/>
      <c r="AT158" s="39"/>
    </row>
    <row r="159" ht="15.75" customHeight="1">
      <c r="A159" s="7" t="s">
        <v>649</v>
      </c>
      <c r="B159" s="7" t="s">
        <v>650</v>
      </c>
      <c r="C159" s="7">
        <v>1961.0</v>
      </c>
      <c r="D159" s="7"/>
      <c r="E159" s="7">
        <v>1961.0</v>
      </c>
      <c r="F159" s="7" t="b">
        <v>1</v>
      </c>
      <c r="G159" s="7" t="b">
        <v>0</v>
      </c>
      <c r="H159" s="7" t="b">
        <v>1</v>
      </c>
      <c r="I159" s="7" t="b">
        <v>0</v>
      </c>
      <c r="J159" s="9">
        <v>163.0</v>
      </c>
      <c r="K159" s="7">
        <v>1.0</v>
      </c>
      <c r="L159" s="7">
        <v>60.0</v>
      </c>
      <c r="M159" s="7">
        <v>-3.0</v>
      </c>
      <c r="N159" s="7">
        <v>33.0</v>
      </c>
      <c r="O159" s="7">
        <v>12.06</v>
      </c>
      <c r="P159" s="9">
        <v>237.0</v>
      </c>
      <c r="Q159" s="7">
        <v>255.0</v>
      </c>
      <c r="R159" s="7">
        <v>6.62</v>
      </c>
      <c r="S159" s="7">
        <v>0.99717</v>
      </c>
      <c r="T159" s="7">
        <v>0.993396</v>
      </c>
      <c r="U159" s="10">
        <f t="shared" si="1"/>
        <v>57</v>
      </c>
      <c r="V159" s="10">
        <f t="shared" si="2"/>
        <v>37.2659924</v>
      </c>
      <c r="W159" s="11">
        <f t="shared" si="3"/>
        <v>4.734780396</v>
      </c>
      <c r="X159" s="8">
        <f t="shared" si="175"/>
        <v>57.10145157</v>
      </c>
      <c r="Y159" s="12">
        <f t="shared" si="4"/>
        <v>4</v>
      </c>
      <c r="Z159" s="12">
        <f t="shared" si="5"/>
        <v>285.5072579</v>
      </c>
      <c r="AA159" s="12">
        <f t="shared" si="6"/>
        <v>23.67390198</v>
      </c>
      <c r="AB159" s="13">
        <f t="shared" si="7"/>
        <v>1.001779852</v>
      </c>
      <c r="AC159" s="8">
        <f t="shared" si="161"/>
        <v>57.7058527</v>
      </c>
      <c r="AD159" s="13">
        <f t="shared" si="162"/>
        <v>1.012383381</v>
      </c>
      <c r="AE159" s="8">
        <f t="shared" si="163"/>
        <v>57.7058527</v>
      </c>
      <c r="AF159" s="73">
        <f t="shared" si="164"/>
        <v>5.888351787</v>
      </c>
      <c r="AG159" s="74" t="str">
        <f t="shared" si="165"/>
        <v>#REF!</v>
      </c>
      <c r="AH159" s="73">
        <f t="shared" si="166"/>
        <v>0</v>
      </c>
      <c r="AI159" s="73">
        <f t="shared" si="167"/>
        <v>0</v>
      </c>
      <c r="AJ159" s="75">
        <f t="shared" si="168"/>
        <v>1.391546067</v>
      </c>
      <c r="AK159" s="73">
        <f t="shared" si="169"/>
        <v>0.6825136665</v>
      </c>
      <c r="AL159" s="73">
        <f t="shared" si="170"/>
        <v>0.7342645998</v>
      </c>
      <c r="AM159" s="73">
        <f t="shared" si="171"/>
        <v>1.093141856</v>
      </c>
      <c r="AN159" s="75">
        <v>17.85</v>
      </c>
      <c r="AO159" s="76">
        <v>18.0</v>
      </c>
      <c r="AP159" s="73">
        <f t="shared" si="172"/>
        <v>18</v>
      </c>
      <c r="AQ159" s="29" t="str">
        <f t="shared" si="173"/>
        <v>#REF!</v>
      </c>
      <c r="AR159" s="77" t="str">
        <f t="shared" si="174"/>
        <v>#REF!</v>
      </c>
      <c r="AS159" s="73"/>
      <c r="AT159" s="39"/>
    </row>
    <row r="160" ht="15.75" customHeight="1">
      <c r="A160" s="7" t="s">
        <v>822</v>
      </c>
      <c r="B160" s="7" t="s">
        <v>820</v>
      </c>
      <c r="C160" s="7">
        <v>1961.0</v>
      </c>
      <c r="D160" s="7"/>
      <c r="E160" s="7">
        <v>1961.0</v>
      </c>
      <c r="F160" s="7" t="b">
        <v>1</v>
      </c>
      <c r="G160" s="7" t="b">
        <v>0</v>
      </c>
      <c r="H160" s="7" t="b">
        <v>1</v>
      </c>
      <c r="I160" s="7" t="b">
        <v>0</v>
      </c>
      <c r="J160" s="9">
        <v>245.0</v>
      </c>
      <c r="K160" s="7">
        <v>1.0</v>
      </c>
      <c r="L160" s="7">
        <v>400.0</v>
      </c>
      <c r="M160" s="7">
        <v>115.0</v>
      </c>
      <c r="N160" s="7">
        <v>235.0</v>
      </c>
      <c r="O160" s="7">
        <v>156.3</v>
      </c>
      <c r="P160" s="9">
        <v>213.03</v>
      </c>
      <c r="Q160" s="9">
        <v>318.68</v>
      </c>
      <c r="R160" s="7">
        <v>4.2</v>
      </c>
      <c r="S160" s="7">
        <v>0.97</v>
      </c>
      <c r="T160" s="7">
        <v>0.98</v>
      </c>
      <c r="U160" s="10">
        <f t="shared" si="1"/>
        <v>515</v>
      </c>
      <c r="V160" s="10">
        <f t="shared" si="2"/>
        <v>67.82197601</v>
      </c>
      <c r="W160" s="11">
        <f t="shared" si="3"/>
        <v>1.222559961</v>
      </c>
      <c r="X160" s="8">
        <f t="shared" si="175"/>
        <v>191.0861219</v>
      </c>
      <c r="Y160" s="12">
        <f t="shared" si="4"/>
        <v>4</v>
      </c>
      <c r="Z160" s="12">
        <f t="shared" si="5"/>
        <v>955.4306094</v>
      </c>
      <c r="AA160" s="12">
        <f t="shared" si="6"/>
        <v>6.112799804</v>
      </c>
      <c r="AB160" s="13">
        <f t="shared" si="7"/>
        <v>0.3710410133</v>
      </c>
      <c r="AC160" s="8">
        <f t="shared" si="161"/>
        <v>185.4681899</v>
      </c>
      <c r="AD160" s="13">
        <f t="shared" si="162"/>
        <v>0.3601324076</v>
      </c>
      <c r="AE160" s="8">
        <f t="shared" si="163"/>
        <v>185.4681899</v>
      </c>
      <c r="AF160" s="73">
        <f t="shared" si="164"/>
        <v>29.6592848</v>
      </c>
      <c r="AG160" s="74" t="str">
        <f t="shared" si="165"/>
        <v>#REF!</v>
      </c>
      <c r="AH160" s="73">
        <f t="shared" si="166"/>
        <v>0</v>
      </c>
      <c r="AI160" s="73">
        <f t="shared" si="167"/>
        <v>0</v>
      </c>
      <c r="AJ160" s="75">
        <f t="shared" si="168"/>
        <v>1.002185048</v>
      </c>
      <c r="AK160" s="73">
        <f t="shared" si="169"/>
        <v>0.9207468165</v>
      </c>
      <c r="AL160" s="73">
        <f t="shared" si="170"/>
        <v>1.208363134</v>
      </c>
      <c r="AM160" s="73">
        <f t="shared" si="171"/>
        <v>1.2446297</v>
      </c>
      <c r="AN160" s="75">
        <v>110.31</v>
      </c>
      <c r="AO160" s="76">
        <v>110.0</v>
      </c>
      <c r="AP160" s="73">
        <f t="shared" si="172"/>
        <v>110</v>
      </c>
      <c r="AQ160" s="29" t="str">
        <f t="shared" si="173"/>
        <v>#REF!</v>
      </c>
      <c r="AR160" s="77" t="str">
        <f t="shared" si="174"/>
        <v>#REF!</v>
      </c>
      <c r="AS160" s="73"/>
      <c r="AT160" s="39"/>
    </row>
    <row r="161" ht="15.75" customHeight="1">
      <c r="A161" s="7" t="s">
        <v>67</v>
      </c>
      <c r="B161" s="7" t="s">
        <v>68</v>
      </c>
      <c r="C161" s="7">
        <v>1962.0</v>
      </c>
      <c r="D161" s="7"/>
      <c r="E161" s="7">
        <v>1962.0</v>
      </c>
      <c r="F161" s="7" t="b">
        <v>0</v>
      </c>
      <c r="G161" s="7" t="b">
        <v>0</v>
      </c>
      <c r="H161" s="7" t="b">
        <v>1</v>
      </c>
      <c r="I161" s="7" t="b">
        <v>0</v>
      </c>
      <c r="J161" s="9">
        <v>50.0</v>
      </c>
      <c r="K161" s="9">
        <v>20.0</v>
      </c>
      <c r="L161" s="7">
        <v>50.0</v>
      </c>
      <c r="M161" s="7">
        <v>0.0</v>
      </c>
      <c r="N161" s="7">
        <v>57.5</v>
      </c>
      <c r="O161" s="7">
        <v>0.9608</v>
      </c>
      <c r="P161" s="9">
        <v>95.0</v>
      </c>
      <c r="Q161" s="7">
        <v>255.8</v>
      </c>
      <c r="R161" s="7">
        <v>0.65</v>
      </c>
      <c r="S161" s="7">
        <v>0.997718</v>
      </c>
      <c r="T161" s="7">
        <v>0.995679</v>
      </c>
      <c r="U161" s="10">
        <f t="shared" si="1"/>
        <v>50</v>
      </c>
      <c r="V161" s="10">
        <f t="shared" si="2"/>
        <v>1.703901451</v>
      </c>
      <c r="W161" s="11">
        <f t="shared" si="3"/>
        <v>64.95618329</v>
      </c>
      <c r="X161" s="8">
        <f t="shared" si="175"/>
        <v>62.4099009</v>
      </c>
      <c r="Y161" s="12">
        <f t="shared" si="4"/>
        <v>1.75</v>
      </c>
      <c r="Z161" s="12">
        <f t="shared" si="5"/>
        <v>171.6272275</v>
      </c>
      <c r="AA161" s="12">
        <f t="shared" si="6"/>
        <v>178.629504</v>
      </c>
      <c r="AB161" s="13">
        <f t="shared" si="7"/>
        <v>1.248198018</v>
      </c>
      <c r="AC161" s="8">
        <f t="shared" si="161"/>
        <v>63.24662174</v>
      </c>
      <c r="AD161" s="13">
        <f t="shared" si="162"/>
        <v>1.264932435</v>
      </c>
      <c r="AE161" s="8">
        <f t="shared" si="163"/>
        <v>63.24662174</v>
      </c>
      <c r="AF161" s="73">
        <f t="shared" si="164"/>
        <v>2.262407931</v>
      </c>
      <c r="AG161" s="74" t="str">
        <f t="shared" si="165"/>
        <v>#REF!</v>
      </c>
      <c r="AH161" s="73">
        <f t="shared" si="166"/>
        <v>0</v>
      </c>
      <c r="AI161" s="73">
        <f t="shared" si="167"/>
        <v>0.6760795925</v>
      </c>
      <c r="AJ161" s="75">
        <f t="shared" si="168"/>
        <v>1</v>
      </c>
      <c r="AK161" s="73">
        <f t="shared" si="169"/>
        <v>0.2</v>
      </c>
      <c r="AL161" s="73">
        <f t="shared" si="170"/>
        <v>0.7383077605</v>
      </c>
      <c r="AM161" s="73">
        <f t="shared" si="171"/>
        <v>0.5511557478</v>
      </c>
      <c r="AN161" s="75">
        <v>2.74</v>
      </c>
      <c r="AO161" s="76">
        <v>2.7</v>
      </c>
      <c r="AP161" s="73">
        <f t="shared" si="172"/>
        <v>2.7</v>
      </c>
      <c r="AQ161" s="29" t="str">
        <f t="shared" si="173"/>
        <v>#REF!</v>
      </c>
      <c r="AR161" s="77" t="str">
        <f t="shared" si="174"/>
        <v>#REF!</v>
      </c>
      <c r="AS161" s="73"/>
      <c r="AT161" s="39"/>
    </row>
    <row r="162" ht="15.75" customHeight="1">
      <c r="A162" s="16" t="s">
        <v>88</v>
      </c>
      <c r="B162" s="16" t="s">
        <v>83</v>
      </c>
      <c r="C162" s="16">
        <v>1962.0</v>
      </c>
      <c r="D162" s="16"/>
      <c r="E162" s="16">
        <v>1962.0</v>
      </c>
      <c r="F162" s="16" t="b">
        <v>0</v>
      </c>
      <c r="G162" s="16" t="b">
        <v>0</v>
      </c>
      <c r="H162" s="16" t="b">
        <v>1</v>
      </c>
      <c r="I162" s="16" t="b">
        <v>0</v>
      </c>
      <c r="J162" s="18">
        <v>150.0</v>
      </c>
      <c r="K162" s="16">
        <v>1.0</v>
      </c>
      <c r="L162" s="16">
        <v>100.0</v>
      </c>
      <c r="M162" s="16">
        <v>-30.0</v>
      </c>
      <c r="N162" s="16">
        <v>80.0</v>
      </c>
      <c r="O162" s="16">
        <v>33.1</v>
      </c>
      <c r="P162" s="18">
        <v>122.0</v>
      </c>
      <c r="Q162" s="16">
        <v>265.0</v>
      </c>
      <c r="R162" s="16">
        <v>1.4</v>
      </c>
      <c r="S162" s="16">
        <v>0.982812</v>
      </c>
      <c r="T162" s="16">
        <v>0.992222</v>
      </c>
      <c r="U162" s="19">
        <f t="shared" si="1"/>
        <v>70</v>
      </c>
      <c r="V162" s="19">
        <f t="shared" si="2"/>
        <v>42.19075819</v>
      </c>
      <c r="W162" s="20">
        <f t="shared" si="3"/>
        <v>2.484417789</v>
      </c>
      <c r="X162" s="17">
        <f t="shared" si="175"/>
        <v>82.23422882</v>
      </c>
      <c r="Y162" s="21">
        <f t="shared" si="4"/>
        <v>1.75</v>
      </c>
      <c r="Z162" s="21">
        <f t="shared" si="5"/>
        <v>226.1441293</v>
      </c>
      <c r="AA162" s="21">
        <f t="shared" si="6"/>
        <v>6.83214892</v>
      </c>
      <c r="AB162" s="22">
        <f t="shared" si="7"/>
        <v>1.174774697</v>
      </c>
      <c r="AC162" s="8">
        <f t="shared" si="161"/>
        <v>81.83684739</v>
      </c>
      <c r="AD162" s="13">
        <f t="shared" si="162"/>
        <v>1.16909782</v>
      </c>
      <c r="AE162" s="8">
        <f t="shared" si="163"/>
        <v>81.83684739</v>
      </c>
      <c r="AF162" s="73">
        <f t="shared" si="164"/>
        <v>9.871900264</v>
      </c>
      <c r="AG162" s="74" t="str">
        <f t="shared" si="165"/>
        <v>#REF!</v>
      </c>
      <c r="AH162" s="73">
        <f t="shared" si="166"/>
        <v>0</v>
      </c>
      <c r="AI162" s="73">
        <f t="shared" si="167"/>
        <v>0</v>
      </c>
      <c r="AJ162" s="75">
        <f t="shared" si="168"/>
        <v>1</v>
      </c>
      <c r="AK162" s="73">
        <f t="shared" si="169"/>
        <v>0.7262124189</v>
      </c>
      <c r="AL162" s="73">
        <f t="shared" si="170"/>
        <v>0.7864355299</v>
      </c>
      <c r="AM162" s="73">
        <f t="shared" si="171"/>
        <v>1.060224449</v>
      </c>
      <c r="AN162" s="75">
        <v>19.57</v>
      </c>
      <c r="AO162" s="76">
        <v>20.0</v>
      </c>
      <c r="AP162" s="73">
        <f t="shared" si="172"/>
        <v>20</v>
      </c>
      <c r="AQ162" s="29" t="str">
        <f t="shared" si="173"/>
        <v>#REF!</v>
      </c>
      <c r="AR162" s="77" t="str">
        <f t="shared" si="174"/>
        <v>#REF!</v>
      </c>
      <c r="AS162" s="73"/>
      <c r="AT162" s="39"/>
    </row>
    <row r="163" ht="15.75" customHeight="1">
      <c r="A163" s="7" t="s">
        <v>87</v>
      </c>
      <c r="B163" s="7" t="s">
        <v>83</v>
      </c>
      <c r="C163" s="7">
        <v>1962.0</v>
      </c>
      <c r="D163" s="7"/>
      <c r="E163" s="7">
        <v>1962.0</v>
      </c>
      <c r="F163" s="7" t="b">
        <v>0</v>
      </c>
      <c r="G163" s="7" t="b">
        <v>0</v>
      </c>
      <c r="H163" s="7" t="b">
        <v>1</v>
      </c>
      <c r="I163" s="7" t="b">
        <v>0</v>
      </c>
      <c r="J163" s="9">
        <v>180.0</v>
      </c>
      <c r="K163" s="7">
        <v>1.0</v>
      </c>
      <c r="L163" s="7">
        <v>100.0</v>
      </c>
      <c r="M163" s="7">
        <v>10.0</v>
      </c>
      <c r="N163" s="7">
        <v>80.0</v>
      </c>
      <c r="O163" s="7">
        <v>33.7</v>
      </c>
      <c r="P163" s="9">
        <v>122.0</v>
      </c>
      <c r="Q163" s="7">
        <v>272.5</v>
      </c>
      <c r="R163" s="7">
        <v>1.4</v>
      </c>
      <c r="S163" s="7">
        <v>0.9875</v>
      </c>
      <c r="T163" s="7">
        <v>0.994444</v>
      </c>
      <c r="U163" s="10">
        <f t="shared" si="1"/>
        <v>110</v>
      </c>
      <c r="V163" s="10">
        <f t="shared" si="2"/>
        <v>42.95554535</v>
      </c>
      <c r="W163" s="11">
        <f t="shared" si="3"/>
        <v>2.476447661</v>
      </c>
      <c r="X163" s="8">
        <f t="shared" si="175"/>
        <v>83.45628618</v>
      </c>
      <c r="Y163" s="12">
        <f t="shared" si="4"/>
        <v>1.75</v>
      </c>
      <c r="Z163" s="12">
        <f t="shared" si="5"/>
        <v>229.504787</v>
      </c>
      <c r="AA163" s="12">
        <f t="shared" si="6"/>
        <v>6.810231068</v>
      </c>
      <c r="AB163" s="13">
        <f t="shared" si="7"/>
        <v>0.7586935108</v>
      </c>
      <c r="AC163" s="8">
        <f t="shared" si="161"/>
        <v>83.62432124</v>
      </c>
      <c r="AD163" s="13">
        <f t="shared" si="162"/>
        <v>0.7602211022</v>
      </c>
      <c r="AE163" s="8">
        <f t="shared" si="163"/>
        <v>83.62432124</v>
      </c>
      <c r="AF163" s="73">
        <f t="shared" si="164"/>
        <v>10.00140027</v>
      </c>
      <c r="AG163" s="74" t="str">
        <f t="shared" si="165"/>
        <v>#REF!</v>
      </c>
      <c r="AH163" s="73">
        <f t="shared" si="166"/>
        <v>0</v>
      </c>
      <c r="AI163" s="73">
        <f t="shared" si="167"/>
        <v>0</v>
      </c>
      <c r="AJ163" s="75">
        <f t="shared" si="168"/>
        <v>1</v>
      </c>
      <c r="AK163" s="73">
        <f t="shared" si="169"/>
        <v>0.7327648442</v>
      </c>
      <c r="AL163" s="73">
        <f t="shared" si="170"/>
        <v>0.8279822518</v>
      </c>
      <c r="AM163" s="73">
        <f t="shared" si="171"/>
        <v>1.13151236</v>
      </c>
      <c r="AN163" s="75">
        <v>23.34</v>
      </c>
      <c r="AO163" s="76">
        <v>23.0</v>
      </c>
      <c r="AP163" s="73">
        <f t="shared" si="172"/>
        <v>23</v>
      </c>
      <c r="AQ163" s="29" t="str">
        <f t="shared" si="173"/>
        <v>#REF!</v>
      </c>
      <c r="AR163" s="77" t="str">
        <f t="shared" si="174"/>
        <v>#REF!</v>
      </c>
      <c r="AS163" s="73"/>
      <c r="AT163" s="39"/>
    </row>
    <row r="164" ht="15.75" customHeight="1">
      <c r="A164" s="7" t="s">
        <v>199</v>
      </c>
      <c r="B164" s="7" t="s">
        <v>198</v>
      </c>
      <c r="C164" s="7">
        <v>1962.0</v>
      </c>
      <c r="D164" s="7"/>
      <c r="E164" s="7">
        <v>1962.0</v>
      </c>
      <c r="F164" s="7" t="b">
        <v>0</v>
      </c>
      <c r="G164" s="7" t="b">
        <v>0</v>
      </c>
      <c r="H164" s="7" t="b">
        <v>1</v>
      </c>
      <c r="I164" s="7" t="b">
        <v>0</v>
      </c>
      <c r="J164" s="9">
        <v>450.0</v>
      </c>
      <c r="K164" s="9">
        <v>1.0</v>
      </c>
      <c r="L164" s="7">
        <v>200.0</v>
      </c>
      <c r="M164" s="7">
        <v>20.0</v>
      </c>
      <c r="N164" s="9">
        <v>204.0</v>
      </c>
      <c r="O164" s="7">
        <v>253.3688</v>
      </c>
      <c r="P164" s="9">
        <v>110.0</v>
      </c>
      <c r="Q164" s="7">
        <v>305.0</v>
      </c>
      <c r="R164" s="7">
        <v>1.38</v>
      </c>
      <c r="S164" s="7">
        <v>0.988</v>
      </c>
      <c r="T164" s="7">
        <v>0.994</v>
      </c>
      <c r="U164" s="10">
        <f t="shared" si="1"/>
        <v>220</v>
      </c>
      <c r="V164" s="10">
        <f t="shared" si="2"/>
        <v>126.6491532</v>
      </c>
      <c r="W164" s="11">
        <f t="shared" si="3"/>
        <v>0.6197005366</v>
      </c>
      <c r="X164" s="8">
        <f t="shared" si="175"/>
        <v>157.0127813</v>
      </c>
      <c r="Y164" s="12">
        <f t="shared" si="4"/>
        <v>1.75</v>
      </c>
      <c r="Z164" s="12">
        <f t="shared" si="5"/>
        <v>431.7851486</v>
      </c>
      <c r="AA164" s="12">
        <f t="shared" si="6"/>
        <v>1.704176476</v>
      </c>
      <c r="AB164" s="13">
        <f t="shared" si="7"/>
        <v>0.7136944606</v>
      </c>
      <c r="AC164" s="8">
        <f t="shared" si="161"/>
        <v>157.3381118</v>
      </c>
      <c r="AD164" s="13">
        <f t="shared" si="162"/>
        <v>0.7151732355</v>
      </c>
      <c r="AE164" s="8">
        <f t="shared" si="163"/>
        <v>157.3381118</v>
      </c>
      <c r="AF164" s="73">
        <f t="shared" si="164"/>
        <v>55.30296642</v>
      </c>
      <c r="AG164" s="74" t="str">
        <f t="shared" si="165"/>
        <v>#REF!</v>
      </c>
      <c r="AH164" s="73">
        <f t="shared" si="166"/>
        <v>0</v>
      </c>
      <c r="AI164" s="73">
        <f t="shared" si="167"/>
        <v>0</v>
      </c>
      <c r="AJ164" s="75">
        <f t="shared" si="168"/>
        <v>1</v>
      </c>
      <c r="AK164" s="73">
        <f t="shared" si="169"/>
        <v>1.258218747</v>
      </c>
      <c r="AL164" s="73">
        <f t="shared" si="170"/>
        <v>1.045405091</v>
      </c>
      <c r="AM164" s="73">
        <f t="shared" si="171"/>
        <v>1.442806746</v>
      </c>
      <c r="AN164" s="75">
        <v>270.94</v>
      </c>
      <c r="AO164" s="76">
        <v>270.0</v>
      </c>
      <c r="AP164" s="73">
        <f t="shared" si="172"/>
        <v>270</v>
      </c>
      <c r="AQ164" s="29" t="str">
        <f t="shared" si="173"/>
        <v>#REF!</v>
      </c>
      <c r="AR164" s="77" t="str">
        <f t="shared" si="174"/>
        <v>#REF!</v>
      </c>
      <c r="AS164" s="73"/>
      <c r="AT164" s="39"/>
    </row>
    <row r="165" ht="15.75" customHeight="1">
      <c r="A165" s="7" t="s">
        <v>202</v>
      </c>
      <c r="B165" s="7" t="s">
        <v>201</v>
      </c>
      <c r="C165" s="7">
        <v>1962.0</v>
      </c>
      <c r="D165" s="7"/>
      <c r="E165" s="7">
        <v>1962.0</v>
      </c>
      <c r="F165" s="7" t="b">
        <v>0</v>
      </c>
      <c r="G165" s="7" t="b">
        <v>0</v>
      </c>
      <c r="H165" s="7" t="b">
        <v>1</v>
      </c>
      <c r="I165" s="7" t="b">
        <v>0</v>
      </c>
      <c r="J165" s="9">
        <v>135.0</v>
      </c>
      <c r="K165" s="9">
        <v>3.0</v>
      </c>
      <c r="L165" s="7">
        <v>150.0</v>
      </c>
      <c r="M165" s="7">
        <v>15.0</v>
      </c>
      <c r="N165" s="7">
        <v>83.9</v>
      </c>
      <c r="O165" s="7">
        <v>34.176</v>
      </c>
      <c r="P165" s="9">
        <v>127.0</v>
      </c>
      <c r="Q165" s="7">
        <v>302.0</v>
      </c>
      <c r="R165" s="7">
        <v>1.03</v>
      </c>
      <c r="S165" s="7">
        <v>0.9875</v>
      </c>
      <c r="T165" s="7">
        <v>0.994444</v>
      </c>
      <c r="U165" s="10">
        <f t="shared" si="1"/>
        <v>165</v>
      </c>
      <c r="V165" s="10">
        <f t="shared" si="2"/>
        <v>41.53733158</v>
      </c>
      <c r="W165" s="11">
        <f t="shared" si="3"/>
        <v>2.598898718</v>
      </c>
      <c r="X165" s="8">
        <f t="shared" si="175"/>
        <v>88.8199626</v>
      </c>
      <c r="Y165" s="12">
        <f t="shared" si="4"/>
        <v>1.75</v>
      </c>
      <c r="Z165" s="12">
        <f t="shared" si="5"/>
        <v>244.2548971</v>
      </c>
      <c r="AA165" s="12">
        <f t="shared" si="6"/>
        <v>7.146971476</v>
      </c>
      <c r="AB165" s="13">
        <f t="shared" si="7"/>
        <v>0.5383028036</v>
      </c>
      <c r="AC165" s="8">
        <f t="shared" si="161"/>
        <v>88.99879715</v>
      </c>
      <c r="AD165" s="13">
        <f t="shared" si="162"/>
        <v>0.5393866494</v>
      </c>
      <c r="AE165" s="8">
        <f t="shared" si="163"/>
        <v>88.99879715</v>
      </c>
      <c r="AF165" s="73">
        <f t="shared" si="164"/>
        <v>10.10405557</v>
      </c>
      <c r="AG165" s="74" t="str">
        <f t="shared" si="165"/>
        <v>#REF!</v>
      </c>
      <c r="AH165" s="73">
        <f t="shared" si="166"/>
        <v>0</v>
      </c>
      <c r="AI165" s="73">
        <f t="shared" si="167"/>
        <v>0.2958876574</v>
      </c>
      <c r="AJ165" s="75">
        <f t="shared" si="168"/>
        <v>1</v>
      </c>
      <c r="AK165" s="73">
        <f t="shared" si="169"/>
        <v>0.7205668912</v>
      </c>
      <c r="AL165" s="73">
        <f t="shared" si="170"/>
        <v>1.016338664</v>
      </c>
      <c r="AM165" s="73">
        <f t="shared" si="171"/>
        <v>1.017461199</v>
      </c>
      <c r="AN165" s="75">
        <v>30.29</v>
      </c>
      <c r="AO165" s="76">
        <v>30.0</v>
      </c>
      <c r="AP165" s="73">
        <f t="shared" si="172"/>
        <v>30</v>
      </c>
      <c r="AQ165" s="29" t="str">
        <f t="shared" si="173"/>
        <v>#REF!</v>
      </c>
      <c r="AR165" s="77" t="str">
        <f t="shared" si="174"/>
        <v>#REF!</v>
      </c>
      <c r="AS165" s="73"/>
      <c r="AT165" s="39"/>
    </row>
    <row r="166" ht="15.75" customHeight="1">
      <c r="A166" s="7" t="s">
        <v>59</v>
      </c>
      <c r="B166" s="7" t="s">
        <v>54</v>
      </c>
      <c r="C166" s="7">
        <v>1962.0</v>
      </c>
      <c r="D166" s="7"/>
      <c r="E166" s="7">
        <v>1962.0</v>
      </c>
      <c r="F166" s="7" t="b">
        <v>1</v>
      </c>
      <c r="G166" s="7" t="b">
        <v>0</v>
      </c>
      <c r="H166" s="7" t="b">
        <v>1</v>
      </c>
      <c r="I166" s="7" t="b">
        <v>0</v>
      </c>
      <c r="J166" s="9">
        <v>240.0</v>
      </c>
      <c r="K166" s="9">
        <v>15.0</v>
      </c>
      <c r="L166" s="7">
        <v>150.0</v>
      </c>
      <c r="M166" s="7">
        <v>-23.0</v>
      </c>
      <c r="N166" s="7">
        <v>134.26</v>
      </c>
      <c r="O166" s="7">
        <v>71.17</v>
      </c>
      <c r="P166" s="9">
        <v>159.0</v>
      </c>
      <c r="Q166" s="7">
        <v>290.5</v>
      </c>
      <c r="R166" s="7">
        <v>3.48</v>
      </c>
      <c r="S166" s="7">
        <v>0.9977</v>
      </c>
      <c r="T166" s="7">
        <v>0.9978</v>
      </c>
      <c r="U166" s="10">
        <f t="shared" si="1"/>
        <v>127</v>
      </c>
      <c r="V166" s="10">
        <f t="shared" si="2"/>
        <v>54.05422513</v>
      </c>
      <c r="W166" s="11">
        <f t="shared" si="3"/>
        <v>1.796909695</v>
      </c>
      <c r="X166" s="8">
        <f t="shared" si="175"/>
        <v>127.886063</v>
      </c>
      <c r="Y166" s="12">
        <f t="shared" si="4"/>
        <v>4</v>
      </c>
      <c r="Z166" s="12">
        <f t="shared" si="5"/>
        <v>639.4303149</v>
      </c>
      <c r="AA166" s="12">
        <f t="shared" si="6"/>
        <v>8.984548474</v>
      </c>
      <c r="AB166" s="13">
        <f t="shared" si="7"/>
        <v>1.006976874</v>
      </c>
      <c r="AC166" s="8">
        <f t="shared" si="161"/>
        <v>129.8689441</v>
      </c>
      <c r="AD166" s="13">
        <f t="shared" si="162"/>
        <v>1.022590111</v>
      </c>
      <c r="AE166" s="8">
        <f t="shared" si="163"/>
        <v>129.8689441</v>
      </c>
      <c r="AF166" s="73">
        <f t="shared" si="164"/>
        <v>17.06886074</v>
      </c>
      <c r="AG166" s="74" t="str">
        <f t="shared" si="165"/>
        <v>#REF!</v>
      </c>
      <c r="AH166" s="73">
        <f t="shared" si="166"/>
        <v>0</v>
      </c>
      <c r="AI166" s="73">
        <f t="shared" si="167"/>
        <v>0.6272838613</v>
      </c>
      <c r="AJ166" s="75">
        <f t="shared" si="168"/>
        <v>1</v>
      </c>
      <c r="AK166" s="73">
        <f t="shared" si="169"/>
        <v>0.8219962373</v>
      </c>
      <c r="AL166" s="73">
        <f t="shared" si="170"/>
        <v>0.9368714215</v>
      </c>
      <c r="AM166" s="73">
        <f t="shared" si="171"/>
        <v>1.237344028</v>
      </c>
      <c r="AN166" s="75">
        <v>79.08</v>
      </c>
      <c r="AO166" s="76">
        <v>79.0</v>
      </c>
      <c r="AP166" s="73">
        <f t="shared" si="172"/>
        <v>79</v>
      </c>
      <c r="AQ166" s="29" t="str">
        <f t="shared" si="173"/>
        <v>#REF!</v>
      </c>
      <c r="AR166" s="77" t="str">
        <f t="shared" si="174"/>
        <v>#REF!</v>
      </c>
      <c r="AS166" s="73"/>
      <c r="AT166" s="39"/>
    </row>
    <row r="167" ht="15.75" customHeight="1">
      <c r="A167" s="16" t="s">
        <v>263</v>
      </c>
      <c r="B167" s="16" t="s">
        <v>262</v>
      </c>
      <c r="C167" s="16">
        <v>1962.0</v>
      </c>
      <c r="D167" s="16"/>
      <c r="E167" s="16">
        <v>1962.0</v>
      </c>
      <c r="F167" s="16" t="b">
        <v>1</v>
      </c>
      <c r="G167" s="16" t="b">
        <v>0</v>
      </c>
      <c r="H167" s="16" t="b">
        <v>0</v>
      </c>
      <c r="I167" s="16" t="b">
        <v>0</v>
      </c>
      <c r="J167" s="18">
        <v>400.0</v>
      </c>
      <c r="K167" s="16">
        <v>1.0</v>
      </c>
      <c r="L167" s="16">
        <v>15.0</v>
      </c>
      <c r="M167" s="16">
        <v>1.0</v>
      </c>
      <c r="N167" s="16">
        <v>21.8</v>
      </c>
      <c r="O167" s="16">
        <v>4.524</v>
      </c>
      <c r="P167" s="18">
        <v>209.8</v>
      </c>
      <c r="Q167" s="16">
        <v>246.0</v>
      </c>
      <c r="R167" s="16">
        <v>2.5</v>
      </c>
      <c r="S167" s="16">
        <v>0.995</v>
      </c>
      <c r="T167" s="16">
        <v>0.998</v>
      </c>
      <c r="U167" s="19">
        <f t="shared" si="1"/>
        <v>16</v>
      </c>
      <c r="V167" s="19">
        <f t="shared" si="2"/>
        <v>21.16145016</v>
      </c>
      <c r="W167" s="20">
        <f t="shared" si="3"/>
        <v>8.509701929</v>
      </c>
      <c r="X167" s="17">
        <f t="shared" si="175"/>
        <v>38.49789153</v>
      </c>
      <c r="Y167" s="21">
        <f t="shared" si="4"/>
        <v>4</v>
      </c>
      <c r="Z167" s="21">
        <f t="shared" si="5"/>
        <v>192.4894576</v>
      </c>
      <c r="AA167" s="21">
        <f t="shared" si="6"/>
        <v>42.54850964</v>
      </c>
      <c r="AB167" s="22">
        <f t="shared" si="7"/>
        <v>2.40611822</v>
      </c>
      <c r="AC167" s="8">
        <f t="shared" si="161"/>
        <v>38.9987491</v>
      </c>
      <c r="AD167" s="13">
        <f t="shared" si="162"/>
        <v>2.437421818</v>
      </c>
      <c r="AE167" s="8">
        <f t="shared" si="163"/>
        <v>38.9987491</v>
      </c>
      <c r="AF167" s="73">
        <f t="shared" si="164"/>
        <v>3.571241103</v>
      </c>
      <c r="AG167" s="74" t="str">
        <f t="shared" si="165"/>
        <v>#REF!</v>
      </c>
      <c r="AH167" s="73">
        <f t="shared" si="166"/>
        <v>0</v>
      </c>
      <c r="AI167" s="73">
        <f t="shared" si="167"/>
        <v>0</v>
      </c>
      <c r="AJ167" s="75">
        <f t="shared" si="168"/>
        <v>1.237122296</v>
      </c>
      <c r="AK167" s="73">
        <f t="shared" si="169"/>
        <v>0.5143132576</v>
      </c>
      <c r="AL167" s="73">
        <f t="shared" si="170"/>
        <v>0.6902765323</v>
      </c>
      <c r="AM167" s="73">
        <f t="shared" si="171"/>
        <v>1.406821143</v>
      </c>
      <c r="AN167" s="75">
        <v>10.26</v>
      </c>
      <c r="AO167" s="76">
        <v>10.5</v>
      </c>
      <c r="AP167" s="73">
        <f t="shared" si="172"/>
        <v>10.5</v>
      </c>
      <c r="AQ167" s="29" t="str">
        <f t="shared" si="173"/>
        <v>#REF!</v>
      </c>
      <c r="AR167" s="77" t="str">
        <f t="shared" si="174"/>
        <v>#REF!</v>
      </c>
      <c r="AS167" s="73"/>
      <c r="AT167" s="39"/>
    </row>
    <row r="168" ht="15.75" customHeight="1">
      <c r="A168" s="7" t="s">
        <v>269</v>
      </c>
      <c r="B168" s="7" t="s">
        <v>266</v>
      </c>
      <c r="C168" s="7">
        <v>1962.0</v>
      </c>
      <c r="D168" s="7"/>
      <c r="E168" s="7">
        <v>1962.0</v>
      </c>
      <c r="F168" s="7" t="b">
        <v>1</v>
      </c>
      <c r="G168" s="7" t="b">
        <v>0</v>
      </c>
      <c r="H168" s="7" t="b">
        <v>0</v>
      </c>
      <c r="I168" s="7" t="b">
        <v>0</v>
      </c>
      <c r="J168" s="18">
        <v>350.0</v>
      </c>
      <c r="K168" s="7">
        <v>1.0</v>
      </c>
      <c r="L168" s="7">
        <v>275.0</v>
      </c>
      <c r="M168" s="7">
        <v>35.0</v>
      </c>
      <c r="N168" s="7">
        <v>413.0</v>
      </c>
      <c r="O168" s="7">
        <v>373.2</v>
      </c>
      <c r="P168" s="9">
        <v>217.0</v>
      </c>
      <c r="Q168" s="7">
        <v>313.0</v>
      </c>
      <c r="R168" s="7">
        <v>4.71</v>
      </c>
      <c r="S168" s="7">
        <v>0.987581</v>
      </c>
      <c r="T168" s="7">
        <v>0.987581</v>
      </c>
      <c r="U168" s="10">
        <f t="shared" si="1"/>
        <v>310</v>
      </c>
      <c r="V168" s="10">
        <f t="shared" si="2"/>
        <v>92.14481588</v>
      </c>
      <c r="W168" s="11">
        <f t="shared" si="3"/>
        <v>0.7203968027</v>
      </c>
      <c r="X168" s="8">
        <f t="shared" si="175"/>
        <v>268.8520868</v>
      </c>
      <c r="Y168" s="12">
        <f t="shared" si="4"/>
        <v>4</v>
      </c>
      <c r="Z168" s="12">
        <f t="shared" si="5"/>
        <v>1344.260434</v>
      </c>
      <c r="AA168" s="12">
        <f t="shared" si="6"/>
        <v>3.601984014</v>
      </c>
      <c r="AB168" s="13">
        <f t="shared" si="7"/>
        <v>0.867264796</v>
      </c>
      <c r="AC168" s="8">
        <f t="shared" si="161"/>
        <v>267.5928459</v>
      </c>
      <c r="AD168" s="13">
        <f t="shared" si="162"/>
        <v>0.8632027285</v>
      </c>
      <c r="AE168" s="8">
        <f t="shared" si="163"/>
        <v>267.5928459</v>
      </c>
      <c r="AF168" s="73">
        <f t="shared" si="164"/>
        <v>57.95182007</v>
      </c>
      <c r="AG168" s="74" t="str">
        <f t="shared" si="165"/>
        <v>#REF!</v>
      </c>
      <c r="AH168" s="73">
        <f t="shared" si="166"/>
        <v>0</v>
      </c>
      <c r="AI168" s="73">
        <f t="shared" si="167"/>
        <v>0</v>
      </c>
      <c r="AJ168" s="75">
        <f t="shared" si="168"/>
        <v>1.017007603</v>
      </c>
      <c r="AK168" s="73">
        <f t="shared" si="169"/>
        <v>1.073224207</v>
      </c>
      <c r="AL168" s="73">
        <f t="shared" si="170"/>
        <v>1.135448076</v>
      </c>
      <c r="AM168" s="73">
        <f t="shared" si="171"/>
        <v>1.364668672</v>
      </c>
      <c r="AN168" s="75">
        <v>260.98</v>
      </c>
      <c r="AO168" s="76">
        <v>260.0</v>
      </c>
      <c r="AP168" s="73">
        <f t="shared" si="172"/>
        <v>260</v>
      </c>
      <c r="AQ168" s="29" t="str">
        <f t="shared" si="173"/>
        <v>#REF!</v>
      </c>
      <c r="AR168" s="77" t="str">
        <f t="shared" si="174"/>
        <v>#REF!</v>
      </c>
      <c r="AS168" s="73"/>
      <c r="AT168" s="39"/>
    </row>
    <row r="169" ht="15.75" customHeight="1">
      <c r="A169" s="7" t="s">
        <v>283</v>
      </c>
      <c r="B169" s="7" t="s">
        <v>279</v>
      </c>
      <c r="C169" s="7">
        <v>1962.0</v>
      </c>
      <c r="D169" s="7"/>
      <c r="E169" s="7">
        <v>1962.0</v>
      </c>
      <c r="F169" s="7" t="b">
        <v>1</v>
      </c>
      <c r="G169" s="7" t="b">
        <v>0</v>
      </c>
      <c r="H169" s="7" t="b">
        <v>0</v>
      </c>
      <c r="I169" s="7" t="b">
        <v>0</v>
      </c>
      <c r="J169" s="9">
        <v>182.0</v>
      </c>
      <c r="K169" s="7">
        <v>1.0</v>
      </c>
      <c r="L169" s="7">
        <v>300.0</v>
      </c>
      <c r="M169" s="7">
        <v>45.0</v>
      </c>
      <c r="N169" s="7">
        <v>923.56</v>
      </c>
      <c r="O169" s="7">
        <v>849.6</v>
      </c>
      <c r="P169" s="9">
        <v>266.1</v>
      </c>
      <c r="Q169" s="7">
        <v>305.5</v>
      </c>
      <c r="R169" s="7">
        <v>3.69</v>
      </c>
      <c r="S169" s="7">
        <v>0.986036</v>
      </c>
      <c r="T169" s="7">
        <v>0.986036</v>
      </c>
      <c r="U169" s="10">
        <f t="shared" si="1"/>
        <v>345</v>
      </c>
      <c r="V169" s="10">
        <f t="shared" si="2"/>
        <v>93.80558838</v>
      </c>
      <c r="W169" s="11">
        <f t="shared" si="3"/>
        <v>0.4990030013</v>
      </c>
      <c r="X169" s="8">
        <f t="shared" si="175"/>
        <v>423.9529499</v>
      </c>
      <c r="Y169" s="12">
        <f t="shared" si="4"/>
        <v>4</v>
      </c>
      <c r="Z169" s="12">
        <f t="shared" si="5"/>
        <v>2119.764749</v>
      </c>
      <c r="AA169" s="12">
        <f t="shared" si="6"/>
        <v>2.495015006</v>
      </c>
      <c r="AB169" s="13">
        <f t="shared" si="7"/>
        <v>1.22884913</v>
      </c>
      <c r="AC169" s="8">
        <f t="shared" si="161"/>
        <v>420.6745189</v>
      </c>
      <c r="AD169" s="13">
        <f t="shared" si="162"/>
        <v>1.219346431</v>
      </c>
      <c r="AE169" s="8">
        <f t="shared" si="163"/>
        <v>420.6745189</v>
      </c>
      <c r="AF169" s="73">
        <f t="shared" si="164"/>
        <v>114.7077988</v>
      </c>
      <c r="AG169" s="74" t="str">
        <f t="shared" si="165"/>
        <v>#REF!</v>
      </c>
      <c r="AH169" s="73">
        <f t="shared" si="166"/>
        <v>0</v>
      </c>
      <c r="AI169" s="73">
        <f t="shared" si="167"/>
        <v>0</v>
      </c>
      <c r="AJ169" s="75">
        <f t="shared" si="168"/>
        <v>1.271442418</v>
      </c>
      <c r="AK169" s="73">
        <f t="shared" si="169"/>
        <v>1.082852647</v>
      </c>
      <c r="AL169" s="73">
        <f t="shared" si="170"/>
        <v>1.050548775</v>
      </c>
      <c r="AM169" s="73">
        <f t="shared" si="171"/>
        <v>1.135725208</v>
      </c>
      <c r="AN169" s="75">
        <v>490.97</v>
      </c>
      <c r="AO169" s="76">
        <v>490.0</v>
      </c>
      <c r="AP169" s="73">
        <f t="shared" si="172"/>
        <v>490</v>
      </c>
      <c r="AQ169" s="29" t="str">
        <f t="shared" si="173"/>
        <v>#REF!</v>
      </c>
      <c r="AR169" s="77" t="str">
        <f t="shared" si="174"/>
        <v>#REF!</v>
      </c>
      <c r="AS169" s="73"/>
      <c r="AT169" s="39"/>
    </row>
    <row r="170" ht="15.75" customHeight="1">
      <c r="A170" s="7" t="s">
        <v>292</v>
      </c>
      <c r="B170" s="7" t="s">
        <v>288</v>
      </c>
      <c r="C170" s="7">
        <v>1962.0</v>
      </c>
      <c r="D170" s="7"/>
      <c r="E170" s="7">
        <v>1962.0</v>
      </c>
      <c r="F170" s="7" t="b">
        <v>1</v>
      </c>
      <c r="G170" s="7" t="b">
        <v>0</v>
      </c>
      <c r="H170" s="7" t="b">
        <v>0</v>
      </c>
      <c r="I170" s="7" t="b">
        <v>0</v>
      </c>
      <c r="J170" s="9">
        <v>149.26</v>
      </c>
      <c r="K170" s="7">
        <v>1.0</v>
      </c>
      <c r="L170" s="7">
        <v>250.0</v>
      </c>
      <c r="M170" s="7">
        <v>130.0</v>
      </c>
      <c r="N170" s="7">
        <v>739.0</v>
      </c>
      <c r="O170" s="7">
        <v>1053.8</v>
      </c>
      <c r="P170" s="9">
        <v>258.8</v>
      </c>
      <c r="Q170" s="7">
        <v>285.2</v>
      </c>
      <c r="R170" s="7">
        <v>5.48</v>
      </c>
      <c r="S170" s="7">
        <v>0.991799</v>
      </c>
      <c r="T170" s="7">
        <v>0.991799</v>
      </c>
      <c r="U170" s="10">
        <f t="shared" si="1"/>
        <v>380</v>
      </c>
      <c r="V170" s="10">
        <f t="shared" si="2"/>
        <v>145.4095997</v>
      </c>
      <c r="W170" s="11">
        <f t="shared" si="3"/>
        <v>0.350413169</v>
      </c>
      <c r="X170" s="8">
        <f t="shared" si="175"/>
        <v>369.2653975</v>
      </c>
      <c r="Y170" s="12">
        <f t="shared" si="4"/>
        <v>4</v>
      </c>
      <c r="Z170" s="12">
        <f t="shared" si="5"/>
        <v>1846.326988</v>
      </c>
      <c r="AA170" s="12">
        <f t="shared" si="6"/>
        <v>1.752065845</v>
      </c>
      <c r="AB170" s="13">
        <f t="shared" si="7"/>
        <v>0.9717510461</v>
      </c>
      <c r="AC170" s="8">
        <f t="shared" si="161"/>
        <v>370.6188499</v>
      </c>
      <c r="AD170" s="13">
        <f t="shared" si="162"/>
        <v>0.9753127629</v>
      </c>
      <c r="AE170" s="8">
        <f t="shared" si="163"/>
        <v>370.6188499</v>
      </c>
      <c r="AF170" s="73">
        <f t="shared" si="164"/>
        <v>138.0900975</v>
      </c>
      <c r="AG170" s="74" t="str">
        <f t="shared" si="165"/>
        <v>#REF!</v>
      </c>
      <c r="AH170" s="73">
        <f t="shared" si="166"/>
        <v>0</v>
      </c>
      <c r="AI170" s="73">
        <f t="shared" si="167"/>
        <v>0</v>
      </c>
      <c r="AJ170" s="75">
        <f t="shared" si="168"/>
        <v>1.344623956</v>
      </c>
      <c r="AK170" s="73">
        <f t="shared" si="169"/>
        <v>1.34819138</v>
      </c>
      <c r="AL170" s="73">
        <f t="shared" si="170"/>
        <v>0.9034006685</v>
      </c>
      <c r="AM170" s="73">
        <f t="shared" si="171"/>
        <v>1.058243269</v>
      </c>
      <c r="AN170" s="75">
        <v>606.28</v>
      </c>
      <c r="AO170" s="76">
        <v>610.0</v>
      </c>
      <c r="AP170" s="73">
        <f t="shared" si="172"/>
        <v>610</v>
      </c>
      <c r="AQ170" s="29" t="str">
        <f t="shared" si="173"/>
        <v>#REF!</v>
      </c>
      <c r="AR170" s="77" t="str">
        <f t="shared" si="174"/>
        <v>#REF!</v>
      </c>
      <c r="AS170" s="73"/>
      <c r="AT170" s="39"/>
    </row>
    <row r="171" ht="15.75" customHeight="1">
      <c r="A171" s="16" t="s">
        <v>334</v>
      </c>
      <c r="B171" s="16" t="s">
        <v>330</v>
      </c>
      <c r="C171" s="16">
        <v>1962.0</v>
      </c>
      <c r="D171" s="16"/>
      <c r="E171" s="16">
        <v>1962.0</v>
      </c>
      <c r="F171" s="16" t="b">
        <v>1</v>
      </c>
      <c r="G171" s="16" t="b">
        <v>0</v>
      </c>
      <c r="H171" s="16" t="b">
        <v>0</v>
      </c>
      <c r="I171" s="16" t="b">
        <v>0</v>
      </c>
      <c r="J171" s="18">
        <v>160.0</v>
      </c>
      <c r="K171" s="16">
        <v>1.0</v>
      </c>
      <c r="L171" s="16">
        <v>300.0</v>
      </c>
      <c r="M171" s="16">
        <v>25.0</v>
      </c>
      <c r="N171" s="16">
        <v>883.0</v>
      </c>
      <c r="O171" s="16">
        <v>846.6</v>
      </c>
      <c r="P171" s="18">
        <v>256.0</v>
      </c>
      <c r="Q171" s="16">
        <v>290.0</v>
      </c>
      <c r="R171" s="16">
        <v>4.04</v>
      </c>
      <c r="S171" s="16">
        <v>0.987581</v>
      </c>
      <c r="T171" s="16">
        <v>0.987581</v>
      </c>
      <c r="U171" s="19">
        <f t="shared" si="1"/>
        <v>325</v>
      </c>
      <c r="V171" s="19">
        <f t="shared" si="2"/>
        <v>97.76803436</v>
      </c>
      <c r="W171" s="20">
        <f t="shared" si="3"/>
        <v>0.477299759</v>
      </c>
      <c r="X171" s="17">
        <f t="shared" si="175"/>
        <v>404.0819759</v>
      </c>
      <c r="Y171" s="21">
        <f t="shared" si="4"/>
        <v>4</v>
      </c>
      <c r="Z171" s="21">
        <f t="shared" si="5"/>
        <v>2020.40988</v>
      </c>
      <c r="AA171" s="21">
        <f t="shared" si="6"/>
        <v>2.386498795</v>
      </c>
      <c r="AB171" s="22">
        <f t="shared" si="7"/>
        <v>1.243329157</v>
      </c>
      <c r="AC171" s="8">
        <f t="shared" si="161"/>
        <v>402.1893495</v>
      </c>
      <c r="AD171" s="13">
        <f t="shared" si="162"/>
        <v>1.237505691</v>
      </c>
      <c r="AE171" s="8">
        <f t="shared" si="163"/>
        <v>402.1893495</v>
      </c>
      <c r="AF171" s="73">
        <f t="shared" si="164"/>
        <v>114.3612964</v>
      </c>
      <c r="AG171" s="74" t="str">
        <f t="shared" si="165"/>
        <v>#REF!</v>
      </c>
      <c r="AH171" s="73">
        <f t="shared" si="166"/>
        <v>0</v>
      </c>
      <c r="AI171" s="73">
        <f t="shared" si="167"/>
        <v>0</v>
      </c>
      <c r="AJ171" s="75">
        <f t="shared" si="168"/>
        <v>1.294381024</v>
      </c>
      <c r="AK171" s="73">
        <f t="shared" si="169"/>
        <v>1.105486513</v>
      </c>
      <c r="AL171" s="73">
        <f t="shared" si="170"/>
        <v>0.9336615296</v>
      </c>
      <c r="AM171" s="73">
        <f t="shared" si="171"/>
        <v>1.085846338</v>
      </c>
      <c r="AN171" s="75">
        <v>435.54</v>
      </c>
      <c r="AO171" s="76">
        <v>440.0</v>
      </c>
      <c r="AP171" s="73">
        <f t="shared" si="172"/>
        <v>440</v>
      </c>
      <c r="AQ171" s="29" t="str">
        <f t="shared" si="173"/>
        <v>#REF!</v>
      </c>
      <c r="AR171" s="77" t="str">
        <f t="shared" si="174"/>
        <v>#REF!</v>
      </c>
      <c r="AS171" s="73"/>
      <c r="AT171" s="39"/>
    </row>
    <row r="172" ht="15.75" customHeight="1">
      <c r="A172" s="7" t="s">
        <v>341</v>
      </c>
      <c r="B172" s="7" t="s">
        <v>339</v>
      </c>
      <c r="C172" s="7">
        <v>1962.0</v>
      </c>
      <c r="D172" s="7"/>
      <c r="E172" s="7">
        <v>1962.0</v>
      </c>
      <c r="F172" s="7" t="b">
        <v>1</v>
      </c>
      <c r="G172" s="7" t="b">
        <v>0</v>
      </c>
      <c r="H172" s="7" t="b">
        <v>1</v>
      </c>
      <c r="I172" s="7" t="b">
        <v>0</v>
      </c>
      <c r="J172" s="9">
        <v>180.0</v>
      </c>
      <c r="K172" s="7">
        <v>1.0</v>
      </c>
      <c r="L172" s="7">
        <v>250.0</v>
      </c>
      <c r="M172" s="7">
        <v>100.0</v>
      </c>
      <c r="N172" s="7">
        <f>500*1</f>
        <v>500</v>
      </c>
      <c r="O172" s="7">
        <v>448.67</v>
      </c>
      <c r="P172" s="9">
        <v>200.0</v>
      </c>
      <c r="Q172" s="7">
        <v>315.0</v>
      </c>
      <c r="R172" s="7">
        <v>5.7</v>
      </c>
      <c r="S172" s="7">
        <v>0.99837</v>
      </c>
      <c r="T172" s="7">
        <v>0.991848</v>
      </c>
      <c r="U172" s="10">
        <f t="shared" si="1"/>
        <v>350</v>
      </c>
      <c r="V172" s="10">
        <f t="shared" si="2"/>
        <v>91.50321439</v>
      </c>
      <c r="W172" s="11">
        <f t="shared" si="3"/>
        <v>0.6866618661</v>
      </c>
      <c r="X172" s="8">
        <f t="shared" si="175"/>
        <v>308.0845795</v>
      </c>
      <c r="Y172" s="12">
        <f t="shared" si="4"/>
        <v>4</v>
      </c>
      <c r="Z172" s="12">
        <f t="shared" si="5"/>
        <v>1540.422897</v>
      </c>
      <c r="AA172" s="12">
        <f t="shared" si="6"/>
        <v>3.43330933</v>
      </c>
      <c r="AB172" s="13">
        <f t="shared" si="7"/>
        <v>0.8802416556</v>
      </c>
      <c r="AC172" s="8">
        <f t="shared" si="161"/>
        <v>311.2366814</v>
      </c>
      <c r="AD172" s="13">
        <f t="shared" si="162"/>
        <v>0.8892476613</v>
      </c>
      <c r="AE172" s="8">
        <f t="shared" si="163"/>
        <v>311.2366814</v>
      </c>
      <c r="AF172" s="73">
        <f t="shared" si="164"/>
        <v>67.26317991</v>
      </c>
      <c r="AG172" s="74" t="str">
        <f t="shared" si="165"/>
        <v>#REF!</v>
      </c>
      <c r="AH172" s="73">
        <f t="shared" si="166"/>
        <v>0</v>
      </c>
      <c r="AI172" s="73">
        <f t="shared" si="167"/>
        <v>0</v>
      </c>
      <c r="AJ172" s="75">
        <f t="shared" si="168"/>
        <v>1</v>
      </c>
      <c r="AK172" s="73">
        <f t="shared" si="169"/>
        <v>1.069481267</v>
      </c>
      <c r="AL172" s="73">
        <f t="shared" si="170"/>
        <v>1.160304571</v>
      </c>
      <c r="AM172" s="73">
        <f t="shared" si="171"/>
        <v>1.13151236</v>
      </c>
      <c r="AN172" s="75">
        <v>280.42</v>
      </c>
      <c r="AO172" s="76">
        <v>280.0</v>
      </c>
      <c r="AP172" s="73">
        <f t="shared" si="172"/>
        <v>280</v>
      </c>
      <c r="AQ172" s="29" t="str">
        <f t="shared" si="173"/>
        <v>#REF!</v>
      </c>
      <c r="AR172" s="77" t="str">
        <f t="shared" si="174"/>
        <v>#REF!</v>
      </c>
      <c r="AS172" s="73"/>
      <c r="AT172" s="39"/>
    </row>
    <row r="173" ht="15.75" customHeight="1">
      <c r="A173" s="7" t="s">
        <v>581</v>
      </c>
      <c r="B173" s="7" t="s">
        <v>579</v>
      </c>
      <c r="C173" s="7">
        <v>1962.0</v>
      </c>
      <c r="D173" s="7"/>
      <c r="E173" s="7">
        <v>1962.0</v>
      </c>
      <c r="F173" s="7" t="b">
        <v>1</v>
      </c>
      <c r="G173" s="7" t="b">
        <v>0</v>
      </c>
      <c r="H173" s="7" t="b">
        <v>0</v>
      </c>
      <c r="I173" s="7" t="b">
        <v>0</v>
      </c>
      <c r="J173" s="9">
        <v>120.0</v>
      </c>
      <c r="K173" s="7">
        <v>1.0</v>
      </c>
      <c r="L173" s="7">
        <v>330.0</v>
      </c>
      <c r="M173" s="7">
        <v>20.0</v>
      </c>
      <c r="N173" s="7">
        <v>653.0</v>
      </c>
      <c r="O173" s="7">
        <v>887.5</v>
      </c>
      <c r="P173" s="9">
        <v>251.0</v>
      </c>
      <c r="Q173" s="7">
        <v>294.0</v>
      </c>
      <c r="R173" s="7">
        <v>8.34</v>
      </c>
      <c r="S173" s="7">
        <v>0.985</v>
      </c>
      <c r="T173" s="7">
        <v>0.985</v>
      </c>
      <c r="U173" s="10">
        <f t="shared" si="1"/>
        <v>350</v>
      </c>
      <c r="V173" s="10">
        <f t="shared" si="2"/>
        <v>138.5908325</v>
      </c>
      <c r="W173" s="11">
        <f t="shared" si="3"/>
        <v>0.4091200109</v>
      </c>
      <c r="X173" s="8">
        <f t="shared" si="175"/>
        <v>363.0940097</v>
      </c>
      <c r="Y173" s="12">
        <f t="shared" si="4"/>
        <v>4</v>
      </c>
      <c r="Z173" s="12">
        <f t="shared" si="5"/>
        <v>1815.470048</v>
      </c>
      <c r="AA173" s="12">
        <f t="shared" si="6"/>
        <v>2.045600054</v>
      </c>
      <c r="AB173" s="13">
        <f t="shared" si="7"/>
        <v>1.037411456</v>
      </c>
      <c r="AC173" s="8">
        <f t="shared" si="161"/>
        <v>359.5447657</v>
      </c>
      <c r="AD173" s="13">
        <f t="shared" si="162"/>
        <v>1.027270759</v>
      </c>
      <c r="AE173" s="8">
        <f t="shared" si="163"/>
        <v>359.5447657</v>
      </c>
      <c r="AF173" s="73">
        <f t="shared" si="164"/>
        <v>119.0771741</v>
      </c>
      <c r="AG173" s="74" t="str">
        <f t="shared" si="165"/>
        <v>#REF!</v>
      </c>
      <c r="AH173" s="73">
        <f t="shared" si="166"/>
        <v>0</v>
      </c>
      <c r="AI173" s="73">
        <f t="shared" si="167"/>
        <v>0</v>
      </c>
      <c r="AJ173" s="75">
        <f t="shared" si="168"/>
        <v>1.238776733</v>
      </c>
      <c r="AK173" s="73">
        <f t="shared" si="169"/>
        <v>1.316201127</v>
      </c>
      <c r="AL173" s="73">
        <f t="shared" si="170"/>
        <v>0.9596517923</v>
      </c>
      <c r="AM173" s="73">
        <f t="shared" si="171"/>
        <v>0.9682484915</v>
      </c>
      <c r="AN173" s="75">
        <v>425.27</v>
      </c>
      <c r="AO173" s="76">
        <v>430.0</v>
      </c>
      <c r="AP173" s="73">
        <f t="shared" si="172"/>
        <v>430</v>
      </c>
      <c r="AQ173" s="29" t="str">
        <f t="shared" si="173"/>
        <v>#REF!</v>
      </c>
      <c r="AR173" s="77" t="str">
        <f t="shared" si="174"/>
        <v>#REF!</v>
      </c>
      <c r="AS173" s="73"/>
      <c r="AT173" s="39"/>
    </row>
    <row r="174" ht="15.75" customHeight="1">
      <c r="A174" s="16" t="s">
        <v>659</v>
      </c>
      <c r="B174" s="16" t="s">
        <v>660</v>
      </c>
      <c r="C174" s="16">
        <v>1962.0</v>
      </c>
      <c r="D174" s="16" t="b">
        <v>1</v>
      </c>
      <c r="E174" s="16">
        <v>1962.0</v>
      </c>
      <c r="F174" s="16" t="b">
        <v>1</v>
      </c>
      <c r="G174" s="16" t="b">
        <v>0</v>
      </c>
      <c r="H174" s="16" t="b">
        <v>1</v>
      </c>
      <c r="I174" s="16" t="b">
        <v>0</v>
      </c>
      <c r="J174" s="18">
        <v>430.0</v>
      </c>
      <c r="K174" s="18">
        <v>20.0</v>
      </c>
      <c r="L174" s="16">
        <v>500.0</v>
      </c>
      <c r="M174" s="16">
        <v>0.0</v>
      </c>
      <c r="N174" s="16">
        <v>131.0</v>
      </c>
      <c r="O174" s="16">
        <v>65.6</v>
      </c>
      <c r="P174" s="18">
        <v>182.0</v>
      </c>
      <c r="Q174" s="16">
        <v>422.0</v>
      </c>
      <c r="R174" s="16">
        <v>2.07</v>
      </c>
      <c r="S174" s="16">
        <v>0.983333</v>
      </c>
      <c r="T174" s="16">
        <v>0.95</v>
      </c>
      <c r="U174" s="19">
        <f t="shared" si="1"/>
        <v>500</v>
      </c>
      <c r="V174" s="19">
        <f t="shared" si="2"/>
        <v>51.06365143</v>
      </c>
      <c r="W174" s="20">
        <f t="shared" si="3"/>
        <v>12.12484194</v>
      </c>
      <c r="X174" s="17">
        <f>0.9*(0.00015*N174*Q174*R174+797)+0.1*(43.1*POWER(N174,0.549))</f>
        <v>795.3896312</v>
      </c>
      <c r="Y174" s="21">
        <f t="shared" si="4"/>
        <v>4</v>
      </c>
      <c r="Z174" s="21">
        <f t="shared" si="5"/>
        <v>3976.948156</v>
      </c>
      <c r="AA174" s="21">
        <f t="shared" si="6"/>
        <v>60.6242097</v>
      </c>
      <c r="AB174" s="22">
        <f t="shared" si="7"/>
        <v>1.590779262</v>
      </c>
      <c r="AC174" s="8">
        <f t="shared" si="161"/>
        <v>758.9340213</v>
      </c>
      <c r="AD174" s="13">
        <f t="shared" si="162"/>
        <v>1.517868043</v>
      </c>
      <c r="AE174" s="8">
        <f t="shared" si="163"/>
        <v>140.0773356</v>
      </c>
      <c r="AF174" s="73">
        <f t="shared" si="164"/>
        <v>16.16730301</v>
      </c>
      <c r="AG174" s="74" t="str">
        <f t="shared" si="165"/>
        <v>#REF!</v>
      </c>
      <c r="AH174" s="73">
        <f t="shared" si="166"/>
        <v>0</v>
      </c>
      <c r="AI174" s="73">
        <f t="shared" si="167"/>
        <v>0.6760795925</v>
      </c>
      <c r="AJ174" s="75">
        <f t="shared" si="168"/>
        <v>1</v>
      </c>
      <c r="AK174" s="73">
        <f t="shared" si="169"/>
        <v>0.7989340667</v>
      </c>
      <c r="AL174" s="73">
        <f t="shared" si="170"/>
        <v>4.442720413</v>
      </c>
      <c r="AM174" s="73">
        <f t="shared" si="171"/>
        <v>1.429047311</v>
      </c>
      <c r="AN174" s="75">
        <v>288.7</v>
      </c>
      <c r="AO174" s="76">
        <v>290.0</v>
      </c>
      <c r="AP174" s="73">
        <f t="shared" si="172"/>
        <v>290</v>
      </c>
      <c r="AQ174" s="29" t="str">
        <f t="shared" si="173"/>
        <v>#REF!</v>
      </c>
      <c r="AR174" s="77" t="str">
        <f t="shared" si="174"/>
        <v>#REF!</v>
      </c>
      <c r="AS174" s="73"/>
      <c r="AT174" s="39"/>
    </row>
    <row r="175" ht="15.75" customHeight="1">
      <c r="A175" s="16" t="s">
        <v>823</v>
      </c>
      <c r="B175" s="16" t="s">
        <v>820</v>
      </c>
      <c r="C175" s="16">
        <v>1962.0</v>
      </c>
      <c r="D175" s="16"/>
      <c r="E175" s="16">
        <v>1962.0</v>
      </c>
      <c r="F175" s="16" t="b">
        <v>1</v>
      </c>
      <c r="G175" s="16" t="b">
        <v>0</v>
      </c>
      <c r="H175" s="16" t="b">
        <v>1</v>
      </c>
      <c r="I175" s="16" t="b">
        <v>0</v>
      </c>
      <c r="J175" s="18">
        <v>245.0</v>
      </c>
      <c r="K175" s="18">
        <v>3.0</v>
      </c>
      <c r="L175" s="16">
        <v>400.0</v>
      </c>
      <c r="M175" s="16">
        <v>200.0</v>
      </c>
      <c r="N175" s="16">
        <v>240.0</v>
      </c>
      <c r="O175" s="16">
        <v>161.86</v>
      </c>
      <c r="P175" s="18">
        <v>186.35</v>
      </c>
      <c r="Q175" s="18">
        <v>330.02</v>
      </c>
      <c r="R175" s="16">
        <v>4.2</v>
      </c>
      <c r="S175" s="16">
        <v>0.99837</v>
      </c>
      <c r="T175" s="16">
        <v>0.991848</v>
      </c>
      <c r="U175" s="19">
        <f t="shared" si="1"/>
        <v>600</v>
      </c>
      <c r="V175" s="19">
        <f t="shared" si="2"/>
        <v>68.77136073</v>
      </c>
      <c r="W175" s="20">
        <f t="shared" si="3"/>
        <v>1.217159314</v>
      </c>
      <c r="X175" s="17">
        <f t="shared" ref="X175:X177" si="176">0.2*(8.17*POWER(N175*R175,0.46))+0.8*(0.146*POWER(N175*Q175,0.639))</f>
        <v>197.0094066</v>
      </c>
      <c r="Y175" s="21">
        <f t="shared" si="4"/>
        <v>4</v>
      </c>
      <c r="Z175" s="21">
        <f t="shared" si="5"/>
        <v>985.0470328</v>
      </c>
      <c r="AA175" s="21">
        <f t="shared" si="6"/>
        <v>6.08579657</v>
      </c>
      <c r="AB175" s="22">
        <f t="shared" si="7"/>
        <v>0.3283490109</v>
      </c>
      <c r="AC175" s="8">
        <f t="shared" si="161"/>
        <v>199.0250665</v>
      </c>
      <c r="AD175" s="13">
        <f t="shared" si="162"/>
        <v>0.3317084442</v>
      </c>
      <c r="AE175" s="8">
        <f t="shared" si="163"/>
        <v>199.0250665</v>
      </c>
      <c r="AF175" s="73">
        <f t="shared" si="164"/>
        <v>30.43283226</v>
      </c>
      <c r="AG175" s="74" t="str">
        <f t="shared" si="165"/>
        <v>#REF!</v>
      </c>
      <c r="AH175" s="73">
        <f t="shared" si="166"/>
        <v>0</v>
      </c>
      <c r="AI175" s="73">
        <f t="shared" si="167"/>
        <v>0.2958876574</v>
      </c>
      <c r="AJ175" s="75">
        <f t="shared" si="168"/>
        <v>1</v>
      </c>
      <c r="AK175" s="73">
        <f t="shared" si="169"/>
        <v>0.9271688137</v>
      </c>
      <c r="AL175" s="73">
        <f t="shared" si="170"/>
        <v>1.375671136</v>
      </c>
      <c r="AM175" s="73">
        <f t="shared" si="171"/>
        <v>1.2446297</v>
      </c>
      <c r="AN175" s="75">
        <v>177.74</v>
      </c>
      <c r="AO175" s="76">
        <v>180.0</v>
      </c>
      <c r="AP175" s="73">
        <f t="shared" si="172"/>
        <v>180</v>
      </c>
      <c r="AQ175" s="29" t="str">
        <f t="shared" si="173"/>
        <v>#REF!</v>
      </c>
      <c r="AR175" s="77" t="str">
        <f t="shared" si="174"/>
        <v>#REF!</v>
      </c>
      <c r="AS175" s="73"/>
      <c r="AT175" s="39"/>
    </row>
    <row r="176" ht="15.75" customHeight="1">
      <c r="A176" s="16" t="s">
        <v>129</v>
      </c>
      <c r="B176" s="16" t="s">
        <v>130</v>
      </c>
      <c r="C176" s="16">
        <v>1963.0</v>
      </c>
      <c r="D176" s="16"/>
      <c r="E176" s="16">
        <v>1963.0</v>
      </c>
      <c r="F176" s="16" t="b">
        <v>1</v>
      </c>
      <c r="G176" s="16" t="b">
        <v>0</v>
      </c>
      <c r="H176" s="16" t="b">
        <v>0</v>
      </c>
      <c r="I176" s="16" t="b">
        <v>0</v>
      </c>
      <c r="J176" s="18">
        <v>165.0</v>
      </c>
      <c r="K176" s="16">
        <v>1.0</v>
      </c>
      <c r="L176" s="16">
        <v>600.0</v>
      </c>
      <c r="M176" s="16">
        <v>0.0</v>
      </c>
      <c r="N176" s="16">
        <v>1800.0</v>
      </c>
      <c r="O176" s="16">
        <v>1947.53</v>
      </c>
      <c r="P176" s="18">
        <v>251.7</v>
      </c>
      <c r="Q176" s="16">
        <v>290.0</v>
      </c>
      <c r="R176" s="16">
        <v>5.0</v>
      </c>
      <c r="S176" s="16">
        <v>0.995</v>
      </c>
      <c r="T176" s="16">
        <v>0.993</v>
      </c>
      <c r="U176" s="19">
        <f t="shared" si="1"/>
        <v>600</v>
      </c>
      <c r="V176" s="19">
        <f t="shared" si="2"/>
        <v>110.3293284</v>
      </c>
      <c r="W176" s="20">
        <f t="shared" si="3"/>
        <v>0.3254151696</v>
      </c>
      <c r="X176" s="17">
        <f t="shared" si="176"/>
        <v>633.7558053</v>
      </c>
      <c r="Y176" s="21">
        <f t="shared" si="4"/>
        <v>4</v>
      </c>
      <c r="Z176" s="21">
        <f t="shared" si="5"/>
        <v>3168.779027</v>
      </c>
      <c r="AA176" s="21">
        <f t="shared" si="6"/>
        <v>1.627075848</v>
      </c>
      <c r="AB176" s="22">
        <f t="shared" si="7"/>
        <v>1.056259676</v>
      </c>
      <c r="AC176" s="8">
        <f t="shared" si="161"/>
        <v>638.8480332</v>
      </c>
      <c r="AD176" s="13">
        <f t="shared" si="162"/>
        <v>1.064746722</v>
      </c>
      <c r="AE176" s="8">
        <f t="shared" si="163"/>
        <v>638.8480332</v>
      </c>
      <c r="AF176" s="73">
        <f t="shared" si="164"/>
        <v>237.3744578</v>
      </c>
      <c r="AG176" s="74" t="str">
        <f t="shared" si="165"/>
        <v>#REF!</v>
      </c>
      <c r="AH176" s="73">
        <f t="shared" si="166"/>
        <v>0</v>
      </c>
      <c r="AI176" s="73">
        <f t="shared" si="167"/>
        <v>0</v>
      </c>
      <c r="AJ176" s="75">
        <f t="shared" si="168"/>
        <v>1.265483175</v>
      </c>
      <c r="AK176" s="73">
        <f t="shared" si="169"/>
        <v>1.174357954</v>
      </c>
      <c r="AL176" s="73">
        <f t="shared" si="170"/>
        <v>0.9336615296</v>
      </c>
      <c r="AM176" s="73">
        <f t="shared" si="171"/>
        <v>1.097912191</v>
      </c>
      <c r="AN176" s="75">
        <v>959.63</v>
      </c>
      <c r="AO176" s="76">
        <v>960.0</v>
      </c>
      <c r="AP176" s="73">
        <f t="shared" si="172"/>
        <v>960</v>
      </c>
      <c r="AQ176" s="29" t="str">
        <f t="shared" si="173"/>
        <v>#REF!</v>
      </c>
      <c r="AR176" s="77" t="str">
        <f t="shared" si="174"/>
        <v>#REF!</v>
      </c>
      <c r="AS176" s="73"/>
      <c r="AT176" s="39"/>
    </row>
    <row r="177" ht="15.75" customHeight="1">
      <c r="A177" s="16" t="s">
        <v>284</v>
      </c>
      <c r="B177" s="16" t="s">
        <v>279</v>
      </c>
      <c r="C177" s="16">
        <v>1963.0</v>
      </c>
      <c r="D177" s="16"/>
      <c r="E177" s="16">
        <v>1963.0</v>
      </c>
      <c r="F177" s="16" t="b">
        <v>1</v>
      </c>
      <c r="G177" s="16" t="b">
        <v>0</v>
      </c>
      <c r="H177" s="16" t="b">
        <v>0</v>
      </c>
      <c r="I177" s="16" t="b">
        <v>0</v>
      </c>
      <c r="J177" s="18">
        <v>260.0</v>
      </c>
      <c r="K177" s="16">
        <v>1.0</v>
      </c>
      <c r="L177" s="16">
        <v>300.0</v>
      </c>
      <c r="M177" s="16">
        <v>50.0</v>
      </c>
      <c r="N177" s="16">
        <v>912.17</v>
      </c>
      <c r="O177" s="16">
        <v>872.95983</v>
      </c>
      <c r="P177" s="18">
        <v>252.4</v>
      </c>
      <c r="Q177" s="16">
        <v>290.93</v>
      </c>
      <c r="R177" s="16">
        <v>3.79</v>
      </c>
      <c r="S177" s="16">
        <v>0.992211</v>
      </c>
      <c r="T177" s="16">
        <v>0.992211</v>
      </c>
      <c r="U177" s="19">
        <f t="shared" si="1"/>
        <v>350</v>
      </c>
      <c r="V177" s="19">
        <f t="shared" si="2"/>
        <v>97.58831022</v>
      </c>
      <c r="W177" s="20">
        <f t="shared" si="3"/>
        <v>0.4705540722</v>
      </c>
      <c r="X177" s="17">
        <f t="shared" si="176"/>
        <v>410.7748029</v>
      </c>
      <c r="Y177" s="21">
        <f t="shared" si="4"/>
        <v>4</v>
      </c>
      <c r="Z177" s="21">
        <f t="shared" si="5"/>
        <v>2053.874014</v>
      </c>
      <c r="AA177" s="21">
        <f t="shared" si="6"/>
        <v>2.352770361</v>
      </c>
      <c r="AB177" s="22">
        <f t="shared" si="7"/>
        <v>1.173642294</v>
      </c>
      <c r="AC177" s="8">
        <f t="shared" si="161"/>
        <v>412.6161701</v>
      </c>
      <c r="AD177" s="13">
        <f t="shared" si="162"/>
        <v>1.178903343</v>
      </c>
      <c r="AE177" s="8">
        <f t="shared" si="163"/>
        <v>412.6161701</v>
      </c>
      <c r="AF177" s="73">
        <f t="shared" si="164"/>
        <v>117.4026323</v>
      </c>
      <c r="AG177" s="74" t="str">
        <f t="shared" si="165"/>
        <v>#REF!</v>
      </c>
      <c r="AH177" s="73">
        <f t="shared" si="166"/>
        <v>0</v>
      </c>
      <c r="AI177" s="73">
        <f t="shared" si="167"/>
        <v>0</v>
      </c>
      <c r="AJ177" s="75">
        <f t="shared" si="168"/>
        <v>1.264777954</v>
      </c>
      <c r="AK177" s="73">
        <f t="shared" si="169"/>
        <v>1.104469953</v>
      </c>
      <c r="AL177" s="73">
        <f t="shared" si="170"/>
        <v>0.9396407533</v>
      </c>
      <c r="AM177" s="73">
        <f t="shared" si="171"/>
        <v>1.265409355</v>
      </c>
      <c r="AN177" s="75">
        <v>517.47</v>
      </c>
      <c r="AO177" s="76">
        <v>520.0</v>
      </c>
      <c r="AP177" s="73">
        <f t="shared" si="172"/>
        <v>520</v>
      </c>
      <c r="AQ177" s="29" t="str">
        <f t="shared" si="173"/>
        <v>#REF!</v>
      </c>
      <c r="AR177" s="77" t="str">
        <f t="shared" si="174"/>
        <v>#REF!</v>
      </c>
      <c r="AS177" s="73"/>
      <c r="AT177" s="39"/>
    </row>
    <row r="178" ht="15.75" customHeight="1">
      <c r="A178" s="16" t="s">
        <v>324</v>
      </c>
      <c r="B178" s="16" t="s">
        <v>325</v>
      </c>
      <c r="C178" s="16">
        <v>1963.0</v>
      </c>
      <c r="D178" s="16" t="b">
        <v>1</v>
      </c>
      <c r="E178" s="16">
        <v>1963.0</v>
      </c>
      <c r="F178" s="16" t="b">
        <v>1</v>
      </c>
      <c r="G178" s="16" t="b">
        <v>0</v>
      </c>
      <c r="H178" s="16" t="b">
        <v>0</v>
      </c>
      <c r="I178" s="16" t="b">
        <v>0</v>
      </c>
      <c r="J178" s="18">
        <v>300.0</v>
      </c>
      <c r="K178" s="16">
        <v>1.0</v>
      </c>
      <c r="L178" s="16">
        <v>700.0</v>
      </c>
      <c r="M178" s="16">
        <v>0.0</v>
      </c>
      <c r="N178" s="16">
        <v>839.0</v>
      </c>
      <c r="O178" s="16">
        <v>667.0</v>
      </c>
      <c r="P178" s="18">
        <v>350.0</v>
      </c>
      <c r="Q178" s="16">
        <v>403.0</v>
      </c>
      <c r="R178" s="16">
        <v>5.0</v>
      </c>
      <c r="S178" s="16">
        <v>0.95</v>
      </c>
      <c r="T178" s="16">
        <v>0.973</v>
      </c>
      <c r="U178" s="19">
        <f t="shared" si="1"/>
        <v>700</v>
      </c>
      <c r="V178" s="19">
        <f t="shared" si="2"/>
        <v>81.066831</v>
      </c>
      <c r="W178" s="20">
        <f t="shared" si="3"/>
        <v>1.677898207</v>
      </c>
      <c r="X178" s="17">
        <f>0.9*(0.00015*N178*Q178*R178+797)+0.1*(43.1*POWER(N178,0.549))</f>
        <v>1119.158104</v>
      </c>
      <c r="Y178" s="21">
        <f t="shared" si="4"/>
        <v>4</v>
      </c>
      <c r="Z178" s="21">
        <f t="shared" si="5"/>
        <v>5595.79052</v>
      </c>
      <c r="AA178" s="21">
        <f t="shared" si="6"/>
        <v>8.389491035</v>
      </c>
      <c r="AB178" s="22">
        <f t="shared" si="7"/>
        <v>1.598797291</v>
      </c>
      <c r="AC178" s="8">
        <f t="shared" si="161"/>
        <v>1056.876956</v>
      </c>
      <c r="AD178" s="13">
        <f t="shared" si="162"/>
        <v>1.509824222</v>
      </c>
      <c r="AE178" s="8">
        <f t="shared" si="163"/>
        <v>447.9882752</v>
      </c>
      <c r="AF178" s="73">
        <f t="shared" si="164"/>
        <v>93.42085819</v>
      </c>
      <c r="AG178" s="74" t="str">
        <f t="shared" si="165"/>
        <v>#REF!</v>
      </c>
      <c r="AH178" s="73">
        <f t="shared" si="166"/>
        <v>0</v>
      </c>
      <c r="AI178" s="73">
        <f t="shared" si="167"/>
        <v>0</v>
      </c>
      <c r="AJ178" s="75">
        <f t="shared" si="168"/>
        <v>1.266547417</v>
      </c>
      <c r="AK178" s="73">
        <f t="shared" si="169"/>
        <v>1.006645612</v>
      </c>
      <c r="AL178" s="73">
        <f t="shared" si="170"/>
        <v>3.448314628</v>
      </c>
      <c r="AM178" s="73">
        <f t="shared" si="171"/>
        <v>1.314152039</v>
      </c>
      <c r="AN178" s="75">
        <v>1110.21</v>
      </c>
      <c r="AO178" s="76">
        <v>1100.0</v>
      </c>
      <c r="AP178" s="73">
        <f t="shared" si="172"/>
        <v>1100</v>
      </c>
      <c r="AQ178" s="29" t="str">
        <f t="shared" si="173"/>
        <v>#REF!</v>
      </c>
      <c r="AR178" s="77" t="str">
        <f t="shared" si="174"/>
        <v>#REF!</v>
      </c>
      <c r="AS178" s="73"/>
      <c r="AT178" s="39"/>
    </row>
    <row r="179" ht="15.75" customHeight="1">
      <c r="A179" s="7" t="s">
        <v>448</v>
      </c>
      <c r="B179" s="7" t="s">
        <v>446</v>
      </c>
      <c r="C179" s="7">
        <v>1963.0</v>
      </c>
      <c r="D179" s="7"/>
      <c r="E179" s="7">
        <v>1963.0</v>
      </c>
      <c r="F179" s="7" t="b">
        <v>1</v>
      </c>
      <c r="G179" s="7" t="b">
        <v>0</v>
      </c>
      <c r="H179" s="7" t="b">
        <v>1</v>
      </c>
      <c r="I179" s="7" t="b">
        <v>0</v>
      </c>
      <c r="J179" s="9">
        <v>240.0</v>
      </c>
      <c r="K179" s="7">
        <v>1.0</v>
      </c>
      <c r="L179" s="7">
        <v>350.0</v>
      </c>
      <c r="M179" s="7">
        <v>0.0</v>
      </c>
      <c r="N179" s="7">
        <v>410.0</v>
      </c>
      <c r="O179" s="7">
        <v>297.9</v>
      </c>
      <c r="P179" s="9">
        <v>194.0</v>
      </c>
      <c r="Q179" s="7">
        <v>326.0</v>
      </c>
      <c r="R179" s="7">
        <v>6.82</v>
      </c>
      <c r="S179" s="7">
        <v>0.999219</v>
      </c>
      <c r="T179" s="7">
        <v>0.997401</v>
      </c>
      <c r="U179" s="10">
        <f t="shared" si="1"/>
        <v>350</v>
      </c>
      <c r="V179" s="10">
        <f t="shared" si="2"/>
        <v>74.09108755</v>
      </c>
      <c r="W179" s="11">
        <f t="shared" si="3"/>
        <v>0.9505690824</v>
      </c>
      <c r="X179" s="8">
        <f t="shared" ref="X179:X182" si="177">0.2*(8.17*POWER(N179*R179,0.46))+0.8*(0.146*POWER(N179*Q179,0.639))</f>
        <v>283.1745296</v>
      </c>
      <c r="Y179" s="12">
        <f t="shared" si="4"/>
        <v>4</v>
      </c>
      <c r="Z179" s="12">
        <f t="shared" si="5"/>
        <v>1415.872648</v>
      </c>
      <c r="AA179" s="12">
        <f t="shared" si="6"/>
        <v>4.752845412</v>
      </c>
      <c r="AB179" s="13">
        <f t="shared" si="7"/>
        <v>0.8090700847</v>
      </c>
      <c r="AC179" s="8">
        <f t="shared" si="161"/>
        <v>287.8814651</v>
      </c>
      <c r="AD179" s="13">
        <f t="shared" si="162"/>
        <v>0.8225184717</v>
      </c>
      <c r="AE179" s="8">
        <f t="shared" si="163"/>
        <v>287.8814651</v>
      </c>
      <c r="AF179" s="73">
        <f t="shared" si="164"/>
        <v>48.45317221</v>
      </c>
      <c r="AG179" s="74" t="str">
        <f t="shared" si="165"/>
        <v>#REF!</v>
      </c>
      <c r="AH179" s="73">
        <f t="shared" si="166"/>
        <v>0</v>
      </c>
      <c r="AI179" s="73">
        <f t="shared" si="167"/>
        <v>0</v>
      </c>
      <c r="AJ179" s="75">
        <f t="shared" si="168"/>
        <v>1</v>
      </c>
      <c r="AK179" s="73">
        <f t="shared" si="169"/>
        <v>0.9623609481</v>
      </c>
      <c r="AL179" s="73">
        <f t="shared" si="170"/>
        <v>1.312966516</v>
      </c>
      <c r="AM179" s="73">
        <f t="shared" si="171"/>
        <v>1.237344028</v>
      </c>
      <c r="AN179" s="75">
        <v>245.23</v>
      </c>
      <c r="AO179" s="76">
        <v>250.0</v>
      </c>
      <c r="AP179" s="73">
        <f t="shared" si="172"/>
        <v>250</v>
      </c>
      <c r="AQ179" s="29" t="str">
        <f t="shared" si="173"/>
        <v>#REF!</v>
      </c>
      <c r="AR179" s="77" t="str">
        <f t="shared" si="174"/>
        <v>#REF!</v>
      </c>
      <c r="AS179" s="73"/>
      <c r="AT179" s="39"/>
    </row>
    <row r="180" ht="15.75" customHeight="1">
      <c r="A180" s="16" t="s">
        <v>553</v>
      </c>
      <c r="B180" s="16" t="s">
        <v>552</v>
      </c>
      <c r="C180" s="16">
        <v>1963.0</v>
      </c>
      <c r="D180" s="16"/>
      <c r="E180" s="16">
        <v>1963.0</v>
      </c>
      <c r="F180" s="16" t="b">
        <v>1</v>
      </c>
      <c r="G180" s="16" t="b">
        <v>0</v>
      </c>
      <c r="H180" s="16" t="b">
        <v>0</v>
      </c>
      <c r="I180" s="16" t="b">
        <v>0</v>
      </c>
      <c r="J180" s="18">
        <v>110.0</v>
      </c>
      <c r="K180" s="16">
        <v>1.0</v>
      </c>
      <c r="L180" s="16">
        <v>590.0</v>
      </c>
      <c r="M180" s="16">
        <v>10.0</v>
      </c>
      <c r="N180" s="16">
        <v>1492.0</v>
      </c>
      <c r="O180" s="16">
        <v>1628.0</v>
      </c>
      <c r="P180" s="18">
        <v>276.0</v>
      </c>
      <c r="Q180" s="16">
        <v>318.0</v>
      </c>
      <c r="R180" s="16">
        <v>7.85</v>
      </c>
      <c r="S180" s="16">
        <v>0.973729</v>
      </c>
      <c r="T180" s="16">
        <v>0.973729</v>
      </c>
      <c r="U180" s="19">
        <f t="shared" si="1"/>
        <v>600</v>
      </c>
      <c r="V180" s="19">
        <f t="shared" si="2"/>
        <v>111.2666213</v>
      </c>
      <c r="W180" s="20">
        <f t="shared" si="3"/>
        <v>0.3786771794</v>
      </c>
      <c r="X180" s="17">
        <f t="shared" si="177"/>
        <v>616.486448</v>
      </c>
      <c r="Y180" s="21">
        <f t="shared" si="4"/>
        <v>4</v>
      </c>
      <c r="Z180" s="21">
        <f t="shared" si="5"/>
        <v>3082.43224</v>
      </c>
      <c r="AA180" s="21">
        <f t="shared" si="6"/>
        <v>1.893385897</v>
      </c>
      <c r="AB180" s="22">
        <f t="shared" si="7"/>
        <v>1.027477413</v>
      </c>
      <c r="AC180" s="8">
        <f t="shared" si="161"/>
        <v>596.8502237</v>
      </c>
      <c r="AD180" s="13">
        <f t="shared" si="162"/>
        <v>0.9947503728</v>
      </c>
      <c r="AE180" s="8">
        <f t="shared" si="163"/>
        <v>596.8502237</v>
      </c>
      <c r="AF180" s="73">
        <f t="shared" si="164"/>
        <v>202.3031792</v>
      </c>
      <c r="AG180" s="74" t="str">
        <f t="shared" si="165"/>
        <v>#REF!</v>
      </c>
      <c r="AH180" s="73">
        <f t="shared" si="166"/>
        <v>0</v>
      </c>
      <c r="AI180" s="73">
        <f t="shared" si="167"/>
        <v>0</v>
      </c>
      <c r="AJ180" s="75">
        <f t="shared" si="168"/>
        <v>1.265470715</v>
      </c>
      <c r="AK180" s="73">
        <f t="shared" si="169"/>
        <v>1.179335731</v>
      </c>
      <c r="AL180" s="73">
        <f t="shared" si="170"/>
        <v>1.199256567</v>
      </c>
      <c r="AM180" s="73">
        <f t="shared" si="171"/>
        <v>0.9309127151</v>
      </c>
      <c r="AN180" s="75">
        <v>710.77</v>
      </c>
      <c r="AO180" s="76">
        <v>710.0</v>
      </c>
      <c r="AP180" s="73">
        <f t="shared" si="172"/>
        <v>710</v>
      </c>
      <c r="AQ180" s="29" t="str">
        <f t="shared" si="173"/>
        <v>#REF!</v>
      </c>
      <c r="AR180" s="77" t="str">
        <f t="shared" si="174"/>
        <v>#REF!</v>
      </c>
      <c r="AS180" s="73"/>
      <c r="AT180" s="39"/>
    </row>
    <row r="181" ht="15.75" customHeight="1">
      <c r="A181" s="16" t="s">
        <v>582</v>
      </c>
      <c r="B181" s="16" t="s">
        <v>579</v>
      </c>
      <c r="C181" s="16">
        <v>1963.0</v>
      </c>
      <c r="D181" s="16"/>
      <c r="E181" s="16">
        <v>1963.0</v>
      </c>
      <c r="F181" s="16" t="b">
        <v>1</v>
      </c>
      <c r="G181" s="16" t="b">
        <v>0</v>
      </c>
      <c r="H181" s="16" t="b">
        <v>0</v>
      </c>
      <c r="I181" s="16" t="b">
        <v>0</v>
      </c>
      <c r="J181" s="18">
        <v>120.0</v>
      </c>
      <c r="K181" s="16">
        <v>1.0</v>
      </c>
      <c r="L181" s="16">
        <v>330.0</v>
      </c>
      <c r="M181" s="16">
        <v>30.0</v>
      </c>
      <c r="N181" s="16">
        <v>576.0</v>
      </c>
      <c r="O181" s="16">
        <v>881.3</v>
      </c>
      <c r="P181" s="18">
        <v>269.6</v>
      </c>
      <c r="Q181" s="16">
        <v>301.4</v>
      </c>
      <c r="R181" s="16">
        <v>8.34</v>
      </c>
      <c r="S181" s="16">
        <v>0.996266</v>
      </c>
      <c r="T181" s="16">
        <v>0.996266</v>
      </c>
      <c r="U181" s="19">
        <f t="shared" si="1"/>
        <v>360</v>
      </c>
      <c r="V181" s="19">
        <f t="shared" si="2"/>
        <v>156.0201208</v>
      </c>
      <c r="W181" s="20">
        <f t="shared" si="3"/>
        <v>0.3869440745</v>
      </c>
      <c r="X181" s="17">
        <f t="shared" si="177"/>
        <v>341.0138129</v>
      </c>
      <c r="Y181" s="21">
        <f t="shared" si="4"/>
        <v>4</v>
      </c>
      <c r="Z181" s="21">
        <f t="shared" si="5"/>
        <v>1705.069064</v>
      </c>
      <c r="AA181" s="21">
        <f t="shared" si="6"/>
        <v>1.934720373</v>
      </c>
      <c r="AB181" s="22">
        <f t="shared" si="7"/>
        <v>0.9472605913</v>
      </c>
      <c r="AC181" s="8">
        <f t="shared" si="161"/>
        <v>345.2921526</v>
      </c>
      <c r="AD181" s="13">
        <f t="shared" si="162"/>
        <v>0.9591448685</v>
      </c>
      <c r="AE181" s="8">
        <f t="shared" si="163"/>
        <v>345.2921526</v>
      </c>
      <c r="AF181" s="73">
        <f t="shared" si="164"/>
        <v>118.3634029</v>
      </c>
      <c r="AG181" s="74" t="str">
        <f t="shared" si="165"/>
        <v>#REF!</v>
      </c>
      <c r="AH181" s="73">
        <f t="shared" si="166"/>
        <v>0</v>
      </c>
      <c r="AI181" s="73">
        <f t="shared" si="167"/>
        <v>0</v>
      </c>
      <c r="AJ181" s="75">
        <f t="shared" si="168"/>
        <v>1.317944343</v>
      </c>
      <c r="AK181" s="73">
        <f t="shared" si="169"/>
        <v>1.396514057</v>
      </c>
      <c r="AL181" s="73">
        <f t="shared" si="170"/>
        <v>1.011007272</v>
      </c>
      <c r="AM181" s="73">
        <f t="shared" si="171"/>
        <v>0.9682484915</v>
      </c>
      <c r="AN181" s="75">
        <v>548.35</v>
      </c>
      <c r="AO181" s="76">
        <v>550.0</v>
      </c>
      <c r="AP181" s="73">
        <f t="shared" si="172"/>
        <v>550</v>
      </c>
      <c r="AQ181" s="29" t="str">
        <f t="shared" si="173"/>
        <v>#REF!</v>
      </c>
      <c r="AR181" s="77" t="str">
        <f t="shared" si="174"/>
        <v>#REF!</v>
      </c>
      <c r="AS181" s="73"/>
      <c r="AT181" s="39"/>
    </row>
    <row r="182" ht="15.75" customHeight="1">
      <c r="A182" s="16" t="s">
        <v>587</v>
      </c>
      <c r="B182" s="16" t="s">
        <v>586</v>
      </c>
      <c r="C182" s="16">
        <v>1963.0</v>
      </c>
      <c r="D182" s="16"/>
      <c r="E182" s="16">
        <v>1963.0</v>
      </c>
      <c r="F182" s="16" t="b">
        <v>1</v>
      </c>
      <c r="G182" s="16" t="b">
        <v>0</v>
      </c>
      <c r="H182" s="16" t="b">
        <v>1</v>
      </c>
      <c r="I182" s="16" t="b">
        <v>0</v>
      </c>
      <c r="J182" s="18">
        <v>160.0</v>
      </c>
      <c r="K182" s="16">
        <v>1.0</v>
      </c>
      <c r="L182" s="16">
        <v>350.0</v>
      </c>
      <c r="M182" s="16">
        <v>30.0</v>
      </c>
      <c r="N182" s="16">
        <v>715.0</v>
      </c>
      <c r="O182" s="16">
        <v>940.8</v>
      </c>
      <c r="P182" s="18">
        <v>231.0</v>
      </c>
      <c r="Q182" s="16">
        <v>317.6</v>
      </c>
      <c r="R182" s="16">
        <v>8.92</v>
      </c>
      <c r="S182" s="16">
        <v>0.998617</v>
      </c>
      <c r="T182" s="16">
        <v>0.993849</v>
      </c>
      <c r="U182" s="19">
        <f t="shared" si="1"/>
        <v>380</v>
      </c>
      <c r="V182" s="19">
        <f t="shared" si="2"/>
        <v>134.1746868</v>
      </c>
      <c r="W182" s="20">
        <f t="shared" si="3"/>
        <v>0.4262120808</v>
      </c>
      <c r="X182" s="17">
        <f t="shared" si="177"/>
        <v>400.9803256</v>
      </c>
      <c r="Y182" s="21">
        <f t="shared" si="4"/>
        <v>4</v>
      </c>
      <c r="Z182" s="21">
        <f t="shared" si="5"/>
        <v>2004.901628</v>
      </c>
      <c r="AA182" s="21">
        <f t="shared" si="6"/>
        <v>2.131060404</v>
      </c>
      <c r="AB182" s="22">
        <f t="shared" si="7"/>
        <v>1.055211383</v>
      </c>
      <c r="AC182" s="8">
        <f t="shared" si="161"/>
        <v>405.9823574</v>
      </c>
      <c r="AD182" s="13">
        <f t="shared" si="162"/>
        <v>1.068374625</v>
      </c>
      <c r="AE182" s="8">
        <f t="shared" si="163"/>
        <v>405.9823574</v>
      </c>
      <c r="AF182" s="73">
        <f t="shared" si="164"/>
        <v>125.1978287</v>
      </c>
      <c r="AG182" s="74" t="str">
        <f t="shared" si="165"/>
        <v>#REF!</v>
      </c>
      <c r="AH182" s="73">
        <f t="shared" si="166"/>
        <v>0</v>
      </c>
      <c r="AI182" s="73">
        <f t="shared" si="167"/>
        <v>0</v>
      </c>
      <c r="AJ182" s="75">
        <f t="shared" si="168"/>
        <v>1.048918227</v>
      </c>
      <c r="AK182" s="73">
        <f t="shared" si="169"/>
        <v>1.295061228</v>
      </c>
      <c r="AL182" s="73">
        <f t="shared" si="170"/>
        <v>1.193947692</v>
      </c>
      <c r="AM182" s="73">
        <f t="shared" si="171"/>
        <v>1.085846338</v>
      </c>
      <c r="AN182" s="75">
        <v>585.0</v>
      </c>
      <c r="AO182" s="76">
        <v>590.0</v>
      </c>
      <c r="AP182" s="73">
        <f t="shared" si="172"/>
        <v>590</v>
      </c>
      <c r="AQ182" s="29" t="str">
        <f t="shared" si="173"/>
        <v>#REF!</v>
      </c>
      <c r="AR182" s="77" t="str">
        <f t="shared" si="174"/>
        <v>#REF!</v>
      </c>
      <c r="AS182" s="73"/>
      <c r="AT182" s="39"/>
    </row>
    <row r="183" ht="15.75" customHeight="1">
      <c r="A183" s="7" t="s">
        <v>661</v>
      </c>
      <c r="B183" s="7" t="s">
        <v>660</v>
      </c>
      <c r="C183" s="7">
        <v>1963.0</v>
      </c>
      <c r="D183" s="7" t="b">
        <v>1</v>
      </c>
      <c r="E183" s="7">
        <v>1963.0</v>
      </c>
      <c r="F183" s="7" t="b">
        <v>1</v>
      </c>
      <c r="G183" s="7" t="b">
        <v>0</v>
      </c>
      <c r="H183" s="7" t="b">
        <v>1</v>
      </c>
      <c r="I183" s="7" t="b">
        <v>0</v>
      </c>
      <c r="J183" s="9">
        <v>470.0</v>
      </c>
      <c r="K183" s="9">
        <v>20.0</v>
      </c>
      <c r="L183" s="7">
        <v>500.0</v>
      </c>
      <c r="M183" s="7">
        <v>50.0</v>
      </c>
      <c r="N183" s="7">
        <v>131.0</v>
      </c>
      <c r="O183" s="7">
        <v>66.7</v>
      </c>
      <c r="P183" s="9">
        <v>187.0</v>
      </c>
      <c r="Q183" s="7">
        <v>427.0</v>
      </c>
      <c r="R183" s="7">
        <v>2.07</v>
      </c>
      <c r="S183" s="7">
        <v>0.994828</v>
      </c>
      <c r="T183" s="7">
        <v>0.99</v>
      </c>
      <c r="U183" s="10">
        <f t="shared" si="1"/>
        <v>550</v>
      </c>
      <c r="V183" s="10">
        <f t="shared" si="2"/>
        <v>51.91990168</v>
      </c>
      <c r="W183" s="11">
        <f t="shared" si="3"/>
        <v>11.92762625</v>
      </c>
      <c r="X183" s="8">
        <f t="shared" ref="X183:X184" si="178">0.9*(0.00015*N183*Q183*R183+797)+0.1*(43.1*POWER(N183,0.549))</f>
        <v>795.572671</v>
      </c>
      <c r="Y183" s="12">
        <f t="shared" si="4"/>
        <v>4</v>
      </c>
      <c r="Z183" s="12">
        <f t="shared" si="5"/>
        <v>3977.863355</v>
      </c>
      <c r="AA183" s="12">
        <f t="shared" si="6"/>
        <v>59.63813126</v>
      </c>
      <c r="AB183" s="13">
        <f t="shared" si="7"/>
        <v>1.446495765</v>
      </c>
      <c r="AC183" s="8">
        <f t="shared" si="161"/>
        <v>799.4548429</v>
      </c>
      <c r="AD183" s="13">
        <f t="shared" si="162"/>
        <v>1.45355426</v>
      </c>
      <c r="AE183" s="8">
        <f t="shared" si="163"/>
        <v>148.4736271</v>
      </c>
      <c r="AF183" s="73">
        <f t="shared" si="164"/>
        <v>16.34657754</v>
      </c>
      <c r="AG183" s="74" t="str">
        <f t="shared" si="165"/>
        <v>#REF!</v>
      </c>
      <c r="AH183" s="73">
        <f t="shared" si="166"/>
        <v>0</v>
      </c>
      <c r="AI183" s="73">
        <f t="shared" si="167"/>
        <v>0.6760795925</v>
      </c>
      <c r="AJ183" s="75">
        <f t="shared" si="168"/>
        <v>1</v>
      </c>
      <c r="AK183" s="73">
        <f t="shared" si="169"/>
        <v>0.8056045997</v>
      </c>
      <c r="AL183" s="73">
        <f t="shared" si="170"/>
        <v>4.752316783</v>
      </c>
      <c r="AM183" s="73">
        <f t="shared" si="171"/>
        <v>1.455816439</v>
      </c>
      <c r="AN183" s="75">
        <v>392.06</v>
      </c>
      <c r="AO183" s="76">
        <v>390.0</v>
      </c>
      <c r="AP183" s="73">
        <f t="shared" si="172"/>
        <v>390</v>
      </c>
      <c r="AQ183" s="29" t="str">
        <f t="shared" si="173"/>
        <v>#REF!</v>
      </c>
      <c r="AR183" s="77" t="str">
        <f t="shared" si="174"/>
        <v>#REF!</v>
      </c>
      <c r="AS183" s="73"/>
      <c r="AT183" s="39"/>
    </row>
    <row r="184" ht="15.75" customHeight="1">
      <c r="A184" s="16" t="s">
        <v>1015</v>
      </c>
      <c r="B184" s="16" t="s">
        <v>726</v>
      </c>
      <c r="C184" s="16">
        <v>1963.0</v>
      </c>
      <c r="D184" s="16" t="b">
        <v>1</v>
      </c>
      <c r="E184" s="16">
        <v>1963.0</v>
      </c>
      <c r="F184" s="16" t="b">
        <v>1</v>
      </c>
      <c r="G184" s="16" t="b">
        <v>0</v>
      </c>
      <c r="H184" s="16" t="b">
        <v>1</v>
      </c>
      <c r="I184" s="16" t="b">
        <v>0</v>
      </c>
      <c r="J184" s="18">
        <v>470.0</v>
      </c>
      <c r="K184" s="18">
        <v>10.0</v>
      </c>
      <c r="L184" s="16">
        <v>350.0</v>
      </c>
      <c r="M184" s="16">
        <v>0.0</v>
      </c>
      <c r="N184" s="16">
        <v>131.0</v>
      </c>
      <c r="O184" s="16">
        <v>70.0</v>
      </c>
      <c r="P184" s="18">
        <v>171.0</v>
      </c>
      <c r="Q184" s="16">
        <v>410.0</v>
      </c>
      <c r="R184" s="16">
        <v>2.07</v>
      </c>
      <c r="S184" s="16">
        <v>0.994828</v>
      </c>
      <c r="T184" s="16">
        <v>0.99</v>
      </c>
      <c r="U184" s="19">
        <f t="shared" si="1"/>
        <v>350</v>
      </c>
      <c r="V184" s="19">
        <f t="shared" si="2"/>
        <v>54.48865244</v>
      </c>
      <c r="W184" s="20">
        <f t="shared" si="3"/>
        <v>11.35643337</v>
      </c>
      <c r="X184" s="17">
        <f t="shared" si="178"/>
        <v>794.9503358</v>
      </c>
      <c r="Y184" s="21">
        <f t="shared" si="4"/>
        <v>4</v>
      </c>
      <c r="Z184" s="21">
        <f t="shared" si="5"/>
        <v>3974.751679</v>
      </c>
      <c r="AA184" s="21">
        <f t="shared" si="6"/>
        <v>56.78216685</v>
      </c>
      <c r="AB184" s="22">
        <f t="shared" si="7"/>
        <v>2.271286674</v>
      </c>
      <c r="AC184" s="8">
        <f t="shared" si="161"/>
        <v>798.8294709</v>
      </c>
      <c r="AD184" s="13">
        <f t="shared" si="162"/>
        <v>2.282369917</v>
      </c>
      <c r="AE184" s="8">
        <f t="shared" si="163"/>
        <v>145.222562</v>
      </c>
      <c r="AF184" s="73">
        <f t="shared" si="164"/>
        <v>16.88073985</v>
      </c>
      <c r="AG184" s="74" t="str">
        <f t="shared" si="165"/>
        <v>#REF!</v>
      </c>
      <c r="AH184" s="73">
        <f t="shared" si="166"/>
        <v>0</v>
      </c>
      <c r="AI184" s="73">
        <f t="shared" si="167"/>
        <v>0.5535639833</v>
      </c>
      <c r="AJ184" s="75">
        <f t="shared" si="168"/>
        <v>1</v>
      </c>
      <c r="AK184" s="73">
        <f t="shared" si="169"/>
        <v>0.8252927696</v>
      </c>
      <c r="AL184" s="73">
        <f t="shared" si="170"/>
        <v>3.783822748</v>
      </c>
      <c r="AM184" s="73">
        <f t="shared" si="171"/>
        <v>1.455816439</v>
      </c>
      <c r="AN184" s="75">
        <v>309.01</v>
      </c>
      <c r="AO184" s="76">
        <v>310.0</v>
      </c>
      <c r="AP184" s="73">
        <f t="shared" si="172"/>
        <v>310</v>
      </c>
      <c r="AQ184" s="29" t="str">
        <f t="shared" si="173"/>
        <v>#REF!</v>
      </c>
      <c r="AR184" s="77" t="str">
        <f t="shared" si="174"/>
        <v>#REF!</v>
      </c>
      <c r="AS184" s="73"/>
      <c r="AT184" s="39"/>
    </row>
    <row r="185" ht="15.75" customHeight="1">
      <c r="A185" s="7" t="s">
        <v>812</v>
      </c>
      <c r="B185" s="7" t="s">
        <v>810</v>
      </c>
      <c r="C185" s="7">
        <v>1963.0</v>
      </c>
      <c r="D185" s="7"/>
      <c r="E185" s="7">
        <v>1963.0</v>
      </c>
      <c r="F185" s="7" t="b">
        <v>1</v>
      </c>
      <c r="G185" s="7" t="b">
        <v>0</v>
      </c>
      <c r="H185" s="7" t="b">
        <v>0</v>
      </c>
      <c r="I185" s="7" t="b">
        <v>0</v>
      </c>
      <c r="J185" s="9">
        <v>205.0</v>
      </c>
      <c r="K185" s="7">
        <v>1.0</v>
      </c>
      <c r="L185" s="7">
        <v>300.0</v>
      </c>
      <c r="M185" s="7">
        <v>20.0</v>
      </c>
      <c r="N185" s="7">
        <v>826.0</v>
      </c>
      <c r="O185" s="7">
        <v>748.2</v>
      </c>
      <c r="P185" s="9">
        <v>242.3</v>
      </c>
      <c r="Q185" s="7">
        <v>278.5</v>
      </c>
      <c r="R185" s="7">
        <v>5.85</v>
      </c>
      <c r="S185" s="7">
        <v>0.997826</v>
      </c>
      <c r="T185" s="7">
        <v>0.997826</v>
      </c>
      <c r="U185" s="10">
        <f t="shared" si="1"/>
        <v>320</v>
      </c>
      <c r="V185" s="10">
        <f t="shared" si="2"/>
        <v>92.36703006</v>
      </c>
      <c r="W185" s="11">
        <f t="shared" si="3"/>
        <v>0.5246312108</v>
      </c>
      <c r="X185" s="8">
        <f t="shared" ref="X185:X188" si="179">0.2*(8.17*POWER(N185*R185,0.46))+0.8*(0.146*POWER(N185*Q185,0.639))</f>
        <v>392.5290719</v>
      </c>
      <c r="Y185" s="12">
        <f t="shared" si="4"/>
        <v>4</v>
      </c>
      <c r="Z185" s="12">
        <f t="shared" si="5"/>
        <v>1962.64536</v>
      </c>
      <c r="AA185" s="12">
        <f t="shared" si="6"/>
        <v>2.623156054</v>
      </c>
      <c r="AB185" s="13">
        <f t="shared" si="7"/>
        <v>1.22665335</v>
      </c>
      <c r="AC185" s="8">
        <f t="shared" si="161"/>
        <v>398.6747922</v>
      </c>
      <c r="AD185" s="13">
        <f t="shared" si="162"/>
        <v>1.245858726</v>
      </c>
      <c r="AE185" s="8">
        <f t="shared" si="163"/>
        <v>398.6747922</v>
      </c>
      <c r="AF185" s="73">
        <f t="shared" si="164"/>
        <v>102.9393526</v>
      </c>
      <c r="AG185" s="74" t="str">
        <f t="shared" si="165"/>
        <v>#REF!</v>
      </c>
      <c r="AH185" s="73">
        <f t="shared" si="166"/>
        <v>0</v>
      </c>
      <c r="AI185" s="73">
        <f t="shared" si="167"/>
        <v>0</v>
      </c>
      <c r="AJ185" s="75">
        <f t="shared" si="168"/>
        <v>1.269490006</v>
      </c>
      <c r="AK185" s="73">
        <f t="shared" si="169"/>
        <v>1.074517508</v>
      </c>
      <c r="AL185" s="73">
        <f t="shared" si="170"/>
        <v>0.862794462</v>
      </c>
      <c r="AM185" s="73">
        <f t="shared" si="171"/>
        <v>1.180337395</v>
      </c>
      <c r="AN185" s="75">
        <v>431.11</v>
      </c>
      <c r="AO185" s="76">
        <v>430.0</v>
      </c>
      <c r="AP185" s="73">
        <f t="shared" si="172"/>
        <v>430</v>
      </c>
      <c r="AQ185" s="29" t="str">
        <f t="shared" si="173"/>
        <v>#REF!</v>
      </c>
      <c r="AR185" s="77" t="str">
        <f t="shared" si="174"/>
        <v>#REF!</v>
      </c>
      <c r="AS185" s="73"/>
      <c r="AT185" s="39"/>
    </row>
    <row r="186" ht="15.75" customHeight="1">
      <c r="A186" s="16" t="s">
        <v>813</v>
      </c>
      <c r="B186" s="16" t="s">
        <v>810</v>
      </c>
      <c r="C186" s="16">
        <v>1963.0</v>
      </c>
      <c r="D186" s="16"/>
      <c r="E186" s="16">
        <v>1963.0</v>
      </c>
      <c r="F186" s="16" t="b">
        <v>1</v>
      </c>
      <c r="G186" s="16" t="b">
        <v>0</v>
      </c>
      <c r="H186" s="16" t="b">
        <v>1</v>
      </c>
      <c r="I186" s="16" t="b">
        <v>0</v>
      </c>
      <c r="J186" s="18">
        <v>124.0</v>
      </c>
      <c r="K186" s="16">
        <v>1.0</v>
      </c>
      <c r="L186" s="16">
        <v>300.0</v>
      </c>
      <c r="M186" s="16">
        <v>40.0</v>
      </c>
      <c r="N186" s="16">
        <v>886.0</v>
      </c>
      <c r="O186" s="16">
        <v>784.8</v>
      </c>
      <c r="P186" s="18">
        <v>206.0</v>
      </c>
      <c r="Q186" s="16">
        <v>290.7</v>
      </c>
      <c r="R186" s="16">
        <v>5.85</v>
      </c>
      <c r="S186" s="16">
        <v>0.998872</v>
      </c>
      <c r="T186" s="16">
        <v>0.998872</v>
      </c>
      <c r="U186" s="19">
        <f t="shared" si="1"/>
        <v>340</v>
      </c>
      <c r="V186" s="19">
        <f t="shared" si="2"/>
        <v>90.32429815</v>
      </c>
      <c r="W186" s="20">
        <f t="shared" si="3"/>
        <v>0.5332751373</v>
      </c>
      <c r="X186" s="17">
        <f t="shared" si="179"/>
        <v>418.5143277</v>
      </c>
      <c r="Y186" s="21">
        <f t="shared" si="4"/>
        <v>4</v>
      </c>
      <c r="Z186" s="21">
        <f t="shared" si="5"/>
        <v>2092.571639</v>
      </c>
      <c r="AA186" s="21">
        <f t="shared" si="6"/>
        <v>2.666375686</v>
      </c>
      <c r="AB186" s="22">
        <f t="shared" si="7"/>
        <v>1.230924493</v>
      </c>
      <c r="AC186" s="8">
        <f t="shared" si="161"/>
        <v>425.9409785</v>
      </c>
      <c r="AD186" s="13">
        <f t="shared" si="162"/>
        <v>1.252767584</v>
      </c>
      <c r="AE186" s="8">
        <f t="shared" si="163"/>
        <v>425.9409785</v>
      </c>
      <c r="AF186" s="73">
        <f t="shared" si="164"/>
        <v>107.2011142</v>
      </c>
      <c r="AG186" s="74" t="str">
        <f t="shared" si="165"/>
        <v>#REF!</v>
      </c>
      <c r="AH186" s="73">
        <f t="shared" si="166"/>
        <v>0</v>
      </c>
      <c r="AI186" s="73">
        <f t="shared" si="167"/>
        <v>0</v>
      </c>
      <c r="AJ186" s="75">
        <f t="shared" si="168"/>
        <v>1.030031184</v>
      </c>
      <c r="AK186" s="73">
        <f t="shared" si="169"/>
        <v>1.062569399</v>
      </c>
      <c r="AL186" s="73">
        <f t="shared" si="170"/>
        <v>0.9381584661</v>
      </c>
      <c r="AM186" s="73">
        <f t="shared" si="171"/>
        <v>0.9821006196</v>
      </c>
      <c r="AN186" s="75">
        <v>341.13</v>
      </c>
      <c r="AO186" s="76">
        <v>340.0</v>
      </c>
      <c r="AP186" s="73">
        <f t="shared" si="172"/>
        <v>340</v>
      </c>
      <c r="AQ186" s="29" t="str">
        <f t="shared" si="173"/>
        <v>#REF!</v>
      </c>
      <c r="AR186" s="77" t="str">
        <f t="shared" si="174"/>
        <v>#REF!</v>
      </c>
      <c r="AS186" s="73"/>
      <c r="AT186" s="39"/>
    </row>
    <row r="187" ht="15.75" customHeight="1">
      <c r="A187" s="16" t="s">
        <v>75</v>
      </c>
      <c r="B187" s="16" t="s">
        <v>76</v>
      </c>
      <c r="C187" s="16">
        <v>1964.0</v>
      </c>
      <c r="D187" s="16"/>
      <c r="E187" s="16">
        <v>1964.0</v>
      </c>
      <c r="F187" s="16" t="b">
        <v>0</v>
      </c>
      <c r="G187" s="16" t="b">
        <v>0</v>
      </c>
      <c r="H187" s="16" t="b">
        <v>1</v>
      </c>
      <c r="I187" s="16" t="b">
        <v>0</v>
      </c>
      <c r="J187" s="18">
        <v>450.0</v>
      </c>
      <c r="K187" s="18">
        <v>999.0</v>
      </c>
      <c r="L187" s="16">
        <v>200.0</v>
      </c>
      <c r="M187" s="16">
        <v>0.0</v>
      </c>
      <c r="N187" s="16">
        <v>110.0</v>
      </c>
      <c r="O187" s="16">
        <v>35.585</v>
      </c>
      <c r="P187" s="18">
        <v>1.0</v>
      </c>
      <c r="Q187" s="16">
        <v>311.0</v>
      </c>
      <c r="R187" s="16">
        <v>0.72</v>
      </c>
      <c r="S187" s="16">
        <v>0.997718</v>
      </c>
      <c r="T187" s="16">
        <v>0.995679</v>
      </c>
      <c r="U187" s="19">
        <f t="shared" si="1"/>
        <v>200</v>
      </c>
      <c r="V187" s="19">
        <f t="shared" si="2"/>
        <v>32.98781939</v>
      </c>
      <c r="W187" s="20">
        <f t="shared" si="3"/>
        <v>2.934275133</v>
      </c>
      <c r="X187" s="17">
        <f t="shared" si="179"/>
        <v>104.4161806</v>
      </c>
      <c r="Y187" s="21">
        <f t="shared" si="4"/>
        <v>1.75</v>
      </c>
      <c r="Z187" s="21">
        <f t="shared" si="5"/>
        <v>287.1444966</v>
      </c>
      <c r="AA187" s="21">
        <f t="shared" si="6"/>
        <v>8.069256615</v>
      </c>
      <c r="AB187" s="22">
        <f t="shared" si="7"/>
        <v>0.522080903</v>
      </c>
      <c r="AC187" s="8">
        <f t="shared" si="161"/>
        <v>105.8160738</v>
      </c>
      <c r="AD187" s="13">
        <f t="shared" si="162"/>
        <v>0.5290803688</v>
      </c>
      <c r="AE187" s="8">
        <f t="shared" si="163"/>
        <v>105.8160738</v>
      </c>
      <c r="AF187" s="73">
        <f t="shared" si="164"/>
        <v>10.40751858</v>
      </c>
      <c r="AG187" s="74" t="str">
        <f t="shared" si="165"/>
        <v>#REF!</v>
      </c>
      <c r="AH187" s="73">
        <f t="shared" si="166"/>
        <v>0</v>
      </c>
      <c r="AI187" s="73">
        <f t="shared" si="167"/>
        <v>1.123141633</v>
      </c>
      <c r="AJ187" s="75">
        <f t="shared" si="168"/>
        <v>1</v>
      </c>
      <c r="AK187" s="73">
        <f t="shared" si="169"/>
        <v>0.6421430856</v>
      </c>
      <c r="AL187" s="73">
        <f t="shared" si="170"/>
        <v>1.111492852</v>
      </c>
      <c r="AM187" s="73">
        <f t="shared" si="171"/>
        <v>1.442806746</v>
      </c>
      <c r="AN187" s="75">
        <v>66.55</v>
      </c>
      <c r="AO187" s="76">
        <v>67.0</v>
      </c>
      <c r="AP187" s="73">
        <f t="shared" si="172"/>
        <v>67</v>
      </c>
      <c r="AQ187" s="29" t="str">
        <f t="shared" si="173"/>
        <v>#REF!</v>
      </c>
      <c r="AR187" s="77" t="str">
        <f t="shared" si="174"/>
        <v>#REF!</v>
      </c>
      <c r="AS187" s="73"/>
      <c r="AT187" s="39"/>
    </row>
    <row r="188" ht="15.75" customHeight="1">
      <c r="A188" s="16" t="s">
        <v>796</v>
      </c>
      <c r="B188" s="16" t="s">
        <v>797</v>
      </c>
      <c r="C188" s="16">
        <v>1964.0</v>
      </c>
      <c r="D188" s="16"/>
      <c r="E188" s="16">
        <v>1964.0</v>
      </c>
      <c r="F188" s="16" t="b">
        <v>0</v>
      </c>
      <c r="G188" s="16" t="b">
        <v>0</v>
      </c>
      <c r="H188" s="16" t="b">
        <v>0</v>
      </c>
      <c r="I188" s="16" t="b">
        <v>0</v>
      </c>
      <c r="J188" s="18">
        <v>56.0</v>
      </c>
      <c r="K188" s="16">
        <v>1.0</v>
      </c>
      <c r="L188" s="16">
        <v>500.0</v>
      </c>
      <c r="M188" s="16">
        <v>0.0</v>
      </c>
      <c r="N188" s="16">
        <v>200.0</v>
      </c>
      <c r="O188" s="16">
        <v>153.7</v>
      </c>
      <c r="P188" s="18">
        <v>189.0</v>
      </c>
      <c r="Q188" s="16">
        <v>208.0</v>
      </c>
      <c r="R188" s="16">
        <v>1.76</v>
      </c>
      <c r="S188" s="16">
        <v>0.9</v>
      </c>
      <c r="T188" s="16">
        <v>0.966667</v>
      </c>
      <c r="U188" s="19">
        <f t="shared" si="1"/>
        <v>500</v>
      </c>
      <c r="V188" s="19">
        <f t="shared" si="2"/>
        <v>78.36519074</v>
      </c>
      <c r="W188" s="20">
        <f t="shared" si="3"/>
        <v>0.8375386251</v>
      </c>
      <c r="X188" s="17">
        <f t="shared" si="179"/>
        <v>128.7296867</v>
      </c>
      <c r="Y188" s="21">
        <f t="shared" si="4"/>
        <v>1.75</v>
      </c>
      <c r="Z188" s="21">
        <f t="shared" si="5"/>
        <v>354.0066384</v>
      </c>
      <c r="AA188" s="21">
        <f t="shared" si="6"/>
        <v>2.303231219</v>
      </c>
      <c r="AB188" s="22">
        <f t="shared" si="7"/>
        <v>0.2574593734</v>
      </c>
      <c r="AC188" s="8">
        <f t="shared" si="161"/>
        <v>114.5694598</v>
      </c>
      <c r="AD188" s="13">
        <f t="shared" si="162"/>
        <v>0.2291389195</v>
      </c>
      <c r="AE188" s="8">
        <f t="shared" si="163"/>
        <v>114.5694598</v>
      </c>
      <c r="AF188" s="73">
        <f t="shared" si="164"/>
        <v>35.00264568</v>
      </c>
      <c r="AG188" s="74" t="str">
        <f t="shared" si="165"/>
        <v>#REF!</v>
      </c>
      <c r="AH188" s="73">
        <f t="shared" si="166"/>
        <v>0</v>
      </c>
      <c r="AI188" s="73">
        <f t="shared" si="167"/>
        <v>0</v>
      </c>
      <c r="AJ188" s="75">
        <f t="shared" si="168"/>
        <v>1.347176886</v>
      </c>
      <c r="AK188" s="73">
        <f t="shared" si="169"/>
        <v>0.9897297026</v>
      </c>
      <c r="AL188" s="73">
        <f t="shared" si="170"/>
        <v>0.5317935605</v>
      </c>
      <c r="AM188" s="73">
        <f t="shared" si="171"/>
        <v>0.6106451373</v>
      </c>
      <c r="AN188" s="75">
        <v>23.92</v>
      </c>
      <c r="AO188" s="76">
        <v>24.0</v>
      </c>
      <c r="AP188" s="73">
        <f t="shared" si="172"/>
        <v>24</v>
      </c>
      <c r="AQ188" s="29" t="str">
        <f t="shared" si="173"/>
        <v>#REF!</v>
      </c>
      <c r="AR188" s="77" t="str">
        <f t="shared" si="174"/>
        <v>#REF!</v>
      </c>
      <c r="AS188" s="73"/>
      <c r="AT188" s="39"/>
    </row>
    <row r="189" ht="15.75" customHeight="1">
      <c r="A189" s="7" t="s">
        <v>1017</v>
      </c>
      <c r="B189" s="7" t="s">
        <v>828</v>
      </c>
      <c r="C189" s="7">
        <v>1964.0</v>
      </c>
      <c r="D189" s="7"/>
      <c r="E189" s="7">
        <v>1964.0</v>
      </c>
      <c r="F189" s="7" t="b">
        <v>0</v>
      </c>
      <c r="G189" s="7" t="b">
        <v>0</v>
      </c>
      <c r="H189" s="7" t="b">
        <v>1</v>
      </c>
      <c r="I189" s="7" t="b">
        <v>1</v>
      </c>
      <c r="J189" s="9">
        <v>300.0</v>
      </c>
      <c r="K189" s="9">
        <v>999.0</v>
      </c>
      <c r="L189" s="7">
        <v>300.0</v>
      </c>
      <c r="M189" s="7">
        <v>200.0</v>
      </c>
      <c r="N189" s="7">
        <v>212.0</v>
      </c>
      <c r="O189" s="7">
        <v>47.08</v>
      </c>
      <c r="P189" s="9">
        <v>211.0</v>
      </c>
      <c r="Q189" s="7">
        <v>230.0</v>
      </c>
      <c r="R189" s="7">
        <v>1.52</v>
      </c>
      <c r="S189" s="7">
        <v>0.99</v>
      </c>
      <c r="T189" s="7">
        <v>0.998</v>
      </c>
      <c r="U189" s="10">
        <f t="shared" si="1"/>
        <v>500</v>
      </c>
      <c r="V189" s="10">
        <f t="shared" si="2"/>
        <v>22.64539583</v>
      </c>
      <c r="W189" s="11">
        <f t="shared" si="3"/>
        <v>5.352591334</v>
      </c>
      <c r="X189" s="8">
        <v>252.0</v>
      </c>
      <c r="Y189" s="12">
        <f t="shared" si="4"/>
        <v>1.75</v>
      </c>
      <c r="Z189" s="12">
        <f t="shared" si="5"/>
        <v>693</v>
      </c>
      <c r="AA189" s="12">
        <f t="shared" si="6"/>
        <v>14.71962617</v>
      </c>
      <c r="AB189" s="13">
        <f t="shared" si="7"/>
        <v>0.504</v>
      </c>
      <c r="AC189" s="8">
        <f t="shared" si="161"/>
        <v>381.03156</v>
      </c>
      <c r="AD189" s="13">
        <f t="shared" si="162"/>
        <v>0.76206312</v>
      </c>
      <c r="AE189" s="8">
        <f t="shared" si="163"/>
        <v>210.0567751</v>
      </c>
      <c r="AF189" s="73">
        <f t="shared" si="164"/>
        <v>12.86450337</v>
      </c>
      <c r="AG189" s="74" t="str">
        <f t="shared" si="165"/>
        <v>#REF!</v>
      </c>
      <c r="AH189" s="73">
        <f t="shared" si="166"/>
        <v>2</v>
      </c>
      <c r="AI189" s="73">
        <f t="shared" si="167"/>
        <v>1.123141633</v>
      </c>
      <c r="AJ189" s="75">
        <f t="shared" si="168"/>
        <v>1.365635906</v>
      </c>
      <c r="AK189" s="73">
        <f t="shared" si="169"/>
        <v>0.5320408329</v>
      </c>
      <c r="AL189" s="73">
        <f t="shared" si="170"/>
        <v>0.6184808428</v>
      </c>
      <c r="AM189" s="73">
        <f t="shared" si="171"/>
        <v>1.314152039</v>
      </c>
      <c r="AN189" s="75">
        <v>90.62</v>
      </c>
      <c r="AO189" s="76">
        <v>91.0</v>
      </c>
      <c r="AP189" s="73">
        <f t="shared" si="172"/>
        <v>91</v>
      </c>
      <c r="AQ189" s="29" t="str">
        <f t="shared" si="173"/>
        <v>#REF!</v>
      </c>
      <c r="AR189" s="77" t="str">
        <f t="shared" si="174"/>
        <v>#REF!</v>
      </c>
      <c r="AS189" s="73"/>
      <c r="AT189" s="39"/>
    </row>
    <row r="190" ht="15.75" customHeight="1">
      <c r="A190" s="16" t="s">
        <v>1016</v>
      </c>
      <c r="B190" s="16" t="s">
        <v>158</v>
      </c>
      <c r="C190" s="16">
        <v>1964.0</v>
      </c>
      <c r="D190" s="16"/>
      <c r="E190" s="16">
        <v>1964.0</v>
      </c>
      <c r="F190" s="16" t="b">
        <v>1</v>
      </c>
      <c r="G190" s="16" t="b">
        <v>0</v>
      </c>
      <c r="H190" s="16" t="b">
        <v>0</v>
      </c>
      <c r="I190" s="16" t="b">
        <v>0</v>
      </c>
      <c r="J190" s="18">
        <v>155.0</v>
      </c>
      <c r="K190" s="16">
        <v>1.0</v>
      </c>
      <c r="L190" s="16">
        <v>250.0</v>
      </c>
      <c r="M190" s="16">
        <v>5.0</v>
      </c>
      <c r="N190" s="16">
        <v>911.0</v>
      </c>
      <c r="O190" s="16">
        <v>950.19</v>
      </c>
      <c r="P190" s="18">
        <v>259.63</v>
      </c>
      <c r="Q190" s="16">
        <v>295.0</v>
      </c>
      <c r="R190" s="16">
        <v>4.52</v>
      </c>
      <c r="S190" s="16">
        <v>0.996939</v>
      </c>
      <c r="T190" s="16">
        <v>0.996939</v>
      </c>
      <c r="U190" s="19">
        <f t="shared" si="1"/>
        <v>255</v>
      </c>
      <c r="V190" s="19">
        <f t="shared" si="2"/>
        <v>106.3583036</v>
      </c>
      <c r="W190" s="20">
        <f t="shared" si="3"/>
        <v>0.4413283861</v>
      </c>
      <c r="X190" s="17">
        <f t="shared" ref="X190:X206" si="180">0.2*(8.17*POWER(N190*R190,0.46))+0.8*(0.146*POWER(N190*Q190,0.639))</f>
        <v>419.3458191</v>
      </c>
      <c r="Y190" s="21">
        <f t="shared" si="4"/>
        <v>4</v>
      </c>
      <c r="Z190" s="21">
        <f t="shared" si="5"/>
        <v>2096.729096</v>
      </c>
      <c r="AA190" s="21">
        <f t="shared" si="6"/>
        <v>2.20664193</v>
      </c>
      <c r="AB190" s="22">
        <f t="shared" si="7"/>
        <v>1.644493408</v>
      </c>
      <c r="AC190" s="8">
        <f t="shared" si="161"/>
        <v>425.1694296</v>
      </c>
      <c r="AD190" s="13">
        <f t="shared" si="162"/>
        <v>1.667331096</v>
      </c>
      <c r="AE190" s="8">
        <f t="shared" si="163"/>
        <v>425.1694296</v>
      </c>
      <c r="AF190" s="73">
        <f t="shared" si="164"/>
        <v>126.2733511</v>
      </c>
      <c r="AG190" s="74" t="str">
        <f t="shared" si="165"/>
        <v>#REF!</v>
      </c>
      <c r="AH190" s="73">
        <f t="shared" si="166"/>
        <v>0</v>
      </c>
      <c r="AI190" s="73">
        <f t="shared" si="167"/>
        <v>0</v>
      </c>
      <c r="AJ190" s="75">
        <f t="shared" si="168"/>
        <v>1.28912997</v>
      </c>
      <c r="AK190" s="73">
        <f t="shared" si="169"/>
        <v>1.153030266</v>
      </c>
      <c r="AL190" s="73">
        <f t="shared" si="170"/>
        <v>0.9662616258</v>
      </c>
      <c r="AM190" s="73">
        <f t="shared" si="171"/>
        <v>1.073295783</v>
      </c>
      <c r="AN190" s="75">
        <v>527.38</v>
      </c>
      <c r="AO190" s="76">
        <v>530.0</v>
      </c>
      <c r="AP190" s="73">
        <f t="shared" si="172"/>
        <v>530</v>
      </c>
      <c r="AQ190" s="29" t="str">
        <f t="shared" si="173"/>
        <v>#REF!</v>
      </c>
      <c r="AR190" s="77" t="str">
        <f t="shared" si="174"/>
        <v>#REF!</v>
      </c>
      <c r="AS190" s="73"/>
      <c r="AT190" s="39"/>
    </row>
    <row r="191" ht="15.75" customHeight="1">
      <c r="A191" s="16" t="s">
        <v>298</v>
      </c>
      <c r="B191" s="16" t="s">
        <v>288</v>
      </c>
      <c r="C191" s="16">
        <v>1964.0</v>
      </c>
      <c r="D191" s="16"/>
      <c r="E191" s="16">
        <v>1964.0</v>
      </c>
      <c r="F191" s="16" t="b">
        <v>1</v>
      </c>
      <c r="G191" s="16" t="b">
        <v>0</v>
      </c>
      <c r="H191" s="16" t="b">
        <v>0</v>
      </c>
      <c r="I191" s="16" t="b">
        <v>0</v>
      </c>
      <c r="J191" s="18">
        <v>156.0</v>
      </c>
      <c r="K191" s="16">
        <v>1.0</v>
      </c>
      <c r="L191" s="16">
        <v>250.0</v>
      </c>
      <c r="M191" s="16">
        <v>250.0</v>
      </c>
      <c r="N191" s="16">
        <v>713.0</v>
      </c>
      <c r="O191" s="16">
        <v>1097.2</v>
      </c>
      <c r="P191" s="18">
        <v>261.0</v>
      </c>
      <c r="Q191" s="16">
        <v>296.0</v>
      </c>
      <c r="R191" s="16">
        <v>5.56</v>
      </c>
      <c r="S191" s="16">
        <v>0.994</v>
      </c>
      <c r="T191" s="16">
        <v>0.994</v>
      </c>
      <c r="U191" s="19">
        <f t="shared" si="1"/>
        <v>500</v>
      </c>
      <c r="V191" s="19">
        <f t="shared" si="2"/>
        <v>156.9190218</v>
      </c>
      <c r="W191" s="20">
        <f t="shared" si="3"/>
        <v>0.3361211241</v>
      </c>
      <c r="X191" s="17">
        <f t="shared" si="180"/>
        <v>368.7920973</v>
      </c>
      <c r="Y191" s="21">
        <f t="shared" si="4"/>
        <v>4</v>
      </c>
      <c r="Z191" s="21">
        <f t="shared" si="5"/>
        <v>1843.960487</v>
      </c>
      <c r="AA191" s="21">
        <f t="shared" si="6"/>
        <v>1.68060562</v>
      </c>
      <c r="AB191" s="22">
        <f t="shared" si="7"/>
        <v>0.7375841946</v>
      </c>
      <c r="AC191" s="8">
        <f t="shared" si="161"/>
        <v>371.7557106</v>
      </c>
      <c r="AD191" s="13">
        <f t="shared" si="162"/>
        <v>0.7435114212</v>
      </c>
      <c r="AE191" s="8">
        <f t="shared" si="163"/>
        <v>371.7557106</v>
      </c>
      <c r="AF191" s="73">
        <f t="shared" si="164"/>
        <v>143.0142607</v>
      </c>
      <c r="AG191" s="74" t="str">
        <f t="shared" si="165"/>
        <v>#REF!</v>
      </c>
      <c r="AH191" s="73">
        <f t="shared" si="166"/>
        <v>0</v>
      </c>
      <c r="AI191" s="73">
        <f t="shared" si="167"/>
        <v>0</v>
      </c>
      <c r="AJ191" s="75">
        <f t="shared" si="168"/>
        <v>1.292397277</v>
      </c>
      <c r="AK191" s="73">
        <f t="shared" si="169"/>
        <v>1.400531247</v>
      </c>
      <c r="AL191" s="73">
        <f t="shared" si="170"/>
        <v>0.9729169862</v>
      </c>
      <c r="AM191" s="73">
        <f t="shared" si="171"/>
        <v>1.075846347</v>
      </c>
      <c r="AN191" s="75">
        <v>633.2</v>
      </c>
      <c r="AO191" s="76">
        <v>630.0</v>
      </c>
      <c r="AP191" s="73">
        <f t="shared" si="172"/>
        <v>630</v>
      </c>
      <c r="AQ191" s="29" t="str">
        <f t="shared" si="173"/>
        <v>#REF!</v>
      </c>
      <c r="AR191" s="77" t="str">
        <f t="shared" si="174"/>
        <v>#REF!</v>
      </c>
      <c r="AS191" s="73"/>
      <c r="AT191" s="39"/>
    </row>
    <row r="192" ht="15.75" customHeight="1">
      <c r="A192" s="16" t="s">
        <v>343</v>
      </c>
      <c r="B192" s="16" t="s">
        <v>339</v>
      </c>
      <c r="C192" s="16">
        <v>1964.0</v>
      </c>
      <c r="D192" s="16"/>
      <c r="E192" s="16">
        <v>1964.0</v>
      </c>
      <c r="F192" s="16" t="b">
        <v>1</v>
      </c>
      <c r="G192" s="16" t="b">
        <v>0</v>
      </c>
      <c r="H192" s="16" t="b">
        <v>1</v>
      </c>
      <c r="I192" s="16" t="b">
        <v>0</v>
      </c>
      <c r="J192" s="18">
        <v>190.0</v>
      </c>
      <c r="K192" s="16">
        <v>1.0</v>
      </c>
      <c r="L192" s="16">
        <v>250.0</v>
      </c>
      <c r="M192" s="16">
        <v>200.0</v>
      </c>
      <c r="N192" s="16">
        <f>500*1.13</f>
        <v>565</v>
      </c>
      <c r="O192" s="16">
        <v>448.67</v>
      </c>
      <c r="P192" s="18">
        <v>200.0</v>
      </c>
      <c r="Q192" s="16">
        <v>315.0</v>
      </c>
      <c r="R192" s="16">
        <v>5.7</v>
      </c>
      <c r="S192" s="16">
        <v>0.99837</v>
      </c>
      <c r="T192" s="16">
        <v>0.991848</v>
      </c>
      <c r="U192" s="19">
        <f t="shared" si="1"/>
        <v>450</v>
      </c>
      <c r="V192" s="19">
        <f t="shared" si="2"/>
        <v>80.97629592</v>
      </c>
      <c r="W192" s="20">
        <f t="shared" si="3"/>
        <v>0.73912862</v>
      </c>
      <c r="X192" s="17">
        <f t="shared" si="180"/>
        <v>331.624838</v>
      </c>
      <c r="Y192" s="21">
        <f t="shared" si="4"/>
        <v>4</v>
      </c>
      <c r="Z192" s="21">
        <f t="shared" si="5"/>
        <v>1658.12419</v>
      </c>
      <c r="AA192" s="21">
        <f t="shared" si="6"/>
        <v>3.6956431</v>
      </c>
      <c r="AB192" s="22">
        <f t="shared" si="7"/>
        <v>0.7369440843</v>
      </c>
      <c r="AC192" s="8">
        <f t="shared" si="161"/>
        <v>335.0177871</v>
      </c>
      <c r="AD192" s="13">
        <f t="shared" si="162"/>
        <v>0.7444839713</v>
      </c>
      <c r="AE192" s="8">
        <f t="shared" si="163"/>
        <v>335.0177871</v>
      </c>
      <c r="AF192" s="73">
        <f t="shared" si="164"/>
        <v>67.26317991</v>
      </c>
      <c r="AG192" s="74" t="str">
        <f t="shared" si="165"/>
        <v>#REF!</v>
      </c>
      <c r="AH192" s="73">
        <f t="shared" si="166"/>
        <v>0</v>
      </c>
      <c r="AI192" s="73">
        <f t="shared" si="167"/>
        <v>0</v>
      </c>
      <c r="AJ192" s="75">
        <f t="shared" si="168"/>
        <v>1</v>
      </c>
      <c r="AK192" s="73">
        <f t="shared" si="169"/>
        <v>1.006083346</v>
      </c>
      <c r="AL192" s="73">
        <f t="shared" si="170"/>
        <v>1.160304571</v>
      </c>
      <c r="AM192" s="73">
        <f t="shared" si="171"/>
        <v>1.152011174</v>
      </c>
      <c r="AN192" s="75">
        <v>251.06</v>
      </c>
      <c r="AO192" s="76">
        <v>250.0</v>
      </c>
      <c r="AP192" s="73">
        <f t="shared" si="172"/>
        <v>250</v>
      </c>
      <c r="AQ192" s="29" t="str">
        <f t="shared" si="173"/>
        <v>#REF!</v>
      </c>
      <c r="AR192" s="77" t="str">
        <f t="shared" si="174"/>
        <v>#REF!</v>
      </c>
      <c r="AS192" s="73"/>
      <c r="AT192" s="39"/>
    </row>
    <row r="193" ht="15.75" customHeight="1">
      <c r="A193" s="16" t="s">
        <v>402</v>
      </c>
      <c r="B193" s="16" t="s">
        <v>403</v>
      </c>
      <c r="C193" s="16">
        <v>1964.0</v>
      </c>
      <c r="D193" s="16"/>
      <c r="E193" s="16">
        <v>1964.0</v>
      </c>
      <c r="F193" s="16" t="b">
        <v>1</v>
      </c>
      <c r="G193" s="16" t="b">
        <v>0</v>
      </c>
      <c r="H193" s="16" t="b">
        <v>0</v>
      </c>
      <c r="I193" s="16" t="b">
        <v>0</v>
      </c>
      <c r="J193" s="18">
        <v>150.0</v>
      </c>
      <c r="K193" s="16">
        <v>1.0</v>
      </c>
      <c r="L193" s="16">
        <v>350.0</v>
      </c>
      <c r="M193" s="16">
        <v>0.0</v>
      </c>
      <c r="N193" s="16">
        <v>491.55</v>
      </c>
      <c r="O193" s="16">
        <v>426.6</v>
      </c>
      <c r="P193" s="18">
        <v>286.5</v>
      </c>
      <c r="Q193" s="16">
        <v>328.0</v>
      </c>
      <c r="R193" s="16">
        <v>10.34</v>
      </c>
      <c r="S193" s="16">
        <v>0.97</v>
      </c>
      <c r="T193" s="16">
        <v>0.96</v>
      </c>
      <c r="U193" s="19">
        <f t="shared" si="1"/>
        <v>350</v>
      </c>
      <c r="V193" s="19">
        <f t="shared" si="2"/>
        <v>88.49779985</v>
      </c>
      <c r="W193" s="20">
        <f t="shared" si="3"/>
        <v>0.7761753721</v>
      </c>
      <c r="X193" s="17">
        <f t="shared" si="180"/>
        <v>331.1164137</v>
      </c>
      <c r="Y193" s="21">
        <f t="shared" si="4"/>
        <v>4</v>
      </c>
      <c r="Z193" s="21">
        <f t="shared" si="5"/>
        <v>1655.582069</v>
      </c>
      <c r="AA193" s="21">
        <f t="shared" si="6"/>
        <v>3.88087686</v>
      </c>
      <c r="AB193" s="22">
        <f t="shared" si="7"/>
        <v>0.9460468964</v>
      </c>
      <c r="AC193" s="8">
        <f t="shared" si="161"/>
        <v>314.9579327</v>
      </c>
      <c r="AD193" s="13">
        <f t="shared" si="162"/>
        <v>0.8998798078</v>
      </c>
      <c r="AE193" s="8">
        <f t="shared" si="163"/>
        <v>314.9579327</v>
      </c>
      <c r="AF193" s="73">
        <f t="shared" si="164"/>
        <v>64.55838552</v>
      </c>
      <c r="AG193" s="74" t="str">
        <f t="shared" si="165"/>
        <v>#REF!</v>
      </c>
      <c r="AH193" s="73">
        <f t="shared" si="166"/>
        <v>0</v>
      </c>
      <c r="AI193" s="73">
        <f t="shared" si="167"/>
        <v>0</v>
      </c>
      <c r="AJ193" s="75">
        <f t="shared" si="168"/>
        <v>1.276172496</v>
      </c>
      <c r="AK193" s="73">
        <f t="shared" si="169"/>
        <v>1.051771124</v>
      </c>
      <c r="AL193" s="73">
        <f t="shared" si="170"/>
        <v>1.343684653</v>
      </c>
      <c r="AM193" s="73">
        <f t="shared" si="171"/>
        <v>1.060224449</v>
      </c>
      <c r="AN193" s="75">
        <v>241.15</v>
      </c>
      <c r="AO193" s="76">
        <v>240.0</v>
      </c>
      <c r="AP193" s="73">
        <f t="shared" si="172"/>
        <v>240</v>
      </c>
      <c r="AQ193" s="29" t="str">
        <f t="shared" si="173"/>
        <v>#REF!</v>
      </c>
      <c r="AR193" s="77" t="str">
        <f t="shared" si="174"/>
        <v>#REF!</v>
      </c>
      <c r="AS193" s="73"/>
      <c r="AT193" s="39"/>
    </row>
    <row r="194" ht="15.75" customHeight="1">
      <c r="A194" s="16" t="s">
        <v>407</v>
      </c>
      <c r="B194" s="16" t="s">
        <v>408</v>
      </c>
      <c r="C194" s="16">
        <v>1964.0</v>
      </c>
      <c r="D194" s="16"/>
      <c r="E194" s="16">
        <v>1964.0</v>
      </c>
      <c r="F194" s="16" t="b">
        <v>1</v>
      </c>
      <c r="G194" s="16" t="b">
        <v>0</v>
      </c>
      <c r="H194" s="16" t="b">
        <v>1</v>
      </c>
      <c r="I194" s="16" t="b">
        <v>0</v>
      </c>
      <c r="J194" s="18">
        <v>240.0</v>
      </c>
      <c r="K194" s="16">
        <v>1.0</v>
      </c>
      <c r="L194" s="16">
        <v>500.0</v>
      </c>
      <c r="M194" s="16">
        <v>0.0</v>
      </c>
      <c r="N194" s="16">
        <v>640.0</v>
      </c>
      <c r="O194" s="16">
        <v>451.1</v>
      </c>
      <c r="P194" s="18">
        <v>237.0</v>
      </c>
      <c r="Q194" s="16">
        <v>345.0</v>
      </c>
      <c r="R194" s="16">
        <v>10.34</v>
      </c>
      <c r="S194" s="16">
        <v>0.97</v>
      </c>
      <c r="T194" s="16">
        <v>0.96</v>
      </c>
      <c r="U194" s="19">
        <f t="shared" si="1"/>
        <v>500</v>
      </c>
      <c r="V194" s="19">
        <f t="shared" si="2"/>
        <v>71.87405974</v>
      </c>
      <c r="W194" s="20">
        <f t="shared" si="3"/>
        <v>0.8802073681</v>
      </c>
      <c r="X194" s="17">
        <f t="shared" si="180"/>
        <v>397.0615438</v>
      </c>
      <c r="Y194" s="21">
        <f t="shared" si="4"/>
        <v>4</v>
      </c>
      <c r="Z194" s="21">
        <f t="shared" si="5"/>
        <v>1985.307719</v>
      </c>
      <c r="AA194" s="21">
        <f t="shared" si="6"/>
        <v>4.401036841</v>
      </c>
      <c r="AB194" s="22">
        <f t="shared" si="7"/>
        <v>0.7941230875</v>
      </c>
      <c r="AC194" s="8">
        <f t="shared" si="161"/>
        <v>377.6849404</v>
      </c>
      <c r="AD194" s="13">
        <f t="shared" si="162"/>
        <v>0.7553698808</v>
      </c>
      <c r="AE194" s="8">
        <f t="shared" si="163"/>
        <v>377.6849404</v>
      </c>
      <c r="AF194" s="73">
        <f t="shared" si="164"/>
        <v>67.56015335</v>
      </c>
      <c r="AG194" s="74" t="str">
        <f t="shared" si="165"/>
        <v>#REF!</v>
      </c>
      <c r="AH194" s="73">
        <f t="shared" si="166"/>
        <v>0</v>
      </c>
      <c r="AI194" s="73">
        <f t="shared" si="167"/>
        <v>0</v>
      </c>
      <c r="AJ194" s="75">
        <f t="shared" si="168"/>
        <v>1.012392354</v>
      </c>
      <c r="AK194" s="73">
        <f t="shared" si="169"/>
        <v>0.9478532306</v>
      </c>
      <c r="AL194" s="73">
        <f t="shared" si="170"/>
        <v>1.645170553</v>
      </c>
      <c r="AM194" s="73">
        <f t="shared" si="171"/>
        <v>1.237344028</v>
      </c>
      <c r="AN194" s="75">
        <v>271.58</v>
      </c>
      <c r="AO194" s="76">
        <v>270.0</v>
      </c>
      <c r="AP194" s="73">
        <f t="shared" si="172"/>
        <v>270</v>
      </c>
      <c r="AQ194" s="29" t="str">
        <f t="shared" si="173"/>
        <v>#REF!</v>
      </c>
      <c r="AR194" s="77" t="str">
        <f t="shared" si="174"/>
        <v>#REF!</v>
      </c>
      <c r="AS194" s="73"/>
      <c r="AT194" s="39"/>
    </row>
    <row r="195" ht="15.75" customHeight="1">
      <c r="A195" s="7" t="s">
        <v>470</v>
      </c>
      <c r="B195" s="7" t="s">
        <v>471</v>
      </c>
      <c r="C195" s="7">
        <v>1964.0</v>
      </c>
      <c r="D195" s="7"/>
      <c r="E195" s="7">
        <v>1964.0</v>
      </c>
      <c r="F195" s="7" t="b">
        <v>1</v>
      </c>
      <c r="G195" s="7" t="b">
        <v>0</v>
      </c>
      <c r="H195" s="7" t="b">
        <v>0</v>
      </c>
      <c r="I195" s="7" t="b">
        <v>0</v>
      </c>
      <c r="J195" s="9">
        <v>140.0</v>
      </c>
      <c r="K195" s="7">
        <v>1.0</v>
      </c>
      <c r="L195" s="7">
        <v>295.0</v>
      </c>
      <c r="M195" s="7">
        <v>0.0</v>
      </c>
      <c r="N195" s="7">
        <v>389.5</v>
      </c>
      <c r="O195" s="7">
        <v>558.9</v>
      </c>
      <c r="P195" s="9">
        <v>278.0</v>
      </c>
      <c r="Q195" s="7">
        <v>311.0</v>
      </c>
      <c r="R195" s="7">
        <v>14.7</v>
      </c>
      <c r="S195" s="7">
        <v>0.985135</v>
      </c>
      <c r="T195" s="7">
        <v>0.985135</v>
      </c>
      <c r="U195" s="10">
        <f t="shared" si="1"/>
        <v>295</v>
      </c>
      <c r="V195" s="10">
        <f t="shared" si="2"/>
        <v>146.3207676</v>
      </c>
      <c r="W195" s="11">
        <f t="shared" si="3"/>
        <v>0.526599213</v>
      </c>
      <c r="X195" s="8">
        <f t="shared" si="180"/>
        <v>294.3163002</v>
      </c>
      <c r="Y195" s="12">
        <f t="shared" si="4"/>
        <v>4</v>
      </c>
      <c r="Z195" s="12">
        <f t="shared" si="5"/>
        <v>1471.581501</v>
      </c>
      <c r="AA195" s="12">
        <f t="shared" si="6"/>
        <v>2.632996065</v>
      </c>
      <c r="AB195" s="13">
        <f t="shared" si="7"/>
        <v>0.9976823734</v>
      </c>
      <c r="AC195" s="8">
        <f t="shared" si="161"/>
        <v>291.5176371</v>
      </c>
      <c r="AD195" s="13">
        <f t="shared" si="162"/>
        <v>0.98819538</v>
      </c>
      <c r="AE195" s="8">
        <f t="shared" si="163"/>
        <v>291.5176371</v>
      </c>
      <c r="AF195" s="73">
        <f t="shared" si="164"/>
        <v>80.58913618</v>
      </c>
      <c r="AG195" s="74" t="str">
        <f t="shared" si="165"/>
        <v>#REF!</v>
      </c>
      <c r="AH195" s="73">
        <f t="shared" si="166"/>
        <v>0</v>
      </c>
      <c r="AI195" s="73">
        <f t="shared" si="167"/>
        <v>0</v>
      </c>
      <c r="AJ195" s="75">
        <f t="shared" si="168"/>
        <v>1.316721389</v>
      </c>
      <c r="AK195" s="73">
        <f t="shared" si="169"/>
        <v>1.352408812</v>
      </c>
      <c r="AL195" s="73">
        <f t="shared" si="170"/>
        <v>1.111492852</v>
      </c>
      <c r="AM195" s="73">
        <f t="shared" si="171"/>
        <v>1.032354509</v>
      </c>
      <c r="AN195" s="75">
        <v>346.02</v>
      </c>
      <c r="AO195" s="76">
        <v>350.0</v>
      </c>
      <c r="AP195" s="73">
        <f t="shared" si="172"/>
        <v>350</v>
      </c>
      <c r="AQ195" s="29" t="str">
        <f t="shared" si="173"/>
        <v>#REF!</v>
      </c>
      <c r="AR195" s="77" t="str">
        <f t="shared" si="174"/>
        <v>#REF!</v>
      </c>
      <c r="AS195" s="73"/>
      <c r="AT195" s="39"/>
    </row>
    <row r="196" ht="15.75" customHeight="1">
      <c r="A196" s="7" t="s">
        <v>478</v>
      </c>
      <c r="B196" s="7" t="s">
        <v>479</v>
      </c>
      <c r="C196" s="7">
        <v>1964.0</v>
      </c>
      <c r="D196" s="7"/>
      <c r="E196" s="7">
        <v>1964.0</v>
      </c>
      <c r="F196" s="7" t="b">
        <v>1</v>
      </c>
      <c r="G196" s="7" t="b">
        <v>0</v>
      </c>
      <c r="H196" s="7" t="b">
        <v>1</v>
      </c>
      <c r="I196" s="7" t="b">
        <v>0</v>
      </c>
      <c r="J196" s="9">
        <v>150.0</v>
      </c>
      <c r="K196" s="7">
        <v>1.0</v>
      </c>
      <c r="L196" s="7">
        <v>300.0</v>
      </c>
      <c r="M196" s="7">
        <v>0.0</v>
      </c>
      <c r="N196" s="7">
        <f>552+90</f>
        <v>642</v>
      </c>
      <c r="O196" s="7">
        <f>575.5+30.98</f>
        <v>606.48</v>
      </c>
      <c r="P196" s="9">
        <v>239.0</v>
      </c>
      <c r="Q196" s="7">
        <v>324.6</v>
      </c>
      <c r="R196" s="7">
        <v>14.71</v>
      </c>
      <c r="S196" s="7">
        <v>0.98125</v>
      </c>
      <c r="T196" s="7">
        <v>0.98125</v>
      </c>
      <c r="U196" s="10">
        <f t="shared" si="1"/>
        <v>300</v>
      </c>
      <c r="V196" s="10">
        <f t="shared" si="2"/>
        <v>96.32982664</v>
      </c>
      <c r="W196" s="11">
        <f t="shared" si="3"/>
        <v>0.6639370885</v>
      </c>
      <c r="X196" s="8">
        <f t="shared" si="180"/>
        <v>402.6645654</v>
      </c>
      <c r="Y196" s="12">
        <f t="shared" si="4"/>
        <v>4</v>
      </c>
      <c r="Z196" s="12">
        <f t="shared" si="5"/>
        <v>2013.322827</v>
      </c>
      <c r="AA196" s="12">
        <f t="shared" si="6"/>
        <v>3.319685442</v>
      </c>
      <c r="AB196" s="13">
        <f t="shared" si="7"/>
        <v>1.342215218</v>
      </c>
      <c r="AC196" s="8">
        <f t="shared" si="161"/>
        <v>395.7594973</v>
      </c>
      <c r="AD196" s="13">
        <f t="shared" si="162"/>
        <v>1.319198324</v>
      </c>
      <c r="AE196" s="8">
        <f t="shared" si="163"/>
        <v>395.7594973</v>
      </c>
      <c r="AF196" s="73">
        <f t="shared" si="164"/>
        <v>86.26201782</v>
      </c>
      <c r="AG196" s="74" t="str">
        <f t="shared" si="165"/>
        <v>#REF!</v>
      </c>
      <c r="AH196" s="73">
        <f t="shared" si="166"/>
        <v>0</v>
      </c>
      <c r="AI196" s="73">
        <f t="shared" si="167"/>
        <v>0</v>
      </c>
      <c r="AJ196" s="75">
        <f t="shared" si="168"/>
        <v>1.059001962</v>
      </c>
      <c r="AK196" s="73">
        <f t="shared" si="169"/>
        <v>1.097325309</v>
      </c>
      <c r="AL196" s="73">
        <f t="shared" si="170"/>
        <v>1.292018006</v>
      </c>
      <c r="AM196" s="73">
        <f t="shared" si="171"/>
        <v>1.060224449</v>
      </c>
      <c r="AN196" s="75">
        <v>304.17</v>
      </c>
      <c r="AO196" s="76">
        <v>300.0</v>
      </c>
      <c r="AP196" s="73">
        <f t="shared" si="172"/>
        <v>300</v>
      </c>
      <c r="AQ196" s="29" t="str">
        <f t="shared" si="173"/>
        <v>#REF!</v>
      </c>
      <c r="AR196" s="77" t="str">
        <f t="shared" si="174"/>
        <v>#REF!</v>
      </c>
      <c r="AS196" s="73"/>
      <c r="AT196" s="39"/>
    </row>
    <row r="197" ht="15.75" customHeight="1">
      <c r="A197" s="7" t="s">
        <v>483</v>
      </c>
      <c r="B197" s="7" t="s">
        <v>484</v>
      </c>
      <c r="C197" s="7">
        <v>1964.0</v>
      </c>
      <c r="D197" s="7"/>
      <c r="E197" s="7">
        <v>1964.0</v>
      </c>
      <c r="F197" s="7" t="b">
        <v>1</v>
      </c>
      <c r="G197" s="7" t="b">
        <v>0</v>
      </c>
      <c r="H197" s="7" t="b">
        <v>1</v>
      </c>
      <c r="I197" s="7" t="b">
        <v>0</v>
      </c>
      <c r="J197" s="9">
        <v>159.0</v>
      </c>
      <c r="K197" s="7">
        <v>1.0</v>
      </c>
      <c r="L197" s="7">
        <v>260.0</v>
      </c>
      <c r="M197" s="7">
        <v>0.0</v>
      </c>
      <c r="N197" s="7">
        <v>552.0</v>
      </c>
      <c r="O197" s="7">
        <v>575.5</v>
      </c>
      <c r="P197" s="9">
        <v>241.0</v>
      </c>
      <c r="Q197" s="7">
        <v>326.0</v>
      </c>
      <c r="R197" s="7">
        <v>14.71</v>
      </c>
      <c r="S197" s="7">
        <v>0.99</v>
      </c>
      <c r="T197" s="7">
        <v>0.99</v>
      </c>
      <c r="U197" s="10">
        <f t="shared" si="1"/>
        <v>260</v>
      </c>
      <c r="V197" s="10">
        <f t="shared" si="2"/>
        <v>106.3128041</v>
      </c>
      <c r="W197" s="11">
        <f t="shared" si="3"/>
        <v>0.6413370285</v>
      </c>
      <c r="X197" s="8">
        <f t="shared" si="180"/>
        <v>369.0894599</v>
      </c>
      <c r="Y197" s="12">
        <f t="shared" si="4"/>
        <v>4</v>
      </c>
      <c r="Z197" s="12">
        <f t="shared" si="5"/>
        <v>1845.4473</v>
      </c>
      <c r="AA197" s="12">
        <f t="shared" si="6"/>
        <v>3.206685143</v>
      </c>
      <c r="AB197" s="13">
        <f t="shared" si="7"/>
        <v>1.419574846</v>
      </c>
      <c r="AC197" s="8">
        <f t="shared" si="161"/>
        <v>369.1263689</v>
      </c>
      <c r="AD197" s="13">
        <f t="shared" si="162"/>
        <v>1.419716803</v>
      </c>
      <c r="AE197" s="8">
        <f t="shared" si="163"/>
        <v>369.1263689</v>
      </c>
      <c r="AF197" s="73">
        <f t="shared" si="164"/>
        <v>82.57313856</v>
      </c>
      <c r="AG197" s="74" t="str">
        <f t="shared" si="165"/>
        <v>#REF!</v>
      </c>
      <c r="AH197" s="73">
        <f t="shared" si="166"/>
        <v>0</v>
      </c>
      <c r="AI197" s="73">
        <f t="shared" si="167"/>
        <v>0</v>
      </c>
      <c r="AJ197" s="75">
        <f t="shared" si="168"/>
        <v>1.062484226</v>
      </c>
      <c r="AK197" s="73">
        <f t="shared" si="169"/>
        <v>1.15278361</v>
      </c>
      <c r="AL197" s="73">
        <f t="shared" si="170"/>
        <v>1.312966516</v>
      </c>
      <c r="AM197" s="73">
        <f t="shared" si="171"/>
        <v>1.083376104</v>
      </c>
      <c r="AN197" s="75">
        <v>344.5</v>
      </c>
      <c r="AO197" s="76">
        <v>340.0</v>
      </c>
      <c r="AP197" s="73">
        <f t="shared" si="172"/>
        <v>340</v>
      </c>
      <c r="AQ197" s="29" t="str">
        <f t="shared" si="173"/>
        <v>#REF!</v>
      </c>
      <c r="AR197" s="77" t="str">
        <f t="shared" si="174"/>
        <v>#REF!</v>
      </c>
      <c r="AS197" s="73"/>
      <c r="AT197" s="39"/>
    </row>
    <row r="198" ht="15.75" customHeight="1">
      <c r="A198" s="7" t="s">
        <v>488</v>
      </c>
      <c r="B198" s="7" t="s">
        <v>489</v>
      </c>
      <c r="C198" s="7">
        <v>1964.0</v>
      </c>
      <c r="D198" s="7"/>
      <c r="E198" s="7">
        <v>1964.0</v>
      </c>
      <c r="F198" s="7" t="b">
        <v>1</v>
      </c>
      <c r="G198" s="7" t="b">
        <v>0</v>
      </c>
      <c r="H198" s="7" t="b">
        <v>1</v>
      </c>
      <c r="I198" s="7" t="b">
        <v>0</v>
      </c>
      <c r="J198" s="9">
        <v>159.0</v>
      </c>
      <c r="K198" s="7">
        <v>1.0</v>
      </c>
      <c r="L198" s="7">
        <v>10.0</v>
      </c>
      <c r="M198" s="7">
        <v>0.0</v>
      </c>
      <c r="N198" s="7">
        <v>90.0</v>
      </c>
      <c r="O198" s="7">
        <v>30.98</v>
      </c>
      <c r="P198" s="9">
        <v>152.0</v>
      </c>
      <c r="Q198" s="7">
        <v>297.0</v>
      </c>
      <c r="R198" s="7">
        <v>5.3</v>
      </c>
      <c r="S198" s="7">
        <v>0.99</v>
      </c>
      <c r="T198" s="7">
        <v>0.99</v>
      </c>
      <c r="U198" s="10">
        <f t="shared" si="1"/>
        <v>10</v>
      </c>
      <c r="V198" s="10">
        <f t="shared" si="2"/>
        <v>35.10089798</v>
      </c>
      <c r="W198" s="11">
        <f t="shared" si="3"/>
        <v>3.442320247</v>
      </c>
      <c r="X198" s="8">
        <f t="shared" si="180"/>
        <v>106.6430812</v>
      </c>
      <c r="Y198" s="12">
        <f t="shared" si="4"/>
        <v>4</v>
      </c>
      <c r="Z198" s="12">
        <f t="shared" si="5"/>
        <v>533.2154062</v>
      </c>
      <c r="AA198" s="12">
        <f t="shared" si="6"/>
        <v>17.21160123</v>
      </c>
      <c r="AB198" s="13">
        <f t="shared" si="7"/>
        <v>10.66430812</v>
      </c>
      <c r="AC198" s="8">
        <f t="shared" si="161"/>
        <v>106.6537456</v>
      </c>
      <c r="AD198" s="13">
        <f t="shared" si="162"/>
        <v>10.66537456</v>
      </c>
      <c r="AE198" s="8">
        <f t="shared" si="163"/>
        <v>106.6537456</v>
      </c>
      <c r="AF198" s="73">
        <f t="shared" si="164"/>
        <v>10.06439442</v>
      </c>
      <c r="AG198" s="74" t="str">
        <f t="shared" si="165"/>
        <v>#REF!</v>
      </c>
      <c r="AH198" s="73">
        <f t="shared" si="166"/>
        <v>0</v>
      </c>
      <c r="AI198" s="73">
        <f t="shared" si="167"/>
        <v>0</v>
      </c>
      <c r="AJ198" s="75">
        <f t="shared" si="168"/>
        <v>1</v>
      </c>
      <c r="AK198" s="73">
        <f t="shared" si="169"/>
        <v>0.662390538</v>
      </c>
      <c r="AL198" s="73">
        <f t="shared" si="170"/>
        <v>0.979618187</v>
      </c>
      <c r="AM198" s="73">
        <f t="shared" si="171"/>
        <v>1.083376104</v>
      </c>
      <c r="AN198" s="75">
        <v>22.77</v>
      </c>
      <c r="AO198" s="76">
        <v>23.0</v>
      </c>
      <c r="AP198" s="73">
        <f t="shared" si="172"/>
        <v>23</v>
      </c>
      <c r="AQ198" s="29" t="str">
        <f t="shared" si="173"/>
        <v>#REF!</v>
      </c>
      <c r="AR198" s="77" t="str">
        <f t="shared" si="174"/>
        <v>#REF!</v>
      </c>
      <c r="AS198" s="73"/>
      <c r="AT198" s="39"/>
    </row>
    <row r="199" ht="15.75" customHeight="1">
      <c r="A199" s="16" t="s">
        <v>589</v>
      </c>
      <c r="B199" s="16" t="s">
        <v>590</v>
      </c>
      <c r="C199" s="16">
        <v>1964.0</v>
      </c>
      <c r="D199" s="16"/>
      <c r="E199" s="16">
        <v>1964.0</v>
      </c>
      <c r="F199" s="16" t="b">
        <v>1</v>
      </c>
      <c r="G199" s="16" t="b">
        <v>0</v>
      </c>
      <c r="H199" s="16" t="b">
        <v>0</v>
      </c>
      <c r="I199" s="16" t="b">
        <v>0</v>
      </c>
      <c r="J199" s="18">
        <v>110.0</v>
      </c>
      <c r="K199" s="16">
        <v>1.0</v>
      </c>
      <c r="L199" s="16"/>
      <c r="M199" s="16">
        <v>0.0</v>
      </c>
      <c r="N199" s="16">
        <v>760.0</v>
      </c>
      <c r="O199" s="16">
        <v>1074.0</v>
      </c>
      <c r="P199" s="18">
        <v>270.0</v>
      </c>
      <c r="Q199" s="16">
        <v>306.0</v>
      </c>
      <c r="R199" s="16">
        <v>14.7</v>
      </c>
      <c r="S199" s="16">
        <v>0.997966</v>
      </c>
      <c r="T199" s="16">
        <v>0.997966</v>
      </c>
      <c r="U199" s="19">
        <f t="shared" si="1"/>
        <v>0</v>
      </c>
      <c r="V199" s="19">
        <f t="shared" si="2"/>
        <v>144.1020013</v>
      </c>
      <c r="W199" s="20">
        <f t="shared" si="3"/>
        <v>0.4029439479</v>
      </c>
      <c r="X199" s="17">
        <f t="shared" si="180"/>
        <v>432.7618</v>
      </c>
      <c r="Y199" s="21">
        <f t="shared" si="4"/>
        <v>4</v>
      </c>
      <c r="Z199" s="21">
        <f t="shared" si="5"/>
        <v>2163.809</v>
      </c>
      <c r="AA199" s="21">
        <f t="shared" si="6"/>
        <v>2.014719739</v>
      </c>
      <c r="AB199" s="22" t="str">
        <f t="shared" si="7"/>
        <v>#N/A</v>
      </c>
      <c r="AC199" s="8">
        <f t="shared" si="161"/>
        <v>439.6583514</v>
      </c>
      <c r="AD199" s="13" t="str">
        <f t="shared" si="162"/>
        <v>#N/A</v>
      </c>
      <c r="AE199" s="8">
        <f t="shared" si="163"/>
        <v>439.6583514</v>
      </c>
      <c r="AF199" s="73">
        <f t="shared" si="164"/>
        <v>140.3837645</v>
      </c>
      <c r="AG199" s="74" t="str">
        <f t="shared" si="165"/>
        <v>#REF!</v>
      </c>
      <c r="AH199" s="73">
        <f t="shared" si="166"/>
        <v>0</v>
      </c>
      <c r="AI199" s="73">
        <f t="shared" si="167"/>
        <v>0</v>
      </c>
      <c r="AJ199" s="75">
        <f t="shared" si="168"/>
        <v>1.293577217</v>
      </c>
      <c r="AK199" s="73">
        <f t="shared" si="169"/>
        <v>1.342115873</v>
      </c>
      <c r="AL199" s="73">
        <f t="shared" si="170"/>
        <v>1.055765151</v>
      </c>
      <c r="AM199" s="73">
        <f t="shared" si="171"/>
        <v>0.9309127151</v>
      </c>
      <c r="AN199" s="75">
        <v>625.24</v>
      </c>
      <c r="AO199" s="76">
        <v>630.0</v>
      </c>
      <c r="AP199" s="73">
        <f t="shared" si="172"/>
        <v>630</v>
      </c>
      <c r="AQ199" s="29" t="str">
        <f t="shared" si="173"/>
        <v>#REF!</v>
      </c>
      <c r="AR199" s="77" t="str">
        <f t="shared" si="174"/>
        <v>#REF!</v>
      </c>
      <c r="AS199" s="73"/>
      <c r="AT199" s="39"/>
    </row>
    <row r="200" ht="15.75" customHeight="1">
      <c r="A200" s="16" t="s">
        <v>592</v>
      </c>
      <c r="B200" s="16" t="s">
        <v>593</v>
      </c>
      <c r="C200" s="16">
        <v>1964.0</v>
      </c>
      <c r="D200" s="16"/>
      <c r="E200" s="16">
        <v>1964.0</v>
      </c>
      <c r="F200" s="16" t="b">
        <v>1</v>
      </c>
      <c r="G200" s="16" t="b">
        <v>0</v>
      </c>
      <c r="H200" s="16" t="b">
        <v>0</v>
      </c>
      <c r="I200" s="16" t="b">
        <v>0</v>
      </c>
      <c r="J200" s="18">
        <v>250.0</v>
      </c>
      <c r="K200" s="16">
        <v>1.0</v>
      </c>
      <c r="L200" s="16"/>
      <c r="M200" s="16">
        <v>0.0</v>
      </c>
      <c r="N200" s="16">
        <v>1070.0</v>
      </c>
      <c r="O200" s="16">
        <v>1117.9</v>
      </c>
      <c r="P200" s="18">
        <v>221.0</v>
      </c>
      <c r="Q200" s="16">
        <v>318.0</v>
      </c>
      <c r="R200" s="16">
        <v>14.7</v>
      </c>
      <c r="S200" s="16">
        <v>0.998397</v>
      </c>
      <c r="T200" s="16">
        <v>0.998397</v>
      </c>
      <c r="U200" s="19">
        <f t="shared" si="1"/>
        <v>0</v>
      </c>
      <c r="V200" s="19">
        <f t="shared" si="2"/>
        <v>106.5365188</v>
      </c>
      <c r="W200" s="20">
        <f t="shared" si="3"/>
        <v>0.4825333535</v>
      </c>
      <c r="X200" s="17">
        <f t="shared" si="180"/>
        <v>539.4240359</v>
      </c>
      <c r="Y200" s="21">
        <f t="shared" si="4"/>
        <v>4</v>
      </c>
      <c r="Z200" s="21">
        <f t="shared" si="5"/>
        <v>2697.120179</v>
      </c>
      <c r="AA200" s="21">
        <f t="shared" si="6"/>
        <v>2.412666767</v>
      </c>
      <c r="AB200" s="22" t="str">
        <f t="shared" si="7"/>
        <v>#N/A</v>
      </c>
      <c r="AC200" s="8">
        <f t="shared" si="161"/>
        <v>548.4845092</v>
      </c>
      <c r="AD200" s="13" t="str">
        <f t="shared" si="162"/>
        <v>#N/A</v>
      </c>
      <c r="AE200" s="8">
        <f t="shared" si="163"/>
        <v>548.4845092</v>
      </c>
      <c r="AF200" s="73">
        <f t="shared" si="164"/>
        <v>145.3579525</v>
      </c>
      <c r="AG200" s="74" t="str">
        <f t="shared" si="165"/>
        <v>#REF!</v>
      </c>
      <c r="AH200" s="73">
        <f t="shared" si="166"/>
        <v>0</v>
      </c>
      <c r="AI200" s="73">
        <f t="shared" si="167"/>
        <v>0</v>
      </c>
      <c r="AJ200" s="75">
        <f t="shared" si="168"/>
        <v>1.018309418</v>
      </c>
      <c r="AK200" s="73">
        <f t="shared" si="169"/>
        <v>1.153995877</v>
      </c>
      <c r="AL200" s="73">
        <f t="shared" si="170"/>
        <v>1.199256567</v>
      </c>
      <c r="AM200" s="73">
        <f t="shared" si="171"/>
        <v>1.251730393</v>
      </c>
      <c r="AN200" s="75">
        <v>727.23</v>
      </c>
      <c r="AO200" s="76">
        <v>730.0</v>
      </c>
      <c r="AP200" s="73">
        <f t="shared" si="172"/>
        <v>730</v>
      </c>
      <c r="AQ200" s="29" t="str">
        <f t="shared" si="173"/>
        <v>#REF!</v>
      </c>
      <c r="AR200" s="77" t="str">
        <f t="shared" si="174"/>
        <v>#REF!</v>
      </c>
      <c r="AS200" s="73"/>
      <c r="AT200" s="39"/>
    </row>
    <row r="201" ht="15.75" customHeight="1">
      <c r="A201" s="16" t="s">
        <v>631</v>
      </c>
      <c r="B201" s="16" t="s">
        <v>630</v>
      </c>
      <c r="C201" s="16">
        <v>1964.0</v>
      </c>
      <c r="D201" s="16"/>
      <c r="E201" s="16">
        <v>1964.0</v>
      </c>
      <c r="F201" s="16" t="b">
        <v>1</v>
      </c>
      <c r="G201" s="16" t="b">
        <v>0</v>
      </c>
      <c r="H201" s="16" t="b">
        <v>1</v>
      </c>
      <c r="I201" s="16" t="b">
        <v>0</v>
      </c>
      <c r="J201" s="18">
        <v>270.0</v>
      </c>
      <c r="K201" s="18">
        <v>5.0</v>
      </c>
      <c r="L201" s="16">
        <v>400.0</v>
      </c>
      <c r="M201" s="16">
        <v>5.0</v>
      </c>
      <c r="N201" s="16">
        <v>153.0</v>
      </c>
      <c r="O201" s="16">
        <v>66.7</v>
      </c>
      <c r="P201" s="18">
        <v>165.0</v>
      </c>
      <c r="Q201" s="16">
        <v>340.0</v>
      </c>
      <c r="R201" s="16">
        <v>5.35</v>
      </c>
      <c r="S201" s="16">
        <v>0.995982</v>
      </c>
      <c r="T201" s="16">
        <v>0.997892</v>
      </c>
      <c r="U201" s="19">
        <f t="shared" si="1"/>
        <v>405</v>
      </c>
      <c r="V201" s="19">
        <f t="shared" si="2"/>
        <v>44.45429491</v>
      </c>
      <c r="W201" s="20">
        <f t="shared" si="3"/>
        <v>2.342918884</v>
      </c>
      <c r="X201" s="17">
        <f t="shared" si="180"/>
        <v>156.2726896</v>
      </c>
      <c r="Y201" s="21">
        <f t="shared" si="4"/>
        <v>4</v>
      </c>
      <c r="Z201" s="21">
        <f t="shared" si="5"/>
        <v>781.3634479</v>
      </c>
      <c r="AA201" s="21">
        <f t="shared" si="6"/>
        <v>11.71459442</v>
      </c>
      <c r="AB201" s="22">
        <f t="shared" si="7"/>
        <v>0.3858584928</v>
      </c>
      <c r="AC201" s="8">
        <f t="shared" si="161"/>
        <v>158.4421405</v>
      </c>
      <c r="AD201" s="13">
        <f t="shared" si="162"/>
        <v>0.3912151617</v>
      </c>
      <c r="AE201" s="8">
        <f t="shared" si="163"/>
        <v>158.4421405</v>
      </c>
      <c r="AF201" s="73">
        <f t="shared" si="164"/>
        <v>16.34657754</v>
      </c>
      <c r="AG201" s="74" t="str">
        <f t="shared" si="165"/>
        <v>#REF!</v>
      </c>
      <c r="AH201" s="73">
        <f t="shared" si="166"/>
        <v>0</v>
      </c>
      <c r="AI201" s="73">
        <f t="shared" si="167"/>
        <v>0.4128305045</v>
      </c>
      <c r="AJ201" s="75">
        <f t="shared" si="168"/>
        <v>1</v>
      </c>
      <c r="AK201" s="73">
        <f t="shared" si="169"/>
        <v>0.7454385866</v>
      </c>
      <c r="AL201" s="73">
        <f t="shared" si="170"/>
        <v>1.548592413</v>
      </c>
      <c r="AM201" s="73">
        <f t="shared" si="171"/>
        <v>1.278440965</v>
      </c>
      <c r="AN201" s="75">
        <v>101.34</v>
      </c>
      <c r="AO201" s="76">
        <v>100.0</v>
      </c>
      <c r="AP201" s="73">
        <f t="shared" si="172"/>
        <v>100</v>
      </c>
      <c r="AQ201" s="29" t="str">
        <f t="shared" si="173"/>
        <v>#REF!</v>
      </c>
      <c r="AR201" s="77" t="str">
        <f t="shared" si="174"/>
        <v>#REF!</v>
      </c>
      <c r="AS201" s="73"/>
      <c r="AT201" s="39"/>
    </row>
    <row r="202" ht="15.75" customHeight="1">
      <c r="A202" s="16" t="s">
        <v>648</v>
      </c>
      <c r="B202" s="16" t="s">
        <v>647</v>
      </c>
      <c r="C202" s="16">
        <v>1964.0</v>
      </c>
      <c r="D202" s="16"/>
      <c r="E202" s="16">
        <v>1964.0</v>
      </c>
      <c r="F202" s="16" t="b">
        <v>1</v>
      </c>
      <c r="G202" s="16" t="b">
        <v>0</v>
      </c>
      <c r="H202" s="16" t="b">
        <v>1</v>
      </c>
      <c r="I202" s="16" t="b">
        <v>0</v>
      </c>
      <c r="J202" s="18">
        <v>127.0</v>
      </c>
      <c r="K202" s="16">
        <v>1.0</v>
      </c>
      <c r="L202" s="16">
        <v>90.0</v>
      </c>
      <c r="M202" s="16">
        <v>0.0</v>
      </c>
      <c r="N202" s="16">
        <v>120.0</v>
      </c>
      <c r="O202" s="16">
        <v>82.0</v>
      </c>
      <c r="P202" s="18">
        <v>254.0</v>
      </c>
      <c r="Q202" s="16">
        <v>292.0</v>
      </c>
      <c r="R202" s="16">
        <v>6.57</v>
      </c>
      <c r="S202" s="16">
        <v>0.999046</v>
      </c>
      <c r="T202" s="16">
        <v>0.999046</v>
      </c>
      <c r="U202" s="19">
        <f t="shared" si="1"/>
        <v>90</v>
      </c>
      <c r="V202" s="19">
        <f t="shared" si="2"/>
        <v>69.68060768</v>
      </c>
      <c r="W202" s="20">
        <f t="shared" si="3"/>
        <v>1.570331454</v>
      </c>
      <c r="X202" s="17">
        <f t="shared" si="180"/>
        <v>128.7671793</v>
      </c>
      <c r="Y202" s="21">
        <f t="shared" si="4"/>
        <v>4</v>
      </c>
      <c r="Z202" s="21">
        <f t="shared" si="5"/>
        <v>643.8358963</v>
      </c>
      <c r="AA202" s="21">
        <f t="shared" si="6"/>
        <v>7.851657272</v>
      </c>
      <c r="AB202" s="22">
        <f t="shared" si="7"/>
        <v>1.430746436</v>
      </c>
      <c r="AC202" s="8">
        <f t="shared" si="161"/>
        <v>131.0969523</v>
      </c>
      <c r="AD202" s="13">
        <f t="shared" si="162"/>
        <v>1.456632803</v>
      </c>
      <c r="AE202" s="8">
        <f t="shared" si="163"/>
        <v>131.0969523</v>
      </c>
      <c r="AF202" s="73">
        <f t="shared" si="164"/>
        <v>18.78201231</v>
      </c>
      <c r="AG202" s="74" t="str">
        <f t="shared" si="165"/>
        <v>#REF!</v>
      </c>
      <c r="AH202" s="73">
        <f t="shared" si="166"/>
        <v>0</v>
      </c>
      <c r="AI202" s="73">
        <f t="shared" si="167"/>
        <v>0</v>
      </c>
      <c r="AJ202" s="75">
        <f t="shared" si="168"/>
        <v>1.269191839</v>
      </c>
      <c r="AK202" s="73">
        <f t="shared" si="169"/>
        <v>0.9332778772</v>
      </c>
      <c r="AL202" s="73">
        <f t="shared" si="170"/>
        <v>0.9465674621</v>
      </c>
      <c r="AM202" s="73">
        <f t="shared" si="171"/>
        <v>0.9921253823</v>
      </c>
      <c r="AN202" s="75">
        <v>67.77</v>
      </c>
      <c r="AO202" s="76">
        <v>68.0</v>
      </c>
      <c r="AP202" s="73">
        <f t="shared" si="172"/>
        <v>68</v>
      </c>
      <c r="AQ202" s="29" t="str">
        <f t="shared" si="173"/>
        <v>#REF!</v>
      </c>
      <c r="AR202" s="77" t="str">
        <f t="shared" si="174"/>
        <v>#REF!</v>
      </c>
      <c r="AS202" s="73"/>
      <c r="AT202" s="39"/>
    </row>
    <row r="203" ht="15.75" customHeight="1">
      <c r="A203" s="16" t="s">
        <v>651</v>
      </c>
      <c r="B203" s="16" t="s">
        <v>650</v>
      </c>
      <c r="C203" s="16">
        <v>1964.0</v>
      </c>
      <c r="D203" s="16"/>
      <c r="E203" s="16">
        <v>1964.0</v>
      </c>
      <c r="F203" s="16" t="b">
        <v>1</v>
      </c>
      <c r="G203" s="16" t="b">
        <v>0</v>
      </c>
      <c r="H203" s="16" t="b">
        <v>1</v>
      </c>
      <c r="I203" s="16" t="b">
        <v>0</v>
      </c>
      <c r="J203" s="18">
        <v>163.0</v>
      </c>
      <c r="K203" s="16">
        <v>1.0</v>
      </c>
      <c r="L203" s="16">
        <v>60.0</v>
      </c>
      <c r="M203" s="16">
        <v>0.0</v>
      </c>
      <c r="N203" s="16">
        <v>28.0</v>
      </c>
      <c r="O203" s="16">
        <v>13.48</v>
      </c>
      <c r="P203" s="18">
        <v>263.0</v>
      </c>
      <c r="Q203" s="16">
        <v>280.5</v>
      </c>
      <c r="R203" s="16">
        <v>7.16</v>
      </c>
      <c r="S203" s="16">
        <v>0.998913</v>
      </c>
      <c r="T203" s="16">
        <v>0.994565</v>
      </c>
      <c r="U203" s="19">
        <f t="shared" si="1"/>
        <v>60</v>
      </c>
      <c r="V203" s="19">
        <f t="shared" si="2"/>
        <v>49.09205182</v>
      </c>
      <c r="W203" s="20">
        <f t="shared" si="3"/>
        <v>4.059659983</v>
      </c>
      <c r="X203" s="17">
        <f t="shared" si="180"/>
        <v>54.72421658</v>
      </c>
      <c r="Y203" s="21">
        <f t="shared" si="4"/>
        <v>4</v>
      </c>
      <c r="Z203" s="21">
        <f t="shared" si="5"/>
        <v>273.6210829</v>
      </c>
      <c r="AA203" s="21">
        <f t="shared" si="6"/>
        <v>20.29829992</v>
      </c>
      <c r="AB203" s="22">
        <f t="shared" si="7"/>
        <v>0.9120702763</v>
      </c>
      <c r="AC203" s="8">
        <f t="shared" si="161"/>
        <v>55.46211287</v>
      </c>
      <c r="AD203" s="13">
        <f t="shared" si="162"/>
        <v>0.9243685478</v>
      </c>
      <c r="AE203" s="8">
        <f t="shared" si="163"/>
        <v>55.46211287</v>
      </c>
      <c r="AF203" s="73">
        <f t="shared" si="164"/>
        <v>6.253314849</v>
      </c>
      <c r="AG203" s="74" t="str">
        <f t="shared" si="165"/>
        <v>#REF!</v>
      </c>
      <c r="AH203" s="73">
        <f t="shared" si="166"/>
        <v>0</v>
      </c>
      <c r="AI203" s="73">
        <f t="shared" si="167"/>
        <v>0</v>
      </c>
      <c r="AJ203" s="75">
        <f t="shared" si="168"/>
        <v>1.409556662</v>
      </c>
      <c r="AK203" s="73">
        <f t="shared" si="169"/>
        <v>0.7833585691</v>
      </c>
      <c r="AL203" s="73">
        <f t="shared" si="170"/>
        <v>0.8747208044</v>
      </c>
      <c r="AM203" s="73">
        <f t="shared" si="171"/>
        <v>1.093141856</v>
      </c>
      <c r="AN203" s="75">
        <v>21.7</v>
      </c>
      <c r="AO203" s="76">
        <v>22.0</v>
      </c>
      <c r="AP203" s="73">
        <f t="shared" si="172"/>
        <v>22</v>
      </c>
      <c r="AQ203" s="29" t="str">
        <f t="shared" si="173"/>
        <v>#REF!</v>
      </c>
      <c r="AR203" s="77" t="str">
        <f t="shared" si="174"/>
        <v>#REF!</v>
      </c>
      <c r="AS203" s="73"/>
      <c r="AT203" s="39"/>
    </row>
    <row r="204" ht="15.75" customHeight="1">
      <c r="A204" s="7" t="s">
        <v>736</v>
      </c>
      <c r="B204" s="7" t="s">
        <v>737</v>
      </c>
      <c r="C204" s="7">
        <v>1964.0</v>
      </c>
      <c r="D204" s="7"/>
      <c r="E204" s="7">
        <v>1964.0</v>
      </c>
      <c r="F204" s="7" t="b">
        <v>1</v>
      </c>
      <c r="G204" s="7" t="b">
        <v>0</v>
      </c>
      <c r="H204" s="7" t="b">
        <v>0</v>
      </c>
      <c r="I204" s="7" t="b">
        <v>0</v>
      </c>
      <c r="J204" s="9">
        <v>375.0</v>
      </c>
      <c r="K204" s="9">
        <v>2.0</v>
      </c>
      <c r="L204" s="7">
        <v>175.0</v>
      </c>
      <c r="M204" s="7">
        <v>0.0</v>
      </c>
      <c r="N204" s="7">
        <v>185.0</v>
      </c>
      <c r="O204" s="7">
        <v>147.6</v>
      </c>
      <c r="P204" s="9">
        <v>190.0</v>
      </c>
      <c r="Q204" s="7">
        <v>303.0</v>
      </c>
      <c r="R204" s="7">
        <v>9.61</v>
      </c>
      <c r="S204" s="7">
        <v>0.999167</v>
      </c>
      <c r="T204" s="7">
        <v>0.997456</v>
      </c>
      <c r="U204" s="10">
        <f t="shared" si="1"/>
        <v>175</v>
      </c>
      <c r="V204" s="10">
        <f t="shared" si="2"/>
        <v>81.35681762</v>
      </c>
      <c r="W204" s="11">
        <f t="shared" si="3"/>
        <v>1.202520504</v>
      </c>
      <c r="X204" s="8">
        <f t="shared" si="180"/>
        <v>177.4920264</v>
      </c>
      <c r="Y204" s="12">
        <f t="shared" si="4"/>
        <v>4</v>
      </c>
      <c r="Z204" s="12">
        <f t="shared" si="5"/>
        <v>887.460132</v>
      </c>
      <c r="AA204" s="12">
        <f t="shared" si="6"/>
        <v>6.012602521</v>
      </c>
      <c r="AB204" s="13">
        <f t="shared" si="7"/>
        <v>1.014240151</v>
      </c>
      <c r="AC204" s="8">
        <f t="shared" si="161"/>
        <v>180.4428525</v>
      </c>
      <c r="AD204" s="13">
        <f t="shared" si="162"/>
        <v>1.031102014</v>
      </c>
      <c r="AE204" s="8">
        <f t="shared" si="163"/>
        <v>180.4428525</v>
      </c>
      <c r="AF204" s="73">
        <f t="shared" si="164"/>
        <v>28.44030864</v>
      </c>
      <c r="AG204" s="74" t="str">
        <f t="shared" si="165"/>
        <v>#REF!</v>
      </c>
      <c r="AH204" s="73">
        <f t="shared" si="166"/>
        <v>0</v>
      </c>
      <c r="AI204" s="73">
        <f t="shared" si="167"/>
        <v>0.1941741551</v>
      </c>
      <c r="AJ204" s="75">
        <f t="shared" si="168"/>
        <v>1</v>
      </c>
      <c r="AK204" s="73">
        <f t="shared" si="169"/>
        <v>1.008444456</v>
      </c>
      <c r="AL204" s="73">
        <f t="shared" si="170"/>
        <v>1.025639043</v>
      </c>
      <c r="AM204" s="73">
        <f t="shared" si="171"/>
        <v>1.386630659</v>
      </c>
      <c r="AN204" s="75">
        <v>134.92</v>
      </c>
      <c r="AO204" s="76">
        <v>135.0</v>
      </c>
      <c r="AP204" s="73">
        <f t="shared" si="172"/>
        <v>135</v>
      </c>
      <c r="AQ204" s="29" t="str">
        <f t="shared" si="173"/>
        <v>#REF!</v>
      </c>
      <c r="AR204" s="77" t="str">
        <f t="shared" si="174"/>
        <v>#REF!</v>
      </c>
      <c r="AS204" s="73"/>
      <c r="AT204" s="39"/>
    </row>
    <row r="205" ht="15.75" customHeight="1">
      <c r="A205" s="7" t="s">
        <v>91</v>
      </c>
      <c r="B205" s="7" t="s">
        <v>90</v>
      </c>
      <c r="C205" s="7">
        <v>1965.0</v>
      </c>
      <c r="D205" s="7"/>
      <c r="E205" s="7">
        <v>1965.0</v>
      </c>
      <c r="F205" s="7" t="b">
        <v>0</v>
      </c>
      <c r="G205" s="7" t="b">
        <v>0</v>
      </c>
      <c r="H205" s="7" t="b">
        <v>1</v>
      </c>
      <c r="I205" s="7" t="b">
        <v>0</v>
      </c>
      <c r="J205" s="9">
        <v>400.0</v>
      </c>
      <c r="K205" s="9">
        <v>999.0</v>
      </c>
      <c r="L205" s="7">
        <v>150.0</v>
      </c>
      <c r="M205" s="7">
        <v>-25.0</v>
      </c>
      <c r="N205" s="7">
        <v>90.0</v>
      </c>
      <c r="O205" s="7">
        <v>35.2</v>
      </c>
      <c r="P205" s="9">
        <v>65.0</v>
      </c>
      <c r="Q205" s="7">
        <v>278.0</v>
      </c>
      <c r="R205" s="7">
        <v>1.4</v>
      </c>
      <c r="S205" s="7">
        <v>0.997945</v>
      </c>
      <c r="T205" s="7">
        <v>0.996875</v>
      </c>
      <c r="U205" s="10">
        <f t="shared" si="1"/>
        <v>125</v>
      </c>
      <c r="V205" s="10">
        <f t="shared" si="2"/>
        <v>39.88223399</v>
      </c>
      <c r="W205" s="11">
        <f t="shared" si="3"/>
        <v>2.574311269</v>
      </c>
      <c r="X205" s="8">
        <f t="shared" si="180"/>
        <v>90.61575665</v>
      </c>
      <c r="Y205" s="12">
        <f t="shared" si="4"/>
        <v>1.75</v>
      </c>
      <c r="Z205" s="12">
        <f t="shared" si="5"/>
        <v>249.1933308</v>
      </c>
      <c r="AA205" s="12">
        <f t="shared" si="6"/>
        <v>7.079355989</v>
      </c>
      <c r="AB205" s="13">
        <f t="shared" si="7"/>
        <v>0.7249260532</v>
      </c>
      <c r="AC205" s="8">
        <f t="shared" si="161"/>
        <v>91.95926409</v>
      </c>
      <c r="AD205" s="13">
        <f t="shared" si="162"/>
        <v>0.7356741127</v>
      </c>
      <c r="AE205" s="8">
        <f t="shared" si="163"/>
        <v>91.95926409</v>
      </c>
      <c r="AF205" s="73">
        <f t="shared" si="164"/>
        <v>10.32465805</v>
      </c>
      <c r="AG205" s="74" t="str">
        <f t="shared" si="165"/>
        <v>#REF!</v>
      </c>
      <c r="AH205" s="73">
        <f t="shared" si="166"/>
        <v>0</v>
      </c>
      <c r="AI205" s="73">
        <f t="shared" si="167"/>
        <v>1.123141633</v>
      </c>
      <c r="AJ205" s="75">
        <f t="shared" si="168"/>
        <v>1</v>
      </c>
      <c r="AK205" s="73">
        <f t="shared" si="169"/>
        <v>0.7060650996</v>
      </c>
      <c r="AL205" s="73">
        <f t="shared" si="170"/>
        <v>0.8598383712</v>
      </c>
      <c r="AM205" s="73">
        <f t="shared" si="171"/>
        <v>1.406821143</v>
      </c>
      <c r="AN205" s="75">
        <v>49.43</v>
      </c>
      <c r="AO205" s="76">
        <v>49.0</v>
      </c>
      <c r="AP205" s="73">
        <f t="shared" si="172"/>
        <v>49</v>
      </c>
      <c r="AQ205" s="29" t="str">
        <f t="shared" si="173"/>
        <v>#REF!</v>
      </c>
      <c r="AR205" s="77" t="str">
        <f t="shared" si="174"/>
        <v>#REF!</v>
      </c>
      <c r="AS205" s="73"/>
      <c r="AT205" s="39"/>
    </row>
    <row r="206" ht="15.75" customHeight="1">
      <c r="A206" s="7" t="s">
        <v>146</v>
      </c>
      <c r="B206" s="7" t="s">
        <v>145</v>
      </c>
      <c r="C206" s="7">
        <v>1965.0</v>
      </c>
      <c r="D206" s="7"/>
      <c r="E206" s="7">
        <v>1965.0</v>
      </c>
      <c r="F206" s="7" t="b">
        <v>0</v>
      </c>
      <c r="G206" s="7" t="b">
        <v>0</v>
      </c>
      <c r="H206" s="7" t="b">
        <v>1</v>
      </c>
      <c r="I206" s="7" t="b">
        <v>0</v>
      </c>
      <c r="J206" s="9">
        <v>375.0</v>
      </c>
      <c r="K206" s="9">
        <v>999.0</v>
      </c>
      <c r="L206" s="7">
        <v>300.0</v>
      </c>
      <c r="M206" s="7">
        <v>15.0</v>
      </c>
      <c r="N206" s="7">
        <v>192.0</v>
      </c>
      <c r="O206" s="7">
        <v>55.02</v>
      </c>
      <c r="P206" s="9">
        <v>28.0</v>
      </c>
      <c r="Q206" s="7">
        <v>368.0</v>
      </c>
      <c r="R206" s="7">
        <v>1.03</v>
      </c>
      <c r="S206" s="7">
        <v>0.997718</v>
      </c>
      <c r="T206" s="7">
        <v>0.995679</v>
      </c>
      <c r="U206" s="10">
        <f t="shared" si="1"/>
        <v>315</v>
      </c>
      <c r="V206" s="10">
        <f t="shared" si="2"/>
        <v>29.22124264</v>
      </c>
      <c r="W206" s="11">
        <f t="shared" si="3"/>
        <v>3.001994827</v>
      </c>
      <c r="X206" s="8">
        <f t="shared" si="180"/>
        <v>165.1697554</v>
      </c>
      <c r="Y206" s="12">
        <f t="shared" si="4"/>
        <v>1.75</v>
      </c>
      <c r="Z206" s="12">
        <f t="shared" si="5"/>
        <v>454.2168273</v>
      </c>
      <c r="AA206" s="12">
        <f t="shared" si="6"/>
        <v>8.255485775</v>
      </c>
      <c r="AB206" s="13">
        <f t="shared" si="7"/>
        <v>0.5243484298</v>
      </c>
      <c r="AC206" s="8">
        <f t="shared" si="161"/>
        <v>167.3841633</v>
      </c>
      <c r="AD206" s="13">
        <f t="shared" si="162"/>
        <v>0.5313782961</v>
      </c>
      <c r="AE206" s="8">
        <f t="shared" si="163"/>
        <v>167.3841633</v>
      </c>
      <c r="AF206" s="73">
        <f t="shared" si="164"/>
        <v>14.54660193</v>
      </c>
      <c r="AG206" s="74" t="str">
        <f t="shared" si="165"/>
        <v>#REF!</v>
      </c>
      <c r="AH206" s="73">
        <f t="shared" si="166"/>
        <v>0</v>
      </c>
      <c r="AI206" s="73">
        <f t="shared" si="167"/>
        <v>1.123141633</v>
      </c>
      <c r="AJ206" s="75">
        <f t="shared" si="168"/>
        <v>1</v>
      </c>
      <c r="AK206" s="73">
        <f t="shared" si="169"/>
        <v>0.6043720154</v>
      </c>
      <c r="AL206" s="73">
        <f t="shared" si="170"/>
        <v>2.190228695</v>
      </c>
      <c r="AM206" s="73">
        <f t="shared" si="171"/>
        <v>1.386630659</v>
      </c>
      <c r="AN206" s="75">
        <v>165.29</v>
      </c>
      <c r="AO206" s="76">
        <v>170.0</v>
      </c>
      <c r="AP206" s="73">
        <f t="shared" si="172"/>
        <v>170</v>
      </c>
      <c r="AQ206" s="29" t="str">
        <f t="shared" si="173"/>
        <v>#REF!</v>
      </c>
      <c r="AR206" s="77" t="str">
        <f t="shared" si="174"/>
        <v>#REF!</v>
      </c>
      <c r="AS206" s="73"/>
      <c r="AT206" s="39"/>
    </row>
    <row r="207" ht="15.75" customHeight="1">
      <c r="A207" s="16" t="s">
        <v>733</v>
      </c>
      <c r="B207" s="16" t="s">
        <v>730</v>
      </c>
      <c r="C207" s="16">
        <v>1965.0</v>
      </c>
      <c r="D207" s="16"/>
      <c r="E207" s="16">
        <v>1965.0</v>
      </c>
      <c r="F207" s="16" t="b">
        <v>0</v>
      </c>
      <c r="G207" s="16" t="b">
        <v>0</v>
      </c>
      <c r="H207" s="16" t="b">
        <v>0</v>
      </c>
      <c r="I207" s="16" t="b">
        <v>0</v>
      </c>
      <c r="J207" s="18">
        <v>90.0</v>
      </c>
      <c r="K207" s="16">
        <v>1.0</v>
      </c>
      <c r="L207" s="16">
        <v>150.0</v>
      </c>
      <c r="M207" s="16">
        <v>100.0</v>
      </c>
      <c r="N207" s="16">
        <v>160.0</v>
      </c>
      <c r="O207" s="16">
        <v>165.5</v>
      </c>
      <c r="P207" s="18">
        <v>240.0</v>
      </c>
      <c r="Q207" s="16">
        <v>265.0</v>
      </c>
      <c r="R207" s="16">
        <v>6.8</v>
      </c>
      <c r="S207" s="16">
        <v>0.960345</v>
      </c>
      <c r="T207" s="16">
        <v>0.960345</v>
      </c>
      <c r="U207" s="19">
        <f t="shared" si="1"/>
        <v>250</v>
      </c>
      <c r="V207" s="19">
        <f t="shared" si="2"/>
        <v>105.4768955</v>
      </c>
      <c r="W207" s="20">
        <f t="shared" si="3"/>
        <v>1.607250755</v>
      </c>
      <c r="X207" s="17">
        <v>266.0</v>
      </c>
      <c r="Y207" s="21">
        <f t="shared" si="4"/>
        <v>1.75</v>
      </c>
      <c r="Z207" s="21">
        <f t="shared" si="5"/>
        <v>731.5</v>
      </c>
      <c r="AA207" s="21">
        <f t="shared" si="6"/>
        <v>4.419939577</v>
      </c>
      <c r="AB207" s="22">
        <f t="shared" si="7"/>
        <v>1.064</v>
      </c>
      <c r="AC207" s="8">
        <f t="shared" si="161"/>
        <v>250.6418301</v>
      </c>
      <c r="AD207" s="13">
        <f t="shared" si="162"/>
        <v>1.00256732</v>
      </c>
      <c r="AE207" s="8">
        <f t="shared" si="163"/>
        <v>138.0504369</v>
      </c>
      <c r="AF207" s="73">
        <f t="shared" si="164"/>
        <v>37.41855175</v>
      </c>
      <c r="AG207" s="74" t="str">
        <f t="shared" si="165"/>
        <v>#REF!</v>
      </c>
      <c r="AH207" s="73">
        <f t="shared" si="166"/>
        <v>0</v>
      </c>
      <c r="AI207" s="73">
        <f t="shared" si="167"/>
        <v>0</v>
      </c>
      <c r="AJ207" s="75">
        <f t="shared" si="168"/>
        <v>1.340926456</v>
      </c>
      <c r="AK207" s="73">
        <f t="shared" si="169"/>
        <v>1.148242654</v>
      </c>
      <c r="AL207" s="73">
        <f t="shared" si="170"/>
        <v>0.7864355299</v>
      </c>
      <c r="AM207" s="73">
        <f t="shared" si="171"/>
        <v>0.841517323</v>
      </c>
      <c r="AN207" s="75">
        <v>64.78</v>
      </c>
      <c r="AO207" s="76">
        <v>65.0</v>
      </c>
      <c r="AP207" s="73">
        <f t="shared" si="172"/>
        <v>65</v>
      </c>
      <c r="AQ207" s="29" t="str">
        <f t="shared" si="173"/>
        <v>#REF!</v>
      </c>
      <c r="AR207" s="77" t="str">
        <f t="shared" si="174"/>
        <v>#REF!</v>
      </c>
      <c r="AS207" s="73"/>
      <c r="AT207" s="39"/>
    </row>
    <row r="208" ht="15.75" customHeight="1">
      <c r="A208" s="7" t="s">
        <v>781</v>
      </c>
      <c r="B208" s="7" t="s">
        <v>782</v>
      </c>
      <c r="C208" s="7">
        <v>1965.0</v>
      </c>
      <c r="D208" s="7"/>
      <c r="E208" s="7">
        <v>1965.0</v>
      </c>
      <c r="F208" s="7" t="b">
        <v>0</v>
      </c>
      <c r="G208" s="7" t="b">
        <v>0</v>
      </c>
      <c r="H208" s="7" t="b">
        <v>1</v>
      </c>
      <c r="I208" s="7" t="b">
        <v>1</v>
      </c>
      <c r="J208" s="9">
        <v>250.0</v>
      </c>
      <c r="K208" s="9">
        <v>999.0</v>
      </c>
      <c r="L208" s="7">
        <v>30.0</v>
      </c>
      <c r="M208" s="7">
        <v>0.0</v>
      </c>
      <c r="N208" s="7">
        <v>9.0</v>
      </c>
      <c r="O208" s="7">
        <v>0.462</v>
      </c>
      <c r="P208" s="9">
        <v>1.0</v>
      </c>
      <c r="Q208" s="7">
        <v>287.0</v>
      </c>
      <c r="R208" s="7">
        <v>1.72</v>
      </c>
      <c r="S208" s="7">
        <v>0.994531</v>
      </c>
      <c r="T208" s="7">
        <v>0.993182</v>
      </c>
      <c r="U208" s="10">
        <f t="shared" si="1"/>
        <v>30</v>
      </c>
      <c r="V208" s="10">
        <f t="shared" si="2"/>
        <v>5.234543211</v>
      </c>
      <c r="W208" s="11">
        <f t="shared" si="3"/>
        <v>50.76665325</v>
      </c>
      <c r="X208" s="8">
        <f t="shared" ref="X208:X221" si="181">0.2*(8.17*POWER(N208*R208,0.46))+0.8*(0.146*POWER(N208*Q208,0.639))</f>
        <v>23.4541938</v>
      </c>
      <c r="Y208" s="12">
        <f t="shared" si="4"/>
        <v>1.75</v>
      </c>
      <c r="Z208" s="12">
        <f t="shared" si="5"/>
        <v>64.49903295</v>
      </c>
      <c r="AA208" s="12">
        <f t="shared" si="6"/>
        <v>139.6082964</v>
      </c>
      <c r="AB208" s="13">
        <f t="shared" si="7"/>
        <v>0.78180646</v>
      </c>
      <c r="AC208" s="8">
        <f t="shared" si="161"/>
        <v>35.45395582</v>
      </c>
      <c r="AD208" s="13">
        <f t="shared" si="162"/>
        <v>1.181798527</v>
      </c>
      <c r="AE208" s="8">
        <f t="shared" si="163"/>
        <v>35.45395582</v>
      </c>
      <c r="AF208" s="73">
        <f t="shared" si="164"/>
        <v>2.008781527</v>
      </c>
      <c r="AG208" s="74" t="str">
        <f t="shared" si="165"/>
        <v>#REF!</v>
      </c>
      <c r="AH208" s="73">
        <f t="shared" si="166"/>
        <v>2</v>
      </c>
      <c r="AI208" s="73">
        <f t="shared" si="167"/>
        <v>1.123141633</v>
      </c>
      <c r="AJ208" s="75">
        <f t="shared" si="168"/>
        <v>1</v>
      </c>
      <c r="AK208" s="73">
        <f t="shared" si="169"/>
        <v>0.2557963841</v>
      </c>
      <c r="AL208" s="73">
        <f t="shared" si="170"/>
        <v>0.9146318149</v>
      </c>
      <c r="AM208" s="73">
        <f t="shared" si="171"/>
        <v>1.251730393</v>
      </c>
      <c r="AN208" s="75">
        <v>13.01</v>
      </c>
      <c r="AO208" s="76">
        <v>13.0</v>
      </c>
      <c r="AP208" s="73">
        <f t="shared" si="172"/>
        <v>13</v>
      </c>
      <c r="AQ208" s="29" t="str">
        <f t="shared" si="173"/>
        <v>#REF!</v>
      </c>
      <c r="AR208" s="77" t="str">
        <f t="shared" si="174"/>
        <v>#REF!</v>
      </c>
      <c r="AS208" s="73"/>
      <c r="AT208" s="39"/>
    </row>
    <row r="209" ht="15.75" customHeight="1">
      <c r="A209" s="7" t="s">
        <v>797</v>
      </c>
      <c r="B209" s="7" t="s">
        <v>797</v>
      </c>
      <c r="C209" s="7">
        <v>1965.0</v>
      </c>
      <c r="D209" s="7"/>
      <c r="E209" s="7">
        <v>1965.0</v>
      </c>
      <c r="F209" s="7" t="b">
        <v>0</v>
      </c>
      <c r="G209" s="7" t="b">
        <v>0</v>
      </c>
      <c r="H209" s="7" t="b">
        <v>0</v>
      </c>
      <c r="I209" s="7" t="b">
        <v>0</v>
      </c>
      <c r="J209" s="9">
        <v>96.0</v>
      </c>
      <c r="K209" s="7">
        <v>1.0</v>
      </c>
      <c r="L209" s="7">
        <v>500.0</v>
      </c>
      <c r="M209" s="7">
        <v>0.0</v>
      </c>
      <c r="N209" s="7">
        <v>190.0</v>
      </c>
      <c r="O209" s="7">
        <v>320.6</v>
      </c>
      <c r="P209" s="9">
        <v>203.0</v>
      </c>
      <c r="Q209" s="7">
        <v>230.0</v>
      </c>
      <c r="R209" s="7">
        <v>1.76</v>
      </c>
      <c r="S209" s="7">
        <v>0.925</v>
      </c>
      <c r="T209" s="7">
        <v>0.925</v>
      </c>
      <c r="U209" s="10">
        <f t="shared" si="1"/>
        <v>500</v>
      </c>
      <c r="V209" s="10">
        <f t="shared" si="2"/>
        <v>172.0636931</v>
      </c>
      <c r="W209" s="11">
        <f t="shared" si="3"/>
        <v>0.4101826563</v>
      </c>
      <c r="X209" s="8">
        <f t="shared" si="181"/>
        <v>131.5045596</v>
      </c>
      <c r="Y209" s="12">
        <f t="shared" si="4"/>
        <v>1.75</v>
      </c>
      <c r="Z209" s="12">
        <f t="shared" si="5"/>
        <v>361.6375389</v>
      </c>
      <c r="AA209" s="12">
        <f t="shared" si="6"/>
        <v>1.128002305</v>
      </c>
      <c r="AB209" s="13">
        <f t="shared" si="7"/>
        <v>0.2630091192</v>
      </c>
      <c r="AC209" s="8">
        <f t="shared" si="161"/>
        <v>115.14868</v>
      </c>
      <c r="AD209" s="13">
        <f t="shared" si="162"/>
        <v>0.23029736</v>
      </c>
      <c r="AE209" s="8">
        <f t="shared" si="163"/>
        <v>115.14868</v>
      </c>
      <c r="AF209" s="73">
        <f t="shared" si="164"/>
        <v>68.89623864</v>
      </c>
      <c r="AG209" s="74" t="str">
        <f t="shared" si="165"/>
        <v>#REF!</v>
      </c>
      <c r="AH209" s="73">
        <f t="shared" si="166"/>
        <v>0</v>
      </c>
      <c r="AI209" s="73">
        <f t="shared" si="167"/>
        <v>0</v>
      </c>
      <c r="AJ209" s="75">
        <f t="shared" si="168"/>
        <v>1.294083879</v>
      </c>
      <c r="AK209" s="73">
        <f t="shared" si="169"/>
        <v>1.466559294</v>
      </c>
      <c r="AL209" s="73">
        <f t="shared" si="170"/>
        <v>0.6184808428</v>
      </c>
      <c r="AM209" s="73">
        <f t="shared" si="171"/>
        <v>0.8707785015</v>
      </c>
      <c r="AN209" s="75">
        <v>82.23</v>
      </c>
      <c r="AO209" s="76">
        <v>82.0</v>
      </c>
      <c r="AP209" s="73">
        <f t="shared" si="172"/>
        <v>82</v>
      </c>
      <c r="AQ209" s="29" t="str">
        <f t="shared" si="173"/>
        <v>#REF!</v>
      </c>
      <c r="AR209" s="77" t="str">
        <f t="shared" si="174"/>
        <v>#REF!</v>
      </c>
      <c r="AS209" s="73"/>
      <c r="AT209" s="39"/>
    </row>
    <row r="210" ht="15.75" customHeight="1">
      <c r="A210" s="16" t="s">
        <v>61</v>
      </c>
      <c r="B210" s="16" t="s">
        <v>54</v>
      </c>
      <c r="C210" s="16">
        <v>1965.0</v>
      </c>
      <c r="D210" s="16"/>
      <c r="E210" s="16">
        <v>1965.0</v>
      </c>
      <c r="F210" s="16" t="b">
        <v>1</v>
      </c>
      <c r="G210" s="16" t="b">
        <v>0</v>
      </c>
      <c r="H210" s="16" t="b">
        <v>1</v>
      </c>
      <c r="I210" s="16" t="b">
        <v>0</v>
      </c>
      <c r="J210" s="18">
        <v>240.0</v>
      </c>
      <c r="K210" s="18">
        <v>15.0</v>
      </c>
      <c r="L210" s="16">
        <v>150.0</v>
      </c>
      <c r="M210" s="16">
        <v>100.0</v>
      </c>
      <c r="N210" s="16">
        <v>137.26</v>
      </c>
      <c r="O210" s="16">
        <v>71.17</v>
      </c>
      <c r="P210" s="18">
        <v>159.0</v>
      </c>
      <c r="Q210" s="16">
        <v>290.5</v>
      </c>
      <c r="R210" s="16">
        <v>3.48</v>
      </c>
      <c r="S210" s="16">
        <v>0.9977</v>
      </c>
      <c r="T210" s="16">
        <v>0.9978</v>
      </c>
      <c r="U210" s="19">
        <f t="shared" si="1"/>
        <v>250</v>
      </c>
      <c r="V210" s="19">
        <f t="shared" si="2"/>
        <v>52.8727981</v>
      </c>
      <c r="W210" s="20">
        <f t="shared" si="3"/>
        <v>1.820910077</v>
      </c>
      <c r="X210" s="17">
        <f t="shared" si="181"/>
        <v>129.5941702</v>
      </c>
      <c r="Y210" s="21">
        <f t="shared" si="4"/>
        <v>4</v>
      </c>
      <c r="Z210" s="21">
        <f t="shared" si="5"/>
        <v>647.9708508</v>
      </c>
      <c r="AA210" s="21">
        <f t="shared" si="6"/>
        <v>9.104550383</v>
      </c>
      <c r="AB210" s="22">
        <f t="shared" si="7"/>
        <v>0.5183766806</v>
      </c>
      <c r="AC210" s="8">
        <f t="shared" si="161"/>
        <v>131.6035355</v>
      </c>
      <c r="AD210" s="13">
        <f t="shared" si="162"/>
        <v>0.5264141421</v>
      </c>
      <c r="AE210" s="8">
        <f t="shared" si="163"/>
        <v>131.6035355</v>
      </c>
      <c r="AF210" s="73">
        <f t="shared" si="164"/>
        <v>17.06886074</v>
      </c>
      <c r="AG210" s="74" t="str">
        <f t="shared" si="165"/>
        <v>#REF!</v>
      </c>
      <c r="AH210" s="73">
        <f t="shared" si="166"/>
        <v>0</v>
      </c>
      <c r="AI210" s="73">
        <f t="shared" si="167"/>
        <v>0.6272838613</v>
      </c>
      <c r="AJ210" s="75">
        <f t="shared" si="168"/>
        <v>1</v>
      </c>
      <c r="AK210" s="73">
        <f t="shared" si="169"/>
        <v>0.8129636992</v>
      </c>
      <c r="AL210" s="73">
        <f t="shared" si="170"/>
        <v>0.9368714215</v>
      </c>
      <c r="AM210" s="73">
        <f t="shared" si="171"/>
        <v>1.237344028</v>
      </c>
      <c r="AN210" s="75">
        <v>68.27</v>
      </c>
      <c r="AO210" s="76">
        <v>68.0</v>
      </c>
      <c r="AP210" s="73">
        <f t="shared" si="172"/>
        <v>68</v>
      </c>
      <c r="AQ210" s="29" t="str">
        <f t="shared" si="173"/>
        <v>#REF!</v>
      </c>
      <c r="AR210" s="77" t="str">
        <f t="shared" si="174"/>
        <v>#REF!</v>
      </c>
      <c r="AS210" s="73"/>
      <c r="AT210" s="39"/>
    </row>
    <row r="211" ht="15.75" customHeight="1">
      <c r="A211" s="7" t="s">
        <v>60</v>
      </c>
      <c r="B211" s="7" t="s">
        <v>54</v>
      </c>
      <c r="C211" s="7">
        <v>1965.0</v>
      </c>
      <c r="D211" s="7"/>
      <c r="E211" s="7">
        <v>1965.0</v>
      </c>
      <c r="F211" s="7" t="b">
        <v>1</v>
      </c>
      <c r="G211" s="7" t="b">
        <v>0</v>
      </c>
      <c r="H211" s="7" t="b">
        <v>1</v>
      </c>
      <c r="I211" s="7" t="b">
        <v>0</v>
      </c>
      <c r="J211" s="9">
        <v>240.0</v>
      </c>
      <c r="K211" s="9">
        <v>3.0</v>
      </c>
      <c r="L211" s="7">
        <v>150.0</v>
      </c>
      <c r="M211" s="7">
        <v>-23.0</v>
      </c>
      <c r="N211" s="7">
        <v>134.26</v>
      </c>
      <c r="O211" s="7">
        <v>75.62</v>
      </c>
      <c r="P211" s="9">
        <v>166.0</v>
      </c>
      <c r="Q211" s="7">
        <v>300.0</v>
      </c>
      <c r="R211" s="7">
        <v>3.75</v>
      </c>
      <c r="S211" s="7">
        <v>0.9977</v>
      </c>
      <c r="T211" s="7">
        <v>0.9978</v>
      </c>
      <c r="U211" s="10">
        <f t="shared" si="1"/>
        <v>127</v>
      </c>
      <c r="V211" s="10">
        <f t="shared" si="2"/>
        <v>57.43403828</v>
      </c>
      <c r="W211" s="11">
        <f t="shared" si="3"/>
        <v>1.73148638</v>
      </c>
      <c r="X211" s="8">
        <f t="shared" si="181"/>
        <v>130.935</v>
      </c>
      <c r="Y211" s="12">
        <f t="shared" si="4"/>
        <v>4</v>
      </c>
      <c r="Z211" s="12">
        <f t="shared" si="5"/>
        <v>654.6750001</v>
      </c>
      <c r="AA211" s="12">
        <f t="shared" si="6"/>
        <v>8.657431898</v>
      </c>
      <c r="AB211" s="13">
        <f t="shared" si="7"/>
        <v>1.030984252</v>
      </c>
      <c r="AC211" s="8">
        <f t="shared" si="161"/>
        <v>132.9651551</v>
      </c>
      <c r="AD211" s="13">
        <f t="shared" si="162"/>
        <v>1.046969725</v>
      </c>
      <c r="AE211" s="8">
        <f t="shared" si="163"/>
        <v>132.9651551</v>
      </c>
      <c r="AF211" s="73">
        <f t="shared" si="164"/>
        <v>17.77870221</v>
      </c>
      <c r="AG211" s="74" t="str">
        <f t="shared" si="165"/>
        <v>#REF!</v>
      </c>
      <c r="AH211" s="73">
        <f t="shared" si="166"/>
        <v>0</v>
      </c>
      <c r="AI211" s="73">
        <f t="shared" si="167"/>
        <v>0.2958876574</v>
      </c>
      <c r="AJ211" s="75">
        <f t="shared" si="168"/>
        <v>1</v>
      </c>
      <c r="AK211" s="73">
        <f t="shared" si="169"/>
        <v>0.8473048321</v>
      </c>
      <c r="AL211" s="73">
        <f t="shared" si="170"/>
        <v>1</v>
      </c>
      <c r="AM211" s="73">
        <f t="shared" si="171"/>
        <v>1.237344028</v>
      </c>
      <c r="AN211" s="75">
        <v>66.66</v>
      </c>
      <c r="AO211" s="76">
        <v>67.0</v>
      </c>
      <c r="AP211" s="73">
        <f t="shared" si="172"/>
        <v>67</v>
      </c>
      <c r="AQ211" s="29" t="str">
        <f t="shared" si="173"/>
        <v>#REF!</v>
      </c>
      <c r="AR211" s="77" t="str">
        <f t="shared" si="174"/>
        <v>#REF!</v>
      </c>
      <c r="AS211" s="73"/>
      <c r="AT211" s="39"/>
    </row>
    <row r="212" ht="15.75" customHeight="1">
      <c r="A212" s="16" t="s">
        <v>270</v>
      </c>
      <c r="B212" s="16" t="s">
        <v>266</v>
      </c>
      <c r="C212" s="16">
        <v>1965.0</v>
      </c>
      <c r="D212" s="16"/>
      <c r="E212" s="16">
        <v>1965.0</v>
      </c>
      <c r="F212" s="16" t="b">
        <v>1</v>
      </c>
      <c r="G212" s="16" t="b">
        <v>0</v>
      </c>
      <c r="H212" s="16" t="b">
        <v>0</v>
      </c>
      <c r="I212" s="16" t="b">
        <v>0</v>
      </c>
      <c r="J212" s="18">
        <v>350.0</v>
      </c>
      <c r="K212" s="16">
        <v>1.0</v>
      </c>
      <c r="L212" s="16">
        <v>275.0</v>
      </c>
      <c r="M212" s="16">
        <v>60.0</v>
      </c>
      <c r="N212" s="16">
        <v>470.0</v>
      </c>
      <c r="O212" s="16">
        <v>385.2</v>
      </c>
      <c r="P212" s="18">
        <v>220.0</v>
      </c>
      <c r="Q212" s="16">
        <v>316.0</v>
      </c>
      <c r="R212" s="16">
        <v>4.8</v>
      </c>
      <c r="S212" s="16">
        <v>0.993636</v>
      </c>
      <c r="T212" s="16">
        <v>0.993636</v>
      </c>
      <c r="U212" s="19">
        <f t="shared" si="1"/>
        <v>335</v>
      </c>
      <c r="V212" s="19">
        <f t="shared" si="2"/>
        <v>83.57333704</v>
      </c>
      <c r="W212" s="20">
        <f t="shared" si="3"/>
        <v>0.7596295283</v>
      </c>
      <c r="X212" s="17">
        <f t="shared" si="181"/>
        <v>292.6092943</v>
      </c>
      <c r="Y212" s="21">
        <f t="shared" si="4"/>
        <v>4</v>
      </c>
      <c r="Z212" s="21">
        <f t="shared" si="5"/>
        <v>1463.046472</v>
      </c>
      <c r="AA212" s="21">
        <f t="shared" si="6"/>
        <v>3.798147642</v>
      </c>
      <c r="AB212" s="22">
        <f t="shared" si="7"/>
        <v>0.87346058</v>
      </c>
      <c r="AC212" s="8">
        <f t="shared" si="161"/>
        <v>294.7489999</v>
      </c>
      <c r="AD212" s="13">
        <f t="shared" si="162"/>
        <v>0.8798477609</v>
      </c>
      <c r="AE212" s="8">
        <f t="shared" si="163"/>
        <v>294.7489999</v>
      </c>
      <c r="AF212" s="73">
        <f t="shared" si="164"/>
        <v>59.44471322</v>
      </c>
      <c r="AG212" s="74" t="str">
        <f t="shared" si="165"/>
        <v>#REF!</v>
      </c>
      <c r="AH212" s="73">
        <f t="shared" si="166"/>
        <v>0</v>
      </c>
      <c r="AI212" s="73">
        <f t="shared" si="167"/>
        <v>0</v>
      </c>
      <c r="AJ212" s="75">
        <f t="shared" si="168"/>
        <v>1.019287078</v>
      </c>
      <c r="AK212" s="73">
        <f t="shared" si="169"/>
        <v>1.022089386</v>
      </c>
      <c r="AL212" s="73">
        <f t="shared" si="170"/>
        <v>1.173066849</v>
      </c>
      <c r="AM212" s="73">
        <f t="shared" si="171"/>
        <v>1.364668672</v>
      </c>
      <c r="AN212" s="75">
        <v>252.36</v>
      </c>
      <c r="AO212" s="76">
        <v>250.0</v>
      </c>
      <c r="AP212" s="73">
        <f t="shared" si="172"/>
        <v>250</v>
      </c>
      <c r="AQ212" s="29" t="str">
        <f t="shared" si="173"/>
        <v>#REF!</v>
      </c>
      <c r="AR212" s="77" t="str">
        <f t="shared" si="174"/>
        <v>#REF!</v>
      </c>
      <c r="AS212" s="73"/>
      <c r="AT212" s="39"/>
    </row>
    <row r="213" ht="15.75" customHeight="1">
      <c r="A213" s="7" t="s">
        <v>304</v>
      </c>
      <c r="B213" s="7" t="s">
        <v>288</v>
      </c>
      <c r="C213" s="7">
        <v>1965.0</v>
      </c>
      <c r="D213" s="7"/>
      <c r="E213" s="7">
        <v>1965.0</v>
      </c>
      <c r="F213" s="7" t="b">
        <v>1</v>
      </c>
      <c r="G213" s="7" t="b">
        <v>0</v>
      </c>
      <c r="H213" s="7" t="b">
        <v>0</v>
      </c>
      <c r="I213" s="7" t="b">
        <v>0</v>
      </c>
      <c r="J213" s="9">
        <v>150.0</v>
      </c>
      <c r="K213" s="7">
        <v>1.0</v>
      </c>
      <c r="L213" s="7">
        <v>250.0</v>
      </c>
      <c r="M213" s="7">
        <v>150.0</v>
      </c>
      <c r="N213" s="7">
        <f>839*0.8498212157</f>
        <v>713</v>
      </c>
      <c r="O213" s="7">
        <v>1172.1</v>
      </c>
      <c r="P213" s="9">
        <v>258.0</v>
      </c>
      <c r="Q213" s="7">
        <v>296.0</v>
      </c>
      <c r="R213" s="7">
        <v>5.67</v>
      </c>
      <c r="S213" s="7">
        <v>0.99321</v>
      </c>
      <c r="T213" s="7">
        <v>0.99321</v>
      </c>
      <c r="U213" s="10">
        <f t="shared" si="1"/>
        <v>400</v>
      </c>
      <c r="V213" s="10">
        <f t="shared" si="2"/>
        <v>167.6310477</v>
      </c>
      <c r="W213" s="11">
        <f t="shared" si="3"/>
        <v>0.3152126263</v>
      </c>
      <c r="X213" s="8">
        <f t="shared" si="181"/>
        <v>369.4607193</v>
      </c>
      <c r="Y213" s="12">
        <f t="shared" si="4"/>
        <v>4</v>
      </c>
      <c r="Z213" s="12">
        <f t="shared" si="5"/>
        <v>1847.303597</v>
      </c>
      <c r="AA213" s="12">
        <f t="shared" si="6"/>
        <v>1.576063132</v>
      </c>
      <c r="AB213" s="13">
        <f t="shared" si="7"/>
        <v>0.9236517983</v>
      </c>
      <c r="AC213" s="8">
        <f t="shared" si="161"/>
        <v>371.8496908</v>
      </c>
      <c r="AD213" s="13">
        <f t="shared" si="162"/>
        <v>0.9296242269</v>
      </c>
      <c r="AE213" s="8">
        <f t="shared" si="163"/>
        <v>371.8496908</v>
      </c>
      <c r="AF213" s="73">
        <f t="shared" si="164"/>
        <v>151.4802462</v>
      </c>
      <c r="AG213" s="74" t="str">
        <f t="shared" si="165"/>
        <v>#REF!</v>
      </c>
      <c r="AH213" s="73">
        <f t="shared" si="166"/>
        <v>0</v>
      </c>
      <c r="AI213" s="73">
        <f t="shared" si="167"/>
        <v>0</v>
      </c>
      <c r="AJ213" s="75">
        <f t="shared" si="168"/>
        <v>1.272582574</v>
      </c>
      <c r="AK213" s="73">
        <f t="shared" si="169"/>
        <v>1.447545542</v>
      </c>
      <c r="AL213" s="73">
        <f t="shared" si="170"/>
        <v>0.9729169862</v>
      </c>
      <c r="AM213" s="73">
        <f t="shared" si="171"/>
        <v>1.060224449</v>
      </c>
      <c r="AN213" s="75">
        <v>621.6</v>
      </c>
      <c r="AO213" s="76">
        <v>620.0</v>
      </c>
      <c r="AP213" s="73">
        <f t="shared" si="172"/>
        <v>620</v>
      </c>
      <c r="AQ213" s="29" t="str">
        <f t="shared" si="173"/>
        <v>#REF!</v>
      </c>
      <c r="AR213" s="77" t="str">
        <f t="shared" si="174"/>
        <v>#REF!</v>
      </c>
      <c r="AS213" s="73"/>
      <c r="AT213" s="39"/>
    </row>
    <row r="214" ht="15.75" customHeight="1">
      <c r="A214" s="7" t="s">
        <v>335</v>
      </c>
      <c r="B214" s="7" t="s">
        <v>330</v>
      </c>
      <c r="C214" s="7">
        <v>1965.0</v>
      </c>
      <c r="D214" s="7"/>
      <c r="E214" s="7">
        <v>1965.0</v>
      </c>
      <c r="F214" s="7" t="b">
        <v>1</v>
      </c>
      <c r="G214" s="7" t="b">
        <v>0</v>
      </c>
      <c r="H214" s="7" t="b">
        <v>0</v>
      </c>
      <c r="I214" s="7" t="b">
        <v>0</v>
      </c>
      <c r="J214" s="9">
        <v>165.0</v>
      </c>
      <c r="K214" s="7">
        <v>1.0</v>
      </c>
      <c r="L214" s="7">
        <v>300.0</v>
      </c>
      <c r="M214" s="7">
        <v>40.0</v>
      </c>
      <c r="N214" s="7">
        <v>1018.0</v>
      </c>
      <c r="O214" s="7">
        <v>931.7</v>
      </c>
      <c r="P214" s="9">
        <v>258.0</v>
      </c>
      <c r="Q214" s="7">
        <v>292.2</v>
      </c>
      <c r="R214" s="7">
        <v>3.92</v>
      </c>
      <c r="S214" s="7">
        <v>0.993636</v>
      </c>
      <c r="T214" s="7">
        <v>0.993636</v>
      </c>
      <c r="U214" s="10">
        <f t="shared" si="1"/>
        <v>340</v>
      </c>
      <c r="V214" s="10">
        <f t="shared" si="2"/>
        <v>93.32707199</v>
      </c>
      <c r="W214" s="11">
        <f t="shared" si="3"/>
        <v>0.4736887775</v>
      </c>
      <c r="X214" s="8">
        <f t="shared" si="181"/>
        <v>441.335834</v>
      </c>
      <c r="Y214" s="12">
        <f t="shared" si="4"/>
        <v>4</v>
      </c>
      <c r="Z214" s="12">
        <f t="shared" si="5"/>
        <v>2206.67917</v>
      </c>
      <c r="AA214" s="12">
        <f t="shared" si="6"/>
        <v>2.368443887</v>
      </c>
      <c r="AB214" s="13">
        <f t="shared" si="7"/>
        <v>1.29804657</v>
      </c>
      <c r="AC214" s="8">
        <f t="shared" si="161"/>
        <v>444.5631025</v>
      </c>
      <c r="AD214" s="13">
        <f t="shared" si="162"/>
        <v>1.307538537</v>
      </c>
      <c r="AE214" s="8">
        <f t="shared" si="163"/>
        <v>444.5631025</v>
      </c>
      <c r="AF214" s="73">
        <f t="shared" si="164"/>
        <v>124.1547493</v>
      </c>
      <c r="AG214" s="74" t="str">
        <f t="shared" si="165"/>
        <v>#REF!</v>
      </c>
      <c r="AH214" s="73">
        <f t="shared" si="166"/>
        <v>0</v>
      </c>
      <c r="AI214" s="73">
        <f t="shared" si="167"/>
        <v>0</v>
      </c>
      <c r="AJ214" s="75">
        <f t="shared" si="168"/>
        <v>1.294774116</v>
      </c>
      <c r="AK214" s="73">
        <f t="shared" si="169"/>
        <v>1.080087219</v>
      </c>
      <c r="AL214" s="73">
        <f t="shared" si="170"/>
        <v>0.9478678268</v>
      </c>
      <c r="AM214" s="73">
        <f t="shared" si="171"/>
        <v>1.097912191</v>
      </c>
      <c r="AN214" s="75">
        <v>447.74</v>
      </c>
      <c r="AO214" s="76">
        <v>450.0</v>
      </c>
      <c r="AP214" s="73">
        <f t="shared" si="172"/>
        <v>450</v>
      </c>
      <c r="AQ214" s="29" t="str">
        <f t="shared" si="173"/>
        <v>#REF!</v>
      </c>
      <c r="AR214" s="77" t="str">
        <f t="shared" si="174"/>
        <v>#REF!</v>
      </c>
      <c r="AS214" s="73"/>
      <c r="AT214" s="39"/>
    </row>
    <row r="215" ht="15.75" customHeight="1">
      <c r="A215" s="7" t="s">
        <v>345</v>
      </c>
      <c r="B215" s="7" t="s">
        <v>339</v>
      </c>
      <c r="C215" s="7">
        <v>1965.0</v>
      </c>
      <c r="D215" s="7"/>
      <c r="E215" s="7">
        <v>1965.0</v>
      </c>
      <c r="F215" s="7" t="b">
        <v>1</v>
      </c>
      <c r="G215" s="7" t="b">
        <v>0</v>
      </c>
      <c r="H215" s="7" t="b">
        <v>1</v>
      </c>
      <c r="I215" s="7" t="b">
        <v>0</v>
      </c>
      <c r="J215" s="9">
        <v>210.0</v>
      </c>
      <c r="K215" s="7">
        <v>1.0</v>
      </c>
      <c r="L215" s="7">
        <v>250.0</v>
      </c>
      <c r="M215" s="7">
        <v>100.0</v>
      </c>
      <c r="N215" s="7">
        <f>500*1.18</f>
        <v>590</v>
      </c>
      <c r="O215" s="7">
        <v>456.1</v>
      </c>
      <c r="P215" s="9">
        <v>200.0</v>
      </c>
      <c r="Q215" s="7">
        <v>316.0</v>
      </c>
      <c r="R215" s="7">
        <v>5.7</v>
      </c>
      <c r="S215" s="7">
        <v>0.99625</v>
      </c>
      <c r="T215" s="7">
        <v>0.99125</v>
      </c>
      <c r="U215" s="10">
        <f t="shared" si="1"/>
        <v>350</v>
      </c>
      <c r="V215" s="10">
        <f t="shared" si="2"/>
        <v>78.82924803</v>
      </c>
      <c r="W215" s="11">
        <f t="shared" si="3"/>
        <v>0.7475255595</v>
      </c>
      <c r="X215" s="8">
        <f t="shared" si="181"/>
        <v>340.9464077</v>
      </c>
      <c r="Y215" s="12">
        <f t="shared" si="4"/>
        <v>4</v>
      </c>
      <c r="Z215" s="12">
        <f t="shared" si="5"/>
        <v>1704.732038</v>
      </c>
      <c r="AA215" s="12">
        <f t="shared" si="6"/>
        <v>3.737627798</v>
      </c>
      <c r="AB215" s="13">
        <f t="shared" si="7"/>
        <v>0.9741325934</v>
      </c>
      <c r="AC215" s="8">
        <f t="shared" si="161"/>
        <v>343.5146931</v>
      </c>
      <c r="AD215" s="13">
        <f t="shared" si="162"/>
        <v>0.9814705516</v>
      </c>
      <c r="AE215" s="8">
        <f t="shared" si="163"/>
        <v>343.5146931</v>
      </c>
      <c r="AF215" s="73">
        <f t="shared" si="164"/>
        <v>68.17070531</v>
      </c>
      <c r="AG215" s="74" t="str">
        <f t="shared" si="165"/>
        <v>#REF!</v>
      </c>
      <c r="AH215" s="73">
        <f t="shared" si="166"/>
        <v>0</v>
      </c>
      <c r="AI215" s="73">
        <f t="shared" si="167"/>
        <v>0</v>
      </c>
      <c r="AJ215" s="75">
        <f t="shared" si="168"/>
        <v>1</v>
      </c>
      <c r="AK215" s="73">
        <f t="shared" si="169"/>
        <v>0.9926558318</v>
      </c>
      <c r="AL215" s="73">
        <f t="shared" si="170"/>
        <v>1.173066849</v>
      </c>
      <c r="AM215" s="73">
        <f t="shared" si="171"/>
        <v>1.189204291</v>
      </c>
      <c r="AN215" s="75">
        <v>244.3</v>
      </c>
      <c r="AO215" s="76">
        <v>240.0</v>
      </c>
      <c r="AP215" s="73">
        <f t="shared" si="172"/>
        <v>240</v>
      </c>
      <c r="AQ215" s="29" t="str">
        <f t="shared" si="173"/>
        <v>#REF!</v>
      </c>
      <c r="AR215" s="77" t="str">
        <f t="shared" si="174"/>
        <v>#REF!</v>
      </c>
      <c r="AS215" s="73"/>
      <c r="AT215" s="39"/>
    </row>
    <row r="216" ht="15.75" customHeight="1">
      <c r="A216" s="16" t="s">
        <v>449</v>
      </c>
      <c r="B216" s="16" t="s">
        <v>446</v>
      </c>
      <c r="C216" s="16">
        <v>1965.0</v>
      </c>
      <c r="D216" s="16"/>
      <c r="E216" s="16">
        <v>1965.0</v>
      </c>
      <c r="F216" s="16" t="b">
        <v>1</v>
      </c>
      <c r="G216" s="16" t="b">
        <v>0</v>
      </c>
      <c r="H216" s="16" t="b">
        <v>1</v>
      </c>
      <c r="I216" s="16" t="b">
        <v>0</v>
      </c>
      <c r="J216" s="18">
        <v>250.0</v>
      </c>
      <c r="K216" s="16">
        <v>1.0</v>
      </c>
      <c r="L216" s="16">
        <v>350.0</v>
      </c>
      <c r="M216" s="16">
        <v>0.0</v>
      </c>
      <c r="N216" s="16">
        <v>408.5</v>
      </c>
      <c r="O216" s="16">
        <v>318.78</v>
      </c>
      <c r="P216" s="18">
        <v>245.0</v>
      </c>
      <c r="Q216" s="16">
        <v>330.4</v>
      </c>
      <c r="R216" s="16">
        <v>15.53</v>
      </c>
      <c r="S216" s="16">
        <v>0.999219</v>
      </c>
      <c r="T216" s="16">
        <v>0.997401</v>
      </c>
      <c r="U216" s="19">
        <f t="shared" si="1"/>
        <v>350</v>
      </c>
      <c r="V216" s="19">
        <f t="shared" si="2"/>
        <v>79.57530806</v>
      </c>
      <c r="W216" s="20">
        <f t="shared" si="3"/>
        <v>0.9829358588</v>
      </c>
      <c r="X216" s="17">
        <f t="shared" si="181"/>
        <v>313.3402931</v>
      </c>
      <c r="Y216" s="21">
        <f t="shared" si="4"/>
        <v>4</v>
      </c>
      <c r="Z216" s="21">
        <f t="shared" si="5"/>
        <v>1566.701465</v>
      </c>
      <c r="AA216" s="21">
        <f t="shared" si="6"/>
        <v>4.914679294</v>
      </c>
      <c r="AB216" s="22">
        <f t="shared" si="7"/>
        <v>0.8952579802</v>
      </c>
      <c r="AC216" s="8">
        <f t="shared" si="161"/>
        <v>318.5486448</v>
      </c>
      <c r="AD216" s="13">
        <f t="shared" si="162"/>
        <v>0.910138985</v>
      </c>
      <c r="AE216" s="8">
        <f t="shared" si="163"/>
        <v>318.5486448</v>
      </c>
      <c r="AF216" s="73">
        <f t="shared" si="164"/>
        <v>51.11195005</v>
      </c>
      <c r="AG216" s="74" t="str">
        <f t="shared" si="165"/>
        <v>#REF!</v>
      </c>
      <c r="AH216" s="73">
        <f t="shared" si="166"/>
        <v>0</v>
      </c>
      <c r="AI216" s="73">
        <f t="shared" si="167"/>
        <v>0</v>
      </c>
      <c r="AJ216" s="75">
        <f t="shared" si="168"/>
        <v>1.06517749</v>
      </c>
      <c r="AK216" s="73">
        <f t="shared" si="169"/>
        <v>0.9973421433</v>
      </c>
      <c r="AL216" s="73">
        <f t="shared" si="170"/>
        <v>1.381797892</v>
      </c>
      <c r="AM216" s="73">
        <f t="shared" si="171"/>
        <v>1.251730393</v>
      </c>
      <c r="AN216" s="75">
        <v>271.27</v>
      </c>
      <c r="AO216" s="76">
        <v>270.0</v>
      </c>
      <c r="AP216" s="73">
        <f t="shared" si="172"/>
        <v>270</v>
      </c>
      <c r="AQ216" s="29" t="str">
        <f t="shared" si="173"/>
        <v>#REF!</v>
      </c>
      <c r="AR216" s="77" t="str">
        <f t="shared" si="174"/>
        <v>#REF!</v>
      </c>
      <c r="AS216" s="73"/>
      <c r="AT216" s="39"/>
    </row>
    <row r="217" ht="15.75" customHeight="1">
      <c r="A217" s="7" t="s">
        <v>473</v>
      </c>
      <c r="B217" s="7" t="s">
        <v>474</v>
      </c>
      <c r="C217" s="7">
        <v>1965.0</v>
      </c>
      <c r="D217" s="7"/>
      <c r="E217" s="7">
        <v>1965.0</v>
      </c>
      <c r="F217" s="7" t="b">
        <v>1</v>
      </c>
      <c r="G217" s="7" t="b">
        <v>0</v>
      </c>
      <c r="H217" s="7" t="b">
        <v>0</v>
      </c>
      <c r="I217" s="7" t="b">
        <v>0</v>
      </c>
      <c r="J217" s="9">
        <v>150.0</v>
      </c>
      <c r="K217" s="7">
        <v>1.0</v>
      </c>
      <c r="L217" s="7">
        <v>300.0</v>
      </c>
      <c r="M217" s="7">
        <v>0.0</v>
      </c>
      <c r="N217" s="7">
        <v>540.0</v>
      </c>
      <c r="O217" s="7">
        <v>574.05</v>
      </c>
      <c r="P217" s="9">
        <v>240.0</v>
      </c>
      <c r="Q217" s="7">
        <v>326.105</v>
      </c>
      <c r="R217" s="7">
        <v>14.7</v>
      </c>
      <c r="S217" s="7">
        <v>0.991176</v>
      </c>
      <c r="T217" s="7">
        <v>0.979412</v>
      </c>
      <c r="U217" s="10">
        <f t="shared" si="1"/>
        <v>300</v>
      </c>
      <c r="V217" s="10">
        <f t="shared" si="2"/>
        <v>108.4014982</v>
      </c>
      <c r="W217" s="11">
        <f t="shared" si="3"/>
        <v>0.6347243647</v>
      </c>
      <c r="X217" s="8">
        <f t="shared" si="181"/>
        <v>364.3635216</v>
      </c>
      <c r="Y217" s="12">
        <f t="shared" si="4"/>
        <v>4</v>
      </c>
      <c r="Z217" s="12">
        <f t="shared" si="5"/>
        <v>1821.817608</v>
      </c>
      <c r="AA217" s="12">
        <f t="shared" si="6"/>
        <v>3.173621823</v>
      </c>
      <c r="AB217" s="13">
        <f t="shared" si="7"/>
        <v>1.214545072</v>
      </c>
      <c r="AC217" s="8">
        <f t="shared" si="161"/>
        <v>361.0003255</v>
      </c>
      <c r="AD217" s="13">
        <f t="shared" si="162"/>
        <v>1.203334418</v>
      </c>
      <c r="AE217" s="8">
        <f t="shared" si="163"/>
        <v>361.0003255</v>
      </c>
      <c r="AF217" s="73">
        <f t="shared" si="164"/>
        <v>82.40004846</v>
      </c>
      <c r="AG217" s="74" t="str">
        <f t="shared" si="165"/>
        <v>#REF!</v>
      </c>
      <c r="AH217" s="73">
        <f t="shared" si="166"/>
        <v>0</v>
      </c>
      <c r="AI217" s="73">
        <f t="shared" si="167"/>
        <v>0</v>
      </c>
      <c r="AJ217" s="75">
        <f t="shared" si="168"/>
        <v>1.058617766</v>
      </c>
      <c r="AK217" s="73">
        <f t="shared" si="169"/>
        <v>1.164052717</v>
      </c>
      <c r="AL217" s="73">
        <f t="shared" si="170"/>
        <v>1.314555952</v>
      </c>
      <c r="AM217" s="73">
        <f t="shared" si="171"/>
        <v>1.060224449</v>
      </c>
      <c r="AN217" s="75">
        <v>301.44</v>
      </c>
      <c r="AO217" s="76">
        <v>300.0</v>
      </c>
      <c r="AP217" s="73">
        <f t="shared" si="172"/>
        <v>300</v>
      </c>
      <c r="AQ217" s="29" t="str">
        <f t="shared" si="173"/>
        <v>#REF!</v>
      </c>
      <c r="AR217" s="77" t="str">
        <f t="shared" si="174"/>
        <v>#REF!</v>
      </c>
      <c r="AS217" s="73"/>
      <c r="AT217" s="39"/>
    </row>
    <row r="218" ht="15.75" customHeight="1">
      <c r="A218" s="7" t="s">
        <v>491</v>
      </c>
      <c r="B218" s="7" t="s">
        <v>492</v>
      </c>
      <c r="C218" s="7">
        <v>1965.0</v>
      </c>
      <c r="D218" s="7"/>
      <c r="E218" s="7">
        <v>1965.0</v>
      </c>
      <c r="F218" s="7" t="b">
        <v>1</v>
      </c>
      <c r="G218" s="7" t="b">
        <v>0</v>
      </c>
      <c r="H218" s="7" t="b">
        <v>1</v>
      </c>
      <c r="I218" s="7" t="b">
        <v>0</v>
      </c>
      <c r="J218" s="9">
        <v>150.0</v>
      </c>
      <c r="K218" s="7">
        <v>1.0</v>
      </c>
      <c r="L218" s="7">
        <v>194.0</v>
      </c>
      <c r="M218" s="7">
        <v>0.0</v>
      </c>
      <c r="N218" s="7">
        <v>153.0</v>
      </c>
      <c r="O218" s="7">
        <v>219.2</v>
      </c>
      <c r="P218" s="9">
        <v>279.8</v>
      </c>
      <c r="Q218" s="7">
        <v>312.7</v>
      </c>
      <c r="R218" s="7">
        <v>14.7</v>
      </c>
      <c r="S218" s="7">
        <v>0.997807</v>
      </c>
      <c r="T218" s="7">
        <v>0.997807</v>
      </c>
      <c r="U218" s="10">
        <f t="shared" si="1"/>
        <v>194</v>
      </c>
      <c r="V218" s="10">
        <f t="shared" si="2"/>
        <v>146.0926753</v>
      </c>
      <c r="W218" s="11">
        <f t="shared" si="3"/>
        <v>0.780821351</v>
      </c>
      <c r="X218" s="8">
        <f t="shared" si="181"/>
        <v>171.1560401</v>
      </c>
      <c r="Y218" s="12">
        <f t="shared" si="4"/>
        <v>4</v>
      </c>
      <c r="Z218" s="12">
        <f t="shared" si="5"/>
        <v>855.7802007</v>
      </c>
      <c r="AA218" s="12">
        <f t="shared" si="6"/>
        <v>3.904106755</v>
      </c>
      <c r="AB218" s="13">
        <f t="shared" si="7"/>
        <v>0.8822476296</v>
      </c>
      <c r="AC218" s="8">
        <f t="shared" si="161"/>
        <v>173.8292937</v>
      </c>
      <c r="AD218" s="13">
        <f t="shared" si="162"/>
        <v>0.896027287</v>
      </c>
      <c r="AE218" s="8">
        <f t="shared" si="163"/>
        <v>173.8292937</v>
      </c>
      <c r="AF218" s="73">
        <f t="shared" si="164"/>
        <v>38.20823874</v>
      </c>
      <c r="AG218" s="74" t="str">
        <f t="shared" si="165"/>
        <v>#REF!</v>
      </c>
      <c r="AH218" s="73">
        <f t="shared" si="166"/>
        <v>0</v>
      </c>
      <c r="AI218" s="73">
        <f t="shared" si="167"/>
        <v>0</v>
      </c>
      <c r="AJ218" s="75">
        <f t="shared" si="168"/>
        <v>1.318544443</v>
      </c>
      <c r="AK218" s="73">
        <f t="shared" si="169"/>
        <v>1.351354299</v>
      </c>
      <c r="AL218" s="73">
        <f t="shared" si="170"/>
        <v>1.131796915</v>
      </c>
      <c r="AM218" s="73">
        <f t="shared" si="171"/>
        <v>1.060224449</v>
      </c>
      <c r="AN218" s="75">
        <v>201.35</v>
      </c>
      <c r="AO218" s="76">
        <v>200.0</v>
      </c>
      <c r="AP218" s="73">
        <f t="shared" si="172"/>
        <v>200</v>
      </c>
      <c r="AQ218" s="29" t="str">
        <f t="shared" si="173"/>
        <v>#REF!</v>
      </c>
      <c r="AR218" s="77" t="str">
        <f t="shared" si="174"/>
        <v>#REF!</v>
      </c>
      <c r="AS218" s="73"/>
      <c r="AT218" s="39"/>
    </row>
    <row r="219" ht="15.75" customHeight="1">
      <c r="A219" s="7" t="s">
        <v>533</v>
      </c>
      <c r="B219" s="7" t="s">
        <v>1008</v>
      </c>
      <c r="C219" s="7">
        <v>1965.0</v>
      </c>
      <c r="D219" s="7"/>
      <c r="E219" s="7">
        <v>1965.0</v>
      </c>
      <c r="F219" s="7" t="b">
        <v>1</v>
      </c>
      <c r="G219" s="7" t="b">
        <v>0</v>
      </c>
      <c r="H219" s="7" t="b">
        <v>0</v>
      </c>
      <c r="I219" s="7" t="b">
        <v>0</v>
      </c>
      <c r="J219" s="9">
        <v>120.0</v>
      </c>
      <c r="K219" s="7">
        <v>1.0</v>
      </c>
      <c r="L219" s="7">
        <v>470.0</v>
      </c>
      <c r="M219" s="7">
        <v>60.0</v>
      </c>
      <c r="N219" s="7">
        <v>1100.0</v>
      </c>
      <c r="O219" s="7">
        <v>995.37</v>
      </c>
      <c r="P219" s="9">
        <v>256.87</v>
      </c>
      <c r="Q219" s="7">
        <v>314.07</v>
      </c>
      <c r="R219" s="7">
        <v>5.86</v>
      </c>
      <c r="S219" s="7">
        <v>0.999893</v>
      </c>
      <c r="T219" s="7">
        <v>0.999893</v>
      </c>
      <c r="U219" s="10">
        <f t="shared" si="1"/>
        <v>530</v>
      </c>
      <c r="V219" s="10">
        <f t="shared" si="2"/>
        <v>92.27226581</v>
      </c>
      <c r="W219" s="11">
        <f t="shared" si="3"/>
        <v>0.498781778</v>
      </c>
      <c r="X219" s="8">
        <f t="shared" si="181"/>
        <v>496.4724183</v>
      </c>
      <c r="Y219" s="12">
        <f t="shared" si="4"/>
        <v>4</v>
      </c>
      <c r="Z219" s="12">
        <f t="shared" si="5"/>
        <v>2482.362092</v>
      </c>
      <c r="AA219" s="12">
        <f t="shared" si="6"/>
        <v>2.49390889</v>
      </c>
      <c r="AB219" s="13">
        <f t="shared" si="7"/>
        <v>0.936740412</v>
      </c>
      <c r="AC219" s="8">
        <f t="shared" si="161"/>
        <v>506.2956273</v>
      </c>
      <c r="AD219" s="13">
        <f t="shared" si="162"/>
        <v>0.9552747685</v>
      </c>
      <c r="AE219" s="8">
        <f t="shared" si="163"/>
        <v>506.2956273</v>
      </c>
      <c r="AF219" s="73">
        <f t="shared" si="164"/>
        <v>131.4372576</v>
      </c>
      <c r="AG219" s="74" t="str">
        <f t="shared" si="165"/>
        <v>#REF!</v>
      </c>
      <c r="AH219" s="73">
        <f t="shared" si="166"/>
        <v>0</v>
      </c>
      <c r="AI219" s="73">
        <f t="shared" si="167"/>
        <v>0</v>
      </c>
      <c r="AJ219" s="75">
        <f t="shared" si="168"/>
        <v>1.175641873</v>
      </c>
      <c r="AK219" s="73">
        <f t="shared" si="169"/>
        <v>1.073966165</v>
      </c>
      <c r="AL219" s="73">
        <f t="shared" si="170"/>
        <v>1.14863516</v>
      </c>
      <c r="AM219" s="73">
        <f t="shared" si="171"/>
        <v>0.9682484915</v>
      </c>
      <c r="AN219" s="75">
        <v>565.12</v>
      </c>
      <c r="AO219" s="76">
        <v>570.0</v>
      </c>
      <c r="AP219" s="73">
        <f t="shared" si="172"/>
        <v>570</v>
      </c>
      <c r="AQ219" s="29" t="str">
        <f t="shared" si="173"/>
        <v>#REF!</v>
      </c>
      <c r="AR219" s="77" t="str">
        <f t="shared" si="174"/>
        <v>#REF!</v>
      </c>
      <c r="AS219" s="73"/>
      <c r="AT219" s="39"/>
    </row>
    <row r="220" ht="15.75" customHeight="1">
      <c r="A220" s="7" t="s">
        <v>544</v>
      </c>
      <c r="B220" s="7" t="s">
        <v>1009</v>
      </c>
      <c r="C220" s="7">
        <v>1965.0</v>
      </c>
      <c r="D220" s="7"/>
      <c r="E220" s="7">
        <v>1965.0</v>
      </c>
      <c r="F220" s="7" t="b">
        <v>1</v>
      </c>
      <c r="G220" s="7" t="b">
        <v>0</v>
      </c>
      <c r="H220" s="7" t="b">
        <v>0</v>
      </c>
      <c r="I220" s="7" t="b">
        <v>0</v>
      </c>
      <c r="J220" s="9">
        <v>290.0</v>
      </c>
      <c r="K220" s="7">
        <v>1.0</v>
      </c>
      <c r="L220" s="7">
        <v>450.0</v>
      </c>
      <c r="M220" s="7">
        <v>60.0</v>
      </c>
      <c r="N220" s="7">
        <v>1145.0</v>
      </c>
      <c r="O220" s="7">
        <v>973.8</v>
      </c>
      <c r="P220" s="9">
        <v>252.79</v>
      </c>
      <c r="Q220" s="7">
        <v>315.81</v>
      </c>
      <c r="R220" s="7">
        <v>5.31</v>
      </c>
      <c r="S220" s="7">
        <v>0.999893</v>
      </c>
      <c r="T220" s="7">
        <v>0.999893</v>
      </c>
      <c r="U220" s="10">
        <f t="shared" si="1"/>
        <v>510</v>
      </c>
      <c r="V220" s="10">
        <f t="shared" si="2"/>
        <v>86.72485985</v>
      </c>
      <c r="W220" s="11">
        <f t="shared" si="3"/>
        <v>0.519587941</v>
      </c>
      <c r="X220" s="8">
        <f t="shared" si="181"/>
        <v>505.9747369</v>
      </c>
      <c r="Y220" s="12">
        <f t="shared" si="4"/>
        <v>4</v>
      </c>
      <c r="Z220" s="12">
        <f t="shared" si="5"/>
        <v>2529.873685</v>
      </c>
      <c r="AA220" s="12">
        <f t="shared" si="6"/>
        <v>2.597939705</v>
      </c>
      <c r="AB220" s="13">
        <f t="shared" si="7"/>
        <v>0.9921073273</v>
      </c>
      <c r="AC220" s="8">
        <f t="shared" si="161"/>
        <v>515.9859589</v>
      </c>
      <c r="AD220" s="13">
        <f t="shared" si="162"/>
        <v>1.011737174</v>
      </c>
      <c r="AE220" s="8">
        <f t="shared" si="163"/>
        <v>515.9859589</v>
      </c>
      <c r="AF220" s="73">
        <f t="shared" si="164"/>
        <v>128.9741155</v>
      </c>
      <c r="AG220" s="74" t="str">
        <f t="shared" si="165"/>
        <v>#REF!</v>
      </c>
      <c r="AH220" s="73">
        <f t="shared" si="166"/>
        <v>0</v>
      </c>
      <c r="AI220" s="73">
        <f t="shared" si="167"/>
        <v>0</v>
      </c>
      <c r="AJ220" s="75">
        <f t="shared" si="168"/>
        <v>1.14738014</v>
      </c>
      <c r="AK220" s="73">
        <f t="shared" si="169"/>
        <v>1.04118238</v>
      </c>
      <c r="AL220" s="73">
        <f t="shared" si="170"/>
        <v>1.17062494</v>
      </c>
      <c r="AM220" s="73">
        <f t="shared" si="171"/>
        <v>1.302767958</v>
      </c>
      <c r="AN220" s="75">
        <v>730.39</v>
      </c>
      <c r="AO220" s="76">
        <v>730.0</v>
      </c>
      <c r="AP220" s="73">
        <f t="shared" si="172"/>
        <v>730</v>
      </c>
      <c r="AQ220" s="29" t="str">
        <f t="shared" si="173"/>
        <v>#REF!</v>
      </c>
      <c r="AR220" s="77" t="str">
        <f t="shared" si="174"/>
        <v>#REF!</v>
      </c>
      <c r="AS220" s="73"/>
      <c r="AT220" s="39"/>
    </row>
    <row r="221" ht="15.75" customHeight="1">
      <c r="A221" s="16" t="s">
        <v>595</v>
      </c>
      <c r="B221" s="16" t="s">
        <v>596</v>
      </c>
      <c r="C221" s="16">
        <v>1965.0</v>
      </c>
      <c r="D221" s="16"/>
      <c r="E221" s="16">
        <v>1965.0</v>
      </c>
      <c r="F221" s="16" t="b">
        <v>1</v>
      </c>
      <c r="G221" s="16" t="b">
        <v>0</v>
      </c>
      <c r="H221" s="16" t="b">
        <v>0</v>
      </c>
      <c r="I221" s="16" t="b">
        <v>0</v>
      </c>
      <c r="J221" s="18">
        <v>148.0</v>
      </c>
      <c r="K221" s="16">
        <v>1.0</v>
      </c>
      <c r="L221" s="16">
        <v>515.0</v>
      </c>
      <c r="M221" s="16">
        <v>0.0</v>
      </c>
      <c r="N221" s="16">
        <v>1080.0</v>
      </c>
      <c r="O221" s="16">
        <v>1545.0</v>
      </c>
      <c r="P221" s="18">
        <v>284.5</v>
      </c>
      <c r="Q221" s="16">
        <v>315.5</v>
      </c>
      <c r="R221" s="16">
        <v>14.7</v>
      </c>
      <c r="S221" s="16">
        <v>0.997966</v>
      </c>
      <c r="T221" s="16">
        <v>0.997966</v>
      </c>
      <c r="U221" s="19">
        <f t="shared" si="1"/>
        <v>515</v>
      </c>
      <c r="V221" s="19">
        <f t="shared" si="2"/>
        <v>145.8760689</v>
      </c>
      <c r="W221" s="20">
        <f t="shared" si="3"/>
        <v>0.3497616491</v>
      </c>
      <c r="X221" s="17">
        <f t="shared" si="181"/>
        <v>540.3817479</v>
      </c>
      <c r="Y221" s="21">
        <f t="shared" si="4"/>
        <v>4</v>
      </c>
      <c r="Z221" s="21">
        <f t="shared" si="5"/>
        <v>2701.908739</v>
      </c>
      <c r="AA221" s="21">
        <f t="shared" si="6"/>
        <v>1.748808246</v>
      </c>
      <c r="AB221" s="22">
        <f t="shared" si="7"/>
        <v>1.049284947</v>
      </c>
      <c r="AC221" s="8">
        <f t="shared" si="161"/>
        <v>548.9933456</v>
      </c>
      <c r="AD221" s="13">
        <f t="shared" si="162"/>
        <v>1.066006496</v>
      </c>
      <c r="AE221" s="8">
        <f t="shared" si="163"/>
        <v>548.9933456</v>
      </c>
      <c r="AF221" s="73">
        <f t="shared" si="164"/>
        <v>193.1275606</v>
      </c>
      <c r="AG221" s="74" t="str">
        <f t="shared" si="165"/>
        <v>#REF!</v>
      </c>
      <c r="AH221" s="73">
        <f t="shared" si="166"/>
        <v>0</v>
      </c>
      <c r="AI221" s="73">
        <f t="shared" si="167"/>
        <v>0</v>
      </c>
      <c r="AJ221" s="75">
        <f t="shared" si="168"/>
        <v>1.332804818</v>
      </c>
      <c r="AK221" s="73">
        <f t="shared" si="169"/>
        <v>1.350352125</v>
      </c>
      <c r="AL221" s="73">
        <f t="shared" si="170"/>
        <v>1.166657965</v>
      </c>
      <c r="AM221" s="73">
        <f t="shared" si="171"/>
        <v>1.054841267</v>
      </c>
      <c r="AN221" s="75">
        <v>1060.31</v>
      </c>
      <c r="AO221" s="76">
        <v>1050.0</v>
      </c>
      <c r="AP221" s="73">
        <f t="shared" si="172"/>
        <v>1050</v>
      </c>
      <c r="AQ221" s="29" t="str">
        <f t="shared" si="173"/>
        <v>#REF!</v>
      </c>
      <c r="AR221" s="77" t="str">
        <f t="shared" si="174"/>
        <v>#REF!</v>
      </c>
      <c r="AS221" s="73"/>
      <c r="AT221" s="39"/>
    </row>
    <row r="222" ht="15.75" customHeight="1">
      <c r="A222" s="7" t="s">
        <v>78</v>
      </c>
      <c r="B222" s="7" t="s">
        <v>76</v>
      </c>
      <c r="C222" s="7">
        <v>1966.0</v>
      </c>
      <c r="D222" s="7" t="b">
        <v>1</v>
      </c>
      <c r="E222" s="7">
        <v>1966.0</v>
      </c>
      <c r="F222" s="7" t="b">
        <v>0</v>
      </c>
      <c r="G222" s="7" t="b">
        <v>0</v>
      </c>
      <c r="H222" s="7" t="b">
        <v>1</v>
      </c>
      <c r="I222" s="7" t="b">
        <v>0</v>
      </c>
      <c r="J222" s="9">
        <v>546.0</v>
      </c>
      <c r="K222" s="9">
        <v>18.0</v>
      </c>
      <c r="L222" s="7">
        <v>200.0</v>
      </c>
      <c r="M222" s="7">
        <v>100.0</v>
      </c>
      <c r="N222" s="7">
        <v>81.0</v>
      </c>
      <c r="O222" s="7">
        <v>26.7</v>
      </c>
      <c r="P222" s="9">
        <v>1.0</v>
      </c>
      <c r="Q222" s="7">
        <v>430.0</v>
      </c>
      <c r="R222" s="7">
        <v>0.45</v>
      </c>
      <c r="S222" s="7">
        <v>0.9965</v>
      </c>
      <c r="T222" s="7">
        <v>0.998</v>
      </c>
      <c r="U222" s="10">
        <f t="shared" si="1"/>
        <v>300</v>
      </c>
      <c r="V222" s="10">
        <f t="shared" si="2"/>
        <v>33.61286766</v>
      </c>
      <c r="W222" s="11">
        <f t="shared" si="3"/>
        <v>9.513108614</v>
      </c>
      <c r="X222" s="8">
        <v>254.0</v>
      </c>
      <c r="Y222" s="12">
        <f t="shared" si="4"/>
        <v>1.75</v>
      </c>
      <c r="Z222" s="12">
        <f t="shared" si="5"/>
        <v>698.5</v>
      </c>
      <c r="AA222" s="12">
        <f t="shared" si="6"/>
        <v>26.16104869</v>
      </c>
      <c r="AB222" s="13">
        <f t="shared" si="7"/>
        <v>0.8466666667</v>
      </c>
      <c r="AC222" s="8">
        <f t="shared" si="161"/>
        <v>257.684778</v>
      </c>
      <c r="AD222" s="13">
        <f t="shared" si="162"/>
        <v>0.85894926</v>
      </c>
      <c r="AE222" s="8">
        <f t="shared" si="163"/>
        <v>103.292441</v>
      </c>
      <c r="AF222" s="73">
        <f t="shared" si="164"/>
        <v>8.482428526</v>
      </c>
      <c r="AG222" s="74" t="str">
        <f t="shared" si="165"/>
        <v>#REF!</v>
      </c>
      <c r="AH222" s="73">
        <f t="shared" si="166"/>
        <v>0</v>
      </c>
      <c r="AI222" s="73">
        <f t="shared" si="167"/>
        <v>0.6585336409</v>
      </c>
      <c r="AJ222" s="75">
        <f t="shared" si="168"/>
        <v>1</v>
      </c>
      <c r="AK222" s="73">
        <f t="shared" si="169"/>
        <v>0.6481981532</v>
      </c>
      <c r="AL222" s="73">
        <f t="shared" si="170"/>
        <v>4.948970797</v>
      </c>
      <c r="AM222" s="73">
        <f t="shared" si="171"/>
        <v>1.499548112</v>
      </c>
      <c r="AN222" s="75">
        <v>192.1</v>
      </c>
      <c r="AO222" s="76">
        <v>190.0</v>
      </c>
      <c r="AP222" s="73">
        <f t="shared" si="172"/>
        <v>190</v>
      </c>
      <c r="AQ222" s="29" t="str">
        <f t="shared" si="173"/>
        <v>#REF!</v>
      </c>
      <c r="AR222" s="77" t="str">
        <f t="shared" si="174"/>
        <v>#REF!</v>
      </c>
      <c r="AS222" s="73"/>
      <c r="AT222" s="39"/>
    </row>
    <row r="223" ht="15.75" customHeight="1">
      <c r="A223" s="16" t="s">
        <v>62</v>
      </c>
      <c r="B223" s="16" t="s">
        <v>54</v>
      </c>
      <c r="C223" s="16">
        <v>1966.0</v>
      </c>
      <c r="D223" s="16" t="b">
        <v>1</v>
      </c>
      <c r="E223" s="16">
        <v>1966.0</v>
      </c>
      <c r="F223" s="16" t="b">
        <v>1</v>
      </c>
      <c r="G223" s="16" t="b">
        <v>0</v>
      </c>
      <c r="H223" s="16" t="b">
        <v>1</v>
      </c>
      <c r="I223" s="16" t="b">
        <v>0</v>
      </c>
      <c r="J223" s="18">
        <v>360.0</v>
      </c>
      <c r="K223" s="18">
        <v>15.0</v>
      </c>
      <c r="L223" s="16">
        <v>150.0</v>
      </c>
      <c r="M223" s="16">
        <v>1050.0</v>
      </c>
      <c r="N223" s="16">
        <v>150.0</v>
      </c>
      <c r="O223" s="16">
        <v>53.7</v>
      </c>
      <c r="P223" s="18">
        <v>175.0</v>
      </c>
      <c r="Q223" s="16">
        <v>446.2</v>
      </c>
      <c r="R223" s="16">
        <v>2.06</v>
      </c>
      <c r="S223" s="16">
        <v>0.994</v>
      </c>
      <c r="T223" s="16">
        <v>0.995</v>
      </c>
      <c r="U223" s="19">
        <f t="shared" si="1"/>
        <v>1200</v>
      </c>
      <c r="V223" s="19">
        <f t="shared" si="2"/>
        <v>36.50584032</v>
      </c>
      <c r="W223" s="20">
        <f t="shared" si="3"/>
        <v>14.96069926</v>
      </c>
      <c r="X223" s="17">
        <f>0.9*(0.00015*N223*Q223*R223+797)+0.1*(43.1*POWER(N223,0.549))</f>
        <v>803.3895502</v>
      </c>
      <c r="Y223" s="21">
        <f t="shared" si="4"/>
        <v>4</v>
      </c>
      <c r="Z223" s="21">
        <f t="shared" si="5"/>
        <v>4016.947751</v>
      </c>
      <c r="AA223" s="21">
        <f t="shared" si="6"/>
        <v>74.8034963</v>
      </c>
      <c r="AB223" s="22">
        <f t="shared" si="7"/>
        <v>0.6694912919</v>
      </c>
      <c r="AC223" s="8">
        <f t="shared" si="161"/>
        <v>810.6441579</v>
      </c>
      <c r="AD223" s="13">
        <f t="shared" si="162"/>
        <v>0.6755367982</v>
      </c>
      <c r="AE223" s="8">
        <f t="shared" si="163"/>
        <v>165.9055205</v>
      </c>
      <c r="AF223" s="73">
        <f t="shared" si="164"/>
        <v>14.18319997</v>
      </c>
      <c r="AG223" s="74" t="str">
        <f t="shared" si="165"/>
        <v>#REF!</v>
      </c>
      <c r="AH223" s="73">
        <f t="shared" si="166"/>
        <v>0</v>
      </c>
      <c r="AI223" s="73">
        <f t="shared" si="167"/>
        <v>0.6272838613</v>
      </c>
      <c r="AJ223" s="75">
        <f t="shared" si="168"/>
        <v>1</v>
      </c>
      <c r="AK223" s="73">
        <f t="shared" si="169"/>
        <v>0.6755168421</v>
      </c>
      <c r="AL223" s="73">
        <f t="shared" si="170"/>
        <v>6.170055718</v>
      </c>
      <c r="AM223" s="73">
        <f t="shared" si="171"/>
        <v>1.373683712</v>
      </c>
      <c r="AN223" s="75">
        <v>343.25</v>
      </c>
      <c r="AO223" s="76">
        <v>340.0</v>
      </c>
      <c r="AP223" s="73">
        <f t="shared" si="172"/>
        <v>340</v>
      </c>
      <c r="AQ223" s="29" t="str">
        <f t="shared" si="173"/>
        <v>#REF!</v>
      </c>
      <c r="AR223" s="77" t="str">
        <f t="shared" si="174"/>
        <v>#REF!</v>
      </c>
      <c r="AS223" s="73"/>
      <c r="AT223" s="39"/>
    </row>
    <row r="224" ht="15.75" customHeight="1">
      <c r="A224" s="7" t="s">
        <v>131</v>
      </c>
      <c r="B224" s="7" t="s">
        <v>130</v>
      </c>
      <c r="C224" s="7">
        <v>1966.0</v>
      </c>
      <c r="D224" s="7" t="b">
        <v>0</v>
      </c>
      <c r="E224" s="7">
        <v>1966.0</v>
      </c>
      <c r="F224" s="7" t="b">
        <v>1</v>
      </c>
      <c r="G224" s="7" t="b">
        <v>0</v>
      </c>
      <c r="H224" s="7" t="b">
        <v>0</v>
      </c>
      <c r="I224" s="7" t="b">
        <v>0</v>
      </c>
      <c r="J224" s="9">
        <v>165.0</v>
      </c>
      <c r="K224" s="7">
        <v>1.0</v>
      </c>
      <c r="L224" s="7"/>
      <c r="M224" s="7"/>
      <c r="N224" s="7">
        <v>1814.4</v>
      </c>
      <c r="O224" s="7">
        <v>2366.39</v>
      </c>
      <c r="P224" s="9">
        <v>256.0</v>
      </c>
      <c r="Q224" s="7">
        <v>291.0</v>
      </c>
      <c r="R224" s="7">
        <v>5.45</v>
      </c>
      <c r="S224" s="7">
        <v>0.996939</v>
      </c>
      <c r="T224" s="7">
        <v>0.996939</v>
      </c>
      <c r="U224" s="10">
        <f t="shared" si="1"/>
        <v>0</v>
      </c>
      <c r="V224" s="10">
        <f t="shared" si="2"/>
        <v>132.9941712</v>
      </c>
      <c r="W224" s="11">
        <f t="shared" si="3"/>
        <v>0.271456521</v>
      </c>
      <c r="X224" s="8">
        <f t="shared" ref="X224:X225" si="182">0.2*(8.17*POWER(N224*R224,0.46))+0.8*(0.146*POWER(N224*Q224,0.639))</f>
        <v>642.3719966</v>
      </c>
      <c r="Y224" s="12">
        <f t="shared" si="4"/>
        <v>4</v>
      </c>
      <c r="Z224" s="12">
        <f t="shared" si="5"/>
        <v>3211.859983</v>
      </c>
      <c r="AA224" s="12">
        <f t="shared" si="6"/>
        <v>1.357282605</v>
      </c>
      <c r="AB224" s="13" t="str">
        <f t="shared" si="7"/>
        <v>#N/A</v>
      </c>
      <c r="AC224" s="8">
        <f t="shared" si="161"/>
        <v>651.292854</v>
      </c>
      <c r="AD224" s="13" t="str">
        <f t="shared" si="162"/>
        <v>#N/A</v>
      </c>
      <c r="AE224" s="8">
        <f t="shared" si="163"/>
        <v>651.292854</v>
      </c>
      <c r="AF224" s="73">
        <f t="shared" si="164"/>
        <v>282.8525253</v>
      </c>
      <c r="AG224" s="74" t="str">
        <f t="shared" si="165"/>
        <v>#REF!</v>
      </c>
      <c r="AH224" s="73">
        <f t="shared" si="166"/>
        <v>0</v>
      </c>
      <c r="AI224" s="73">
        <f t="shared" si="167"/>
        <v>0</v>
      </c>
      <c r="AJ224" s="75">
        <f t="shared" si="168"/>
        <v>1.288388206</v>
      </c>
      <c r="AK224" s="73">
        <f t="shared" si="169"/>
        <v>1.289351442</v>
      </c>
      <c r="AL224" s="73">
        <f t="shared" si="170"/>
        <v>0.9400923489</v>
      </c>
      <c r="AM224" s="73">
        <f t="shared" si="171"/>
        <v>1.097912191</v>
      </c>
      <c r="AN224" s="75">
        <v>1129.11</v>
      </c>
      <c r="AO224" s="76">
        <v>1150.0</v>
      </c>
      <c r="AP224" s="73">
        <f t="shared" si="172"/>
        <v>1150</v>
      </c>
      <c r="AQ224" s="29" t="str">
        <f t="shared" si="173"/>
        <v>#REF!</v>
      </c>
      <c r="AR224" s="77" t="str">
        <f t="shared" si="174"/>
        <v>#REF!</v>
      </c>
      <c r="AS224" s="73"/>
      <c r="AT224" s="39"/>
    </row>
    <row r="225" ht="15.75" customHeight="1">
      <c r="A225" s="7" t="s">
        <v>1018</v>
      </c>
      <c r="B225" s="7" t="s">
        <v>158</v>
      </c>
      <c r="C225" s="7">
        <v>1966.0</v>
      </c>
      <c r="D225" s="7"/>
      <c r="E225" s="7">
        <v>1966.0</v>
      </c>
      <c r="F225" s="7" t="b">
        <v>1</v>
      </c>
      <c r="G225" s="7" t="b">
        <v>0</v>
      </c>
      <c r="H225" s="7" t="b">
        <v>0</v>
      </c>
      <c r="I225" s="7" t="b">
        <v>0</v>
      </c>
      <c r="J225" s="9">
        <v>155.0</v>
      </c>
      <c r="K225" s="7">
        <v>1.0</v>
      </c>
      <c r="L225" s="7">
        <v>250.0</v>
      </c>
      <c r="M225" s="7">
        <v>10.0</v>
      </c>
      <c r="N225" s="7">
        <v>911.0</v>
      </c>
      <c r="O225" s="7">
        <v>997.93</v>
      </c>
      <c r="P225" s="9">
        <v>262.07</v>
      </c>
      <c r="Q225" s="7">
        <v>295.0</v>
      </c>
      <c r="R225" s="7">
        <v>4.75</v>
      </c>
      <c r="S225" s="7">
        <v>0.996341</v>
      </c>
      <c r="T225" s="7">
        <v>0.996341</v>
      </c>
      <c r="U225" s="10">
        <f t="shared" si="1"/>
        <v>260</v>
      </c>
      <c r="V225" s="10">
        <f t="shared" si="2"/>
        <v>111.7020195</v>
      </c>
      <c r="W225" s="11">
        <f t="shared" si="3"/>
        <v>0.4219550128</v>
      </c>
      <c r="X225" s="8">
        <f t="shared" si="182"/>
        <v>421.081566</v>
      </c>
      <c r="Y225" s="12">
        <f t="shared" si="4"/>
        <v>4</v>
      </c>
      <c r="Z225" s="12">
        <f t="shared" si="5"/>
        <v>2105.40783</v>
      </c>
      <c r="AA225" s="12">
        <f t="shared" si="6"/>
        <v>2.109775064</v>
      </c>
      <c r="AB225" s="13">
        <f t="shared" si="7"/>
        <v>1.619544484</v>
      </c>
      <c r="AC225" s="8">
        <f t="shared" si="161"/>
        <v>426.4273599</v>
      </c>
      <c r="AD225" s="13">
        <f t="shared" si="162"/>
        <v>1.640105231</v>
      </c>
      <c r="AE225" s="8">
        <f t="shared" si="163"/>
        <v>426.4273599</v>
      </c>
      <c r="AF225" s="73">
        <f t="shared" si="164"/>
        <v>131.7293276</v>
      </c>
      <c r="AG225" s="74" t="str">
        <f t="shared" si="165"/>
        <v>#REF!</v>
      </c>
      <c r="AH225" s="73">
        <f t="shared" si="166"/>
        <v>0</v>
      </c>
      <c r="AI225" s="73">
        <f t="shared" si="167"/>
        <v>0</v>
      </c>
      <c r="AJ225" s="75">
        <f t="shared" si="168"/>
        <v>1.305579931</v>
      </c>
      <c r="AK225" s="73">
        <f t="shared" si="169"/>
        <v>1.181640911</v>
      </c>
      <c r="AL225" s="73">
        <f t="shared" si="170"/>
        <v>0.9662616258</v>
      </c>
      <c r="AM225" s="73">
        <f t="shared" si="171"/>
        <v>1.073295783</v>
      </c>
      <c r="AN225" s="75">
        <v>502.32</v>
      </c>
      <c r="AO225" s="76">
        <v>500.0</v>
      </c>
      <c r="AP225" s="73">
        <f t="shared" si="172"/>
        <v>500</v>
      </c>
      <c r="AQ225" s="29" t="str">
        <f t="shared" si="173"/>
        <v>#REF!</v>
      </c>
      <c r="AR225" s="77" t="str">
        <f t="shared" si="174"/>
        <v>#REF!</v>
      </c>
      <c r="AS225" s="73"/>
      <c r="AT225" s="39"/>
    </row>
    <row r="226" ht="15.75" customHeight="1">
      <c r="A226" s="16" t="s">
        <v>176</v>
      </c>
      <c r="B226" s="16" t="s">
        <v>177</v>
      </c>
      <c r="C226" s="16">
        <v>1966.0</v>
      </c>
      <c r="D226" s="16" t="b">
        <v>1</v>
      </c>
      <c r="E226" s="16">
        <v>1966.0</v>
      </c>
      <c r="F226" s="16" t="b">
        <v>1</v>
      </c>
      <c r="G226" s="16" t="b">
        <v>0</v>
      </c>
      <c r="H226" s="16" t="b">
        <v>1</v>
      </c>
      <c r="I226" s="16" t="b">
        <v>0</v>
      </c>
      <c r="J226" s="18">
        <v>570.0</v>
      </c>
      <c r="K226" s="16">
        <v>1.0</v>
      </c>
      <c r="L226" s="16">
        <v>500.0</v>
      </c>
      <c r="M226" s="16">
        <v>0.0</v>
      </c>
      <c r="N226" s="16">
        <v>150.0</v>
      </c>
      <c r="O226" s="16">
        <v>62.4</v>
      </c>
      <c r="P226" s="18">
        <v>196.0</v>
      </c>
      <c r="Q226" s="16">
        <v>440.8</v>
      </c>
      <c r="R226" s="16">
        <v>3.0</v>
      </c>
      <c r="S226" s="16">
        <v>0.986364</v>
      </c>
      <c r="T226" s="16">
        <v>0.968182</v>
      </c>
      <c r="U226" s="19">
        <f t="shared" si="1"/>
        <v>500</v>
      </c>
      <c r="V226" s="19">
        <f t="shared" si="2"/>
        <v>42.42019434</v>
      </c>
      <c r="W226" s="20">
        <f t="shared" si="3"/>
        <v>13.00568778</v>
      </c>
      <c r="X226" s="17">
        <f t="shared" ref="X226:X228" si="183">0.9*(0.00015*N226*Q226*R226+797)+0.1*(43.1*POWER(N226,0.549))</f>
        <v>811.5549172</v>
      </c>
      <c r="Y226" s="21">
        <f t="shared" si="4"/>
        <v>4</v>
      </c>
      <c r="Z226" s="21">
        <f t="shared" si="5"/>
        <v>4057.774586</v>
      </c>
      <c r="AA226" s="21">
        <f t="shared" si="6"/>
        <v>65.02843888</v>
      </c>
      <c r="AB226" s="22">
        <f t="shared" si="7"/>
        <v>1.623109834</v>
      </c>
      <c r="AC226" s="8">
        <f t="shared" si="161"/>
        <v>791.2497079</v>
      </c>
      <c r="AD226" s="13">
        <f t="shared" si="162"/>
        <v>1.582499416</v>
      </c>
      <c r="AE226" s="8">
        <f t="shared" si="163"/>
        <v>163.4400693</v>
      </c>
      <c r="AF226" s="73">
        <f t="shared" si="164"/>
        <v>15.64209329</v>
      </c>
      <c r="AG226" s="74" t="str">
        <f t="shared" si="165"/>
        <v>#REF!</v>
      </c>
      <c r="AH226" s="73">
        <f t="shared" si="166"/>
        <v>0</v>
      </c>
      <c r="AI226" s="73">
        <f t="shared" si="167"/>
        <v>0</v>
      </c>
      <c r="AJ226" s="75">
        <f t="shared" si="168"/>
        <v>1</v>
      </c>
      <c r="AK226" s="73">
        <f t="shared" si="169"/>
        <v>0.7281843374</v>
      </c>
      <c r="AL226" s="73">
        <f t="shared" si="170"/>
        <v>5.731128952</v>
      </c>
      <c r="AM226" s="73">
        <f t="shared" si="171"/>
        <v>1.511787565</v>
      </c>
      <c r="AN226" s="75">
        <v>232.65</v>
      </c>
      <c r="AO226" s="76">
        <v>230.0</v>
      </c>
      <c r="AP226" s="73">
        <f t="shared" si="172"/>
        <v>230</v>
      </c>
      <c r="AQ226" s="29" t="str">
        <f t="shared" si="173"/>
        <v>#REF!</v>
      </c>
      <c r="AR226" s="77" t="str">
        <f t="shared" si="174"/>
        <v>#REF!</v>
      </c>
      <c r="AS226" s="73"/>
      <c r="AT226" s="39"/>
    </row>
    <row r="227" ht="15.75" customHeight="1">
      <c r="A227" s="16" t="s">
        <v>1019</v>
      </c>
      <c r="B227" s="16" t="s">
        <v>185</v>
      </c>
      <c r="C227" s="16">
        <v>1966.0</v>
      </c>
      <c r="D227" s="16" t="b">
        <v>1</v>
      </c>
      <c r="E227" s="16">
        <v>1966.0</v>
      </c>
      <c r="F227" s="16" t="b">
        <v>1</v>
      </c>
      <c r="G227" s="16" t="b">
        <v>0</v>
      </c>
      <c r="H227" s="16" t="b">
        <v>1</v>
      </c>
      <c r="I227" s="16" t="b">
        <v>0</v>
      </c>
      <c r="J227" s="18">
        <v>580.0</v>
      </c>
      <c r="K227" s="18">
        <v>1.0</v>
      </c>
      <c r="L227" s="16">
        <v>1355.0</v>
      </c>
      <c r="M227" s="16">
        <v>0.0</v>
      </c>
      <c r="N227" s="16">
        <v>1566.708</v>
      </c>
      <c r="O227" s="16">
        <v>889.644</v>
      </c>
      <c r="P227" s="18">
        <v>294.0</v>
      </c>
      <c r="Q227" s="16">
        <v>418.0</v>
      </c>
      <c r="R227" s="16">
        <v>4.94</v>
      </c>
      <c r="S227" s="16">
        <v>0.987931</v>
      </c>
      <c r="T227" s="16">
        <v>0.986538</v>
      </c>
      <c r="U227" s="19">
        <f t="shared" si="1"/>
        <v>1355</v>
      </c>
      <c r="V227" s="19">
        <f t="shared" si="2"/>
        <v>57.90386006</v>
      </c>
      <c r="W227" s="20">
        <f t="shared" si="3"/>
        <v>1.572180687</v>
      </c>
      <c r="X227" s="17">
        <f t="shared" si="183"/>
        <v>1398.681115</v>
      </c>
      <c r="Y227" s="21">
        <f t="shared" si="4"/>
        <v>4</v>
      </c>
      <c r="Z227" s="21">
        <f t="shared" si="5"/>
        <v>6993.405576</v>
      </c>
      <c r="AA227" s="21">
        <f t="shared" si="6"/>
        <v>7.860903435</v>
      </c>
      <c r="AB227" s="22">
        <f t="shared" si="7"/>
        <v>1.032236985</v>
      </c>
      <c r="AC227" s="8">
        <f t="shared" si="161"/>
        <v>1391.172258</v>
      </c>
      <c r="AD227" s="13">
        <f t="shared" si="162"/>
        <v>1.026695393</v>
      </c>
      <c r="AE227" s="8">
        <f t="shared" si="163"/>
        <v>704.7672921</v>
      </c>
      <c r="AF227" s="73">
        <f t="shared" si="164"/>
        <v>119.323911</v>
      </c>
      <c r="AG227" s="74" t="str">
        <f t="shared" si="165"/>
        <v>#REF!</v>
      </c>
      <c r="AH227" s="73">
        <f t="shared" si="166"/>
        <v>0</v>
      </c>
      <c r="AI227" s="73">
        <f t="shared" si="167"/>
        <v>0</v>
      </c>
      <c r="AJ227" s="75">
        <f t="shared" si="168"/>
        <v>1.025271493</v>
      </c>
      <c r="AK227" s="73">
        <f t="shared" si="169"/>
        <v>0.8507633342</v>
      </c>
      <c r="AL227" s="73">
        <f t="shared" si="170"/>
        <v>4.210462709</v>
      </c>
      <c r="AM227" s="73">
        <f t="shared" si="171"/>
        <v>1.516697193</v>
      </c>
      <c r="AN227" s="75">
        <v>1604.31</v>
      </c>
      <c r="AO227" s="76">
        <v>1600.0</v>
      </c>
      <c r="AP227" s="73">
        <f t="shared" si="172"/>
        <v>1600</v>
      </c>
      <c r="AQ227" s="29" t="str">
        <f t="shared" si="173"/>
        <v>#REF!</v>
      </c>
      <c r="AR227" s="77" t="str">
        <f t="shared" si="174"/>
        <v>#REF!</v>
      </c>
      <c r="AS227" s="73"/>
      <c r="AT227" s="39"/>
    </row>
    <row r="228" ht="15.75" customHeight="1">
      <c r="A228" s="7" t="s">
        <v>1020</v>
      </c>
      <c r="B228" s="7" t="s">
        <v>185</v>
      </c>
      <c r="C228" s="7">
        <v>1966.0</v>
      </c>
      <c r="D228" s="7" t="b">
        <v>1</v>
      </c>
      <c r="E228" s="7">
        <v>1966.0</v>
      </c>
      <c r="F228" s="7" t="b">
        <v>1</v>
      </c>
      <c r="G228" s="7" t="b">
        <v>0</v>
      </c>
      <c r="H228" s="7" t="b">
        <v>1</v>
      </c>
      <c r="I228" s="7" t="b">
        <v>0</v>
      </c>
      <c r="J228" s="9">
        <v>580.0</v>
      </c>
      <c r="K228" s="9">
        <v>3.0</v>
      </c>
      <c r="L228" s="7">
        <v>1355.0</v>
      </c>
      <c r="M228" s="7">
        <v>150.0</v>
      </c>
      <c r="N228" s="33">
        <f>1566.708*1.093</f>
        <v>1712.411844</v>
      </c>
      <c r="O228" s="7">
        <v>889.644</v>
      </c>
      <c r="P228" s="9">
        <v>294.0</v>
      </c>
      <c r="Q228" s="7">
        <v>418.0</v>
      </c>
      <c r="R228" s="7">
        <v>4.94</v>
      </c>
      <c r="S228" s="7">
        <v>0.987931</v>
      </c>
      <c r="T228" s="7">
        <v>0.986538</v>
      </c>
      <c r="U228" s="10">
        <f t="shared" si="1"/>
        <v>1505</v>
      </c>
      <c r="V228" s="10">
        <f t="shared" si="2"/>
        <v>52.97699914</v>
      </c>
      <c r="W228" s="11">
        <f t="shared" si="3"/>
        <v>1.631594066</v>
      </c>
      <c r="X228" s="8">
        <f t="shared" si="183"/>
        <v>1451.537871</v>
      </c>
      <c r="Y228" s="12">
        <f t="shared" si="4"/>
        <v>4</v>
      </c>
      <c r="Z228" s="12">
        <f t="shared" si="5"/>
        <v>7257.689355</v>
      </c>
      <c r="AA228" s="12">
        <f t="shared" si="6"/>
        <v>8.157970328</v>
      </c>
      <c r="AB228" s="13">
        <f t="shared" si="7"/>
        <v>0.9644769906</v>
      </c>
      <c r="AC228" s="8">
        <f t="shared" si="161"/>
        <v>1443.74525</v>
      </c>
      <c r="AD228" s="13">
        <f t="shared" si="162"/>
        <v>0.9592991698</v>
      </c>
      <c r="AE228" s="8">
        <f t="shared" si="163"/>
        <v>744.3041264</v>
      </c>
      <c r="AF228" s="73">
        <f t="shared" si="164"/>
        <v>119.323911</v>
      </c>
      <c r="AG228" s="74" t="str">
        <f t="shared" si="165"/>
        <v>#REF!</v>
      </c>
      <c r="AH228" s="73">
        <f t="shared" si="166"/>
        <v>0</v>
      </c>
      <c r="AI228" s="73">
        <f t="shared" si="167"/>
        <v>0.2958876574</v>
      </c>
      <c r="AJ228" s="75">
        <f t="shared" si="168"/>
        <v>1.025271493</v>
      </c>
      <c r="AK228" s="73">
        <f t="shared" si="169"/>
        <v>0.8137643942</v>
      </c>
      <c r="AL228" s="73">
        <f t="shared" si="170"/>
        <v>4.210462709</v>
      </c>
      <c r="AM228" s="73">
        <f t="shared" si="171"/>
        <v>1.516697193</v>
      </c>
      <c r="AN228" s="75">
        <v>1828.72</v>
      </c>
      <c r="AO228" s="76">
        <v>1800.0</v>
      </c>
      <c r="AP228" s="73">
        <f t="shared" si="172"/>
        <v>1800</v>
      </c>
      <c r="AQ228" s="29" t="str">
        <f t="shared" si="173"/>
        <v>#REF!</v>
      </c>
      <c r="AR228" s="77" t="str">
        <f t="shared" si="174"/>
        <v>#REF!</v>
      </c>
      <c r="AS228" s="73"/>
      <c r="AT228" s="39"/>
    </row>
    <row r="229" ht="15.75" customHeight="1">
      <c r="A229" s="7" t="s">
        <v>217</v>
      </c>
      <c r="B229" s="7" t="s">
        <v>216</v>
      </c>
      <c r="C229" s="7">
        <v>1966.0</v>
      </c>
      <c r="D229" s="7"/>
      <c r="E229" s="7">
        <v>1966.0</v>
      </c>
      <c r="F229" s="7" t="b">
        <v>1</v>
      </c>
      <c r="G229" s="7" t="b">
        <v>0</v>
      </c>
      <c r="H229" s="7" t="b">
        <v>1</v>
      </c>
      <c r="I229" s="7" t="b">
        <v>0</v>
      </c>
      <c r="J229" s="9">
        <v>1020.0</v>
      </c>
      <c r="K229" s="9">
        <v>25.0</v>
      </c>
      <c r="L229" s="7">
        <v>100.0</v>
      </c>
      <c r="M229" s="7">
        <v>0.0</v>
      </c>
      <c r="N229" s="7">
        <v>50.0</v>
      </c>
      <c r="O229" s="7">
        <v>4.03</v>
      </c>
      <c r="P229" s="9">
        <v>100.0</v>
      </c>
      <c r="Q229" s="7">
        <v>270.0</v>
      </c>
      <c r="R229" s="7">
        <v>3.92</v>
      </c>
      <c r="S229" s="7">
        <v>0.995</v>
      </c>
      <c r="T229" s="7">
        <v>0.995</v>
      </c>
      <c r="U229" s="10">
        <f t="shared" si="1"/>
        <v>100</v>
      </c>
      <c r="V229" s="10">
        <f t="shared" si="2"/>
        <v>8.218912653</v>
      </c>
      <c r="W229" s="11">
        <f t="shared" si="3"/>
        <v>17.22656603</v>
      </c>
      <c r="X229" s="8">
        <f t="shared" ref="X229:X230" si="184">0.2*(8.17*POWER(N229*R229,0.46))+0.8*(0.146*POWER(N229*Q229,0.639))</f>
        <v>69.42306111</v>
      </c>
      <c r="Y229" s="12">
        <f t="shared" si="4"/>
        <v>4</v>
      </c>
      <c r="Z229" s="12">
        <f t="shared" si="5"/>
        <v>347.1153055</v>
      </c>
      <c r="AA229" s="12">
        <f t="shared" si="6"/>
        <v>86.13283016</v>
      </c>
      <c r="AB229" s="13">
        <f t="shared" si="7"/>
        <v>0.6942306111</v>
      </c>
      <c r="AC229" s="8">
        <f t="shared" si="161"/>
        <v>70.11902729</v>
      </c>
      <c r="AD229" s="13">
        <f t="shared" si="162"/>
        <v>0.7011902729</v>
      </c>
      <c r="AE229" s="8">
        <f t="shared" si="163"/>
        <v>70.11902729</v>
      </c>
      <c r="AF229" s="73">
        <f t="shared" si="164"/>
        <v>3.376965362</v>
      </c>
      <c r="AG229" s="74" t="str">
        <f t="shared" si="165"/>
        <v>#REF!</v>
      </c>
      <c r="AH229" s="73">
        <f t="shared" si="166"/>
        <v>0</v>
      </c>
      <c r="AI229" s="73">
        <f t="shared" si="167"/>
        <v>0.7120416587</v>
      </c>
      <c r="AJ229" s="75">
        <f t="shared" si="168"/>
        <v>1</v>
      </c>
      <c r="AK229" s="73">
        <f t="shared" si="169"/>
        <v>0.3205252067</v>
      </c>
      <c r="AL229" s="73">
        <f t="shared" si="170"/>
        <v>0.8138950248</v>
      </c>
      <c r="AM229" s="73">
        <f t="shared" si="171"/>
        <v>1.664583336</v>
      </c>
      <c r="AN229" s="75">
        <v>11.65</v>
      </c>
      <c r="AO229" s="76">
        <v>11.5</v>
      </c>
      <c r="AP229" s="73">
        <f t="shared" si="172"/>
        <v>11.5</v>
      </c>
      <c r="AQ229" s="29" t="str">
        <f t="shared" si="173"/>
        <v>#REF!</v>
      </c>
      <c r="AR229" s="77" t="str">
        <f t="shared" si="174"/>
        <v>#REF!</v>
      </c>
      <c r="AS229" s="73"/>
      <c r="AT229" s="39"/>
    </row>
    <row r="230" ht="15.75" customHeight="1">
      <c r="A230" s="16" t="s">
        <v>215</v>
      </c>
      <c r="B230" s="16" t="s">
        <v>216</v>
      </c>
      <c r="C230" s="16">
        <v>1966.0</v>
      </c>
      <c r="D230" s="16"/>
      <c r="E230" s="16">
        <v>1966.0</v>
      </c>
      <c r="F230" s="16" t="b">
        <v>1</v>
      </c>
      <c r="G230" s="16" t="b">
        <v>0</v>
      </c>
      <c r="H230" s="16" t="b">
        <v>1</v>
      </c>
      <c r="I230" s="16" t="b">
        <v>0</v>
      </c>
      <c r="J230" s="18">
        <v>1020.0</v>
      </c>
      <c r="K230" s="18">
        <v>25.0</v>
      </c>
      <c r="L230" s="16">
        <v>100.0</v>
      </c>
      <c r="M230" s="16">
        <v>0.0</v>
      </c>
      <c r="N230" s="16">
        <v>50.0</v>
      </c>
      <c r="O230" s="16">
        <v>4.09</v>
      </c>
      <c r="P230" s="18">
        <v>167.0</v>
      </c>
      <c r="Q230" s="16">
        <v>278.0</v>
      </c>
      <c r="R230" s="16">
        <v>3.92</v>
      </c>
      <c r="S230" s="16">
        <v>0.995</v>
      </c>
      <c r="T230" s="16">
        <v>0.995</v>
      </c>
      <c r="U230" s="19">
        <f t="shared" si="1"/>
        <v>100</v>
      </c>
      <c r="V230" s="19">
        <f t="shared" si="2"/>
        <v>8.341278598</v>
      </c>
      <c r="W230" s="20">
        <f t="shared" si="3"/>
        <v>17.20823966</v>
      </c>
      <c r="X230" s="17">
        <f t="shared" si="184"/>
        <v>70.38170023</v>
      </c>
      <c r="Y230" s="21">
        <f t="shared" si="4"/>
        <v>4</v>
      </c>
      <c r="Z230" s="21">
        <f t="shared" si="5"/>
        <v>351.9085011</v>
      </c>
      <c r="AA230" s="21">
        <f t="shared" si="6"/>
        <v>86.04119832</v>
      </c>
      <c r="AB230" s="22">
        <f t="shared" si="7"/>
        <v>0.7038170023</v>
      </c>
      <c r="AC230" s="8">
        <f t="shared" si="161"/>
        <v>71.08727677</v>
      </c>
      <c r="AD230" s="13">
        <f t="shared" si="162"/>
        <v>0.7108727677</v>
      </c>
      <c r="AE230" s="8">
        <f t="shared" si="163"/>
        <v>71.08727677</v>
      </c>
      <c r="AF230" s="73">
        <f t="shared" si="164"/>
        <v>3.401089056</v>
      </c>
      <c r="AG230" s="74" t="str">
        <f t="shared" si="165"/>
        <v>#REF!</v>
      </c>
      <c r="AH230" s="73">
        <f t="shared" si="166"/>
        <v>0</v>
      </c>
      <c r="AI230" s="73">
        <f t="shared" si="167"/>
        <v>0.7120416587</v>
      </c>
      <c r="AJ230" s="75">
        <f t="shared" si="168"/>
        <v>1</v>
      </c>
      <c r="AK230" s="73">
        <f t="shared" si="169"/>
        <v>0.3229024349</v>
      </c>
      <c r="AL230" s="73">
        <f t="shared" si="170"/>
        <v>0.8598383712</v>
      </c>
      <c r="AM230" s="73">
        <f t="shared" si="171"/>
        <v>1.664583336</v>
      </c>
      <c r="AN230" s="75">
        <v>12.41</v>
      </c>
      <c r="AO230" s="76">
        <v>12.5</v>
      </c>
      <c r="AP230" s="73">
        <f t="shared" si="172"/>
        <v>12.5</v>
      </c>
      <c r="AQ230" s="29" t="str">
        <f t="shared" si="173"/>
        <v>#REF!</v>
      </c>
      <c r="AR230" s="77" t="str">
        <f t="shared" si="174"/>
        <v>#REF!</v>
      </c>
      <c r="AS230" s="73"/>
      <c r="AT230" s="39"/>
    </row>
    <row r="231" ht="15.75" customHeight="1">
      <c r="A231" s="7" t="s">
        <v>326</v>
      </c>
      <c r="B231" s="7" t="s">
        <v>325</v>
      </c>
      <c r="C231" s="7">
        <v>1966.0</v>
      </c>
      <c r="D231" s="7" t="b">
        <v>1</v>
      </c>
      <c r="E231" s="7">
        <v>1966.0</v>
      </c>
      <c r="F231" s="7" t="b">
        <v>1</v>
      </c>
      <c r="G231" s="7" t="b">
        <v>0</v>
      </c>
      <c r="H231" s="7" t="b">
        <v>1</v>
      </c>
      <c r="I231" s="7" t="b">
        <v>0</v>
      </c>
      <c r="J231" s="9">
        <v>500.0</v>
      </c>
      <c r="K231" s="9">
        <v>2.0</v>
      </c>
      <c r="L231" s="7">
        <v>700.0</v>
      </c>
      <c r="M231" s="7">
        <v>250.0</v>
      </c>
      <c r="N231" s="7">
        <v>1050.0</v>
      </c>
      <c r="O231" s="7">
        <v>778.0</v>
      </c>
      <c r="P231" s="9">
        <v>315.0</v>
      </c>
      <c r="Q231" s="7">
        <v>421.0</v>
      </c>
      <c r="R231" s="7">
        <v>5.48</v>
      </c>
      <c r="S231" s="7">
        <v>0.975</v>
      </c>
      <c r="T231" s="7">
        <v>0.98</v>
      </c>
      <c r="U231" s="10">
        <f t="shared" si="1"/>
        <v>950</v>
      </c>
      <c r="V231" s="10">
        <f t="shared" si="2"/>
        <v>75.55611537</v>
      </c>
      <c r="W231" s="11">
        <f t="shared" si="3"/>
        <v>1.594748639</v>
      </c>
      <c r="X231" s="8">
        <f>0.9*(0.00015*N231*Q231*R231+797)+0.1*(43.1*POWER(N231,0.549))</f>
        <v>1240.714441</v>
      </c>
      <c r="Y231" s="12">
        <f t="shared" si="4"/>
        <v>4</v>
      </c>
      <c r="Z231" s="12">
        <f t="shared" si="5"/>
        <v>6203.572206</v>
      </c>
      <c r="AA231" s="12">
        <f t="shared" si="6"/>
        <v>7.973743195</v>
      </c>
      <c r="AB231" s="13">
        <f t="shared" si="7"/>
        <v>1.306015201</v>
      </c>
      <c r="AC231" s="8">
        <f t="shared" si="161"/>
        <v>1210.316937</v>
      </c>
      <c r="AD231" s="13">
        <f t="shared" si="162"/>
        <v>1.274017829</v>
      </c>
      <c r="AE231" s="8">
        <f t="shared" si="163"/>
        <v>546.9713536</v>
      </c>
      <c r="AF231" s="73">
        <f t="shared" si="164"/>
        <v>106.4105593</v>
      </c>
      <c r="AG231" s="74" t="str">
        <f t="shared" si="165"/>
        <v>#REF!</v>
      </c>
      <c r="AH231" s="73">
        <f t="shared" si="166"/>
        <v>0</v>
      </c>
      <c r="AI231" s="73">
        <f t="shared" si="167"/>
        <v>0.1941741551</v>
      </c>
      <c r="AJ231" s="75">
        <f t="shared" si="168"/>
        <v>1.073366489</v>
      </c>
      <c r="AK231" s="73">
        <f t="shared" si="169"/>
        <v>0.9718289161</v>
      </c>
      <c r="AL231" s="73">
        <f t="shared" si="170"/>
        <v>4.383408288</v>
      </c>
      <c r="AM231" s="73">
        <f t="shared" si="171"/>
        <v>1.474076339</v>
      </c>
      <c r="AN231" s="75">
        <v>1592.03</v>
      </c>
      <c r="AO231" s="76">
        <v>1600.0</v>
      </c>
      <c r="AP231" s="73">
        <f t="shared" si="172"/>
        <v>1600</v>
      </c>
      <c r="AQ231" s="29" t="str">
        <f t="shared" si="173"/>
        <v>#REF!</v>
      </c>
      <c r="AR231" s="77" t="str">
        <f t="shared" si="174"/>
        <v>#REF!</v>
      </c>
      <c r="AS231" s="73"/>
      <c r="AT231" s="39"/>
    </row>
    <row r="232" ht="15.75" customHeight="1">
      <c r="A232" s="16" t="s">
        <v>604</v>
      </c>
      <c r="B232" s="16" t="s">
        <v>605</v>
      </c>
      <c r="C232" s="16">
        <v>1966.0</v>
      </c>
      <c r="D232" s="16"/>
      <c r="E232" s="16">
        <v>1966.0</v>
      </c>
      <c r="F232" s="16" t="b">
        <v>1</v>
      </c>
      <c r="G232" s="16" t="b">
        <v>0</v>
      </c>
      <c r="H232" s="16" t="b">
        <v>1</v>
      </c>
      <c r="I232" s="16" t="b">
        <v>0</v>
      </c>
      <c r="J232" s="18">
        <v>225.0</v>
      </c>
      <c r="K232" s="16">
        <v>1.0</v>
      </c>
      <c r="L232" s="16">
        <v>525.0</v>
      </c>
      <c r="M232" s="16">
        <v>0.0</v>
      </c>
      <c r="N232" s="16">
        <v>1450.0</v>
      </c>
      <c r="O232" s="16">
        <v>1622.0</v>
      </c>
      <c r="P232" s="18">
        <v>239.0</v>
      </c>
      <c r="Q232" s="16">
        <v>327.0</v>
      </c>
      <c r="R232" s="16">
        <v>14.71</v>
      </c>
      <c r="S232" s="16">
        <v>0.997966</v>
      </c>
      <c r="T232" s="16">
        <v>0.997966</v>
      </c>
      <c r="U232" s="19">
        <f t="shared" si="1"/>
        <v>525</v>
      </c>
      <c r="V232" s="19">
        <f t="shared" si="2"/>
        <v>114.067565</v>
      </c>
      <c r="W232" s="20">
        <f t="shared" si="3"/>
        <v>0.4037505405</v>
      </c>
      <c r="X232" s="17">
        <f t="shared" ref="X232:X233" si="185">0.2*(8.17*POWER(N232*R232,0.46))+0.8*(0.146*POWER(N232*Q232,0.639))</f>
        <v>654.8833767</v>
      </c>
      <c r="Y232" s="21">
        <f t="shared" si="4"/>
        <v>4</v>
      </c>
      <c r="Z232" s="21">
        <f t="shared" si="5"/>
        <v>3274.416883</v>
      </c>
      <c r="AA232" s="21">
        <f t="shared" si="6"/>
        <v>2.018752702</v>
      </c>
      <c r="AB232" s="22">
        <f t="shared" si="7"/>
        <v>1.247396908</v>
      </c>
      <c r="AC232" s="8">
        <f t="shared" si="161"/>
        <v>665.319688</v>
      </c>
      <c r="AD232" s="13">
        <f t="shared" si="162"/>
        <v>1.267275596</v>
      </c>
      <c r="AE232" s="8">
        <f t="shared" si="163"/>
        <v>665.319688</v>
      </c>
      <c r="AF232" s="73">
        <f t="shared" si="164"/>
        <v>201.6408732</v>
      </c>
      <c r="AG232" s="74" t="str">
        <f t="shared" si="165"/>
        <v>#REF!</v>
      </c>
      <c r="AH232" s="73">
        <f t="shared" si="166"/>
        <v>0</v>
      </c>
      <c r="AI232" s="73">
        <f t="shared" si="167"/>
        <v>0</v>
      </c>
      <c r="AJ232" s="75">
        <f t="shared" si="168"/>
        <v>1.052845322</v>
      </c>
      <c r="AK232" s="73">
        <f t="shared" si="169"/>
        <v>1.194087335</v>
      </c>
      <c r="AL232" s="73">
        <f t="shared" si="170"/>
        <v>1.328208337</v>
      </c>
      <c r="AM232" s="73">
        <f t="shared" si="171"/>
        <v>1.214285721</v>
      </c>
      <c r="AN232" s="75">
        <v>1017.07</v>
      </c>
      <c r="AO232" s="76">
        <v>1000.0</v>
      </c>
      <c r="AP232" s="73">
        <f t="shared" si="172"/>
        <v>1000</v>
      </c>
      <c r="AQ232" s="29" t="str">
        <f t="shared" si="173"/>
        <v>#REF!</v>
      </c>
      <c r="AR232" s="77" t="str">
        <f t="shared" si="174"/>
        <v>#REF!</v>
      </c>
      <c r="AS232" s="73"/>
      <c r="AT232" s="39"/>
    </row>
    <row r="233" ht="15.75" customHeight="1">
      <c r="A233" s="7" t="s">
        <v>632</v>
      </c>
      <c r="B233" s="7" t="s">
        <v>630</v>
      </c>
      <c r="C233" s="7">
        <v>1966.0</v>
      </c>
      <c r="D233" s="7"/>
      <c r="E233" s="7">
        <v>1966.0</v>
      </c>
      <c r="F233" s="7" t="b">
        <v>1</v>
      </c>
      <c r="G233" s="7" t="b">
        <v>0</v>
      </c>
      <c r="H233" s="7" t="b">
        <v>1</v>
      </c>
      <c r="I233" s="7" t="b">
        <v>0</v>
      </c>
      <c r="J233" s="9">
        <v>300.0</v>
      </c>
      <c r="K233" s="9">
        <v>5.0</v>
      </c>
      <c r="L233" s="7">
        <v>400.0</v>
      </c>
      <c r="M233" s="7">
        <v>10.0</v>
      </c>
      <c r="N233" s="7">
        <v>148.0</v>
      </c>
      <c r="O233" s="7">
        <v>67.3</v>
      </c>
      <c r="P233" s="9">
        <v>168.0</v>
      </c>
      <c r="Q233" s="7">
        <v>342.2</v>
      </c>
      <c r="R233" s="7">
        <v>5.4</v>
      </c>
      <c r="S233" s="7">
        <v>0.996173</v>
      </c>
      <c r="T233" s="7">
        <v>0.998454</v>
      </c>
      <c r="U233" s="10">
        <f t="shared" si="1"/>
        <v>410</v>
      </c>
      <c r="V233" s="10">
        <f t="shared" si="2"/>
        <v>46.36952766</v>
      </c>
      <c r="W233" s="11">
        <f t="shared" si="3"/>
        <v>2.285837126</v>
      </c>
      <c r="X233" s="8">
        <f t="shared" si="185"/>
        <v>153.8368386</v>
      </c>
      <c r="Y233" s="12">
        <f t="shared" si="4"/>
        <v>4</v>
      </c>
      <c r="Z233" s="12">
        <f t="shared" si="5"/>
        <v>769.1841929</v>
      </c>
      <c r="AA233" s="12">
        <f t="shared" si="6"/>
        <v>11.42918563</v>
      </c>
      <c r="AB233" s="13">
        <f t="shared" si="7"/>
        <v>0.3752118014</v>
      </c>
      <c r="AC233" s="8">
        <f t="shared" si="161"/>
        <v>156.0879202</v>
      </c>
      <c r="AD233" s="13">
        <f t="shared" si="162"/>
        <v>0.3807022444</v>
      </c>
      <c r="AE233" s="8">
        <f t="shared" si="163"/>
        <v>156.0879202</v>
      </c>
      <c r="AF233" s="73">
        <f t="shared" si="164"/>
        <v>16.44410108</v>
      </c>
      <c r="AG233" s="74" t="str">
        <f t="shared" si="165"/>
        <v>#REF!</v>
      </c>
      <c r="AH233" s="73">
        <f t="shared" si="166"/>
        <v>0</v>
      </c>
      <c r="AI233" s="73">
        <f t="shared" si="167"/>
        <v>0.4128305045</v>
      </c>
      <c r="AJ233" s="75">
        <f t="shared" si="168"/>
        <v>1</v>
      </c>
      <c r="AK233" s="73">
        <f t="shared" si="169"/>
        <v>0.7613271936</v>
      </c>
      <c r="AL233" s="73">
        <f t="shared" si="170"/>
        <v>1.590228073</v>
      </c>
      <c r="AM233" s="73">
        <f t="shared" si="171"/>
        <v>1.314152039</v>
      </c>
      <c r="AN233" s="75">
        <v>99.03</v>
      </c>
      <c r="AO233" s="76">
        <v>99.0</v>
      </c>
      <c r="AP233" s="73">
        <f t="shared" si="172"/>
        <v>99</v>
      </c>
      <c r="AQ233" s="29" t="str">
        <f t="shared" si="173"/>
        <v>#REF!</v>
      </c>
      <c r="AR233" s="77" t="str">
        <f t="shared" si="174"/>
        <v>#REF!</v>
      </c>
      <c r="AS233" s="73"/>
      <c r="AT233" s="39"/>
    </row>
    <row r="234" ht="15.75" customHeight="1">
      <c r="A234" s="16" t="s">
        <v>662</v>
      </c>
      <c r="B234" s="16" t="s">
        <v>660</v>
      </c>
      <c r="C234" s="16">
        <v>1966.0</v>
      </c>
      <c r="D234" s="16" t="b">
        <v>1</v>
      </c>
      <c r="E234" s="16">
        <v>1966.0</v>
      </c>
      <c r="F234" s="16" t="b">
        <v>1</v>
      </c>
      <c r="G234" s="16" t="b">
        <v>0</v>
      </c>
      <c r="H234" s="16" t="b">
        <v>1</v>
      </c>
      <c r="I234" s="16" t="b">
        <v>0</v>
      </c>
      <c r="J234" s="18">
        <v>470.0</v>
      </c>
      <c r="K234" s="18">
        <v>20.0</v>
      </c>
      <c r="L234" s="16">
        <v>500.0</v>
      </c>
      <c r="M234" s="16">
        <v>100.0</v>
      </c>
      <c r="N234" s="16">
        <v>131.0</v>
      </c>
      <c r="O234" s="16">
        <v>70.05</v>
      </c>
      <c r="P234" s="18">
        <v>186.0</v>
      </c>
      <c r="Q234" s="16">
        <v>442.2</v>
      </c>
      <c r="R234" s="16">
        <v>2.72</v>
      </c>
      <c r="S234" s="16">
        <v>0.998128</v>
      </c>
      <c r="T234" s="16">
        <v>0.996316</v>
      </c>
      <c r="U234" s="19">
        <f t="shared" si="1"/>
        <v>600</v>
      </c>
      <c r="V234" s="19">
        <f t="shared" si="2"/>
        <v>54.52757291</v>
      </c>
      <c r="W234" s="20">
        <f t="shared" si="3"/>
        <v>11.43772036</v>
      </c>
      <c r="X234" s="17">
        <f>0.9*(0.00015*N234*Q234*R234+797)+0.1*(43.1*POWER(N234,0.549))</f>
        <v>801.2123114</v>
      </c>
      <c r="Y234" s="21">
        <f t="shared" si="4"/>
        <v>4</v>
      </c>
      <c r="Z234" s="21">
        <f t="shared" si="5"/>
        <v>4006.061557</v>
      </c>
      <c r="AA234" s="21">
        <f t="shared" si="6"/>
        <v>57.18860181</v>
      </c>
      <c r="AB234" s="22">
        <f t="shared" si="7"/>
        <v>1.335353852</v>
      </c>
      <c r="AC234" s="8">
        <f t="shared" si="161"/>
        <v>812.7905475</v>
      </c>
      <c r="AD234" s="13">
        <f t="shared" si="162"/>
        <v>1.354650913</v>
      </c>
      <c r="AE234" s="8">
        <f t="shared" si="163"/>
        <v>155.7026214</v>
      </c>
      <c r="AF234" s="73">
        <f t="shared" si="164"/>
        <v>16.8887924</v>
      </c>
      <c r="AG234" s="74" t="str">
        <f t="shared" si="165"/>
        <v>#REF!</v>
      </c>
      <c r="AH234" s="73">
        <f t="shared" si="166"/>
        <v>0</v>
      </c>
      <c r="AI234" s="73">
        <f t="shared" si="167"/>
        <v>0.6760795925</v>
      </c>
      <c r="AJ234" s="75">
        <f t="shared" si="168"/>
        <v>1</v>
      </c>
      <c r="AK234" s="73">
        <f t="shared" si="169"/>
        <v>0.8255874644</v>
      </c>
      <c r="AL234" s="73">
        <f t="shared" si="170"/>
        <v>5.84167704</v>
      </c>
      <c r="AM234" s="73">
        <f t="shared" si="171"/>
        <v>1.455816439</v>
      </c>
      <c r="AN234" s="75">
        <v>474.94</v>
      </c>
      <c r="AO234" s="76">
        <v>470.0</v>
      </c>
      <c r="AP234" s="73">
        <f t="shared" si="172"/>
        <v>470</v>
      </c>
      <c r="AQ234" s="29" t="str">
        <f t="shared" si="173"/>
        <v>#REF!</v>
      </c>
      <c r="AR234" s="77" t="str">
        <f t="shared" si="174"/>
        <v>#REF!</v>
      </c>
      <c r="AS234" s="73"/>
      <c r="AT234" s="39"/>
    </row>
    <row r="235" ht="15.75" customHeight="1">
      <c r="A235" s="7" t="s">
        <v>63</v>
      </c>
      <c r="B235" s="7" t="s">
        <v>54</v>
      </c>
      <c r="C235" s="7">
        <v>1967.0</v>
      </c>
      <c r="D235" s="7"/>
      <c r="E235" s="7">
        <v>1967.0</v>
      </c>
      <c r="F235" s="7" t="b">
        <v>1</v>
      </c>
      <c r="G235" s="7" t="b">
        <v>0</v>
      </c>
      <c r="H235" s="7" t="b">
        <v>1</v>
      </c>
      <c r="I235" s="7" t="b">
        <v>0</v>
      </c>
      <c r="J235" s="9">
        <v>240.0</v>
      </c>
      <c r="K235" s="9">
        <v>3.0</v>
      </c>
      <c r="L235" s="7">
        <v>150.0</v>
      </c>
      <c r="M235" s="7">
        <v>125.0</v>
      </c>
      <c r="N235" s="7">
        <v>143.26</v>
      </c>
      <c r="O235" s="7">
        <v>78.3</v>
      </c>
      <c r="P235" s="9">
        <v>127.0</v>
      </c>
      <c r="Q235" s="7">
        <v>312.0</v>
      </c>
      <c r="R235" s="7">
        <v>3.4</v>
      </c>
      <c r="S235" s="7">
        <v>0.9977</v>
      </c>
      <c r="T235" s="7">
        <v>0.9978</v>
      </c>
      <c r="U235" s="10">
        <f t="shared" si="1"/>
        <v>275</v>
      </c>
      <c r="V235" s="10">
        <f t="shared" si="2"/>
        <v>55.73347706</v>
      </c>
      <c r="W235" s="11">
        <f t="shared" si="3"/>
        <v>1.75661661</v>
      </c>
      <c r="X235" s="8">
        <f t="shared" ref="X235:X236" si="186">0.2*(8.17*POWER(N235*R235,0.46))+0.8*(0.146*POWER(N235*Q235,0.639))</f>
        <v>137.5430805</v>
      </c>
      <c r="Y235" s="12">
        <f t="shared" si="4"/>
        <v>4</v>
      </c>
      <c r="Z235" s="12">
        <f t="shared" si="5"/>
        <v>687.7154027</v>
      </c>
      <c r="AA235" s="12">
        <f t="shared" si="6"/>
        <v>8.783083049</v>
      </c>
      <c r="AB235" s="13">
        <f t="shared" si="7"/>
        <v>0.5001566565</v>
      </c>
      <c r="AC235" s="8">
        <f t="shared" si="161"/>
        <v>139.6756943</v>
      </c>
      <c r="AD235" s="13">
        <f t="shared" si="162"/>
        <v>0.5079116155</v>
      </c>
      <c r="AE235" s="8">
        <f t="shared" si="163"/>
        <v>139.6756943</v>
      </c>
      <c r="AF235" s="73">
        <f t="shared" si="164"/>
        <v>18.2021224</v>
      </c>
      <c r="AG235" s="74" t="str">
        <f t="shared" si="165"/>
        <v>#REF!</v>
      </c>
      <c r="AH235" s="73">
        <f t="shared" si="166"/>
        <v>0</v>
      </c>
      <c r="AI235" s="73">
        <f t="shared" si="167"/>
        <v>0.2958876574</v>
      </c>
      <c r="AJ235" s="75">
        <f t="shared" si="168"/>
        <v>1</v>
      </c>
      <c r="AK235" s="73">
        <f t="shared" si="169"/>
        <v>0.834666678</v>
      </c>
      <c r="AL235" s="73">
        <f t="shared" si="170"/>
        <v>1.123356654</v>
      </c>
      <c r="AM235" s="73">
        <f t="shared" si="171"/>
        <v>1.237344028</v>
      </c>
      <c r="AN235" s="75">
        <v>68.73</v>
      </c>
      <c r="AO235" s="76">
        <v>69.0</v>
      </c>
      <c r="AP235" s="73">
        <f t="shared" si="172"/>
        <v>69</v>
      </c>
      <c r="AQ235" s="29" t="str">
        <f t="shared" si="173"/>
        <v>#REF!</v>
      </c>
      <c r="AR235" s="77" t="str">
        <f t="shared" si="174"/>
        <v>#REF!</v>
      </c>
      <c r="AS235" s="73"/>
      <c r="AT235" s="39"/>
    </row>
    <row r="236" ht="15.75" customHeight="1">
      <c r="A236" s="16" t="s">
        <v>138</v>
      </c>
      <c r="B236" s="16" t="s">
        <v>139</v>
      </c>
      <c r="C236" s="16">
        <v>1967.0</v>
      </c>
      <c r="D236" s="16"/>
      <c r="E236" s="16">
        <v>1967.0</v>
      </c>
      <c r="F236" s="16" t="b">
        <v>1</v>
      </c>
      <c r="G236" s="16" t="b">
        <v>0</v>
      </c>
      <c r="H236" s="16" t="b">
        <v>0</v>
      </c>
      <c r="I236" s="16" t="b">
        <v>0</v>
      </c>
      <c r="J236" s="18">
        <v>165.0</v>
      </c>
      <c r="K236" s="16">
        <v>1.0</v>
      </c>
      <c r="L236" s="16">
        <v>2100.0</v>
      </c>
      <c r="M236" s="16">
        <v>0.0</v>
      </c>
      <c r="N236" s="16">
        <v>8444.0</v>
      </c>
      <c r="O236" s="16">
        <v>7775.49</v>
      </c>
      <c r="P236" s="18">
        <v>262.1</v>
      </c>
      <c r="Q236" s="16">
        <v>301.0</v>
      </c>
      <c r="R236" s="16">
        <v>6.77</v>
      </c>
      <c r="S236" s="16">
        <v>0.994697</v>
      </c>
      <c r="T236" s="16">
        <v>0.994697</v>
      </c>
      <c r="U236" s="19">
        <f t="shared" si="1"/>
        <v>2100</v>
      </c>
      <c r="V236" s="19">
        <f t="shared" si="2"/>
        <v>93.89854564</v>
      </c>
      <c r="W236" s="20">
        <f t="shared" si="3"/>
        <v>0.21844974</v>
      </c>
      <c r="X236" s="17">
        <f t="shared" si="186"/>
        <v>1698.553769</v>
      </c>
      <c r="Y236" s="21">
        <f t="shared" si="4"/>
        <v>4</v>
      </c>
      <c r="Z236" s="21">
        <f t="shared" si="5"/>
        <v>8492.768843</v>
      </c>
      <c r="AA236" s="21">
        <f t="shared" si="6"/>
        <v>1.0922487</v>
      </c>
      <c r="AB236" s="22">
        <f t="shared" si="7"/>
        <v>0.8088351279</v>
      </c>
      <c r="AC236" s="8">
        <f t="shared" si="161"/>
        <v>1714.557749</v>
      </c>
      <c r="AD236" s="13">
        <f t="shared" si="162"/>
        <v>0.816456071</v>
      </c>
      <c r="AE236" s="8">
        <f t="shared" si="163"/>
        <v>1714.557749</v>
      </c>
      <c r="AF236" s="73">
        <f t="shared" si="164"/>
        <v>847.733832</v>
      </c>
      <c r="AG236" s="74" t="str">
        <f t="shared" si="165"/>
        <v>#REF!</v>
      </c>
      <c r="AH236" s="73">
        <f t="shared" si="166"/>
        <v>0</v>
      </c>
      <c r="AI236" s="73">
        <f t="shared" si="167"/>
        <v>0</v>
      </c>
      <c r="AJ236" s="75">
        <f t="shared" si="168"/>
        <v>1.270927475</v>
      </c>
      <c r="AK236" s="73">
        <f t="shared" si="169"/>
        <v>1.083389044</v>
      </c>
      <c r="AL236" s="73">
        <f t="shared" si="170"/>
        <v>1.007589311</v>
      </c>
      <c r="AM236" s="73">
        <f t="shared" si="171"/>
        <v>1.097912191</v>
      </c>
      <c r="AN236" s="75">
        <v>2927.26</v>
      </c>
      <c r="AO236" s="76">
        <v>2900.0</v>
      </c>
      <c r="AP236" s="73">
        <f t="shared" si="172"/>
        <v>2900</v>
      </c>
      <c r="AQ236" s="29" t="str">
        <f t="shared" si="173"/>
        <v>#REF!</v>
      </c>
      <c r="AR236" s="77" t="str">
        <f t="shared" si="174"/>
        <v>#REF!</v>
      </c>
      <c r="AS236" s="73"/>
      <c r="AT236" s="39"/>
    </row>
    <row r="237" ht="15.75" customHeight="1">
      <c r="A237" s="16" t="s">
        <v>1021</v>
      </c>
      <c r="B237" s="16" t="s">
        <v>185</v>
      </c>
      <c r="C237" s="16">
        <v>1967.0</v>
      </c>
      <c r="D237" s="16" t="b">
        <v>1</v>
      </c>
      <c r="E237" s="16">
        <v>1967.0</v>
      </c>
      <c r="F237" s="16" t="b">
        <v>1</v>
      </c>
      <c r="G237" s="16" t="b">
        <v>0</v>
      </c>
      <c r="H237" s="16" t="b">
        <v>1</v>
      </c>
      <c r="I237" s="16" t="b">
        <v>0</v>
      </c>
      <c r="J237" s="18">
        <v>580.0</v>
      </c>
      <c r="K237" s="18">
        <v>1.0</v>
      </c>
      <c r="L237" s="16">
        <v>1355.0</v>
      </c>
      <c r="M237" s="16">
        <v>5.0</v>
      </c>
      <c r="N237" s="16">
        <v>1566.708</v>
      </c>
      <c r="O237" s="16">
        <v>1000.8495</v>
      </c>
      <c r="P237" s="18">
        <v>302.0</v>
      </c>
      <c r="Q237" s="16">
        <v>424.4</v>
      </c>
      <c r="R237" s="16">
        <v>5.15</v>
      </c>
      <c r="S237" s="16">
        <v>0.987931</v>
      </c>
      <c r="T237" s="16">
        <v>0.986538</v>
      </c>
      <c r="U237" s="19">
        <f t="shared" si="1"/>
        <v>1360</v>
      </c>
      <c r="V237" s="19">
        <f t="shared" si="2"/>
        <v>65.14184257</v>
      </c>
      <c r="W237" s="20">
        <f t="shared" si="3"/>
        <v>1.423009452</v>
      </c>
      <c r="X237" s="17">
        <f t="shared" ref="X237:X238" si="187">0.9*(0.00015*N237*Q237*R237+797)+0.1*(43.1*POWER(N237,0.549))</f>
        <v>1424.218299</v>
      </c>
      <c r="Y237" s="21">
        <f t="shared" si="4"/>
        <v>4</v>
      </c>
      <c r="Z237" s="21">
        <f t="shared" si="5"/>
        <v>7121.091494</v>
      </c>
      <c r="AA237" s="21">
        <f t="shared" si="6"/>
        <v>7.115047262</v>
      </c>
      <c r="AB237" s="22">
        <f t="shared" si="7"/>
        <v>1.047219337</v>
      </c>
      <c r="AC237" s="8">
        <f t="shared" si="161"/>
        <v>1416.572344</v>
      </c>
      <c r="AD237" s="13">
        <f t="shared" si="162"/>
        <v>1.041597312</v>
      </c>
      <c r="AE237" s="8">
        <f t="shared" si="163"/>
        <v>712.6008215</v>
      </c>
      <c r="AF237" s="73">
        <f t="shared" si="164"/>
        <v>132.0623453</v>
      </c>
      <c r="AG237" s="74" t="str">
        <f t="shared" si="165"/>
        <v>#REF!</v>
      </c>
      <c r="AH237" s="73">
        <f t="shared" si="166"/>
        <v>0</v>
      </c>
      <c r="AI237" s="73">
        <f t="shared" si="167"/>
        <v>0</v>
      </c>
      <c r="AJ237" s="75">
        <f t="shared" si="168"/>
        <v>1.032812713</v>
      </c>
      <c r="AK237" s="73">
        <f t="shared" si="169"/>
        <v>0.9023707842</v>
      </c>
      <c r="AL237" s="73">
        <f t="shared" si="170"/>
        <v>4.58857027</v>
      </c>
      <c r="AM237" s="73">
        <f t="shared" si="171"/>
        <v>1.516697193</v>
      </c>
      <c r="AN237" s="75">
        <v>1892.09</v>
      </c>
      <c r="AO237" s="76">
        <v>1900.0</v>
      </c>
      <c r="AP237" s="73">
        <f t="shared" si="172"/>
        <v>1900</v>
      </c>
      <c r="AQ237" s="29" t="str">
        <f t="shared" si="173"/>
        <v>#REF!</v>
      </c>
      <c r="AR237" s="77" t="str">
        <f t="shared" si="174"/>
        <v>#REF!</v>
      </c>
      <c r="AS237" s="73"/>
      <c r="AT237" s="39"/>
    </row>
    <row r="238" ht="15.75" customHeight="1">
      <c r="A238" s="7" t="s">
        <v>1022</v>
      </c>
      <c r="B238" s="7" t="s">
        <v>185</v>
      </c>
      <c r="C238" s="7">
        <v>1967.0</v>
      </c>
      <c r="D238" s="7" t="b">
        <v>1</v>
      </c>
      <c r="E238" s="7">
        <v>1967.0</v>
      </c>
      <c r="F238" s="7" t="b">
        <v>1</v>
      </c>
      <c r="G238" s="7" t="b">
        <v>0</v>
      </c>
      <c r="H238" s="7" t="b">
        <v>1</v>
      </c>
      <c r="I238" s="7" t="b">
        <v>0</v>
      </c>
      <c r="J238" s="9">
        <v>580.0</v>
      </c>
      <c r="K238" s="9">
        <v>3.0</v>
      </c>
      <c r="L238" s="7">
        <v>1355.0</v>
      </c>
      <c r="M238" s="7">
        <v>155.0</v>
      </c>
      <c r="N238" s="33">
        <f>1566.708*1.093</f>
        <v>1712.411844</v>
      </c>
      <c r="O238" s="7">
        <v>1000.8495</v>
      </c>
      <c r="P238" s="9">
        <v>302.0</v>
      </c>
      <c r="Q238" s="7">
        <v>424.4</v>
      </c>
      <c r="R238" s="7">
        <v>5.15</v>
      </c>
      <c r="S238" s="7">
        <v>0.987931</v>
      </c>
      <c r="T238" s="7">
        <v>0.986538</v>
      </c>
      <c r="U238" s="10">
        <f t="shared" si="1"/>
        <v>1510</v>
      </c>
      <c r="V238" s="10">
        <f t="shared" si="2"/>
        <v>59.59912404</v>
      </c>
      <c r="W238" s="11">
        <f t="shared" si="3"/>
        <v>1.478194287</v>
      </c>
      <c r="X238" s="8">
        <f t="shared" si="187"/>
        <v>1479.450013</v>
      </c>
      <c r="Y238" s="12">
        <f t="shared" si="4"/>
        <v>4</v>
      </c>
      <c r="Z238" s="12">
        <f t="shared" si="5"/>
        <v>7397.250064</v>
      </c>
      <c r="AA238" s="12">
        <f t="shared" si="6"/>
        <v>7.390971433</v>
      </c>
      <c r="AB238" s="13">
        <f t="shared" si="7"/>
        <v>0.9797682204</v>
      </c>
      <c r="AC238" s="8">
        <f t="shared" si="161"/>
        <v>1471.507545</v>
      </c>
      <c r="AD238" s="13">
        <f t="shared" si="162"/>
        <v>0.9745083081</v>
      </c>
      <c r="AE238" s="8">
        <f t="shared" si="163"/>
        <v>752.5633792</v>
      </c>
      <c r="AF238" s="73">
        <f t="shared" si="164"/>
        <v>132.0623453</v>
      </c>
      <c r="AG238" s="74" t="str">
        <f t="shared" si="165"/>
        <v>#REF!</v>
      </c>
      <c r="AH238" s="73">
        <f t="shared" si="166"/>
        <v>0</v>
      </c>
      <c r="AI238" s="73">
        <f t="shared" si="167"/>
        <v>0.2958876574</v>
      </c>
      <c r="AJ238" s="75">
        <f t="shared" si="168"/>
        <v>1.032812713</v>
      </c>
      <c r="AK238" s="73">
        <f t="shared" si="169"/>
        <v>0.8631274822</v>
      </c>
      <c r="AL238" s="73">
        <f t="shared" si="170"/>
        <v>4.58857027</v>
      </c>
      <c r="AM238" s="73">
        <f t="shared" si="171"/>
        <v>1.516697193</v>
      </c>
      <c r="AN238" s="75">
        <v>2147.35</v>
      </c>
      <c r="AO238" s="76">
        <v>2100.0</v>
      </c>
      <c r="AP238" s="73">
        <f t="shared" si="172"/>
        <v>2100</v>
      </c>
      <c r="AQ238" s="29" t="str">
        <f t="shared" si="173"/>
        <v>#REF!</v>
      </c>
      <c r="AR238" s="77" t="str">
        <f t="shared" si="174"/>
        <v>#REF!</v>
      </c>
      <c r="AS238" s="73"/>
      <c r="AT238" s="39"/>
    </row>
    <row r="239" ht="15.75" customHeight="1">
      <c r="A239" s="7" t="s">
        <v>271</v>
      </c>
      <c r="B239" s="7" t="s">
        <v>266</v>
      </c>
      <c r="C239" s="7">
        <v>1967.0</v>
      </c>
      <c r="D239" s="7"/>
      <c r="E239" s="7">
        <v>1967.0</v>
      </c>
      <c r="F239" s="7" t="b">
        <v>1</v>
      </c>
      <c r="G239" s="7" t="b">
        <v>0</v>
      </c>
      <c r="H239" s="7" t="b">
        <v>0</v>
      </c>
      <c r="I239" s="7" t="b">
        <v>0</v>
      </c>
      <c r="J239" s="18">
        <v>350.0</v>
      </c>
      <c r="K239" s="7">
        <v>1.0</v>
      </c>
      <c r="L239" s="7">
        <v>275.0</v>
      </c>
      <c r="M239" s="7">
        <v>80.0</v>
      </c>
      <c r="N239" s="7">
        <v>470.0</v>
      </c>
      <c r="O239" s="7">
        <v>386.4</v>
      </c>
      <c r="P239" s="9">
        <v>220.0</v>
      </c>
      <c r="Q239" s="7">
        <v>316.0</v>
      </c>
      <c r="R239" s="7">
        <v>4.8</v>
      </c>
      <c r="S239" s="7">
        <v>0.993636</v>
      </c>
      <c r="T239" s="7">
        <v>0.993636</v>
      </c>
      <c r="U239" s="10">
        <f t="shared" si="1"/>
        <v>355</v>
      </c>
      <c r="V239" s="10">
        <f t="shared" si="2"/>
        <v>83.83369012</v>
      </c>
      <c r="W239" s="11">
        <f t="shared" si="3"/>
        <v>0.7572704304</v>
      </c>
      <c r="X239" s="8">
        <f t="shared" ref="X239:X258" si="188">0.2*(8.17*POWER(N239*R239,0.46))+0.8*(0.146*POWER(N239*Q239,0.639))</f>
        <v>292.6092943</v>
      </c>
      <c r="Y239" s="12">
        <f t="shared" si="4"/>
        <v>4</v>
      </c>
      <c r="Z239" s="12">
        <f t="shared" si="5"/>
        <v>1463.046472</v>
      </c>
      <c r="AA239" s="12">
        <f t="shared" si="6"/>
        <v>3.786352152</v>
      </c>
      <c r="AB239" s="13">
        <f t="shared" si="7"/>
        <v>0.8242515332</v>
      </c>
      <c r="AC239" s="8">
        <f t="shared" si="161"/>
        <v>294.7489999</v>
      </c>
      <c r="AD239" s="13">
        <f t="shared" si="162"/>
        <v>0.830278873</v>
      </c>
      <c r="AE239" s="8">
        <f t="shared" si="163"/>
        <v>294.7489999</v>
      </c>
      <c r="AF239" s="73">
        <f t="shared" si="164"/>
        <v>59.59372514</v>
      </c>
      <c r="AG239" s="74" t="str">
        <f t="shared" si="165"/>
        <v>#REF!</v>
      </c>
      <c r="AH239" s="73">
        <f t="shared" si="166"/>
        <v>0</v>
      </c>
      <c r="AI239" s="73">
        <f t="shared" si="167"/>
        <v>0</v>
      </c>
      <c r="AJ239" s="75">
        <f t="shared" si="168"/>
        <v>1.019287078</v>
      </c>
      <c r="AK239" s="73">
        <f t="shared" si="169"/>
        <v>1.023680188</v>
      </c>
      <c r="AL239" s="73">
        <f t="shared" si="170"/>
        <v>1.173066849</v>
      </c>
      <c r="AM239" s="73">
        <f t="shared" si="171"/>
        <v>1.364668672</v>
      </c>
      <c r="AN239" s="75">
        <v>227.25</v>
      </c>
      <c r="AO239" s="76">
        <v>230.0</v>
      </c>
      <c r="AP239" s="73">
        <f t="shared" si="172"/>
        <v>230</v>
      </c>
      <c r="AQ239" s="29" t="str">
        <f t="shared" si="173"/>
        <v>#REF!</v>
      </c>
      <c r="AR239" s="77" t="str">
        <f t="shared" si="174"/>
        <v>#REF!</v>
      </c>
      <c r="AS239" s="73"/>
      <c r="AT239" s="39"/>
    </row>
    <row r="240" ht="15.75" customHeight="1">
      <c r="A240" s="16" t="s">
        <v>336</v>
      </c>
      <c r="B240" s="16" t="s">
        <v>330</v>
      </c>
      <c r="C240" s="16">
        <v>1967.0</v>
      </c>
      <c r="D240" s="16"/>
      <c r="E240" s="16">
        <v>1967.0</v>
      </c>
      <c r="F240" s="16" t="b">
        <v>1</v>
      </c>
      <c r="G240" s="16" t="b">
        <v>0</v>
      </c>
      <c r="H240" s="16" t="b">
        <v>0</v>
      </c>
      <c r="I240" s="16" t="b">
        <v>0</v>
      </c>
      <c r="J240" s="18">
        <v>165.0</v>
      </c>
      <c r="K240" s="16">
        <v>1.0</v>
      </c>
      <c r="L240" s="16">
        <v>300.0</v>
      </c>
      <c r="M240" s="16">
        <v>50.0</v>
      </c>
      <c r="N240" s="16">
        <v>1018.0</v>
      </c>
      <c r="O240" s="16">
        <v>950.8</v>
      </c>
      <c r="P240" s="18">
        <v>259.1</v>
      </c>
      <c r="Q240" s="16">
        <v>293.4</v>
      </c>
      <c r="R240" s="16">
        <v>4.12</v>
      </c>
      <c r="S240" s="16">
        <v>0.993636</v>
      </c>
      <c r="T240" s="16">
        <v>0.993636</v>
      </c>
      <c r="U240" s="19">
        <f t="shared" si="1"/>
        <v>350</v>
      </c>
      <c r="V240" s="19">
        <f t="shared" si="2"/>
        <v>95.24029199</v>
      </c>
      <c r="W240" s="20">
        <f t="shared" si="3"/>
        <v>0.4669901637</v>
      </c>
      <c r="X240" s="17">
        <f t="shared" si="188"/>
        <v>444.0142476</v>
      </c>
      <c r="Y240" s="21">
        <f t="shared" si="4"/>
        <v>4</v>
      </c>
      <c r="Z240" s="21">
        <f t="shared" si="5"/>
        <v>2220.071238</v>
      </c>
      <c r="AA240" s="21">
        <f t="shared" si="6"/>
        <v>2.334950818</v>
      </c>
      <c r="AB240" s="22">
        <f t="shared" si="7"/>
        <v>1.268612136</v>
      </c>
      <c r="AC240" s="8">
        <f t="shared" si="161"/>
        <v>447.261102</v>
      </c>
      <c r="AD240" s="13">
        <f t="shared" si="162"/>
        <v>1.277888863</v>
      </c>
      <c r="AE240" s="8">
        <f t="shared" si="163"/>
        <v>447.261102</v>
      </c>
      <c r="AF240" s="73">
        <f t="shared" si="164"/>
        <v>126.3431923</v>
      </c>
      <c r="AG240" s="74" t="str">
        <f t="shared" si="165"/>
        <v>#REF!</v>
      </c>
      <c r="AH240" s="73">
        <f t="shared" si="166"/>
        <v>0</v>
      </c>
      <c r="AI240" s="73">
        <f t="shared" si="167"/>
        <v>0</v>
      </c>
      <c r="AJ240" s="75">
        <f t="shared" si="168"/>
        <v>1.295047582</v>
      </c>
      <c r="AK240" s="73">
        <f t="shared" si="169"/>
        <v>1.091102035</v>
      </c>
      <c r="AL240" s="73">
        <f t="shared" si="170"/>
        <v>0.9557076154</v>
      </c>
      <c r="AM240" s="73">
        <f t="shared" si="171"/>
        <v>1.097912191</v>
      </c>
      <c r="AN240" s="75">
        <v>414.58</v>
      </c>
      <c r="AO240" s="76">
        <v>410.0</v>
      </c>
      <c r="AP240" s="73">
        <f t="shared" si="172"/>
        <v>410</v>
      </c>
      <c r="AQ240" s="29" t="str">
        <f t="shared" si="173"/>
        <v>#REF!</v>
      </c>
      <c r="AR240" s="77" t="str">
        <f t="shared" si="174"/>
        <v>#REF!</v>
      </c>
      <c r="AS240" s="73"/>
      <c r="AT240" s="39"/>
    </row>
    <row r="241" ht="15.75" customHeight="1">
      <c r="A241" s="16" t="s">
        <v>472</v>
      </c>
      <c r="B241" s="16" t="s">
        <v>471</v>
      </c>
      <c r="C241" s="16">
        <v>1967.0</v>
      </c>
      <c r="D241" s="16"/>
      <c r="E241" s="16">
        <v>1967.0</v>
      </c>
      <c r="F241" s="16" t="b">
        <v>1</v>
      </c>
      <c r="G241" s="16" t="b">
        <v>0</v>
      </c>
      <c r="H241" s="16" t="b">
        <v>0</v>
      </c>
      <c r="I241" s="16" t="b">
        <v>0</v>
      </c>
      <c r="J241" s="18">
        <v>140.0</v>
      </c>
      <c r="K241" s="16">
        <v>1.0</v>
      </c>
      <c r="L241" s="16">
        <v>295.0</v>
      </c>
      <c r="M241" s="16">
        <v>0.0</v>
      </c>
      <c r="N241" s="16">
        <v>408.0</v>
      </c>
      <c r="O241" s="16">
        <v>569.2</v>
      </c>
      <c r="P241" s="18">
        <v>278.0</v>
      </c>
      <c r="Q241" s="16">
        <v>311.0</v>
      </c>
      <c r="R241" s="16">
        <v>14.7</v>
      </c>
      <c r="S241" s="16">
        <v>0.999722</v>
      </c>
      <c r="T241" s="16">
        <v>0.998768</v>
      </c>
      <c r="U241" s="19">
        <f t="shared" si="1"/>
        <v>295</v>
      </c>
      <c r="V241" s="19">
        <f t="shared" si="2"/>
        <v>142.2604085</v>
      </c>
      <c r="W241" s="20">
        <f t="shared" si="3"/>
        <v>0.5313223133</v>
      </c>
      <c r="X241" s="17">
        <f t="shared" si="188"/>
        <v>302.4286608</v>
      </c>
      <c r="Y241" s="21">
        <f t="shared" si="4"/>
        <v>4</v>
      </c>
      <c r="Z241" s="21">
        <f t="shared" si="5"/>
        <v>1512.143304</v>
      </c>
      <c r="AA241" s="21">
        <f t="shared" si="6"/>
        <v>2.656611567</v>
      </c>
      <c r="AB241" s="22">
        <f t="shared" si="7"/>
        <v>1.025181901</v>
      </c>
      <c r="AC241" s="8">
        <f t="shared" si="161"/>
        <v>308.0206703</v>
      </c>
      <c r="AD241" s="13">
        <f t="shared" si="162"/>
        <v>1.044137865</v>
      </c>
      <c r="AE241" s="8">
        <f t="shared" si="163"/>
        <v>308.0206703</v>
      </c>
      <c r="AF241" s="73">
        <f t="shared" si="164"/>
        <v>81.82080064</v>
      </c>
      <c r="AG241" s="74" t="str">
        <f t="shared" si="165"/>
        <v>#REF!</v>
      </c>
      <c r="AH241" s="73">
        <f t="shared" si="166"/>
        <v>0</v>
      </c>
      <c r="AI241" s="73">
        <f t="shared" si="167"/>
        <v>0</v>
      </c>
      <c r="AJ241" s="75">
        <f t="shared" si="168"/>
        <v>1.316721389</v>
      </c>
      <c r="AK241" s="73">
        <f t="shared" si="169"/>
        <v>1.33351232</v>
      </c>
      <c r="AL241" s="73">
        <f t="shared" si="170"/>
        <v>1.111492852</v>
      </c>
      <c r="AM241" s="73">
        <f t="shared" si="171"/>
        <v>1.032354509</v>
      </c>
      <c r="AN241" s="75">
        <v>394.46</v>
      </c>
      <c r="AO241" s="76">
        <v>390.0</v>
      </c>
      <c r="AP241" s="73">
        <f t="shared" si="172"/>
        <v>390</v>
      </c>
      <c r="AQ241" s="29" t="str">
        <f t="shared" si="173"/>
        <v>#REF!</v>
      </c>
      <c r="AR241" s="77" t="str">
        <f t="shared" si="174"/>
        <v>#REF!</v>
      </c>
      <c r="AS241" s="73"/>
      <c r="AT241" s="39"/>
    </row>
    <row r="242" ht="15.75" customHeight="1">
      <c r="A242" s="16" t="s">
        <v>475</v>
      </c>
      <c r="B242" s="16" t="s">
        <v>474</v>
      </c>
      <c r="C242" s="16">
        <v>1967.0</v>
      </c>
      <c r="D242" s="16"/>
      <c r="E242" s="16">
        <v>1967.0</v>
      </c>
      <c r="F242" s="16" t="b">
        <v>1</v>
      </c>
      <c r="G242" s="16" t="b">
        <v>0</v>
      </c>
      <c r="H242" s="16" t="b">
        <v>1</v>
      </c>
      <c r="I242" s="16" t="b">
        <v>0</v>
      </c>
      <c r="J242" s="18">
        <v>238.0</v>
      </c>
      <c r="K242" s="16">
        <v>1.0</v>
      </c>
      <c r="L242" s="16">
        <v>300.0</v>
      </c>
      <c r="M242" s="16">
        <v>0.0</v>
      </c>
      <c r="N242" s="16">
        <v>566.0</v>
      </c>
      <c r="O242" s="16">
        <v>584.77</v>
      </c>
      <c r="P242" s="18">
        <v>242.0</v>
      </c>
      <c r="Q242" s="16">
        <v>327.0</v>
      </c>
      <c r="R242" s="16">
        <v>14.7</v>
      </c>
      <c r="S242" s="16">
        <v>0.999445</v>
      </c>
      <c r="T242" s="16">
        <v>0.998166</v>
      </c>
      <c r="U242" s="19">
        <f t="shared" si="1"/>
        <v>300</v>
      </c>
      <c r="V242" s="19">
        <f t="shared" si="2"/>
        <v>105.3532594</v>
      </c>
      <c r="W242" s="20">
        <f t="shared" si="3"/>
        <v>0.6414058594</v>
      </c>
      <c r="X242" s="17">
        <f t="shared" si="188"/>
        <v>375.0749044</v>
      </c>
      <c r="Y242" s="21">
        <f t="shared" si="4"/>
        <v>4</v>
      </c>
      <c r="Z242" s="21">
        <f t="shared" si="5"/>
        <v>1875.374522</v>
      </c>
      <c r="AA242" s="21">
        <f t="shared" si="6"/>
        <v>3.207029297</v>
      </c>
      <c r="AB242" s="22">
        <f t="shared" si="7"/>
        <v>1.250249681</v>
      </c>
      <c r="AC242" s="8">
        <f t="shared" si="161"/>
        <v>381.6807303</v>
      </c>
      <c r="AD242" s="13">
        <f t="shared" si="162"/>
        <v>1.272269101</v>
      </c>
      <c r="AE242" s="8">
        <f t="shared" si="163"/>
        <v>381.6807303</v>
      </c>
      <c r="AF242" s="73">
        <f t="shared" si="164"/>
        <v>83.67878669</v>
      </c>
      <c r="AG242" s="74" t="str">
        <f t="shared" si="165"/>
        <v>#REF!</v>
      </c>
      <c r="AH242" s="73">
        <f t="shared" si="166"/>
        <v>0</v>
      </c>
      <c r="AI242" s="73">
        <f t="shared" si="167"/>
        <v>0</v>
      </c>
      <c r="AJ242" s="75">
        <f t="shared" si="168"/>
        <v>1.063429438</v>
      </c>
      <c r="AK242" s="73">
        <f t="shared" si="169"/>
        <v>1.147569493</v>
      </c>
      <c r="AL242" s="73">
        <f t="shared" si="170"/>
        <v>1.328208337</v>
      </c>
      <c r="AM242" s="73">
        <f t="shared" si="171"/>
        <v>1.234376008</v>
      </c>
      <c r="AN242" s="75">
        <v>417.3</v>
      </c>
      <c r="AO242" s="76">
        <v>420.0</v>
      </c>
      <c r="AP242" s="73">
        <f t="shared" si="172"/>
        <v>420</v>
      </c>
      <c r="AQ242" s="29" t="str">
        <f t="shared" si="173"/>
        <v>#REF!</v>
      </c>
      <c r="AR242" s="77" t="str">
        <f t="shared" si="174"/>
        <v>#REF!</v>
      </c>
      <c r="AS242" s="73"/>
      <c r="AT242" s="39"/>
    </row>
    <row r="243" ht="15.75" customHeight="1">
      <c r="A243" s="16" t="s">
        <v>480</v>
      </c>
      <c r="B243" s="16" t="s">
        <v>479</v>
      </c>
      <c r="C243" s="16">
        <v>1967.0</v>
      </c>
      <c r="D243" s="16"/>
      <c r="E243" s="16">
        <v>1967.0</v>
      </c>
      <c r="F243" s="16" t="b">
        <v>1</v>
      </c>
      <c r="G243" s="16" t="b">
        <v>0</v>
      </c>
      <c r="H243" s="16" t="b">
        <v>1</v>
      </c>
      <c r="I243" s="16" t="b">
        <v>0</v>
      </c>
      <c r="J243" s="18">
        <v>250.0</v>
      </c>
      <c r="K243" s="16">
        <v>1.0</v>
      </c>
      <c r="L243" s="16">
        <v>300.0</v>
      </c>
      <c r="M243" s="16">
        <v>0.0</v>
      </c>
      <c r="N243" s="16">
        <f>550+90</f>
        <v>640</v>
      </c>
      <c r="O243" s="16">
        <f>581.8+30.98</f>
        <v>612.78</v>
      </c>
      <c r="P243" s="18">
        <v>240.0</v>
      </c>
      <c r="Q243" s="16">
        <v>325.3</v>
      </c>
      <c r="R243" s="16">
        <v>14.71</v>
      </c>
      <c r="S243" s="16">
        <v>0.998951</v>
      </c>
      <c r="T243" s="16">
        <v>0.993357</v>
      </c>
      <c r="U243" s="19">
        <f t="shared" si="1"/>
        <v>300</v>
      </c>
      <c r="V243" s="19">
        <f t="shared" si="2"/>
        <v>97.63464049</v>
      </c>
      <c r="W243" s="20">
        <f t="shared" si="3"/>
        <v>0.6565588348</v>
      </c>
      <c r="X243" s="17">
        <f t="shared" si="188"/>
        <v>402.3261228</v>
      </c>
      <c r="Y243" s="21">
        <f t="shared" si="4"/>
        <v>4</v>
      </c>
      <c r="Z243" s="21">
        <f t="shared" si="5"/>
        <v>2011.630614</v>
      </c>
      <c r="AA243" s="21">
        <f t="shared" si="6"/>
        <v>3.282794174</v>
      </c>
      <c r="AB243" s="22">
        <f t="shared" si="7"/>
        <v>1.341087076</v>
      </c>
      <c r="AC243" s="8">
        <f t="shared" si="161"/>
        <v>407.2807563</v>
      </c>
      <c r="AD243" s="13">
        <f t="shared" si="162"/>
        <v>1.357602521</v>
      </c>
      <c r="AE243" s="8">
        <f t="shared" si="163"/>
        <v>407.2807563</v>
      </c>
      <c r="AF243" s="73">
        <f t="shared" si="164"/>
        <v>87.01007683</v>
      </c>
      <c r="AG243" s="74" t="str">
        <f t="shared" si="165"/>
        <v>#REF!</v>
      </c>
      <c r="AH243" s="73">
        <f t="shared" si="166"/>
        <v>0</v>
      </c>
      <c r="AI243" s="73">
        <f t="shared" si="167"/>
        <v>0</v>
      </c>
      <c r="AJ243" s="75">
        <f t="shared" si="168"/>
        <v>1.060738521</v>
      </c>
      <c r="AK243" s="73">
        <f t="shared" si="169"/>
        <v>1.104732097</v>
      </c>
      <c r="AL243" s="73">
        <f t="shared" si="170"/>
        <v>1.302435654</v>
      </c>
      <c r="AM243" s="73">
        <f t="shared" si="171"/>
        <v>1.251730393</v>
      </c>
      <c r="AN243" s="75">
        <v>385.67</v>
      </c>
      <c r="AO243" s="76">
        <v>390.0</v>
      </c>
      <c r="AP243" s="73">
        <f t="shared" si="172"/>
        <v>390</v>
      </c>
      <c r="AQ243" s="29" t="str">
        <f t="shared" si="173"/>
        <v>#REF!</v>
      </c>
      <c r="AR243" s="77" t="str">
        <f t="shared" si="174"/>
        <v>#REF!</v>
      </c>
      <c r="AS243" s="73"/>
      <c r="AT243" s="39"/>
    </row>
    <row r="244" ht="15.75" customHeight="1">
      <c r="A244" s="16" t="s">
        <v>485</v>
      </c>
      <c r="B244" s="16" t="s">
        <v>484</v>
      </c>
      <c r="C244" s="16">
        <v>1967.0</v>
      </c>
      <c r="D244" s="16"/>
      <c r="E244" s="16">
        <v>1967.0</v>
      </c>
      <c r="F244" s="16" t="b">
        <v>1</v>
      </c>
      <c r="G244" s="16" t="b">
        <v>0</v>
      </c>
      <c r="H244" s="16" t="b">
        <v>1</v>
      </c>
      <c r="I244" s="16" t="b">
        <v>0</v>
      </c>
      <c r="J244" s="18">
        <v>250.0</v>
      </c>
      <c r="K244" s="16">
        <v>1.0</v>
      </c>
      <c r="L244" s="16">
        <v>260.0</v>
      </c>
      <c r="M244" s="16">
        <v>0.0</v>
      </c>
      <c r="N244" s="16">
        <v>550.0</v>
      </c>
      <c r="O244" s="16">
        <v>581.8</v>
      </c>
      <c r="P244" s="18">
        <v>242.0</v>
      </c>
      <c r="Q244" s="16">
        <v>327.0</v>
      </c>
      <c r="R244" s="16">
        <v>14.71</v>
      </c>
      <c r="S244" s="16">
        <v>0.999474</v>
      </c>
      <c r="T244" s="16">
        <v>0.996667</v>
      </c>
      <c r="U244" s="19">
        <f t="shared" si="1"/>
        <v>260</v>
      </c>
      <c r="V244" s="19">
        <f t="shared" si="2"/>
        <v>107.8674347</v>
      </c>
      <c r="W244" s="20">
        <f t="shared" si="3"/>
        <v>0.6339319474</v>
      </c>
      <c r="X244" s="17">
        <f t="shared" si="188"/>
        <v>368.821607</v>
      </c>
      <c r="Y244" s="21">
        <f t="shared" si="4"/>
        <v>4</v>
      </c>
      <c r="Z244" s="21">
        <f t="shared" si="5"/>
        <v>1844.108035</v>
      </c>
      <c r="AA244" s="21">
        <f t="shared" si="6"/>
        <v>3.169659737</v>
      </c>
      <c r="AB244" s="22">
        <f t="shared" si="7"/>
        <v>1.418544642</v>
      </c>
      <c r="AC244" s="8">
        <f t="shared" si="161"/>
        <v>374.7754031</v>
      </c>
      <c r="AD244" s="13">
        <f t="shared" si="162"/>
        <v>1.441443858</v>
      </c>
      <c r="AE244" s="8">
        <f t="shared" si="163"/>
        <v>374.7754031</v>
      </c>
      <c r="AF244" s="73">
        <f t="shared" si="164"/>
        <v>83.32472475</v>
      </c>
      <c r="AG244" s="74" t="str">
        <f t="shared" si="165"/>
        <v>#REF!</v>
      </c>
      <c r="AH244" s="73">
        <f t="shared" si="166"/>
        <v>0</v>
      </c>
      <c r="AI244" s="73">
        <f t="shared" si="167"/>
        <v>0</v>
      </c>
      <c r="AJ244" s="75">
        <f t="shared" si="168"/>
        <v>1.063429438</v>
      </c>
      <c r="AK244" s="73">
        <f t="shared" si="169"/>
        <v>1.161181697</v>
      </c>
      <c r="AL244" s="73">
        <f t="shared" si="170"/>
        <v>1.328208337</v>
      </c>
      <c r="AM244" s="73">
        <f t="shared" si="171"/>
        <v>1.251730393</v>
      </c>
      <c r="AN244" s="75">
        <v>410.62</v>
      </c>
      <c r="AO244" s="76">
        <v>410.0</v>
      </c>
      <c r="AP244" s="73">
        <f t="shared" si="172"/>
        <v>410</v>
      </c>
      <c r="AQ244" s="29" t="str">
        <f t="shared" si="173"/>
        <v>#REF!</v>
      </c>
      <c r="AR244" s="77" t="str">
        <f t="shared" si="174"/>
        <v>#REF!</v>
      </c>
      <c r="AS244" s="73"/>
      <c r="AT244" s="39"/>
    </row>
    <row r="245" ht="15.75" customHeight="1">
      <c r="A245" s="16" t="s">
        <v>490</v>
      </c>
      <c r="B245" s="16" t="s">
        <v>489</v>
      </c>
      <c r="C245" s="16">
        <v>1967.0</v>
      </c>
      <c r="D245" s="16"/>
      <c r="E245" s="16">
        <v>1967.0</v>
      </c>
      <c r="F245" s="16" t="b">
        <v>1</v>
      </c>
      <c r="G245" s="16" t="b">
        <v>0</v>
      </c>
      <c r="H245" s="16" t="b">
        <v>1</v>
      </c>
      <c r="I245" s="16" t="b">
        <v>0</v>
      </c>
      <c r="J245" s="18">
        <v>300.0</v>
      </c>
      <c r="K245" s="16">
        <v>1.0</v>
      </c>
      <c r="L245" s="16">
        <v>10.0</v>
      </c>
      <c r="M245" s="16">
        <v>0.0</v>
      </c>
      <c r="N245" s="16">
        <v>90.0</v>
      </c>
      <c r="O245" s="16">
        <v>30.98</v>
      </c>
      <c r="P245" s="18">
        <v>189.0</v>
      </c>
      <c r="Q245" s="16">
        <v>293.0</v>
      </c>
      <c r="R245" s="16">
        <v>5.3</v>
      </c>
      <c r="S245" s="16">
        <v>0.999748</v>
      </c>
      <c r="T245" s="16">
        <v>0.998067</v>
      </c>
      <c r="U245" s="19">
        <f t="shared" si="1"/>
        <v>10</v>
      </c>
      <c r="V245" s="19">
        <f t="shared" si="2"/>
        <v>35.10089798</v>
      </c>
      <c r="W245" s="20">
        <f t="shared" si="3"/>
        <v>3.420388202</v>
      </c>
      <c r="X245" s="17">
        <f t="shared" si="188"/>
        <v>105.9636265</v>
      </c>
      <c r="Y245" s="21">
        <f t="shared" si="4"/>
        <v>4</v>
      </c>
      <c r="Z245" s="21">
        <f t="shared" si="5"/>
        <v>529.8181325</v>
      </c>
      <c r="AA245" s="21">
        <f t="shared" si="6"/>
        <v>17.10194101</v>
      </c>
      <c r="AB245" s="22">
        <f t="shared" si="7"/>
        <v>10.59636265</v>
      </c>
      <c r="AC245" s="8">
        <f t="shared" si="161"/>
        <v>107.8514201</v>
      </c>
      <c r="AD245" s="13">
        <f t="shared" si="162"/>
        <v>10.78514201</v>
      </c>
      <c r="AE245" s="8">
        <f t="shared" si="163"/>
        <v>107.8514201</v>
      </c>
      <c r="AF245" s="73">
        <f t="shared" si="164"/>
        <v>10.06439442</v>
      </c>
      <c r="AG245" s="74" t="str">
        <f t="shared" si="165"/>
        <v>#REF!</v>
      </c>
      <c r="AH245" s="73">
        <f t="shared" si="166"/>
        <v>0</v>
      </c>
      <c r="AI245" s="73">
        <f t="shared" si="167"/>
        <v>0</v>
      </c>
      <c r="AJ245" s="75">
        <f t="shared" si="168"/>
        <v>1</v>
      </c>
      <c r="AK245" s="73">
        <f t="shared" si="169"/>
        <v>0.662390538</v>
      </c>
      <c r="AL245" s="73">
        <f t="shared" si="170"/>
        <v>0.9530871741</v>
      </c>
      <c r="AM245" s="73">
        <f t="shared" si="171"/>
        <v>1.314152039</v>
      </c>
      <c r="AN245" s="75">
        <v>28.06</v>
      </c>
      <c r="AO245" s="76">
        <v>28.0</v>
      </c>
      <c r="AP245" s="73">
        <f t="shared" si="172"/>
        <v>28</v>
      </c>
      <c r="AQ245" s="29" t="str">
        <f t="shared" si="173"/>
        <v>#REF!</v>
      </c>
      <c r="AR245" s="77" t="str">
        <f t="shared" si="174"/>
        <v>#REF!</v>
      </c>
      <c r="AS245" s="73"/>
      <c r="AT245" s="39"/>
    </row>
    <row r="246" ht="15.75" customHeight="1">
      <c r="A246" s="7" t="s">
        <v>597</v>
      </c>
      <c r="B246" s="7" t="s">
        <v>596</v>
      </c>
      <c r="C246" s="7">
        <v>1967.0</v>
      </c>
      <c r="D246" s="7"/>
      <c r="E246" s="7">
        <v>1967.0</v>
      </c>
      <c r="F246" s="7" t="b">
        <v>1</v>
      </c>
      <c r="G246" s="7" t="b">
        <v>0</v>
      </c>
      <c r="H246" s="7" t="b">
        <v>0</v>
      </c>
      <c r="I246" s="7" t="b">
        <v>0</v>
      </c>
      <c r="J246" s="9">
        <v>148.0</v>
      </c>
      <c r="K246" s="7">
        <v>1.0</v>
      </c>
      <c r="L246" s="7">
        <v>515.0</v>
      </c>
      <c r="M246" s="7">
        <v>50.0</v>
      </c>
      <c r="N246" s="7">
        <v>1080.0</v>
      </c>
      <c r="O246" s="7">
        <v>1635.0</v>
      </c>
      <c r="P246" s="9">
        <v>285.0</v>
      </c>
      <c r="Q246" s="7">
        <v>316.0</v>
      </c>
      <c r="R246" s="7">
        <v>14.71</v>
      </c>
      <c r="S246" s="7">
        <v>0.998397</v>
      </c>
      <c r="T246" s="7">
        <v>0.998397</v>
      </c>
      <c r="U246" s="10">
        <f t="shared" si="1"/>
        <v>565</v>
      </c>
      <c r="V246" s="10">
        <f t="shared" si="2"/>
        <v>154.373704</v>
      </c>
      <c r="W246" s="11">
        <f t="shared" si="3"/>
        <v>0.3307834936</v>
      </c>
      <c r="X246" s="8">
        <f t="shared" si="188"/>
        <v>540.831012</v>
      </c>
      <c r="Y246" s="12">
        <f t="shared" si="4"/>
        <v>4</v>
      </c>
      <c r="Z246" s="12">
        <f t="shared" si="5"/>
        <v>2704.15506</v>
      </c>
      <c r="AA246" s="12">
        <f t="shared" si="6"/>
        <v>1.653917468</v>
      </c>
      <c r="AB246" s="13">
        <f t="shared" si="7"/>
        <v>0.95722303</v>
      </c>
      <c r="AC246" s="8">
        <f t="shared" si="161"/>
        <v>549.9151177</v>
      </c>
      <c r="AD246" s="13">
        <f t="shared" si="162"/>
        <v>0.9733010933</v>
      </c>
      <c r="AE246" s="8">
        <f t="shared" si="163"/>
        <v>549.9151177</v>
      </c>
      <c r="AF246" s="73">
        <f t="shared" si="164"/>
        <v>203.0756793</v>
      </c>
      <c r="AG246" s="74" t="str">
        <f t="shared" si="165"/>
        <v>#REF!</v>
      </c>
      <c r="AH246" s="73">
        <f t="shared" si="166"/>
        <v>0</v>
      </c>
      <c r="AI246" s="73">
        <f t="shared" si="167"/>
        <v>0</v>
      </c>
      <c r="AJ246" s="75">
        <f t="shared" si="168"/>
        <v>1.333125919</v>
      </c>
      <c r="AK246" s="73">
        <f t="shared" si="169"/>
        <v>1.389126092</v>
      </c>
      <c r="AL246" s="73">
        <f t="shared" si="170"/>
        <v>1.173066849</v>
      </c>
      <c r="AM246" s="73">
        <f t="shared" si="171"/>
        <v>1.054841267</v>
      </c>
      <c r="AN246" s="75">
        <v>1045.82</v>
      </c>
      <c r="AO246" s="76">
        <v>1050.0</v>
      </c>
      <c r="AP246" s="73">
        <f t="shared" si="172"/>
        <v>1050</v>
      </c>
      <c r="AQ246" s="29" t="str">
        <f t="shared" si="173"/>
        <v>#REF!</v>
      </c>
      <c r="AR246" s="77" t="str">
        <f t="shared" si="174"/>
        <v>#REF!</v>
      </c>
      <c r="AS246" s="73"/>
      <c r="AT246" s="39"/>
    </row>
    <row r="247" ht="15.75" customHeight="1">
      <c r="A247" s="16" t="s">
        <v>633</v>
      </c>
      <c r="B247" s="16" t="s">
        <v>630</v>
      </c>
      <c r="C247" s="16">
        <v>1967.0</v>
      </c>
      <c r="D247" s="16"/>
      <c r="E247" s="16">
        <v>1967.0</v>
      </c>
      <c r="F247" s="16" t="b">
        <v>1</v>
      </c>
      <c r="G247" s="16" t="b">
        <v>0</v>
      </c>
      <c r="H247" s="16" t="b">
        <v>1</v>
      </c>
      <c r="I247" s="16" t="b">
        <v>0</v>
      </c>
      <c r="J247" s="18">
        <v>600.0</v>
      </c>
      <c r="K247" s="18">
        <v>7.0</v>
      </c>
      <c r="L247" s="16">
        <v>400.0</v>
      </c>
      <c r="M247" s="16">
        <v>100.0</v>
      </c>
      <c r="N247" s="16">
        <v>230.0</v>
      </c>
      <c r="O247" s="16">
        <v>83.36</v>
      </c>
      <c r="P247" s="18">
        <v>135.0</v>
      </c>
      <c r="Q247" s="16">
        <v>349.0</v>
      </c>
      <c r="R247" s="16">
        <v>6.98</v>
      </c>
      <c r="S247" s="16">
        <v>0.988281</v>
      </c>
      <c r="T247" s="16">
        <v>0.982813</v>
      </c>
      <c r="U247" s="19">
        <f t="shared" si="1"/>
        <v>500</v>
      </c>
      <c r="V247" s="19">
        <f t="shared" si="2"/>
        <v>36.95806229</v>
      </c>
      <c r="W247" s="20">
        <f t="shared" si="3"/>
        <v>2.492237481</v>
      </c>
      <c r="X247" s="17">
        <f t="shared" si="188"/>
        <v>207.7529164</v>
      </c>
      <c r="Y247" s="21">
        <f t="shared" si="4"/>
        <v>4</v>
      </c>
      <c r="Z247" s="21">
        <f t="shared" si="5"/>
        <v>1038.764582</v>
      </c>
      <c r="AA247" s="21">
        <f t="shared" si="6"/>
        <v>12.46118741</v>
      </c>
      <c r="AB247" s="22">
        <f t="shared" si="7"/>
        <v>0.4155058329</v>
      </c>
      <c r="AC247" s="8">
        <f t="shared" si="161"/>
        <v>205.9445134</v>
      </c>
      <c r="AD247" s="13">
        <f t="shared" si="162"/>
        <v>0.4118890268</v>
      </c>
      <c r="AE247" s="8">
        <f t="shared" si="163"/>
        <v>205.9445134</v>
      </c>
      <c r="AF247" s="73">
        <f t="shared" si="164"/>
        <v>18.99386322</v>
      </c>
      <c r="AG247" s="74" t="str">
        <f t="shared" si="165"/>
        <v>#REF!</v>
      </c>
      <c r="AH247" s="73">
        <f t="shared" si="166"/>
        <v>0</v>
      </c>
      <c r="AI247" s="73">
        <f t="shared" si="167"/>
        <v>0.4835836299</v>
      </c>
      <c r="AJ247" s="75">
        <f t="shared" si="168"/>
        <v>1</v>
      </c>
      <c r="AK247" s="73">
        <f t="shared" si="169"/>
        <v>0.6796880009</v>
      </c>
      <c r="AL247" s="73">
        <f t="shared" si="170"/>
        <v>1.72759964</v>
      </c>
      <c r="AM247" s="73">
        <f t="shared" si="171"/>
        <v>1.526203901</v>
      </c>
      <c r="AN247" s="75">
        <v>111.12</v>
      </c>
      <c r="AO247" s="76">
        <v>110.0</v>
      </c>
      <c r="AP247" s="73">
        <f t="shared" si="172"/>
        <v>110</v>
      </c>
      <c r="AQ247" s="29" t="str">
        <f t="shared" si="173"/>
        <v>#REF!</v>
      </c>
      <c r="AR247" s="77" t="str">
        <f t="shared" si="174"/>
        <v>#REF!</v>
      </c>
      <c r="AS247" s="73"/>
      <c r="AT247" s="39"/>
    </row>
    <row r="248" ht="15.75" customHeight="1">
      <c r="A248" s="7" t="s">
        <v>816</v>
      </c>
      <c r="B248" s="7" t="s">
        <v>810</v>
      </c>
      <c r="C248" s="7">
        <v>1967.0</v>
      </c>
      <c r="D248" s="7"/>
      <c r="E248" s="7">
        <v>1967.0</v>
      </c>
      <c r="F248" s="7" t="b">
        <v>1</v>
      </c>
      <c r="G248" s="7" t="b">
        <v>0</v>
      </c>
      <c r="H248" s="7" t="b">
        <v>1</v>
      </c>
      <c r="I248" s="7" t="b">
        <v>0</v>
      </c>
      <c r="J248" s="9">
        <v>125.0</v>
      </c>
      <c r="K248" s="7">
        <v>1.0</v>
      </c>
      <c r="L248" s="7">
        <v>300.0</v>
      </c>
      <c r="M248" s="7">
        <v>40.0</v>
      </c>
      <c r="N248" s="7">
        <v>886.0</v>
      </c>
      <c r="O248" s="7">
        <v>808.0</v>
      </c>
      <c r="P248" s="9">
        <v>208.0</v>
      </c>
      <c r="Q248" s="7">
        <v>292.7</v>
      </c>
      <c r="R248" s="7">
        <v>5.85</v>
      </c>
      <c r="S248" s="7">
        <v>0.998872</v>
      </c>
      <c r="T248" s="7">
        <v>0.998872</v>
      </c>
      <c r="U248" s="10">
        <f t="shared" si="1"/>
        <v>340</v>
      </c>
      <c r="V248" s="10">
        <f t="shared" si="2"/>
        <v>92.9944354</v>
      </c>
      <c r="W248" s="11">
        <f t="shared" si="3"/>
        <v>0.5197835261</v>
      </c>
      <c r="X248" s="8">
        <f t="shared" si="188"/>
        <v>419.9850891</v>
      </c>
      <c r="Y248" s="12">
        <f t="shared" si="4"/>
        <v>4</v>
      </c>
      <c r="Z248" s="12">
        <f t="shared" si="5"/>
        <v>2099.925445</v>
      </c>
      <c r="AA248" s="12">
        <f t="shared" si="6"/>
        <v>2.59891763</v>
      </c>
      <c r="AB248" s="13">
        <f t="shared" si="7"/>
        <v>1.235250262</v>
      </c>
      <c r="AC248" s="8">
        <f t="shared" si="161"/>
        <v>427.4378389</v>
      </c>
      <c r="AD248" s="13">
        <f t="shared" si="162"/>
        <v>1.257170114</v>
      </c>
      <c r="AE248" s="8">
        <f t="shared" si="163"/>
        <v>427.4378389</v>
      </c>
      <c r="AF248" s="73">
        <f t="shared" si="164"/>
        <v>109.8941741</v>
      </c>
      <c r="AG248" s="74" t="str">
        <f t="shared" si="165"/>
        <v>#REF!</v>
      </c>
      <c r="AH248" s="73">
        <f t="shared" si="166"/>
        <v>0</v>
      </c>
      <c r="AI248" s="73">
        <f t="shared" si="167"/>
        <v>0</v>
      </c>
      <c r="AJ248" s="75">
        <f t="shared" si="168"/>
        <v>1.031893952</v>
      </c>
      <c r="AK248" s="73">
        <f t="shared" si="169"/>
        <v>1.078160676</v>
      </c>
      <c r="AL248" s="73">
        <f t="shared" si="170"/>
        <v>0.9511265594</v>
      </c>
      <c r="AM248" s="73">
        <f t="shared" si="171"/>
        <v>0.9854758578</v>
      </c>
      <c r="AN248" s="75">
        <v>295.23</v>
      </c>
      <c r="AO248" s="76">
        <v>300.0</v>
      </c>
      <c r="AP248" s="73">
        <f t="shared" si="172"/>
        <v>300</v>
      </c>
      <c r="AQ248" s="29" t="str">
        <f t="shared" si="173"/>
        <v>#REF!</v>
      </c>
      <c r="AR248" s="77" t="str">
        <f t="shared" si="174"/>
        <v>#REF!</v>
      </c>
      <c r="AS248" s="73"/>
      <c r="AT248" s="39"/>
    </row>
    <row r="249" ht="15.75" customHeight="1">
      <c r="A249" s="16" t="s">
        <v>814</v>
      </c>
      <c r="B249" s="16" t="s">
        <v>810</v>
      </c>
      <c r="C249" s="16">
        <v>1967.0</v>
      </c>
      <c r="D249" s="16"/>
      <c r="E249" s="16">
        <v>1967.0</v>
      </c>
      <c r="F249" s="16" t="b">
        <v>1</v>
      </c>
      <c r="G249" s="16" t="b">
        <v>0</v>
      </c>
      <c r="H249" s="16" t="b">
        <v>0</v>
      </c>
      <c r="I249" s="16" t="b">
        <v>0</v>
      </c>
      <c r="J249" s="18">
        <v>205.0</v>
      </c>
      <c r="K249" s="16">
        <v>1.0</v>
      </c>
      <c r="L249" s="16">
        <v>300.0</v>
      </c>
      <c r="M249" s="16">
        <v>20.0</v>
      </c>
      <c r="N249" s="16">
        <v>826.0</v>
      </c>
      <c r="O249" s="16">
        <v>760.0</v>
      </c>
      <c r="P249" s="18">
        <v>242.3</v>
      </c>
      <c r="Q249" s="16">
        <v>278.5</v>
      </c>
      <c r="R249" s="16">
        <v>5.85</v>
      </c>
      <c r="S249" s="16">
        <v>0.999247</v>
      </c>
      <c r="T249" s="16">
        <v>0.999247</v>
      </c>
      <c r="U249" s="19">
        <f t="shared" si="1"/>
        <v>320</v>
      </c>
      <c r="V249" s="19">
        <f t="shared" si="2"/>
        <v>93.82376751</v>
      </c>
      <c r="W249" s="20">
        <f t="shared" si="3"/>
        <v>0.516485621</v>
      </c>
      <c r="X249" s="17">
        <f t="shared" si="188"/>
        <v>392.5290719</v>
      </c>
      <c r="Y249" s="21">
        <f t="shared" si="4"/>
        <v>4</v>
      </c>
      <c r="Z249" s="21">
        <f t="shared" si="5"/>
        <v>1962.64536</v>
      </c>
      <c r="AA249" s="21">
        <f t="shared" si="6"/>
        <v>2.582428105</v>
      </c>
      <c r="AB249" s="22">
        <f t="shared" si="7"/>
        <v>1.22665335</v>
      </c>
      <c r="AC249" s="8">
        <f t="shared" si="161"/>
        <v>399.7887272</v>
      </c>
      <c r="AD249" s="13">
        <f t="shared" si="162"/>
        <v>1.249339772</v>
      </c>
      <c r="AE249" s="8">
        <f t="shared" si="163"/>
        <v>399.7887272</v>
      </c>
      <c r="AF249" s="73">
        <f t="shared" si="164"/>
        <v>104.3151859</v>
      </c>
      <c r="AG249" s="74" t="str">
        <f t="shared" si="165"/>
        <v>#REF!</v>
      </c>
      <c r="AH249" s="73">
        <f t="shared" si="166"/>
        <v>0</v>
      </c>
      <c r="AI249" s="73">
        <f t="shared" si="167"/>
        <v>0</v>
      </c>
      <c r="AJ249" s="75">
        <f t="shared" si="168"/>
        <v>1.269490006</v>
      </c>
      <c r="AK249" s="73">
        <f t="shared" si="169"/>
        <v>1.082957568</v>
      </c>
      <c r="AL249" s="73">
        <f t="shared" si="170"/>
        <v>0.862794462</v>
      </c>
      <c r="AM249" s="73">
        <f t="shared" si="171"/>
        <v>1.180337395</v>
      </c>
      <c r="AN249" s="75">
        <v>384.18</v>
      </c>
      <c r="AO249" s="76">
        <v>380.0</v>
      </c>
      <c r="AP249" s="73">
        <f t="shared" si="172"/>
        <v>380</v>
      </c>
      <c r="AQ249" s="29" t="str">
        <f t="shared" si="173"/>
        <v>#REF!</v>
      </c>
      <c r="AR249" s="77" t="str">
        <f t="shared" si="174"/>
        <v>#REF!</v>
      </c>
      <c r="AS249" s="73"/>
      <c r="AT249" s="39"/>
    </row>
    <row r="250" ht="15.75" customHeight="1">
      <c r="A250" s="7" t="s">
        <v>815</v>
      </c>
      <c r="B250" s="7" t="s">
        <v>810</v>
      </c>
      <c r="C250" s="7">
        <v>1967.0</v>
      </c>
      <c r="D250" s="7"/>
      <c r="E250" s="7">
        <v>1967.0</v>
      </c>
      <c r="F250" s="7" t="b">
        <v>1</v>
      </c>
      <c r="G250" s="7" t="b">
        <v>0</v>
      </c>
      <c r="H250" s="7" t="b">
        <v>0</v>
      </c>
      <c r="I250" s="7" t="b">
        <v>0</v>
      </c>
      <c r="J250" s="9">
        <v>142.0</v>
      </c>
      <c r="K250" s="7">
        <v>1.0</v>
      </c>
      <c r="L250" s="7">
        <v>300.0</v>
      </c>
      <c r="M250" s="7">
        <v>5.0</v>
      </c>
      <c r="N250" s="7">
        <v>826.0</v>
      </c>
      <c r="O250" s="7">
        <v>760.0</v>
      </c>
      <c r="P250" s="9">
        <v>242.3</v>
      </c>
      <c r="Q250" s="7">
        <v>278.3</v>
      </c>
      <c r="R250" s="7">
        <v>5.85</v>
      </c>
      <c r="S250" s="7">
        <v>0.999372</v>
      </c>
      <c r="T250" s="7">
        <v>0.999372</v>
      </c>
      <c r="U250" s="10">
        <f t="shared" si="1"/>
        <v>305</v>
      </c>
      <c r="V250" s="10">
        <f t="shared" si="2"/>
        <v>93.82376751</v>
      </c>
      <c r="W250" s="11">
        <f t="shared" si="3"/>
        <v>0.5162974361</v>
      </c>
      <c r="X250" s="8">
        <f t="shared" si="188"/>
        <v>392.3860514</v>
      </c>
      <c r="Y250" s="12">
        <f t="shared" si="4"/>
        <v>4</v>
      </c>
      <c r="Z250" s="12">
        <f t="shared" si="5"/>
        <v>1961.930257</v>
      </c>
      <c r="AA250" s="12">
        <f t="shared" si="6"/>
        <v>2.58148718</v>
      </c>
      <c r="AB250" s="13">
        <f t="shared" si="7"/>
        <v>1.286511644</v>
      </c>
      <c r="AC250" s="8">
        <f t="shared" si="161"/>
        <v>399.7410903</v>
      </c>
      <c r="AD250" s="13">
        <f t="shared" si="162"/>
        <v>1.310626526</v>
      </c>
      <c r="AE250" s="8">
        <f t="shared" si="163"/>
        <v>399.7410903</v>
      </c>
      <c r="AF250" s="73">
        <f t="shared" si="164"/>
        <v>104.3151859</v>
      </c>
      <c r="AG250" s="74" t="str">
        <f t="shared" si="165"/>
        <v>#REF!</v>
      </c>
      <c r="AH250" s="73">
        <f t="shared" si="166"/>
        <v>0</v>
      </c>
      <c r="AI250" s="73">
        <f t="shared" si="167"/>
        <v>0</v>
      </c>
      <c r="AJ250" s="75">
        <f t="shared" si="168"/>
        <v>1.270694336</v>
      </c>
      <c r="AK250" s="73">
        <f t="shared" si="169"/>
        <v>1.082957568</v>
      </c>
      <c r="AL250" s="73">
        <f t="shared" si="170"/>
        <v>0.8616108081</v>
      </c>
      <c r="AM250" s="73">
        <f t="shared" si="171"/>
        <v>1.038125346</v>
      </c>
      <c r="AN250" s="75">
        <v>340.94</v>
      </c>
      <c r="AO250" s="76">
        <v>340.0</v>
      </c>
      <c r="AP250" s="73">
        <f t="shared" si="172"/>
        <v>340</v>
      </c>
      <c r="AQ250" s="29" t="str">
        <f t="shared" si="173"/>
        <v>#REF!</v>
      </c>
      <c r="AR250" s="77" t="str">
        <f t="shared" si="174"/>
        <v>#REF!</v>
      </c>
      <c r="AS250" s="73"/>
      <c r="AT250" s="39"/>
    </row>
    <row r="251" ht="15.75" customHeight="1">
      <c r="A251" s="16" t="s">
        <v>71</v>
      </c>
      <c r="B251" s="16" t="s">
        <v>72</v>
      </c>
      <c r="C251" s="16">
        <v>1968.0</v>
      </c>
      <c r="D251" s="16"/>
      <c r="E251" s="16">
        <v>1968.0</v>
      </c>
      <c r="F251" s="16" t="b">
        <v>0</v>
      </c>
      <c r="G251" s="16" t="b">
        <v>0</v>
      </c>
      <c r="H251" s="16" t="b">
        <v>1</v>
      </c>
      <c r="I251" s="16" t="b">
        <v>0</v>
      </c>
      <c r="J251" s="18">
        <v>750.0</v>
      </c>
      <c r="K251" s="18">
        <v>50.0</v>
      </c>
      <c r="L251" s="16">
        <v>350.0</v>
      </c>
      <c r="M251" s="16">
        <v>0.0</v>
      </c>
      <c r="N251" s="16">
        <v>372.44</v>
      </c>
      <c r="O251" s="16">
        <v>97.416</v>
      </c>
      <c r="P251" s="18">
        <v>1.0</v>
      </c>
      <c r="Q251" s="16">
        <v>314.5</v>
      </c>
      <c r="R251" s="16">
        <v>0.68</v>
      </c>
      <c r="S251" s="16">
        <v>0.9995</v>
      </c>
      <c r="T251" s="16">
        <v>0.999</v>
      </c>
      <c r="U251" s="19">
        <f t="shared" si="1"/>
        <v>350</v>
      </c>
      <c r="V251" s="19">
        <f t="shared" si="2"/>
        <v>26.67185971</v>
      </c>
      <c r="W251" s="20">
        <f t="shared" si="3"/>
        <v>2.292171967</v>
      </c>
      <c r="X251" s="17">
        <f t="shared" si="188"/>
        <v>223.2942243</v>
      </c>
      <c r="Y251" s="21">
        <f t="shared" si="4"/>
        <v>1.75</v>
      </c>
      <c r="Z251" s="21">
        <f t="shared" si="5"/>
        <v>614.0591168</v>
      </c>
      <c r="AA251" s="21">
        <f t="shared" si="6"/>
        <v>6.303472908</v>
      </c>
      <c r="AB251" s="22">
        <f t="shared" si="7"/>
        <v>0.637983498</v>
      </c>
      <c r="AC251" s="8">
        <f t="shared" si="161"/>
        <v>227.4252791</v>
      </c>
      <c r="AD251" s="13">
        <f t="shared" si="162"/>
        <v>0.6497865117</v>
      </c>
      <c r="AE251" s="8">
        <f t="shared" si="163"/>
        <v>227.4252791</v>
      </c>
      <c r="AF251" s="73">
        <f t="shared" si="164"/>
        <v>23.4079227</v>
      </c>
      <c r="AG251" s="74" t="str">
        <f t="shared" si="165"/>
        <v>#REF!</v>
      </c>
      <c r="AH251" s="73">
        <f t="shared" si="166"/>
        <v>0</v>
      </c>
      <c r="AI251" s="73">
        <f t="shared" si="167"/>
        <v>0.8140424221</v>
      </c>
      <c r="AJ251" s="75">
        <f t="shared" si="168"/>
        <v>1</v>
      </c>
      <c r="AK251" s="73">
        <f t="shared" si="169"/>
        <v>0.5774064828</v>
      </c>
      <c r="AL251" s="73">
        <f t="shared" si="170"/>
        <v>1.15400675</v>
      </c>
      <c r="AM251" s="73">
        <f t="shared" si="171"/>
        <v>1.586729921</v>
      </c>
      <c r="AN251" s="75">
        <v>133.01</v>
      </c>
      <c r="AO251" s="76">
        <v>135.0</v>
      </c>
      <c r="AP251" s="73">
        <f t="shared" si="172"/>
        <v>135</v>
      </c>
      <c r="AQ251" s="29" t="str">
        <f t="shared" si="173"/>
        <v>#REF!</v>
      </c>
      <c r="AR251" s="77" t="str">
        <f t="shared" si="174"/>
        <v>#REF!</v>
      </c>
      <c r="AS251" s="73"/>
      <c r="AT251" s="39"/>
    </row>
    <row r="252" ht="15.75" customHeight="1">
      <c r="A252" s="7" t="s">
        <v>112</v>
      </c>
      <c r="B252" s="7" t="s">
        <v>111</v>
      </c>
      <c r="C252" s="7">
        <v>1968.0</v>
      </c>
      <c r="D252" s="7" t="b">
        <v>0</v>
      </c>
      <c r="E252" s="7">
        <v>1968.0</v>
      </c>
      <c r="F252" s="7" t="b">
        <v>0</v>
      </c>
      <c r="G252" s="7" t="b">
        <v>0</v>
      </c>
      <c r="H252" s="7" t="b">
        <v>1</v>
      </c>
      <c r="I252" s="7" t="b">
        <v>0</v>
      </c>
      <c r="J252" s="9">
        <v>330.0</v>
      </c>
      <c r="K252" s="9">
        <v>999.0</v>
      </c>
      <c r="L252" s="7"/>
      <c r="M252" s="7">
        <v>0.0</v>
      </c>
      <c r="N252" s="7">
        <v>68.0</v>
      </c>
      <c r="O252" s="7">
        <v>22.56</v>
      </c>
      <c r="P252" s="9">
        <v>94.0</v>
      </c>
      <c r="Q252" s="7">
        <v>297.0</v>
      </c>
      <c r="R252" s="7">
        <v>0.9</v>
      </c>
      <c r="S252" s="7">
        <v>0.93</v>
      </c>
      <c r="T252" s="7">
        <v>0.883333</v>
      </c>
      <c r="U252" s="10">
        <f t="shared" si="1"/>
        <v>0</v>
      </c>
      <c r="V252" s="10">
        <f t="shared" si="2"/>
        <v>33.83058485</v>
      </c>
      <c r="W252" s="11">
        <f t="shared" si="3"/>
        <v>3.399196463</v>
      </c>
      <c r="X252" s="8">
        <f t="shared" si="188"/>
        <v>76.68587221</v>
      </c>
      <c r="Y252" s="12">
        <f t="shared" si="4"/>
        <v>1.75</v>
      </c>
      <c r="Z252" s="12">
        <f t="shared" si="5"/>
        <v>210.8861486</v>
      </c>
      <c r="AA252" s="12">
        <f t="shared" si="6"/>
        <v>9.347790274</v>
      </c>
      <c r="AB252" s="13" t="str">
        <f t="shared" si="7"/>
        <v>#N/A</v>
      </c>
      <c r="AC252" s="8">
        <f t="shared" si="161"/>
        <v>64.53113769</v>
      </c>
      <c r="AD252" s="13" t="str">
        <f t="shared" si="162"/>
        <v>#N/A</v>
      </c>
      <c r="AE252" s="8">
        <f t="shared" si="163"/>
        <v>64.53113769</v>
      </c>
      <c r="AF252" s="73">
        <f t="shared" si="164"/>
        <v>7.573721682</v>
      </c>
      <c r="AG252" s="74" t="str">
        <f t="shared" si="165"/>
        <v>#REF!</v>
      </c>
      <c r="AH252" s="73">
        <f t="shared" si="166"/>
        <v>0</v>
      </c>
      <c r="AI252" s="73">
        <f t="shared" si="167"/>
        <v>1.123141633</v>
      </c>
      <c r="AJ252" s="75">
        <f t="shared" si="168"/>
        <v>1</v>
      </c>
      <c r="AK252" s="73">
        <f t="shared" si="169"/>
        <v>0.6502940186</v>
      </c>
      <c r="AL252" s="73">
        <f t="shared" si="170"/>
        <v>0.979618187</v>
      </c>
      <c r="AM252" s="73">
        <f t="shared" si="171"/>
        <v>1.345624617</v>
      </c>
      <c r="AN252" s="75">
        <v>13.44</v>
      </c>
      <c r="AO252" s="76">
        <v>13.5</v>
      </c>
      <c r="AP252" s="73">
        <f t="shared" si="172"/>
        <v>13.5</v>
      </c>
      <c r="AQ252" s="29" t="str">
        <f t="shared" si="173"/>
        <v>#REF!</v>
      </c>
      <c r="AR252" s="77" t="str">
        <f t="shared" si="174"/>
        <v>#REF!</v>
      </c>
      <c r="AS252" s="73"/>
      <c r="AT252" s="39"/>
    </row>
    <row r="253" ht="15.75" customHeight="1">
      <c r="A253" s="16" t="s">
        <v>110</v>
      </c>
      <c r="B253" s="16" t="s">
        <v>111</v>
      </c>
      <c r="C253" s="16">
        <v>1968.0</v>
      </c>
      <c r="D253" s="16" t="b">
        <v>0</v>
      </c>
      <c r="E253" s="16">
        <v>1968.0</v>
      </c>
      <c r="F253" s="16" t="b">
        <v>0</v>
      </c>
      <c r="G253" s="16" t="b">
        <v>0</v>
      </c>
      <c r="H253" s="16" t="b">
        <v>1</v>
      </c>
      <c r="I253" s="16" t="b">
        <v>0</v>
      </c>
      <c r="J253" s="18">
        <v>330.0</v>
      </c>
      <c r="K253" s="18">
        <v>999.0</v>
      </c>
      <c r="L253" s="16"/>
      <c r="M253" s="16">
        <v>50.0</v>
      </c>
      <c r="N253" s="16">
        <v>68.0</v>
      </c>
      <c r="O253" s="16">
        <v>23.3</v>
      </c>
      <c r="P253" s="18">
        <v>94.0</v>
      </c>
      <c r="Q253" s="16">
        <v>310.0</v>
      </c>
      <c r="R253" s="16">
        <v>0.9</v>
      </c>
      <c r="S253" s="16">
        <v>0.95</v>
      </c>
      <c r="T253" s="16">
        <v>0.92</v>
      </c>
      <c r="U253" s="19">
        <f t="shared" si="1"/>
        <v>50</v>
      </c>
      <c r="V253" s="19">
        <f t="shared" si="2"/>
        <v>34.94027602</v>
      </c>
      <c r="W253" s="20">
        <f t="shared" si="3"/>
        <v>3.369665383</v>
      </c>
      <c r="X253" s="17">
        <f t="shared" si="188"/>
        <v>78.51320343</v>
      </c>
      <c r="Y253" s="21">
        <f t="shared" si="4"/>
        <v>1.75</v>
      </c>
      <c r="Z253" s="21">
        <f t="shared" si="5"/>
        <v>215.9113094</v>
      </c>
      <c r="AA253" s="21">
        <f t="shared" si="6"/>
        <v>9.266579804</v>
      </c>
      <c r="AB253" s="22">
        <f t="shared" si="7"/>
        <v>1.570264069</v>
      </c>
      <c r="AC253" s="8">
        <f t="shared" si="161"/>
        <v>70.19080387</v>
      </c>
      <c r="AD253" s="13">
        <f t="shared" si="162"/>
        <v>1.403816077</v>
      </c>
      <c r="AE253" s="8">
        <f t="shared" si="163"/>
        <v>70.19080387</v>
      </c>
      <c r="AF253" s="73">
        <f t="shared" si="164"/>
        <v>7.736846932</v>
      </c>
      <c r="AG253" s="74" t="str">
        <f t="shared" si="165"/>
        <v>#REF!</v>
      </c>
      <c r="AH253" s="73">
        <f t="shared" si="166"/>
        <v>0</v>
      </c>
      <c r="AI253" s="73">
        <f t="shared" si="167"/>
        <v>1.123141633</v>
      </c>
      <c r="AJ253" s="75">
        <f t="shared" si="168"/>
        <v>1</v>
      </c>
      <c r="AK253" s="73">
        <f t="shared" si="169"/>
        <v>0.6608732482</v>
      </c>
      <c r="AL253" s="73">
        <f t="shared" si="170"/>
        <v>1.099860153</v>
      </c>
      <c r="AM253" s="73">
        <f t="shared" si="171"/>
        <v>1.345624617</v>
      </c>
      <c r="AN253" s="75">
        <v>19.37</v>
      </c>
      <c r="AO253" s="76">
        <v>19.0</v>
      </c>
      <c r="AP253" s="73">
        <f t="shared" si="172"/>
        <v>19</v>
      </c>
      <c r="AQ253" s="29" t="str">
        <f t="shared" si="173"/>
        <v>#REF!</v>
      </c>
      <c r="AR253" s="77" t="str">
        <f t="shared" si="174"/>
        <v>#REF!</v>
      </c>
      <c r="AS253" s="73"/>
      <c r="AT253" s="39"/>
    </row>
    <row r="254" ht="15.75" customHeight="1">
      <c r="A254" s="7" t="s">
        <v>122</v>
      </c>
      <c r="B254" s="7" t="s">
        <v>123</v>
      </c>
      <c r="C254" s="7">
        <v>1968.0</v>
      </c>
      <c r="D254" s="7"/>
      <c r="E254" s="7">
        <v>1968.0</v>
      </c>
      <c r="F254" s="7" t="b">
        <v>0</v>
      </c>
      <c r="G254" s="7" t="b">
        <v>0</v>
      </c>
      <c r="H254" s="7" t="b">
        <v>1</v>
      </c>
      <c r="I254" s="7" t="b">
        <v>0</v>
      </c>
      <c r="J254" s="9">
        <v>2000.0</v>
      </c>
      <c r="K254" s="9">
        <v>999.0</v>
      </c>
      <c r="L254" s="7">
        <v>25.0</v>
      </c>
      <c r="M254" s="7">
        <v>0.0</v>
      </c>
      <c r="N254" s="7">
        <v>2.84</v>
      </c>
      <c r="O254" s="7">
        <v>0.445</v>
      </c>
      <c r="P254" s="9">
        <v>55.0</v>
      </c>
      <c r="Q254" s="7">
        <v>301.0</v>
      </c>
      <c r="R254" s="7">
        <v>0.67</v>
      </c>
      <c r="S254" s="7">
        <v>0.995</v>
      </c>
      <c r="T254" s="7">
        <v>0.9985</v>
      </c>
      <c r="U254" s="10">
        <f t="shared" si="1"/>
        <v>25</v>
      </c>
      <c r="V254" s="10">
        <f t="shared" si="2"/>
        <v>15.97794766</v>
      </c>
      <c r="W254" s="11">
        <f t="shared" si="3"/>
        <v>24.55002564</v>
      </c>
      <c r="X254" s="8">
        <f t="shared" si="188"/>
        <v>10.92476141</v>
      </c>
      <c r="Y254" s="12">
        <f t="shared" si="4"/>
        <v>1.75</v>
      </c>
      <c r="Z254" s="12">
        <f t="shared" si="5"/>
        <v>30.04309388</v>
      </c>
      <c r="AA254" s="12">
        <f t="shared" si="6"/>
        <v>67.51257052</v>
      </c>
      <c r="AB254" s="13">
        <f t="shared" si="7"/>
        <v>0.4369904565</v>
      </c>
      <c r="AC254" s="8">
        <f t="shared" si="161"/>
        <v>11.07232763</v>
      </c>
      <c r="AD254" s="13">
        <f t="shared" si="162"/>
        <v>0.442893105</v>
      </c>
      <c r="AE254" s="8">
        <f t="shared" si="163"/>
        <v>11.07232763</v>
      </c>
      <c r="AF254" s="73">
        <f t="shared" si="164"/>
        <v>1.997918943</v>
      </c>
      <c r="AG254" s="74" t="str">
        <f t="shared" si="165"/>
        <v>#REF!</v>
      </c>
      <c r="AH254" s="73">
        <f t="shared" si="166"/>
        <v>0</v>
      </c>
      <c r="AI254" s="73">
        <f t="shared" si="167"/>
        <v>1.123141633</v>
      </c>
      <c r="AJ254" s="75">
        <f t="shared" si="168"/>
        <v>1</v>
      </c>
      <c r="AK254" s="73">
        <f t="shared" si="169"/>
        <v>0.4469052984</v>
      </c>
      <c r="AL254" s="73">
        <f t="shared" si="170"/>
        <v>1.007589311</v>
      </c>
      <c r="AM254" s="73">
        <f t="shared" si="171"/>
        <v>1.814812553</v>
      </c>
      <c r="AN254" s="75">
        <v>10.99</v>
      </c>
      <c r="AO254" s="76">
        <v>11.0</v>
      </c>
      <c r="AP254" s="73">
        <f t="shared" si="172"/>
        <v>11</v>
      </c>
      <c r="AQ254" s="29" t="str">
        <f t="shared" si="173"/>
        <v>#REF!</v>
      </c>
      <c r="AR254" s="77" t="str">
        <f t="shared" si="174"/>
        <v>#REF!</v>
      </c>
      <c r="AS254" s="73"/>
      <c r="AT254" s="39"/>
    </row>
    <row r="255" ht="15.75" customHeight="1">
      <c r="A255" s="7" t="s">
        <v>33</v>
      </c>
      <c r="B255" s="7" t="s">
        <v>33</v>
      </c>
      <c r="C255" s="7">
        <v>1968.0</v>
      </c>
      <c r="D255" s="7"/>
      <c r="E255" s="7">
        <v>1968.0</v>
      </c>
      <c r="F255" s="7" t="b">
        <v>1</v>
      </c>
      <c r="G255" s="7" t="b">
        <v>0</v>
      </c>
      <c r="H255" s="7" t="b">
        <v>1</v>
      </c>
      <c r="I255" s="7" t="b">
        <v>0</v>
      </c>
      <c r="J255" s="9">
        <v>184.0</v>
      </c>
      <c r="K255" s="7">
        <v>1.0</v>
      </c>
      <c r="L255" s="7"/>
      <c r="M255" s="7"/>
      <c r="N255" s="7">
        <v>107.0</v>
      </c>
      <c r="O255" s="7">
        <v>131.41</v>
      </c>
      <c r="P255" s="9">
        <v>220.0</v>
      </c>
      <c r="Q255" s="7">
        <v>326.0</v>
      </c>
      <c r="R255" s="7">
        <v>8.92</v>
      </c>
      <c r="S255" s="7">
        <v>0.998916</v>
      </c>
      <c r="T255" s="7">
        <v>0.99705</v>
      </c>
      <c r="U255" s="10">
        <f t="shared" si="1"/>
        <v>0</v>
      </c>
      <c r="V255" s="10">
        <f t="shared" si="2"/>
        <v>125.2344927</v>
      </c>
      <c r="W255" s="11">
        <f t="shared" si="3"/>
        <v>1.0024049</v>
      </c>
      <c r="X255" s="8">
        <f t="shared" si="188"/>
        <v>131.7260279</v>
      </c>
      <c r="Y255" s="12">
        <f t="shared" si="4"/>
        <v>4</v>
      </c>
      <c r="Z255" s="12">
        <f t="shared" si="5"/>
        <v>658.6301395</v>
      </c>
      <c r="AA255" s="12">
        <f t="shared" si="6"/>
        <v>5.0120245</v>
      </c>
      <c r="AB255" s="13" t="str">
        <f t="shared" si="7"/>
        <v>#N/A</v>
      </c>
      <c r="AC255" s="8">
        <f t="shared" si="161"/>
        <v>133.8295869</v>
      </c>
      <c r="AD255" s="13" t="str">
        <f t="shared" si="162"/>
        <v>#N/A</v>
      </c>
      <c r="AE255" s="8">
        <f t="shared" si="163"/>
        <v>133.8295869</v>
      </c>
      <c r="AF255" s="73">
        <f t="shared" si="164"/>
        <v>26.14094188</v>
      </c>
      <c r="AG255" s="74" t="str">
        <f t="shared" si="165"/>
        <v>#REF!</v>
      </c>
      <c r="AH255" s="73">
        <f t="shared" si="166"/>
        <v>0</v>
      </c>
      <c r="AI255" s="73">
        <f t="shared" si="167"/>
        <v>0</v>
      </c>
      <c r="AJ255" s="75">
        <f t="shared" si="168"/>
        <v>1.005065236</v>
      </c>
      <c r="AK255" s="73">
        <f t="shared" si="169"/>
        <v>1.251171914</v>
      </c>
      <c r="AL255" s="73">
        <f t="shared" si="170"/>
        <v>1.312966516</v>
      </c>
      <c r="AM255" s="73">
        <f t="shared" si="171"/>
        <v>1.139880124</v>
      </c>
      <c r="AN255" s="75">
        <v>107.78</v>
      </c>
      <c r="AO255" s="76">
        <v>110.0</v>
      </c>
      <c r="AP255" s="73">
        <f t="shared" si="172"/>
        <v>110</v>
      </c>
      <c r="AQ255" s="29" t="str">
        <f t="shared" si="173"/>
        <v>#REF!</v>
      </c>
      <c r="AR255" s="77" t="str">
        <f t="shared" si="174"/>
        <v>#REF!</v>
      </c>
      <c r="AS255" s="73"/>
      <c r="AT255" s="39"/>
    </row>
    <row r="256" ht="15.75" customHeight="1">
      <c r="A256" s="16" t="s">
        <v>34</v>
      </c>
      <c r="B256" s="16" t="s">
        <v>33</v>
      </c>
      <c r="C256" s="16">
        <v>1968.0</v>
      </c>
      <c r="D256" s="16"/>
      <c r="E256" s="16">
        <v>1968.0</v>
      </c>
      <c r="F256" s="16" t="b">
        <v>1</v>
      </c>
      <c r="G256" s="16" t="b">
        <v>0</v>
      </c>
      <c r="H256" s="16" t="b">
        <v>1</v>
      </c>
      <c r="I256" s="16" t="b">
        <v>0</v>
      </c>
      <c r="J256" s="18">
        <v>184.0</v>
      </c>
      <c r="K256" s="18">
        <v>5.0</v>
      </c>
      <c r="L256" s="16"/>
      <c r="M256" s="16"/>
      <c r="N256" s="16">
        <v>117.7</v>
      </c>
      <c r="O256" s="16">
        <v>131.41</v>
      </c>
      <c r="P256" s="18">
        <v>220.0</v>
      </c>
      <c r="Q256" s="16">
        <v>326.0</v>
      </c>
      <c r="R256" s="16">
        <v>8.92</v>
      </c>
      <c r="S256" s="16">
        <v>0.999</v>
      </c>
      <c r="T256" s="16">
        <v>0.998</v>
      </c>
      <c r="U256" s="19">
        <f t="shared" si="1"/>
        <v>0</v>
      </c>
      <c r="V256" s="19">
        <f t="shared" si="2"/>
        <v>113.8495388</v>
      </c>
      <c r="W256" s="20">
        <f t="shared" si="3"/>
        <v>1.060103265</v>
      </c>
      <c r="X256" s="17">
        <f t="shared" si="188"/>
        <v>139.30817</v>
      </c>
      <c r="Y256" s="21">
        <f t="shared" si="4"/>
        <v>4</v>
      </c>
      <c r="Z256" s="21">
        <f t="shared" si="5"/>
        <v>696.54085</v>
      </c>
      <c r="AA256" s="21">
        <f t="shared" si="6"/>
        <v>5.300516323</v>
      </c>
      <c r="AB256" s="22" t="str">
        <f t="shared" si="7"/>
        <v>#N/A</v>
      </c>
      <c r="AC256" s="8">
        <f t="shared" si="161"/>
        <v>141.6766875</v>
      </c>
      <c r="AD256" s="13" t="str">
        <f t="shared" si="162"/>
        <v>#N/A</v>
      </c>
      <c r="AE256" s="8">
        <f t="shared" si="163"/>
        <v>141.6766875</v>
      </c>
      <c r="AF256" s="73">
        <f t="shared" si="164"/>
        <v>26.14094188</v>
      </c>
      <c r="AG256" s="74" t="str">
        <f t="shared" si="165"/>
        <v>#REF!</v>
      </c>
      <c r="AH256" s="73">
        <f t="shared" si="166"/>
        <v>0</v>
      </c>
      <c r="AI256" s="73">
        <f t="shared" si="167"/>
        <v>0.4128305045</v>
      </c>
      <c r="AJ256" s="75">
        <f t="shared" si="168"/>
        <v>1.005065236</v>
      </c>
      <c r="AK256" s="73">
        <f t="shared" si="169"/>
        <v>1.192945613</v>
      </c>
      <c r="AL256" s="73">
        <f t="shared" si="170"/>
        <v>1.312966516</v>
      </c>
      <c r="AM256" s="73">
        <f t="shared" si="171"/>
        <v>1.139880124</v>
      </c>
      <c r="AN256" s="75">
        <v>127.45</v>
      </c>
      <c r="AO256" s="76">
        <v>125.0</v>
      </c>
      <c r="AP256" s="73">
        <f t="shared" si="172"/>
        <v>125</v>
      </c>
      <c r="AQ256" s="29" t="str">
        <f t="shared" si="173"/>
        <v>#REF!</v>
      </c>
      <c r="AR256" s="77" t="str">
        <f t="shared" si="174"/>
        <v>#REF!</v>
      </c>
      <c r="AS256" s="73"/>
      <c r="AT256" s="39"/>
    </row>
    <row r="257" ht="15.75" customHeight="1">
      <c r="A257" s="16" t="s">
        <v>70</v>
      </c>
      <c r="B257" s="16" t="s">
        <v>68</v>
      </c>
      <c r="C257" s="16">
        <v>1968.0</v>
      </c>
      <c r="D257" s="16"/>
      <c r="E257" s="16">
        <v>1968.0</v>
      </c>
      <c r="F257" s="16" t="b">
        <v>1</v>
      </c>
      <c r="G257" s="16" t="b">
        <v>0</v>
      </c>
      <c r="H257" s="16" t="b">
        <v>1</v>
      </c>
      <c r="I257" s="16" t="b">
        <v>0</v>
      </c>
      <c r="J257" s="18">
        <v>570.0</v>
      </c>
      <c r="K257" s="18">
        <v>20.0</v>
      </c>
      <c r="L257" s="16">
        <v>50.0</v>
      </c>
      <c r="M257" s="16">
        <v>50.0</v>
      </c>
      <c r="N257" s="16">
        <v>78.0</v>
      </c>
      <c r="O257" s="16">
        <v>0.4</v>
      </c>
      <c r="P257" s="18">
        <v>1.0</v>
      </c>
      <c r="Q257" s="16">
        <v>278.0</v>
      </c>
      <c r="R257" s="16">
        <v>0.62</v>
      </c>
      <c r="S257" s="16">
        <v>0.999414</v>
      </c>
      <c r="T257" s="16">
        <v>0.999123</v>
      </c>
      <c r="U257" s="19">
        <f t="shared" si="1"/>
        <v>100</v>
      </c>
      <c r="V257" s="19">
        <f t="shared" si="2"/>
        <v>0.5229313897</v>
      </c>
      <c r="W257" s="20">
        <f t="shared" si="3"/>
        <v>196.5817851</v>
      </c>
      <c r="X257" s="17">
        <f t="shared" si="188"/>
        <v>78.63271405</v>
      </c>
      <c r="Y257" s="21">
        <f t="shared" si="4"/>
        <v>4</v>
      </c>
      <c r="Z257" s="21">
        <f t="shared" si="5"/>
        <v>393.1635702</v>
      </c>
      <c r="AA257" s="21">
        <f t="shared" si="6"/>
        <v>982.9089256</v>
      </c>
      <c r="AB257" s="22">
        <f t="shared" si="7"/>
        <v>0.7863271405</v>
      </c>
      <c r="AC257" s="8">
        <f t="shared" si="161"/>
        <v>80.09036908</v>
      </c>
      <c r="AD257" s="13">
        <f t="shared" si="162"/>
        <v>0.8009036908</v>
      </c>
      <c r="AE257" s="8">
        <f t="shared" si="163"/>
        <v>80.09036908</v>
      </c>
      <c r="AF257" s="73">
        <f t="shared" si="164"/>
        <v>1.201843501</v>
      </c>
      <c r="AG257" s="74" t="str">
        <f t="shared" si="165"/>
        <v>#REF!</v>
      </c>
      <c r="AH257" s="73">
        <f t="shared" si="166"/>
        <v>0</v>
      </c>
      <c r="AI257" s="73">
        <f t="shared" si="167"/>
        <v>0.6760795925</v>
      </c>
      <c r="AJ257" s="75">
        <f t="shared" si="168"/>
        <v>1</v>
      </c>
      <c r="AK257" s="73">
        <f t="shared" si="169"/>
        <v>0.2</v>
      </c>
      <c r="AL257" s="73">
        <f t="shared" si="170"/>
        <v>0.8598383712</v>
      </c>
      <c r="AM257" s="73">
        <f t="shared" si="171"/>
        <v>1.511787565</v>
      </c>
      <c r="AN257" s="75">
        <v>3.81</v>
      </c>
      <c r="AO257" s="76">
        <v>3.8</v>
      </c>
      <c r="AP257" s="73">
        <f t="shared" si="172"/>
        <v>3.8</v>
      </c>
      <c r="AQ257" s="29" t="str">
        <f t="shared" si="173"/>
        <v>#REF!</v>
      </c>
      <c r="AR257" s="77" t="str">
        <f t="shared" si="174"/>
        <v>#REF!</v>
      </c>
      <c r="AS257" s="73"/>
      <c r="AT257" s="39"/>
    </row>
    <row r="258" ht="15.75" customHeight="1">
      <c r="A258" s="7" t="s">
        <v>69</v>
      </c>
      <c r="B258" s="7" t="s">
        <v>68</v>
      </c>
      <c r="C258" s="7">
        <v>1968.0</v>
      </c>
      <c r="D258" s="7"/>
      <c r="E258" s="7">
        <v>1968.0</v>
      </c>
      <c r="F258" s="7" t="b">
        <v>1</v>
      </c>
      <c r="G258" s="7" t="b">
        <v>0</v>
      </c>
      <c r="H258" s="7" t="b">
        <v>1</v>
      </c>
      <c r="I258" s="7" t="b">
        <v>0</v>
      </c>
      <c r="J258" s="9">
        <v>570.0</v>
      </c>
      <c r="K258" s="9">
        <v>20.0</v>
      </c>
      <c r="L258" s="7">
        <v>50.0</v>
      </c>
      <c r="M258" s="7">
        <v>50.0</v>
      </c>
      <c r="N258" s="7">
        <v>78.0</v>
      </c>
      <c r="O258" s="7">
        <v>0.4</v>
      </c>
      <c r="P258" s="9">
        <v>1.0</v>
      </c>
      <c r="Q258" s="7">
        <v>273.0</v>
      </c>
      <c r="R258" s="7">
        <v>0.62</v>
      </c>
      <c r="S258" s="7">
        <v>0.999414</v>
      </c>
      <c r="T258" s="7">
        <v>0.999123</v>
      </c>
      <c r="U258" s="10">
        <f t="shared" si="1"/>
        <v>100</v>
      </c>
      <c r="V258" s="10">
        <f t="shared" si="2"/>
        <v>0.5229313897</v>
      </c>
      <c r="W258" s="11">
        <f t="shared" si="3"/>
        <v>194.5955933</v>
      </c>
      <c r="X258" s="8">
        <f t="shared" si="188"/>
        <v>77.83823731</v>
      </c>
      <c r="Y258" s="12">
        <f t="shared" si="4"/>
        <v>4</v>
      </c>
      <c r="Z258" s="12">
        <f t="shared" si="5"/>
        <v>389.1911865</v>
      </c>
      <c r="AA258" s="12">
        <f t="shared" si="6"/>
        <v>972.9779663</v>
      </c>
      <c r="AB258" s="13">
        <f t="shared" si="7"/>
        <v>0.7783823731</v>
      </c>
      <c r="AC258" s="8">
        <f t="shared" si="161"/>
        <v>79.28116471</v>
      </c>
      <c r="AD258" s="13">
        <f t="shared" si="162"/>
        <v>0.7928116471</v>
      </c>
      <c r="AE258" s="8">
        <f t="shared" si="163"/>
        <v>79.28116471</v>
      </c>
      <c r="AF258" s="73">
        <f t="shared" si="164"/>
        <v>1.201843501</v>
      </c>
      <c r="AG258" s="74" t="str">
        <f t="shared" si="165"/>
        <v>#REF!</v>
      </c>
      <c r="AH258" s="73">
        <f t="shared" si="166"/>
        <v>0</v>
      </c>
      <c r="AI258" s="73">
        <f t="shared" si="167"/>
        <v>0.6760795925</v>
      </c>
      <c r="AJ258" s="75">
        <f t="shared" si="168"/>
        <v>1</v>
      </c>
      <c r="AK258" s="73">
        <f t="shared" si="169"/>
        <v>0.2</v>
      </c>
      <c r="AL258" s="73">
        <f t="shared" si="170"/>
        <v>0.8308288225</v>
      </c>
      <c r="AM258" s="73">
        <f t="shared" si="171"/>
        <v>1.511787565</v>
      </c>
      <c r="AN258" s="75">
        <v>3.68</v>
      </c>
      <c r="AO258" s="76">
        <v>3.7</v>
      </c>
      <c r="AP258" s="73">
        <f t="shared" si="172"/>
        <v>3.7</v>
      </c>
      <c r="AQ258" s="29" t="str">
        <f t="shared" si="173"/>
        <v>#REF!</v>
      </c>
      <c r="AR258" s="77" t="str">
        <f t="shared" si="174"/>
        <v>#REF!</v>
      </c>
      <c r="AS258" s="73"/>
      <c r="AT258" s="39"/>
    </row>
    <row r="259" ht="15.75" customHeight="1">
      <c r="A259" s="16" t="s">
        <v>327</v>
      </c>
      <c r="B259" s="16" t="s">
        <v>325</v>
      </c>
      <c r="C259" s="16">
        <v>1968.0</v>
      </c>
      <c r="D259" s="16" t="b">
        <v>1</v>
      </c>
      <c r="E259" s="16">
        <v>1968.0</v>
      </c>
      <c r="F259" s="16" t="b">
        <v>1</v>
      </c>
      <c r="G259" s="16" t="b">
        <v>0</v>
      </c>
      <c r="H259" s="16" t="b">
        <v>0</v>
      </c>
      <c r="I259" s="16" t="b">
        <v>0</v>
      </c>
      <c r="J259" s="18">
        <v>500.0</v>
      </c>
      <c r="K259" s="18">
        <v>2.0</v>
      </c>
      <c r="L259" s="16">
        <v>700.0</v>
      </c>
      <c r="M259" s="16">
        <v>350.0</v>
      </c>
      <c r="N259" s="16">
        <v>939.0</v>
      </c>
      <c r="O259" s="16">
        <v>801.0</v>
      </c>
      <c r="P259" s="18">
        <v>358.0</v>
      </c>
      <c r="Q259" s="16">
        <v>409.0</v>
      </c>
      <c r="R259" s="16">
        <v>5.67</v>
      </c>
      <c r="S259" s="16">
        <v>0.99</v>
      </c>
      <c r="T259" s="16">
        <v>0.995</v>
      </c>
      <c r="U259" s="19">
        <f t="shared" si="1"/>
        <v>1050</v>
      </c>
      <c r="V259" s="19">
        <f t="shared" si="2"/>
        <v>86.98537638</v>
      </c>
      <c r="W259" s="20">
        <f t="shared" si="3"/>
        <v>1.493100434</v>
      </c>
      <c r="X259" s="17">
        <f>0.9*(0.00015*N259*Q259*R259+797)+0.1*(43.1*POWER(N259,0.549))</f>
        <v>1195.973448</v>
      </c>
      <c r="Y259" s="21">
        <f t="shared" si="4"/>
        <v>4</v>
      </c>
      <c r="Z259" s="21">
        <f t="shared" si="5"/>
        <v>5979.867238</v>
      </c>
      <c r="AA259" s="21">
        <f t="shared" si="6"/>
        <v>7.46550217</v>
      </c>
      <c r="AB259" s="22">
        <f t="shared" si="7"/>
        <v>1.139022331</v>
      </c>
      <c r="AC259" s="8">
        <f t="shared" si="161"/>
        <v>1202.013114</v>
      </c>
      <c r="AD259" s="13">
        <f t="shared" si="162"/>
        <v>1.144774394</v>
      </c>
      <c r="AE259" s="8">
        <f t="shared" si="163"/>
        <v>519.5839024</v>
      </c>
      <c r="AF259" s="73">
        <f t="shared" si="164"/>
        <v>109.082276</v>
      </c>
      <c r="AG259" s="74" t="str">
        <f t="shared" si="165"/>
        <v>#REF!</v>
      </c>
      <c r="AH259" s="73">
        <f t="shared" si="166"/>
        <v>0</v>
      </c>
      <c r="AI259" s="73">
        <f t="shared" si="167"/>
        <v>0.1941741551</v>
      </c>
      <c r="AJ259" s="75">
        <f t="shared" si="168"/>
        <v>1.279731318</v>
      </c>
      <c r="AK259" s="73">
        <f t="shared" si="169"/>
        <v>1.042745033</v>
      </c>
      <c r="AL259" s="73">
        <f t="shared" si="170"/>
        <v>3.733826298</v>
      </c>
      <c r="AM259" s="73">
        <f t="shared" si="171"/>
        <v>1.474076339</v>
      </c>
      <c r="AN259" s="75">
        <v>1836.83</v>
      </c>
      <c r="AO259" s="76">
        <v>1800.0</v>
      </c>
      <c r="AP259" s="73">
        <f t="shared" si="172"/>
        <v>1800</v>
      </c>
      <c r="AQ259" s="29" t="str">
        <f t="shared" si="173"/>
        <v>#REF!</v>
      </c>
      <c r="AR259" s="77" t="str">
        <f t="shared" si="174"/>
        <v>#REF!</v>
      </c>
      <c r="AS259" s="73"/>
      <c r="AT259" s="39"/>
    </row>
    <row r="260" ht="15.75" customHeight="1">
      <c r="A260" s="16" t="s">
        <v>493</v>
      </c>
      <c r="B260" s="16" t="s">
        <v>492</v>
      </c>
      <c r="C260" s="16">
        <v>1968.0</v>
      </c>
      <c r="D260" s="16"/>
      <c r="E260" s="16">
        <v>1968.0</v>
      </c>
      <c r="F260" s="16" t="b">
        <v>1</v>
      </c>
      <c r="G260" s="16" t="b">
        <v>0</v>
      </c>
      <c r="H260" s="16" t="b">
        <v>1</v>
      </c>
      <c r="I260" s="16" t="b">
        <v>0</v>
      </c>
      <c r="J260" s="18">
        <v>183.0</v>
      </c>
      <c r="K260" s="16">
        <v>1.0</v>
      </c>
      <c r="L260" s="16">
        <v>194.0</v>
      </c>
      <c r="M260" s="16"/>
      <c r="N260" s="16">
        <v>199.0</v>
      </c>
      <c r="O260" s="16">
        <v>230.5</v>
      </c>
      <c r="P260" s="18">
        <v>200.0</v>
      </c>
      <c r="Q260" s="16">
        <v>328.8</v>
      </c>
      <c r="R260" s="16">
        <v>17.5</v>
      </c>
      <c r="S260" s="16">
        <v>0.998357</v>
      </c>
      <c r="T260" s="16">
        <v>0.998357</v>
      </c>
      <c r="U260" s="19">
        <f t="shared" si="1"/>
        <v>194</v>
      </c>
      <c r="V260" s="19">
        <f t="shared" si="2"/>
        <v>118.1128575</v>
      </c>
      <c r="W260" s="20">
        <f t="shared" si="3"/>
        <v>0.8863228007</v>
      </c>
      <c r="X260" s="17">
        <f>0.2*(8.17*POWER(N260*R260,0.46))+0.6*(0.146*POWER(N260*Q260,0.639))+0.2*(0.29*O260+83.4)</f>
        <v>204.2974056</v>
      </c>
      <c r="Y260" s="21">
        <f t="shared" si="4"/>
        <v>4</v>
      </c>
      <c r="Z260" s="21">
        <f t="shared" si="5"/>
        <v>1021.487028</v>
      </c>
      <c r="AA260" s="21">
        <f t="shared" si="6"/>
        <v>4.431614004</v>
      </c>
      <c r="AB260" s="22">
        <f t="shared" si="7"/>
        <v>1.05307941</v>
      </c>
      <c r="AC260" s="8">
        <f t="shared" si="161"/>
        <v>207.7125839</v>
      </c>
      <c r="AD260" s="13">
        <f t="shared" si="162"/>
        <v>1.070683422</v>
      </c>
      <c r="AE260" s="8">
        <f t="shared" si="163"/>
        <v>212.6319304</v>
      </c>
      <c r="AF260" s="73">
        <f t="shared" si="164"/>
        <v>39.70491608</v>
      </c>
      <c r="AG260" s="74" t="str">
        <f t="shared" si="165"/>
        <v>#REF!</v>
      </c>
      <c r="AH260" s="73">
        <f t="shared" si="166"/>
        <v>0</v>
      </c>
      <c r="AI260" s="73">
        <f t="shared" si="167"/>
        <v>0</v>
      </c>
      <c r="AJ260" s="75">
        <f t="shared" si="168"/>
        <v>1</v>
      </c>
      <c r="AK260" s="73">
        <f t="shared" si="169"/>
        <v>1.215076425</v>
      </c>
      <c r="AL260" s="73">
        <f t="shared" si="170"/>
        <v>1.356236009</v>
      </c>
      <c r="AM260" s="73">
        <f t="shared" si="171"/>
        <v>1.137809818</v>
      </c>
      <c r="AN260" s="75">
        <v>167.75</v>
      </c>
      <c r="AO260" s="76">
        <v>170.0</v>
      </c>
      <c r="AP260" s="73">
        <f t="shared" si="172"/>
        <v>170</v>
      </c>
      <c r="AQ260" s="29" t="str">
        <f t="shared" si="173"/>
        <v>#REF!</v>
      </c>
      <c r="AR260" s="77" t="str">
        <f t="shared" si="174"/>
        <v>#REF!</v>
      </c>
      <c r="AS260" s="73"/>
      <c r="AT260" s="39"/>
    </row>
    <row r="261" ht="15.75" customHeight="1">
      <c r="A261" s="7" t="s">
        <v>583</v>
      </c>
      <c r="B261" s="7" t="s">
        <v>579</v>
      </c>
      <c r="C261" s="7">
        <v>1968.0</v>
      </c>
      <c r="D261" s="7"/>
      <c r="E261" s="7">
        <v>1968.0</v>
      </c>
      <c r="F261" s="7" t="b">
        <v>1</v>
      </c>
      <c r="G261" s="7" t="b">
        <v>0</v>
      </c>
      <c r="H261" s="7" t="b">
        <v>0</v>
      </c>
      <c r="I261" s="7" t="b">
        <v>0</v>
      </c>
      <c r="J261" s="9">
        <v>146.0</v>
      </c>
      <c r="K261" s="7">
        <v>1.0</v>
      </c>
      <c r="L261" s="7">
        <v>330.0</v>
      </c>
      <c r="M261" s="7">
        <v>-50.0</v>
      </c>
      <c r="N261" s="7">
        <v>655.0</v>
      </c>
      <c r="O261" s="7">
        <v>872.3</v>
      </c>
      <c r="P261" s="9">
        <v>248.0</v>
      </c>
      <c r="Q261" s="7">
        <v>291.3</v>
      </c>
      <c r="R261" s="7">
        <v>7.35</v>
      </c>
      <c r="S261" s="7">
        <v>0.998934</v>
      </c>
      <c r="T261" s="7">
        <v>0.998934</v>
      </c>
      <c r="U261" s="10">
        <f t="shared" si="1"/>
        <v>280</v>
      </c>
      <c r="V261" s="10">
        <f t="shared" si="2"/>
        <v>135.8012901</v>
      </c>
      <c r="W261" s="11">
        <f t="shared" si="3"/>
        <v>0.4095937709</v>
      </c>
      <c r="X261" s="8">
        <f>0.2*(8.17*POWER(N261*R261,0.46))+0.8*(0.146*POWER(N261*Q261,0.639))</f>
        <v>357.2886463</v>
      </c>
      <c r="Y261" s="12">
        <f t="shared" si="4"/>
        <v>4</v>
      </c>
      <c r="Z261" s="12">
        <f t="shared" si="5"/>
        <v>1786.443232</v>
      </c>
      <c r="AA261" s="12">
        <f t="shared" si="6"/>
        <v>2.047968854</v>
      </c>
      <c r="AB261" s="13">
        <f t="shared" si="7"/>
        <v>1.27603088</v>
      </c>
      <c r="AC261" s="8">
        <f t="shared" si="161"/>
        <v>363.6730859</v>
      </c>
      <c r="AD261" s="13">
        <f t="shared" si="162"/>
        <v>1.29883245</v>
      </c>
      <c r="AE261" s="8">
        <f t="shared" si="163"/>
        <v>363.6730859</v>
      </c>
      <c r="AF261" s="73">
        <f t="shared" si="164"/>
        <v>117.3265909</v>
      </c>
      <c r="AG261" s="74" t="str">
        <f t="shared" si="165"/>
        <v>#REF!</v>
      </c>
      <c r="AH261" s="73">
        <f t="shared" si="166"/>
        <v>0</v>
      </c>
      <c r="AI261" s="73">
        <f t="shared" si="167"/>
        <v>0</v>
      </c>
      <c r="AJ261" s="75">
        <f t="shared" si="168"/>
        <v>1.23438031</v>
      </c>
      <c r="AK261" s="73">
        <f t="shared" si="169"/>
        <v>1.302887611</v>
      </c>
      <c r="AL261" s="73">
        <f t="shared" si="170"/>
        <v>0.9420302182</v>
      </c>
      <c r="AM261" s="73">
        <f t="shared" si="171"/>
        <v>1.049365636</v>
      </c>
      <c r="AN261" s="75">
        <v>419.23</v>
      </c>
      <c r="AO261" s="76">
        <v>420.0</v>
      </c>
      <c r="AP261" s="73">
        <f t="shared" si="172"/>
        <v>420</v>
      </c>
      <c r="AQ261" s="29" t="str">
        <f t="shared" si="173"/>
        <v>#REF!</v>
      </c>
      <c r="AR261" s="77" t="str">
        <f t="shared" si="174"/>
        <v>#REF!</v>
      </c>
      <c r="AS261" s="73"/>
      <c r="AT261" s="39"/>
    </row>
    <row r="262" ht="15.75" hidden="1" customHeight="1">
      <c r="A262" s="7" t="s">
        <v>899</v>
      </c>
      <c r="B262" s="7" t="s">
        <v>899</v>
      </c>
      <c r="C262" s="7">
        <v>1962.0</v>
      </c>
      <c r="D262" s="7"/>
      <c r="E262" s="7">
        <v>1962.0</v>
      </c>
      <c r="F262" s="7" t="b">
        <v>0</v>
      </c>
      <c r="G262" s="7" t="b">
        <v>1</v>
      </c>
      <c r="H262" s="7" t="b">
        <v>0</v>
      </c>
      <c r="I262" s="7" t="b">
        <v>0</v>
      </c>
      <c r="J262" s="7"/>
      <c r="K262" s="7"/>
      <c r="L262" s="7">
        <v>750.0</v>
      </c>
      <c r="M262" s="7">
        <v>0.0</v>
      </c>
      <c r="N262" s="7">
        <v>2292.0</v>
      </c>
      <c r="O262" s="7">
        <v>876.0</v>
      </c>
      <c r="P262" s="7"/>
      <c r="Q262" s="7">
        <v>262.0</v>
      </c>
      <c r="R262" s="7"/>
      <c r="S262" s="7"/>
      <c r="T262" s="7"/>
      <c r="U262" s="10">
        <f t="shared" si="1"/>
        <v>750</v>
      </c>
      <c r="V262" s="10">
        <f t="shared" si="2"/>
        <v>38.97344677</v>
      </c>
      <c r="W262" s="11">
        <f t="shared" si="3"/>
        <v>0.6567656036</v>
      </c>
      <c r="X262" s="8">
        <f>0.2*(8.17*POW(N262*R262,0.46))+0.8*(0.146*POW(N262*Q262,0.639))</f>
        <v>575.3266688</v>
      </c>
      <c r="Y262" s="12">
        <f t="shared" si="4"/>
        <v>1.05</v>
      </c>
      <c r="Z262" s="12">
        <f t="shared" si="5"/>
        <v>1179.419671</v>
      </c>
      <c r="AA262" s="12">
        <f t="shared" si="6"/>
        <v>1.346369487</v>
      </c>
      <c r="AB262" s="13">
        <f t="shared" si="7"/>
        <v>0.767102225</v>
      </c>
      <c r="AC262" s="8">
        <f>IF(I262,X262*1.5,X262)*IF(S262*T262&gt;0,(S262*T262+0.02),1)</f>
        <v>575.3266688</v>
      </c>
      <c r="AG262" s="7"/>
    </row>
    <row r="263" ht="15.75" customHeight="1">
      <c r="A263" s="7" t="s">
        <v>1023</v>
      </c>
      <c r="B263" s="7" t="s">
        <v>726</v>
      </c>
      <c r="C263" s="7">
        <v>1968.0</v>
      </c>
      <c r="D263" s="7" t="b">
        <v>1</v>
      </c>
      <c r="E263" s="7">
        <v>1968.0</v>
      </c>
      <c r="F263" s="7" t="b">
        <v>1</v>
      </c>
      <c r="G263" s="7" t="b">
        <v>0</v>
      </c>
      <c r="H263" s="7" t="b">
        <v>1</v>
      </c>
      <c r="I263" s="7" t="b">
        <v>0</v>
      </c>
      <c r="J263" s="9">
        <v>470.0</v>
      </c>
      <c r="K263" s="9">
        <v>10.0</v>
      </c>
      <c r="L263" s="7">
        <v>350.0</v>
      </c>
      <c r="M263" s="7">
        <v>50.0</v>
      </c>
      <c r="N263" s="7">
        <v>131.0</v>
      </c>
      <c r="O263" s="7">
        <v>72.56</v>
      </c>
      <c r="P263" s="9">
        <v>185.0</v>
      </c>
      <c r="Q263" s="7">
        <v>425.0</v>
      </c>
      <c r="R263" s="7">
        <v>2.72</v>
      </c>
      <c r="S263" s="7">
        <v>0.998128</v>
      </c>
      <c r="T263" s="7">
        <v>0.996316</v>
      </c>
      <c r="U263" s="10">
        <f t="shared" si="1"/>
        <v>400</v>
      </c>
      <c r="V263" s="10">
        <f t="shared" si="2"/>
        <v>56.4813803</v>
      </c>
      <c r="W263" s="11">
        <f t="shared" si="3"/>
        <v>11.0306634</v>
      </c>
      <c r="X263" s="8">
        <f>0.9*(0.00015*N263*Q263*R263+797)+0.1*(43.1*POWER(N263,0.549))</f>
        <v>800.3849363</v>
      </c>
      <c r="Y263" s="12">
        <f t="shared" si="4"/>
        <v>4</v>
      </c>
      <c r="Z263" s="12">
        <f t="shared" si="5"/>
        <v>4001.924682</v>
      </c>
      <c r="AA263" s="12">
        <f t="shared" si="6"/>
        <v>55.153317</v>
      </c>
      <c r="AB263" s="13">
        <f t="shared" si="7"/>
        <v>2.000962341</v>
      </c>
      <c r="AC263" s="8">
        <f t="shared" ref="AC263:AC285" si="189">X263*IF(I263,1.5,1)*IF(S263*T263&gt;0,(S263*T263+0.02),1)</f>
        <v>811.9512162</v>
      </c>
      <c r="AD263" s="13">
        <f t="shared" ref="AD263:AD285" si="190">IFERROR(AC263/U263,#N/A)</f>
        <v>2.02987804</v>
      </c>
      <c r="AE263" s="8">
        <f t="shared" ref="AE263:AE285" si="191">IF(I263,1.5,1)*IF(S263*T263&gt;0,(S263*T263+0.02),1)*(0.2*(8.17*POWER(N263*R263,0.46))+0.8*(0.146*POWER(N263*Q263,0.639)))</f>
        <v>152.4242036</v>
      </c>
      <c r="AF263" s="73">
        <f t="shared" ref="AF263:AF285" si="192">If(F263,$AT$2*O263*(1-log(O263)*0.04+1/(O263/80)^0.6),$AT$3*O263*(1+1/(O263/12)^0.9-log(O263)*0.03))</f>
        <v>17.29153159</v>
      </c>
      <c r="AG263" s="74" t="str">
        <f t="shared" ref="AG263:AG285" si="193">If(F263,VLOOKUP(E263,#REF!,2),VLOOKUP(E263,#REF!,3))</f>
        <v>#REF!</v>
      </c>
      <c r="AH263" s="73">
        <f t="shared" ref="AH263:AH285" si="194">If(I263,2,0)</f>
        <v>0</v>
      </c>
      <c r="AI263" s="73">
        <f t="shared" ref="AI263:AI285" si="195">1.5-1.5/K263^0.2</f>
        <v>0.5535639833</v>
      </c>
      <c r="AJ263" s="75">
        <f t="shared" ref="AJ263:AJ285" si="196">If(P263/Q263 &gt; 0.66,1+2.8*(P263/Q263-0.66)^1.5,1)</f>
        <v>1</v>
      </c>
      <c r="AK263" s="73">
        <f t="shared" ref="AK263:AK285" si="197">Max(0.8,Pow(V263/5,0.5))/4</f>
        <v>0.8402483286</v>
      </c>
      <c r="AL263" s="73">
        <f t="shared" ref="AL263:AL285" si="198">IF(Q263&gt;300,IF(Q263&gt;460.39,7.5*8.5^((Q263/460.4-1)^0.6),6.5^((Q263/150-2)^1.1)),2.8^(Q263/150-2))</f>
        <v>4.625820105</v>
      </c>
      <c r="AM263" s="73">
        <f t="shared" ref="AM263:AM285" si="199">If(ISBLANK(J263),1,2.6*(1-1/((J263*0.05)^0.26)))</f>
        <v>1.455816439</v>
      </c>
      <c r="AN263" s="75">
        <v>330.79</v>
      </c>
      <c r="AO263" s="76">
        <v>330.0</v>
      </c>
      <c r="AP263" s="73">
        <f t="shared" ref="AP263:AP285" si="200">If(MOD(Log10(AO263),1)&gt;0.2,ROUND(AO263,1-INT(LOG10(AO263))), ROUND(2*AO263,1-INT(LOG10(2*AO263)))/2)</f>
        <v>330</v>
      </c>
      <c r="AQ263" s="29" t="str">
        <f t="shared" ref="AQ263:AQ285" si="201">VLOOKUP(A263,#REF!,27,FALSE)</f>
        <v>#REF!</v>
      </c>
      <c r="AR263" s="77" t="str">
        <f t="shared" ref="AR263:AR285" si="202">AP263/AQ263-1</f>
        <v>#REF!</v>
      </c>
      <c r="AS263" s="73"/>
      <c r="AT263" s="39"/>
    </row>
    <row r="264" ht="15.75" customHeight="1">
      <c r="A264" s="16" t="s">
        <v>252</v>
      </c>
      <c r="B264" s="16" t="s">
        <v>252</v>
      </c>
      <c r="C264" s="16">
        <v>1969.0</v>
      </c>
      <c r="D264" s="16"/>
      <c r="E264" s="16">
        <v>1969.0</v>
      </c>
      <c r="F264" s="16" t="b">
        <v>0</v>
      </c>
      <c r="G264" s="16" t="b">
        <v>0</v>
      </c>
      <c r="H264" s="16" t="b">
        <v>1</v>
      </c>
      <c r="I264" s="16" t="b">
        <v>0</v>
      </c>
      <c r="J264" s="18">
        <v>465.0</v>
      </c>
      <c r="K264" s="18">
        <v>35.0</v>
      </c>
      <c r="L264" s="16">
        <v>550.0</v>
      </c>
      <c r="M264" s="16">
        <v>0.0</v>
      </c>
      <c r="N264" s="16">
        <v>79.42</v>
      </c>
      <c r="O264" s="16">
        <v>15.57</v>
      </c>
      <c r="P264" s="18">
        <v>1.0</v>
      </c>
      <c r="Q264" s="16">
        <v>311.0</v>
      </c>
      <c r="R264" s="16">
        <v>0.83</v>
      </c>
      <c r="S264" s="16">
        <v>0.998889</v>
      </c>
      <c r="T264" s="16">
        <v>0.997778</v>
      </c>
      <c r="U264" s="19">
        <f t="shared" si="1"/>
        <v>550</v>
      </c>
      <c r="V264" s="19">
        <f t="shared" si="2"/>
        <v>19.99116267</v>
      </c>
      <c r="W264" s="20">
        <f t="shared" si="3"/>
        <v>5.529937324</v>
      </c>
      <c r="X264" s="17">
        <f t="shared" ref="X264:X267" si="203">0.2*(8.17*POWER(N264*R264,0.46))+0.8*(0.146*POWER(N264*Q264,0.639))</f>
        <v>86.10112414</v>
      </c>
      <c r="Y264" s="21">
        <f t="shared" si="4"/>
        <v>1.75</v>
      </c>
      <c r="Z264" s="21">
        <f t="shared" si="5"/>
        <v>236.7780914</v>
      </c>
      <c r="AA264" s="21">
        <f t="shared" si="6"/>
        <v>15.20732764</v>
      </c>
      <c r="AB264" s="22">
        <f t="shared" si="7"/>
        <v>0.1565474984</v>
      </c>
      <c r="AC264" s="8">
        <f t="shared" si="189"/>
        <v>87.53638413</v>
      </c>
      <c r="AD264" s="13">
        <f t="shared" si="190"/>
        <v>0.159157062</v>
      </c>
      <c r="AE264" s="8">
        <f t="shared" si="191"/>
        <v>87.53638413</v>
      </c>
      <c r="AF264" s="73">
        <f t="shared" si="192"/>
        <v>6.012537184</v>
      </c>
      <c r="AG264" s="74" t="str">
        <f t="shared" si="193"/>
        <v>#REF!</v>
      </c>
      <c r="AH264" s="73">
        <f t="shared" si="194"/>
        <v>0</v>
      </c>
      <c r="AI264" s="73">
        <f t="shared" si="195"/>
        <v>0.7633220851</v>
      </c>
      <c r="AJ264" s="75">
        <f t="shared" si="196"/>
        <v>1</v>
      </c>
      <c r="AK264" s="73">
        <f t="shared" si="197"/>
        <v>0.4998895211</v>
      </c>
      <c r="AL264" s="73">
        <f t="shared" si="198"/>
        <v>1.111492852</v>
      </c>
      <c r="AM264" s="73">
        <f t="shared" si="199"/>
        <v>1.452630294</v>
      </c>
      <c r="AN264" s="75">
        <v>25.65</v>
      </c>
      <c r="AO264" s="76">
        <v>26.0</v>
      </c>
      <c r="AP264" s="73">
        <f t="shared" si="200"/>
        <v>26</v>
      </c>
      <c r="AQ264" s="29" t="str">
        <f t="shared" si="201"/>
        <v>#REF!</v>
      </c>
      <c r="AR264" s="77" t="str">
        <f t="shared" si="202"/>
        <v>#REF!</v>
      </c>
      <c r="AS264" s="73"/>
      <c r="AT264" s="39"/>
    </row>
    <row r="265" ht="15.75" customHeight="1">
      <c r="A265" s="16" t="s">
        <v>254</v>
      </c>
      <c r="B265" s="16" t="s">
        <v>255</v>
      </c>
      <c r="C265" s="16">
        <v>1969.0</v>
      </c>
      <c r="D265" s="16"/>
      <c r="E265" s="16">
        <v>1969.0</v>
      </c>
      <c r="F265" s="16" t="b">
        <v>0</v>
      </c>
      <c r="G265" s="16" t="b">
        <v>0</v>
      </c>
      <c r="H265" s="16" t="b">
        <v>1</v>
      </c>
      <c r="I265" s="16" t="b">
        <v>1</v>
      </c>
      <c r="J265" s="18">
        <v>960.0</v>
      </c>
      <c r="K265" s="18">
        <v>20.0</v>
      </c>
      <c r="L265" s="16">
        <v>900.0</v>
      </c>
      <c r="M265" s="16">
        <v>0.0</v>
      </c>
      <c r="N265" s="16">
        <v>158.0</v>
      </c>
      <c r="O265" s="16">
        <v>46.71</v>
      </c>
      <c r="P265" s="18">
        <v>95.0</v>
      </c>
      <c r="Q265" s="16">
        <v>305.0</v>
      </c>
      <c r="R265" s="16">
        <v>0.71</v>
      </c>
      <c r="S265" s="16">
        <v>0.997826</v>
      </c>
      <c r="T265" s="16">
        <v>0.996721</v>
      </c>
      <c r="U265" s="19">
        <f t="shared" si="1"/>
        <v>900</v>
      </c>
      <c r="V265" s="19">
        <f t="shared" si="2"/>
        <v>30.1461672</v>
      </c>
      <c r="W265" s="20">
        <f t="shared" si="3"/>
        <v>2.763974221</v>
      </c>
      <c r="X265" s="17">
        <f t="shared" si="203"/>
        <v>129.1052359</v>
      </c>
      <c r="Y265" s="21">
        <f t="shared" si="4"/>
        <v>1.75</v>
      </c>
      <c r="Z265" s="21">
        <f t="shared" si="5"/>
        <v>355.0393987</v>
      </c>
      <c r="AA265" s="21">
        <f t="shared" si="6"/>
        <v>7.600929109</v>
      </c>
      <c r="AB265" s="22">
        <f t="shared" si="7"/>
        <v>0.1434502621</v>
      </c>
      <c r="AC265" s="8">
        <f t="shared" si="189"/>
        <v>196.4763751</v>
      </c>
      <c r="AD265" s="13">
        <f t="shared" si="190"/>
        <v>0.2183070835</v>
      </c>
      <c r="AE265" s="8">
        <f t="shared" si="191"/>
        <v>196.4763751</v>
      </c>
      <c r="AF265" s="73">
        <f t="shared" si="192"/>
        <v>12.78585768</v>
      </c>
      <c r="AG265" s="74" t="str">
        <f t="shared" si="193"/>
        <v>#REF!</v>
      </c>
      <c r="AH265" s="73">
        <f t="shared" si="194"/>
        <v>2</v>
      </c>
      <c r="AI265" s="73">
        <f t="shared" si="195"/>
        <v>0.6760795925</v>
      </c>
      <c r="AJ265" s="75">
        <f t="shared" si="196"/>
        <v>1</v>
      </c>
      <c r="AK265" s="73">
        <f t="shared" si="197"/>
        <v>0.6138624357</v>
      </c>
      <c r="AL265" s="73">
        <f t="shared" si="198"/>
        <v>1.045405091</v>
      </c>
      <c r="AM265" s="73">
        <f t="shared" si="199"/>
        <v>1.649722107</v>
      </c>
      <c r="AN265" s="75">
        <v>106.22</v>
      </c>
      <c r="AO265" s="76">
        <v>105.0</v>
      </c>
      <c r="AP265" s="73">
        <f t="shared" si="200"/>
        <v>105</v>
      </c>
      <c r="AQ265" s="29" t="str">
        <f t="shared" si="201"/>
        <v>#REF!</v>
      </c>
      <c r="AR265" s="77" t="str">
        <f t="shared" si="202"/>
        <v>#REF!</v>
      </c>
      <c r="AS265" s="73"/>
      <c r="AT265" s="39"/>
    </row>
    <row r="266" ht="15.75" customHeight="1">
      <c r="A266" s="16" t="s">
        <v>132</v>
      </c>
      <c r="B266" s="16" t="s">
        <v>130</v>
      </c>
      <c r="C266" s="16">
        <v>1969.0</v>
      </c>
      <c r="D266" s="16" t="b">
        <v>0</v>
      </c>
      <c r="E266" s="16">
        <v>1969.0</v>
      </c>
      <c r="F266" s="16" t="b">
        <v>1</v>
      </c>
      <c r="G266" s="16" t="b">
        <v>0</v>
      </c>
      <c r="H266" s="16" t="b">
        <v>0</v>
      </c>
      <c r="I266" s="16" t="b">
        <v>0</v>
      </c>
      <c r="J266" s="18">
        <v>165.0</v>
      </c>
      <c r="K266" s="16">
        <v>1.0</v>
      </c>
      <c r="L266" s="16"/>
      <c r="M266" s="16"/>
      <c r="N266" s="16">
        <v>1814.4</v>
      </c>
      <c r="O266" s="16">
        <v>2505.97</v>
      </c>
      <c r="P266" s="18">
        <v>258.27</v>
      </c>
      <c r="Q266" s="16">
        <v>291.0</v>
      </c>
      <c r="R266" s="16">
        <v>5.77</v>
      </c>
      <c r="S266" s="16">
        <v>0.996341</v>
      </c>
      <c r="T266" s="16">
        <v>0.996341</v>
      </c>
      <c r="U266" s="19">
        <f t="shared" si="1"/>
        <v>0</v>
      </c>
      <c r="V266" s="19">
        <f t="shared" si="2"/>
        <v>140.8387473</v>
      </c>
      <c r="W266" s="20">
        <f t="shared" si="3"/>
        <v>0.2575301332</v>
      </c>
      <c r="X266" s="17">
        <f t="shared" si="203"/>
        <v>645.3627878</v>
      </c>
      <c r="Y266" s="21">
        <f t="shared" si="4"/>
        <v>4</v>
      </c>
      <c r="Z266" s="21">
        <f t="shared" si="5"/>
        <v>3226.813939</v>
      </c>
      <c r="AA266" s="21">
        <f t="shared" si="6"/>
        <v>1.287650666</v>
      </c>
      <c r="AB266" s="22" t="str">
        <f t="shared" si="7"/>
        <v>#N/A</v>
      </c>
      <c r="AC266" s="8">
        <f t="shared" si="189"/>
        <v>653.555919</v>
      </c>
      <c r="AD266" s="13" t="str">
        <f t="shared" si="190"/>
        <v>#N/A</v>
      </c>
      <c r="AE266" s="8">
        <f t="shared" si="191"/>
        <v>653.555919</v>
      </c>
      <c r="AF266" s="73">
        <f t="shared" si="192"/>
        <v>297.9050325</v>
      </c>
      <c r="AG266" s="74" t="str">
        <f t="shared" si="193"/>
        <v>#REF!</v>
      </c>
      <c r="AH266" s="73">
        <f t="shared" si="194"/>
        <v>0</v>
      </c>
      <c r="AI266" s="73">
        <f t="shared" si="195"/>
        <v>0</v>
      </c>
      <c r="AJ266" s="75">
        <f t="shared" si="196"/>
        <v>1.303881268</v>
      </c>
      <c r="AK266" s="73">
        <f t="shared" si="197"/>
        <v>1.326832447</v>
      </c>
      <c r="AL266" s="73">
        <f t="shared" si="198"/>
        <v>0.9400923489</v>
      </c>
      <c r="AM266" s="73">
        <f t="shared" si="199"/>
        <v>1.097912191</v>
      </c>
      <c r="AN266" s="75">
        <v>1019.55</v>
      </c>
      <c r="AO266" s="76">
        <v>1000.0</v>
      </c>
      <c r="AP266" s="73">
        <f t="shared" si="200"/>
        <v>1000</v>
      </c>
      <c r="AQ266" s="29" t="str">
        <f t="shared" si="201"/>
        <v>#REF!</v>
      </c>
      <c r="AR266" s="77" t="str">
        <f t="shared" si="202"/>
        <v>#REF!</v>
      </c>
      <c r="AS266" s="73"/>
      <c r="AT266" s="39"/>
    </row>
    <row r="267" ht="15.75" customHeight="1">
      <c r="A267" s="7" t="s">
        <v>140</v>
      </c>
      <c r="B267" s="7" t="s">
        <v>139</v>
      </c>
      <c r="C267" s="7">
        <v>1969.0</v>
      </c>
      <c r="D267" s="7"/>
      <c r="E267" s="7">
        <v>1969.0</v>
      </c>
      <c r="F267" s="7" t="b">
        <v>1</v>
      </c>
      <c r="G267" s="7" t="b">
        <v>0</v>
      </c>
      <c r="H267" s="7" t="b">
        <v>0</v>
      </c>
      <c r="I267" s="7" t="b">
        <v>0</v>
      </c>
      <c r="J267" s="9">
        <v>165.0</v>
      </c>
      <c r="K267" s="7">
        <v>1.0</v>
      </c>
      <c r="L267" s="7">
        <v>2100.0</v>
      </c>
      <c r="M267" s="7">
        <v>0.0</v>
      </c>
      <c r="N267" s="7">
        <v>8444.0</v>
      </c>
      <c r="O267" s="7">
        <v>7895.01</v>
      </c>
      <c r="P267" s="9">
        <v>265.0</v>
      </c>
      <c r="Q267" s="7">
        <v>305.0</v>
      </c>
      <c r="R267" s="7">
        <v>6.77</v>
      </c>
      <c r="S267" s="7">
        <v>0.994697</v>
      </c>
      <c r="T267" s="7">
        <v>0.994697</v>
      </c>
      <c r="U267" s="10">
        <f t="shared" si="1"/>
        <v>2100</v>
      </c>
      <c r="V267" s="10">
        <f t="shared" si="2"/>
        <v>95.34189573</v>
      </c>
      <c r="W267" s="11">
        <f t="shared" si="3"/>
        <v>0.2166947872</v>
      </c>
      <c r="X267" s="8">
        <f t="shared" si="203"/>
        <v>1710.807512</v>
      </c>
      <c r="Y267" s="12">
        <f t="shared" si="4"/>
        <v>4</v>
      </c>
      <c r="Z267" s="12">
        <f t="shared" si="5"/>
        <v>8554.037558</v>
      </c>
      <c r="AA267" s="12">
        <f t="shared" si="6"/>
        <v>1.083473936</v>
      </c>
      <c r="AB267" s="13">
        <f t="shared" si="7"/>
        <v>0.8146702436</v>
      </c>
      <c r="AC267" s="8">
        <f t="shared" si="189"/>
        <v>1726.926948</v>
      </c>
      <c r="AD267" s="13">
        <f t="shared" si="190"/>
        <v>0.8223461659</v>
      </c>
      <c r="AE267" s="8">
        <f t="shared" si="191"/>
        <v>1726.926948</v>
      </c>
      <c r="AF267" s="73">
        <f t="shared" si="192"/>
        <v>859.9596077</v>
      </c>
      <c r="AG267" s="74" t="str">
        <f t="shared" si="193"/>
        <v>#REF!</v>
      </c>
      <c r="AH267" s="73">
        <f t="shared" si="194"/>
        <v>0</v>
      </c>
      <c r="AI267" s="73">
        <f t="shared" si="195"/>
        <v>0</v>
      </c>
      <c r="AJ267" s="75">
        <f t="shared" si="196"/>
        <v>1.26724982</v>
      </c>
      <c r="AK267" s="73">
        <f t="shared" si="197"/>
        <v>1.091683881</v>
      </c>
      <c r="AL267" s="73">
        <f t="shared" si="198"/>
        <v>1.045405091</v>
      </c>
      <c r="AM267" s="73">
        <f t="shared" si="199"/>
        <v>1.097912191</v>
      </c>
      <c r="AN267" s="75">
        <v>2749.91</v>
      </c>
      <c r="AO267" s="76">
        <v>2700.0</v>
      </c>
      <c r="AP267" s="73">
        <f t="shared" si="200"/>
        <v>2700</v>
      </c>
      <c r="AQ267" s="29" t="str">
        <f t="shared" si="201"/>
        <v>#REF!</v>
      </c>
      <c r="AR267" s="77" t="str">
        <f t="shared" si="202"/>
        <v>#REF!</v>
      </c>
      <c r="AS267" s="73"/>
      <c r="AT267" s="39"/>
    </row>
    <row r="268" ht="15.75" customHeight="1">
      <c r="A268" s="16" t="s">
        <v>1024</v>
      </c>
      <c r="B268" s="16" t="s">
        <v>185</v>
      </c>
      <c r="C268" s="16">
        <v>1969.0</v>
      </c>
      <c r="D268" s="16" t="b">
        <v>1</v>
      </c>
      <c r="E268" s="16">
        <v>1969.0</v>
      </c>
      <c r="F268" s="16" t="b">
        <v>1</v>
      </c>
      <c r="G268" s="16" t="b">
        <v>0</v>
      </c>
      <c r="H268" s="16" t="b">
        <v>1</v>
      </c>
      <c r="I268" s="16" t="b">
        <v>0</v>
      </c>
      <c r="J268" s="18">
        <v>580.0</v>
      </c>
      <c r="K268" s="18">
        <v>1.0</v>
      </c>
      <c r="L268" s="16">
        <v>1355.0</v>
      </c>
      <c r="M268" s="16">
        <v>10.0</v>
      </c>
      <c r="N268" s="16">
        <v>1566.708</v>
      </c>
      <c r="O268" s="16">
        <v>1023.0906</v>
      </c>
      <c r="P268" s="18">
        <v>304.0</v>
      </c>
      <c r="Q268" s="16">
        <v>425.0</v>
      </c>
      <c r="R268" s="16">
        <v>5.26</v>
      </c>
      <c r="S268" s="16">
        <v>0.998077</v>
      </c>
      <c r="T268" s="16">
        <v>0.997794</v>
      </c>
      <c r="U268" s="19">
        <f t="shared" si="1"/>
        <v>1365</v>
      </c>
      <c r="V268" s="19">
        <f t="shared" si="2"/>
        <v>66.58943907</v>
      </c>
      <c r="W268" s="20">
        <f t="shared" si="3"/>
        <v>1.402377988</v>
      </c>
      <c r="X268" s="17">
        <f t="shared" ref="X268:X269" si="204">0.9*(0.00015*N268*Q268*R268+797)+0.1*(43.1*POWER(N268,0.549))</f>
        <v>1434.759737</v>
      </c>
      <c r="Y268" s="21">
        <f t="shared" si="4"/>
        <v>4</v>
      </c>
      <c r="Z268" s="21">
        <f t="shared" si="5"/>
        <v>7173.798685</v>
      </c>
      <c r="AA268" s="21">
        <f t="shared" si="6"/>
        <v>7.011889939</v>
      </c>
      <c r="AB268" s="22">
        <f t="shared" si="7"/>
        <v>1.051106034</v>
      </c>
      <c r="AC268" s="8">
        <f t="shared" si="189"/>
        <v>1457.536895</v>
      </c>
      <c r="AD268" s="13">
        <f t="shared" si="190"/>
        <v>1.067792597</v>
      </c>
      <c r="AE268" s="8">
        <f t="shared" si="191"/>
        <v>729.4006587</v>
      </c>
      <c r="AF268" s="73">
        <f t="shared" si="192"/>
        <v>134.5969851</v>
      </c>
      <c r="AG268" s="74" t="str">
        <f t="shared" si="193"/>
        <v>#REF!</v>
      </c>
      <c r="AH268" s="73">
        <f t="shared" si="194"/>
        <v>0</v>
      </c>
      <c r="AI268" s="73">
        <f t="shared" si="195"/>
        <v>0</v>
      </c>
      <c r="AJ268" s="75">
        <f t="shared" si="196"/>
        <v>1.03640629</v>
      </c>
      <c r="AK268" s="73">
        <f t="shared" si="197"/>
        <v>0.9123420348</v>
      </c>
      <c r="AL268" s="73">
        <f t="shared" si="198"/>
        <v>4.625820105</v>
      </c>
      <c r="AM268" s="73">
        <f t="shared" si="199"/>
        <v>1.516697193</v>
      </c>
      <c r="AN268" s="75">
        <v>2150.29</v>
      </c>
      <c r="AO268" s="76">
        <v>2200.0</v>
      </c>
      <c r="AP268" s="73">
        <f t="shared" si="200"/>
        <v>2200</v>
      </c>
      <c r="AQ268" s="29" t="str">
        <f t="shared" si="201"/>
        <v>#REF!</v>
      </c>
      <c r="AR268" s="77" t="str">
        <f t="shared" si="202"/>
        <v>#REF!</v>
      </c>
      <c r="AS268" s="73"/>
      <c r="AT268" s="39"/>
    </row>
    <row r="269" ht="15.75" customHeight="1">
      <c r="A269" s="7" t="s">
        <v>1025</v>
      </c>
      <c r="B269" s="7" t="s">
        <v>185</v>
      </c>
      <c r="C269" s="7">
        <v>1969.0</v>
      </c>
      <c r="D269" s="7" t="b">
        <v>1</v>
      </c>
      <c r="E269" s="7">
        <v>1969.0</v>
      </c>
      <c r="F269" s="7" t="b">
        <v>1</v>
      </c>
      <c r="G269" s="7" t="b">
        <v>0</v>
      </c>
      <c r="H269" s="7" t="b">
        <v>1</v>
      </c>
      <c r="I269" s="7" t="b">
        <v>0</v>
      </c>
      <c r="J269" s="9">
        <v>580.0</v>
      </c>
      <c r="K269" s="9">
        <v>3.0</v>
      </c>
      <c r="L269" s="7">
        <v>1355.0</v>
      </c>
      <c r="M269" s="7">
        <v>160.0</v>
      </c>
      <c r="N269" s="33">
        <f>1566.708*1.093</f>
        <v>1712.411844</v>
      </c>
      <c r="O269" s="7">
        <v>1023.0906</v>
      </c>
      <c r="P269" s="9">
        <v>304.0</v>
      </c>
      <c r="Q269" s="7">
        <v>425.0</v>
      </c>
      <c r="R269" s="7">
        <v>5.26</v>
      </c>
      <c r="S269" s="7">
        <v>0.998077</v>
      </c>
      <c r="T269" s="7">
        <v>0.997794</v>
      </c>
      <c r="U269" s="10">
        <f t="shared" si="1"/>
        <v>1515</v>
      </c>
      <c r="V269" s="10">
        <f t="shared" si="2"/>
        <v>60.92354902</v>
      </c>
      <c r="W269" s="11">
        <f t="shared" si="3"/>
        <v>1.45732138</v>
      </c>
      <c r="X269" s="8">
        <f t="shared" si="204"/>
        <v>1490.971805</v>
      </c>
      <c r="Y269" s="12">
        <f t="shared" si="4"/>
        <v>4</v>
      </c>
      <c r="Z269" s="12">
        <f t="shared" si="5"/>
        <v>7454.859023</v>
      </c>
      <c r="AA269" s="12">
        <f t="shared" si="6"/>
        <v>7.286606898</v>
      </c>
      <c r="AB269" s="13">
        <f t="shared" si="7"/>
        <v>0.984139805</v>
      </c>
      <c r="AC269" s="8">
        <f t="shared" si="189"/>
        <v>1514.641343</v>
      </c>
      <c r="AD269" s="13">
        <f t="shared" si="190"/>
        <v>0.9997632627</v>
      </c>
      <c r="AE269" s="8">
        <f t="shared" si="191"/>
        <v>770.2921341</v>
      </c>
      <c r="AF269" s="73">
        <f t="shared" si="192"/>
        <v>134.5969851</v>
      </c>
      <c r="AG269" s="74" t="str">
        <f t="shared" si="193"/>
        <v>#REF!</v>
      </c>
      <c r="AH269" s="73">
        <f t="shared" si="194"/>
        <v>0</v>
      </c>
      <c r="AI269" s="73">
        <f t="shared" si="195"/>
        <v>0.2958876574</v>
      </c>
      <c r="AJ269" s="75">
        <f t="shared" si="196"/>
        <v>1.03640629</v>
      </c>
      <c r="AK269" s="73">
        <f t="shared" si="197"/>
        <v>0.8726650919</v>
      </c>
      <c r="AL269" s="73">
        <f t="shared" si="198"/>
        <v>4.625820105</v>
      </c>
      <c r="AM269" s="73">
        <f t="shared" si="199"/>
        <v>1.516697193</v>
      </c>
      <c r="AN269" s="75">
        <v>2438.38</v>
      </c>
      <c r="AO269" s="76">
        <v>2400.0</v>
      </c>
      <c r="AP269" s="73">
        <f t="shared" si="200"/>
        <v>2400</v>
      </c>
      <c r="AQ269" s="29" t="str">
        <f t="shared" si="201"/>
        <v>#REF!</v>
      </c>
      <c r="AR269" s="77" t="str">
        <f t="shared" si="202"/>
        <v>#REF!</v>
      </c>
      <c r="AS269" s="73"/>
      <c r="AT269" s="39"/>
    </row>
    <row r="270" ht="15.75" customHeight="1">
      <c r="A270" s="16" t="s">
        <v>220</v>
      </c>
      <c r="B270" s="16" t="s">
        <v>221</v>
      </c>
      <c r="C270" s="16">
        <v>1969.0</v>
      </c>
      <c r="D270" s="16"/>
      <c r="E270" s="16">
        <v>1969.0</v>
      </c>
      <c r="F270" s="16" t="b">
        <v>1</v>
      </c>
      <c r="G270" s="16" t="b">
        <v>0</v>
      </c>
      <c r="H270" s="16" t="b">
        <v>1</v>
      </c>
      <c r="I270" s="16" t="b">
        <v>1</v>
      </c>
      <c r="J270" s="18">
        <v>650.0</v>
      </c>
      <c r="K270" s="18">
        <v>11.0</v>
      </c>
      <c r="L270" s="16">
        <v>200.0</v>
      </c>
      <c r="M270" s="16">
        <v>0.0</v>
      </c>
      <c r="N270" s="16">
        <v>81.0</v>
      </c>
      <c r="O270" s="16">
        <v>18.89</v>
      </c>
      <c r="P270" s="18">
        <v>215.0</v>
      </c>
      <c r="Q270" s="16">
        <v>314.0</v>
      </c>
      <c r="R270" s="16">
        <v>8.3</v>
      </c>
      <c r="S270" s="16">
        <v>0.997619</v>
      </c>
      <c r="T270" s="16">
        <v>0.986364</v>
      </c>
      <c r="U270" s="19">
        <f t="shared" si="1"/>
        <v>200</v>
      </c>
      <c r="V270" s="19">
        <f t="shared" si="2"/>
        <v>23.78078914</v>
      </c>
      <c r="W270" s="20">
        <f t="shared" si="3"/>
        <v>5.767590512</v>
      </c>
      <c r="X270" s="17">
        <f t="shared" ref="X270:X282" si="205">0.2*(8.17*POWER(N270*R270,0.46))+0.8*(0.146*POWER(N270*Q270,0.639))</f>
        <v>108.9497848</v>
      </c>
      <c r="Y270" s="21">
        <f t="shared" si="4"/>
        <v>4</v>
      </c>
      <c r="Z270" s="21">
        <f t="shared" si="5"/>
        <v>544.7489238</v>
      </c>
      <c r="AA270" s="21">
        <f t="shared" si="6"/>
        <v>28.83795256</v>
      </c>
      <c r="AB270" s="22">
        <f t="shared" si="7"/>
        <v>0.5447489238</v>
      </c>
      <c r="AC270" s="8">
        <f t="shared" si="189"/>
        <v>164.0809036</v>
      </c>
      <c r="AD270" s="13">
        <f t="shared" si="190"/>
        <v>0.820404518</v>
      </c>
      <c r="AE270" s="8">
        <f t="shared" si="191"/>
        <v>164.0809036</v>
      </c>
      <c r="AF270" s="73">
        <f t="shared" si="192"/>
        <v>7.540327662</v>
      </c>
      <c r="AG270" s="74" t="str">
        <f t="shared" si="193"/>
        <v>#REF!</v>
      </c>
      <c r="AH270" s="73">
        <f t="shared" si="194"/>
        <v>2</v>
      </c>
      <c r="AI270" s="73">
        <f t="shared" si="195"/>
        <v>0.571434119</v>
      </c>
      <c r="AJ270" s="75">
        <f t="shared" si="196"/>
        <v>1.010878178</v>
      </c>
      <c r="AK270" s="73">
        <f t="shared" si="197"/>
        <v>0.5452154293</v>
      </c>
      <c r="AL270" s="73">
        <f t="shared" si="198"/>
        <v>1.14776462</v>
      </c>
      <c r="AM270" s="73">
        <f t="shared" si="199"/>
        <v>1.548319857</v>
      </c>
      <c r="AN270" s="75">
        <v>55.65</v>
      </c>
      <c r="AO270" s="76">
        <v>56.0</v>
      </c>
      <c r="AP270" s="73">
        <f t="shared" si="200"/>
        <v>56</v>
      </c>
      <c r="AQ270" s="29" t="str">
        <f t="shared" si="201"/>
        <v>#REF!</v>
      </c>
      <c r="AR270" s="77" t="str">
        <f t="shared" si="202"/>
        <v>#REF!</v>
      </c>
      <c r="AS270" s="73"/>
      <c r="AT270" s="39"/>
    </row>
    <row r="271" ht="15.75" customHeight="1">
      <c r="A271" s="7" t="s">
        <v>222</v>
      </c>
      <c r="B271" s="7" t="s">
        <v>221</v>
      </c>
      <c r="C271" s="7">
        <v>1969.0</v>
      </c>
      <c r="D271" s="7"/>
      <c r="E271" s="7">
        <v>1969.0</v>
      </c>
      <c r="F271" s="7" t="b">
        <v>1</v>
      </c>
      <c r="G271" s="7" t="b">
        <v>0</v>
      </c>
      <c r="H271" s="7" t="b">
        <v>1</v>
      </c>
      <c r="I271" s="7" t="b">
        <v>1</v>
      </c>
      <c r="J271" s="9">
        <v>30.0</v>
      </c>
      <c r="K271" s="9">
        <v>11.0</v>
      </c>
      <c r="L271" s="7">
        <v>200.0</v>
      </c>
      <c r="M271" s="7">
        <v>0.0</v>
      </c>
      <c r="N271" s="9">
        <v>81.0</v>
      </c>
      <c r="O271" s="7">
        <v>3.43</v>
      </c>
      <c r="P271" s="9">
        <v>135.0</v>
      </c>
      <c r="Q271" s="7">
        <v>254.0</v>
      </c>
      <c r="R271" s="7">
        <v>0.89</v>
      </c>
      <c r="S271" s="7">
        <v>0.997619</v>
      </c>
      <c r="T271" s="7">
        <v>0.986364</v>
      </c>
      <c r="U271" s="10">
        <f t="shared" si="1"/>
        <v>200</v>
      </c>
      <c r="V271" s="10">
        <f t="shared" si="2"/>
        <v>4.318057531</v>
      </c>
      <c r="W271" s="11">
        <f t="shared" si="3"/>
        <v>22.83356154</v>
      </c>
      <c r="X271" s="8">
        <f t="shared" si="205"/>
        <v>78.31911608</v>
      </c>
      <c r="Y271" s="12">
        <f t="shared" si="4"/>
        <v>4</v>
      </c>
      <c r="Z271" s="12">
        <f t="shared" si="5"/>
        <v>391.5955804</v>
      </c>
      <c r="AA271" s="12">
        <f t="shared" si="6"/>
        <v>114.1678077</v>
      </c>
      <c r="AB271" s="13">
        <f t="shared" si="7"/>
        <v>0.3915955804</v>
      </c>
      <c r="AC271" s="8">
        <f t="shared" si="189"/>
        <v>117.9504059</v>
      </c>
      <c r="AD271" s="13">
        <f t="shared" si="190"/>
        <v>0.5897520294</v>
      </c>
      <c r="AE271" s="8">
        <f t="shared" si="191"/>
        <v>117.9504059</v>
      </c>
      <c r="AF271" s="73">
        <f t="shared" si="192"/>
        <v>3.126446877</v>
      </c>
      <c r="AG271" s="74" t="str">
        <f t="shared" si="193"/>
        <v>#REF!</v>
      </c>
      <c r="AH271" s="73">
        <f t="shared" si="194"/>
        <v>2</v>
      </c>
      <c r="AI271" s="73">
        <f t="shared" si="195"/>
        <v>0.571434119</v>
      </c>
      <c r="AJ271" s="75">
        <f t="shared" si="196"/>
        <v>1</v>
      </c>
      <c r="AK271" s="73">
        <f t="shared" si="197"/>
        <v>0.2323267508</v>
      </c>
      <c r="AL271" s="73">
        <f t="shared" si="198"/>
        <v>0.7292417709</v>
      </c>
      <c r="AM271" s="73">
        <f t="shared" si="199"/>
        <v>0.2601413609</v>
      </c>
      <c r="AN271" s="75">
        <v>2.25</v>
      </c>
      <c r="AO271" s="76">
        <v>2.3</v>
      </c>
      <c r="AP271" s="73">
        <f t="shared" si="200"/>
        <v>2.3</v>
      </c>
      <c r="AQ271" s="29" t="str">
        <f t="shared" si="201"/>
        <v>#REF!</v>
      </c>
      <c r="AR271" s="77" t="str">
        <f t="shared" si="202"/>
        <v>#REF!</v>
      </c>
      <c r="AS271" s="73"/>
      <c r="AT271" s="39"/>
    </row>
    <row r="272" ht="15.75" customHeight="1">
      <c r="A272" s="16" t="s">
        <v>392</v>
      </c>
      <c r="B272" s="16" t="s">
        <v>393</v>
      </c>
      <c r="C272" s="16">
        <v>1969.0</v>
      </c>
      <c r="D272" s="16"/>
      <c r="E272" s="16">
        <v>1969.0</v>
      </c>
      <c r="F272" s="16" t="b">
        <v>1</v>
      </c>
      <c r="G272" s="16" t="b">
        <v>0</v>
      </c>
      <c r="H272" s="16" t="b">
        <v>0</v>
      </c>
      <c r="I272" s="16" t="b">
        <v>0</v>
      </c>
      <c r="J272" s="18">
        <v>180.0</v>
      </c>
      <c r="K272" s="16">
        <v>1.0</v>
      </c>
      <c r="L272" s="16">
        <v>670.0</v>
      </c>
      <c r="M272" s="16">
        <v>0.0</v>
      </c>
      <c r="N272" s="16">
        <v>1247.0</v>
      </c>
      <c r="O272" s="16">
        <v>1543.6</v>
      </c>
      <c r="P272" s="18">
        <v>284.0</v>
      </c>
      <c r="Q272" s="16">
        <v>318.0</v>
      </c>
      <c r="R272" s="16">
        <v>14.5</v>
      </c>
      <c r="S272" s="16">
        <v>0.985165</v>
      </c>
      <c r="T272" s="16">
        <v>0.985165</v>
      </c>
      <c r="U272" s="19">
        <f t="shared" si="1"/>
        <v>670</v>
      </c>
      <c r="V272" s="19">
        <f t="shared" si="2"/>
        <v>126.2256569</v>
      </c>
      <c r="W272" s="20">
        <f t="shared" si="3"/>
        <v>0.3820735327</v>
      </c>
      <c r="X272" s="17">
        <f t="shared" si="205"/>
        <v>589.7687052</v>
      </c>
      <c r="Y272" s="21">
        <f t="shared" si="4"/>
        <v>4</v>
      </c>
      <c r="Z272" s="21">
        <f t="shared" si="5"/>
        <v>2948.843526</v>
      </c>
      <c r="AA272" s="21">
        <f t="shared" si="6"/>
        <v>1.910367664</v>
      </c>
      <c r="AB272" s="22">
        <f t="shared" si="7"/>
        <v>0.8802517987</v>
      </c>
      <c r="AC272" s="8">
        <f t="shared" si="189"/>
        <v>584.1954364</v>
      </c>
      <c r="AD272" s="13">
        <f t="shared" si="190"/>
        <v>0.8719334872</v>
      </c>
      <c r="AE272" s="8">
        <f t="shared" si="191"/>
        <v>584.1954364</v>
      </c>
      <c r="AF272" s="73">
        <f t="shared" si="192"/>
        <v>192.9725315</v>
      </c>
      <c r="AG272" s="74" t="str">
        <f t="shared" si="193"/>
        <v>#REF!</v>
      </c>
      <c r="AH272" s="73">
        <f t="shared" si="194"/>
        <v>0</v>
      </c>
      <c r="AI272" s="73">
        <f t="shared" si="195"/>
        <v>0</v>
      </c>
      <c r="AJ272" s="75">
        <f t="shared" si="196"/>
        <v>1.315079732</v>
      </c>
      <c r="AK272" s="73">
        <f t="shared" si="197"/>
        <v>1.256113335</v>
      </c>
      <c r="AL272" s="73">
        <f t="shared" si="198"/>
        <v>1.199256567</v>
      </c>
      <c r="AM272" s="73">
        <f t="shared" si="199"/>
        <v>1.13151236</v>
      </c>
      <c r="AN272" s="75">
        <v>702.36</v>
      </c>
      <c r="AO272" s="76">
        <v>700.0</v>
      </c>
      <c r="AP272" s="73">
        <f t="shared" si="200"/>
        <v>700</v>
      </c>
      <c r="AQ272" s="29" t="str">
        <f t="shared" si="201"/>
        <v>#REF!</v>
      </c>
      <c r="AR272" s="77" t="str">
        <f t="shared" si="202"/>
        <v>#REF!</v>
      </c>
      <c r="AS272" s="73"/>
      <c r="AT272" s="39"/>
    </row>
    <row r="273" ht="15.75" customHeight="1">
      <c r="A273" s="7" t="s">
        <v>398</v>
      </c>
      <c r="B273" s="7" t="s">
        <v>399</v>
      </c>
      <c r="C273" s="7">
        <v>1969.0</v>
      </c>
      <c r="D273" s="7"/>
      <c r="E273" s="7">
        <v>1969.0</v>
      </c>
      <c r="F273" s="7" t="b">
        <v>1</v>
      </c>
      <c r="G273" s="7" t="b">
        <v>0</v>
      </c>
      <c r="H273" s="7" t="b">
        <v>1</v>
      </c>
      <c r="I273" s="7" t="b">
        <v>0</v>
      </c>
      <c r="J273" s="9">
        <v>240.0</v>
      </c>
      <c r="K273" s="7">
        <v>1.0</v>
      </c>
      <c r="L273" s="7">
        <v>780.0</v>
      </c>
      <c r="M273" s="7">
        <v>0.0</v>
      </c>
      <c r="N273" s="7">
        <v>1396.0</v>
      </c>
      <c r="O273" s="7">
        <v>1647.5</v>
      </c>
      <c r="P273" s="9">
        <v>259.0</v>
      </c>
      <c r="Q273" s="7">
        <v>325.0</v>
      </c>
      <c r="R273" s="7">
        <v>14.5</v>
      </c>
      <c r="S273" s="7">
        <v>0.974</v>
      </c>
      <c r="T273" s="7">
        <v>0.96</v>
      </c>
      <c r="U273" s="10">
        <f t="shared" si="1"/>
        <v>780</v>
      </c>
      <c r="V273" s="10">
        <f t="shared" si="2"/>
        <v>120.3425828</v>
      </c>
      <c r="W273" s="11">
        <f t="shared" si="3"/>
        <v>0.3868474552</v>
      </c>
      <c r="X273" s="8">
        <f t="shared" si="205"/>
        <v>637.3311825</v>
      </c>
      <c r="Y273" s="12">
        <f t="shared" si="4"/>
        <v>4</v>
      </c>
      <c r="Z273" s="12">
        <f t="shared" si="5"/>
        <v>3186.655912</v>
      </c>
      <c r="AA273" s="12">
        <f t="shared" si="6"/>
        <v>1.934237276</v>
      </c>
      <c r="AB273" s="13">
        <f t="shared" si="7"/>
        <v>0.8170912596</v>
      </c>
      <c r="AC273" s="8">
        <f t="shared" si="189"/>
        <v>608.6767725</v>
      </c>
      <c r="AD273" s="13">
        <f t="shared" si="190"/>
        <v>0.7803548365</v>
      </c>
      <c r="AE273" s="8">
        <f t="shared" si="191"/>
        <v>608.6767725</v>
      </c>
      <c r="AF273" s="73">
        <f t="shared" si="192"/>
        <v>204.4546379</v>
      </c>
      <c r="AG273" s="74" t="str">
        <f t="shared" si="193"/>
        <v>#REF!</v>
      </c>
      <c r="AH273" s="73">
        <f t="shared" si="194"/>
        <v>0</v>
      </c>
      <c r="AI273" s="73">
        <f t="shared" si="195"/>
        <v>0</v>
      </c>
      <c r="AJ273" s="75">
        <f t="shared" si="196"/>
        <v>1.141864263</v>
      </c>
      <c r="AK273" s="73">
        <f t="shared" si="197"/>
        <v>1.226491861</v>
      </c>
      <c r="AL273" s="73">
        <f t="shared" si="198"/>
        <v>1.297957123</v>
      </c>
      <c r="AM273" s="73">
        <f t="shared" si="199"/>
        <v>1.237344028</v>
      </c>
      <c r="AN273" s="75">
        <v>621.76</v>
      </c>
      <c r="AO273" s="76">
        <v>620.0</v>
      </c>
      <c r="AP273" s="73">
        <f t="shared" si="200"/>
        <v>620</v>
      </c>
      <c r="AQ273" s="29" t="str">
        <f t="shared" si="201"/>
        <v>#REF!</v>
      </c>
      <c r="AR273" s="77" t="str">
        <f t="shared" si="202"/>
        <v>#REF!</v>
      </c>
      <c r="AS273" s="73"/>
      <c r="AT273" s="39"/>
    </row>
    <row r="274" ht="15.75" customHeight="1">
      <c r="A274" s="7" t="s">
        <v>404</v>
      </c>
      <c r="B274" s="7" t="s">
        <v>403</v>
      </c>
      <c r="C274" s="7">
        <v>1969.0</v>
      </c>
      <c r="D274" s="7"/>
      <c r="E274" s="7">
        <v>1969.0</v>
      </c>
      <c r="F274" s="7" t="b">
        <v>1</v>
      </c>
      <c r="G274" s="7" t="b">
        <v>0</v>
      </c>
      <c r="H274" s="7" t="b">
        <v>0</v>
      </c>
      <c r="I274" s="7" t="b">
        <v>0</v>
      </c>
      <c r="J274" s="9">
        <v>190.0</v>
      </c>
      <c r="K274" s="7">
        <v>1.0</v>
      </c>
      <c r="L274" s="7">
        <v>350.0</v>
      </c>
      <c r="M274" s="7">
        <v>5.0</v>
      </c>
      <c r="N274" s="7">
        <v>491.55</v>
      </c>
      <c r="O274" s="7">
        <v>482.0</v>
      </c>
      <c r="P274" s="9">
        <v>283.5</v>
      </c>
      <c r="Q274" s="9">
        <v>330.0</v>
      </c>
      <c r="R274" s="7">
        <v>10.34</v>
      </c>
      <c r="S274" s="7">
        <v>0.980556</v>
      </c>
      <c r="T274" s="7">
        <v>0.980556</v>
      </c>
      <c r="U274" s="10">
        <f t="shared" si="1"/>
        <v>355</v>
      </c>
      <c r="V274" s="10">
        <f t="shared" si="2"/>
        <v>99.99048179</v>
      </c>
      <c r="W274" s="11">
        <f t="shared" si="3"/>
        <v>0.6889685908</v>
      </c>
      <c r="X274" s="8">
        <f t="shared" si="205"/>
        <v>332.0828608</v>
      </c>
      <c r="Y274" s="12">
        <f t="shared" si="4"/>
        <v>4</v>
      </c>
      <c r="Z274" s="12">
        <f t="shared" si="5"/>
        <v>1660.414304</v>
      </c>
      <c r="AA274" s="12">
        <f t="shared" si="6"/>
        <v>3.444842954</v>
      </c>
      <c r="AB274" s="13">
        <f t="shared" si="7"/>
        <v>0.9354446783</v>
      </c>
      <c r="AC274" s="8">
        <f t="shared" si="189"/>
        <v>325.93603</v>
      </c>
      <c r="AD274" s="13">
        <f t="shared" si="190"/>
        <v>0.9181296619</v>
      </c>
      <c r="AE274" s="8">
        <f t="shared" si="191"/>
        <v>325.93603</v>
      </c>
      <c r="AF274" s="73">
        <f t="shared" si="192"/>
        <v>71.32288038</v>
      </c>
      <c r="AG274" s="74" t="str">
        <f t="shared" si="193"/>
        <v>#REF!</v>
      </c>
      <c r="AH274" s="73">
        <f t="shared" si="194"/>
        <v>0</v>
      </c>
      <c r="AI274" s="73">
        <f t="shared" si="195"/>
        <v>0</v>
      </c>
      <c r="AJ274" s="75">
        <f t="shared" si="196"/>
        <v>1.248734013</v>
      </c>
      <c r="AK274" s="73">
        <f t="shared" si="197"/>
        <v>1.117980779</v>
      </c>
      <c r="AL274" s="73">
        <f t="shared" si="198"/>
        <v>1.375349642</v>
      </c>
      <c r="AM274" s="73">
        <f t="shared" si="199"/>
        <v>1.152011174</v>
      </c>
      <c r="AN274" s="75">
        <v>255.69</v>
      </c>
      <c r="AO274" s="76">
        <v>260.0</v>
      </c>
      <c r="AP274" s="73">
        <f t="shared" si="200"/>
        <v>260</v>
      </c>
      <c r="AQ274" s="29" t="str">
        <f t="shared" si="201"/>
        <v>#REF!</v>
      </c>
      <c r="AR274" s="77" t="str">
        <f t="shared" si="202"/>
        <v>#REF!</v>
      </c>
      <c r="AS274" s="73"/>
      <c r="AT274" s="39"/>
    </row>
    <row r="275" ht="15.75" customHeight="1">
      <c r="A275" s="7" t="s">
        <v>410</v>
      </c>
      <c r="B275" s="7" t="s">
        <v>408</v>
      </c>
      <c r="C275" s="7">
        <v>1969.0</v>
      </c>
      <c r="D275" s="7"/>
      <c r="E275" s="7">
        <v>1969.0</v>
      </c>
      <c r="F275" s="7" t="b">
        <v>1</v>
      </c>
      <c r="G275" s="7" t="b">
        <v>0</v>
      </c>
      <c r="H275" s="7" t="b">
        <v>1</v>
      </c>
      <c r="I275" s="7" t="b">
        <v>0</v>
      </c>
      <c r="J275" s="9">
        <v>450.0</v>
      </c>
      <c r="K275" s="7">
        <v>1.0</v>
      </c>
      <c r="L275" s="7">
        <v>500.0</v>
      </c>
      <c r="M275" s="7">
        <v>20.0</v>
      </c>
      <c r="N275" s="7">
        <v>721.6</v>
      </c>
      <c r="O275" s="7">
        <v>451.1</v>
      </c>
      <c r="P275" s="9">
        <v>230.0</v>
      </c>
      <c r="Q275" s="7">
        <v>345.0</v>
      </c>
      <c r="R275" s="7">
        <v>9.2</v>
      </c>
      <c r="S275" s="7">
        <v>0.98</v>
      </c>
      <c r="T275" s="7">
        <v>0.975</v>
      </c>
      <c r="U275" s="10">
        <f t="shared" si="1"/>
        <v>520</v>
      </c>
      <c r="V275" s="10">
        <f t="shared" si="2"/>
        <v>63.74639445</v>
      </c>
      <c r="W275" s="11">
        <f t="shared" si="3"/>
        <v>0.9341447642</v>
      </c>
      <c r="X275" s="8">
        <f t="shared" si="205"/>
        <v>421.3927031</v>
      </c>
      <c r="Y275" s="12">
        <f t="shared" si="4"/>
        <v>4</v>
      </c>
      <c r="Z275" s="12">
        <f t="shared" si="5"/>
        <v>2106.963516</v>
      </c>
      <c r="AA275" s="12">
        <f t="shared" si="6"/>
        <v>4.670723821</v>
      </c>
      <c r="AB275" s="13">
        <f t="shared" si="7"/>
        <v>0.810370583</v>
      </c>
      <c r="AC275" s="8">
        <f t="shared" si="189"/>
        <v>411.0685819</v>
      </c>
      <c r="AD275" s="13">
        <f t="shared" si="190"/>
        <v>0.7905165037</v>
      </c>
      <c r="AE275" s="8">
        <f t="shared" si="191"/>
        <v>411.0685819</v>
      </c>
      <c r="AF275" s="73">
        <f t="shared" si="192"/>
        <v>67.56015335</v>
      </c>
      <c r="AG275" s="74" t="str">
        <f t="shared" si="193"/>
        <v>#REF!</v>
      </c>
      <c r="AH275" s="73">
        <f t="shared" si="194"/>
        <v>0</v>
      </c>
      <c r="AI275" s="73">
        <f t="shared" si="195"/>
        <v>0</v>
      </c>
      <c r="AJ275" s="75">
        <f t="shared" si="196"/>
        <v>1.001524127</v>
      </c>
      <c r="AK275" s="73">
        <f t="shared" si="197"/>
        <v>0.8926533093</v>
      </c>
      <c r="AL275" s="73">
        <f t="shared" si="198"/>
        <v>1.645170553</v>
      </c>
      <c r="AM275" s="73">
        <f t="shared" si="199"/>
        <v>1.442806746</v>
      </c>
      <c r="AN275" s="75">
        <v>251.45</v>
      </c>
      <c r="AO275" s="76">
        <v>250.0</v>
      </c>
      <c r="AP275" s="73">
        <f t="shared" si="200"/>
        <v>250</v>
      </c>
      <c r="AQ275" s="29" t="str">
        <f t="shared" si="201"/>
        <v>#REF!</v>
      </c>
      <c r="AR275" s="77" t="str">
        <f t="shared" si="202"/>
        <v>#REF!</v>
      </c>
      <c r="AS275" s="73"/>
      <c r="AT275" s="39"/>
    </row>
    <row r="276" ht="15.75" customHeight="1">
      <c r="A276" s="16" t="s">
        <v>409</v>
      </c>
      <c r="B276" s="16" t="s">
        <v>408</v>
      </c>
      <c r="C276" s="16">
        <v>1969.0</v>
      </c>
      <c r="D276" s="16"/>
      <c r="E276" s="16">
        <v>1969.0</v>
      </c>
      <c r="F276" s="16" t="b">
        <v>1</v>
      </c>
      <c r="G276" s="16" t="b">
        <v>0</v>
      </c>
      <c r="H276" s="16" t="b">
        <v>1</v>
      </c>
      <c r="I276" s="16" t="b">
        <v>0</v>
      </c>
      <c r="J276" s="18">
        <v>450.0</v>
      </c>
      <c r="K276" s="16">
        <v>1.0</v>
      </c>
      <c r="L276" s="16">
        <v>500.0</v>
      </c>
      <c r="M276" s="16">
        <v>10.0</v>
      </c>
      <c r="N276" s="16">
        <v>584.0</v>
      </c>
      <c r="O276" s="16">
        <v>402.1</v>
      </c>
      <c r="P276" s="18">
        <v>225.0</v>
      </c>
      <c r="Q276" s="16">
        <v>340.0</v>
      </c>
      <c r="R276" s="16">
        <v>9.2</v>
      </c>
      <c r="S276" s="16">
        <v>0.98</v>
      </c>
      <c r="T276" s="16">
        <v>0.975</v>
      </c>
      <c r="U276" s="19">
        <f t="shared" si="1"/>
        <v>510</v>
      </c>
      <c r="V276" s="19">
        <f t="shared" si="2"/>
        <v>70.2102548</v>
      </c>
      <c r="W276" s="20">
        <f t="shared" si="3"/>
        <v>0.9166990796</v>
      </c>
      <c r="X276" s="17">
        <f t="shared" si="205"/>
        <v>368.6046999</v>
      </c>
      <c r="Y276" s="21">
        <f t="shared" si="4"/>
        <v>4</v>
      </c>
      <c r="Z276" s="21">
        <f t="shared" si="5"/>
        <v>1843.023499</v>
      </c>
      <c r="AA276" s="21">
        <f t="shared" si="6"/>
        <v>4.583495398</v>
      </c>
      <c r="AB276" s="22">
        <f t="shared" si="7"/>
        <v>0.7227543135</v>
      </c>
      <c r="AC276" s="8">
        <f t="shared" si="189"/>
        <v>359.5738848</v>
      </c>
      <c r="AD276" s="13">
        <f t="shared" si="190"/>
        <v>0.7050468328</v>
      </c>
      <c r="AE276" s="8">
        <f t="shared" si="191"/>
        <v>359.5738848</v>
      </c>
      <c r="AF276" s="73">
        <f t="shared" si="192"/>
        <v>61.53882209</v>
      </c>
      <c r="AG276" s="74" t="str">
        <f t="shared" si="193"/>
        <v>#REF!</v>
      </c>
      <c r="AH276" s="73">
        <f t="shared" si="194"/>
        <v>0</v>
      </c>
      <c r="AI276" s="73">
        <f t="shared" si="195"/>
        <v>0</v>
      </c>
      <c r="AJ276" s="75">
        <f t="shared" si="196"/>
        <v>1.000207571</v>
      </c>
      <c r="AK276" s="73">
        <f t="shared" si="197"/>
        <v>0.9368181174</v>
      </c>
      <c r="AL276" s="73">
        <f t="shared" si="198"/>
        <v>1.548592413</v>
      </c>
      <c r="AM276" s="73">
        <f t="shared" si="199"/>
        <v>1.442806746</v>
      </c>
      <c r="AN276" s="75">
        <v>220.33</v>
      </c>
      <c r="AO276" s="76">
        <v>220.0</v>
      </c>
      <c r="AP276" s="73">
        <f t="shared" si="200"/>
        <v>220</v>
      </c>
      <c r="AQ276" s="29" t="str">
        <f t="shared" si="201"/>
        <v>#REF!</v>
      </c>
      <c r="AR276" s="77" t="str">
        <f t="shared" si="202"/>
        <v>#REF!</v>
      </c>
      <c r="AS276" s="73"/>
      <c r="AT276" s="39"/>
    </row>
    <row r="277" ht="15.75" customHeight="1">
      <c r="A277" s="7" t="s">
        <v>1026</v>
      </c>
      <c r="B277" s="7" t="s">
        <v>605</v>
      </c>
      <c r="C277" s="7">
        <v>1969.0</v>
      </c>
      <c r="D277" s="7"/>
      <c r="E277" s="7">
        <v>1969.0</v>
      </c>
      <c r="F277" s="7" t="b">
        <v>1</v>
      </c>
      <c r="G277" s="7" t="b">
        <v>0</v>
      </c>
      <c r="H277" s="7" t="b">
        <v>1</v>
      </c>
      <c r="I277" s="7" t="b">
        <v>0</v>
      </c>
      <c r="J277" s="9">
        <v>225.0</v>
      </c>
      <c r="K277" s="7">
        <v>1.0</v>
      </c>
      <c r="L277" s="7">
        <v>525.0</v>
      </c>
      <c r="M277" s="7">
        <v>50.0</v>
      </c>
      <c r="N277" s="7">
        <v>1450.0</v>
      </c>
      <c r="O277" s="7">
        <v>1716.0</v>
      </c>
      <c r="P277" s="9">
        <v>240.0</v>
      </c>
      <c r="Q277" s="7">
        <v>327.8</v>
      </c>
      <c r="R277" s="7">
        <v>14.71</v>
      </c>
      <c r="S277" s="7">
        <v>0.998397</v>
      </c>
      <c r="T277" s="7">
        <v>0.998397</v>
      </c>
      <c r="U277" s="10">
        <f t="shared" si="1"/>
        <v>575</v>
      </c>
      <c r="V277" s="10">
        <f t="shared" si="2"/>
        <v>120.6781391</v>
      </c>
      <c r="W277" s="11">
        <f t="shared" si="3"/>
        <v>0.3820841615</v>
      </c>
      <c r="X277" s="8">
        <f t="shared" si="205"/>
        <v>655.6564212</v>
      </c>
      <c r="Y277" s="12">
        <f t="shared" si="4"/>
        <v>4</v>
      </c>
      <c r="Z277" s="12">
        <f t="shared" si="5"/>
        <v>3278.282106</v>
      </c>
      <c r="AA277" s="12">
        <f t="shared" si="6"/>
        <v>1.910420808</v>
      </c>
      <c r="AB277" s="13">
        <f t="shared" si="7"/>
        <v>1.140272037</v>
      </c>
      <c r="AC277" s="8">
        <f t="shared" si="189"/>
        <v>666.6691999</v>
      </c>
      <c r="AD277" s="13">
        <f t="shared" si="190"/>
        <v>1.159424695</v>
      </c>
      <c r="AE277" s="8">
        <f t="shared" si="191"/>
        <v>666.6691999</v>
      </c>
      <c r="AF277" s="73">
        <f t="shared" si="192"/>
        <v>212.0001022</v>
      </c>
      <c r="AG277" s="74" t="str">
        <f t="shared" si="193"/>
        <v>#REF!</v>
      </c>
      <c r="AH277" s="73">
        <f t="shared" si="194"/>
        <v>0</v>
      </c>
      <c r="AI277" s="73">
        <f t="shared" si="195"/>
        <v>0</v>
      </c>
      <c r="AJ277" s="75">
        <f t="shared" si="196"/>
        <v>1.054268324</v>
      </c>
      <c r="AK277" s="73">
        <f t="shared" si="197"/>
        <v>1.22820061</v>
      </c>
      <c r="AL277" s="73">
        <f t="shared" si="198"/>
        <v>1.340570527</v>
      </c>
      <c r="AM277" s="73">
        <f t="shared" si="199"/>
        <v>1.214285721</v>
      </c>
      <c r="AN277" s="75">
        <v>949.18</v>
      </c>
      <c r="AO277" s="76">
        <v>950.0</v>
      </c>
      <c r="AP277" s="73">
        <f t="shared" si="200"/>
        <v>950</v>
      </c>
      <c r="AQ277" s="29" t="str">
        <f t="shared" si="201"/>
        <v>#REF!</v>
      </c>
      <c r="AR277" s="77" t="str">
        <f t="shared" si="202"/>
        <v>#REF!</v>
      </c>
      <c r="AS277" s="73"/>
      <c r="AT277" s="39"/>
    </row>
    <row r="278" ht="15.75" customHeight="1">
      <c r="A278" s="16" t="s">
        <v>379</v>
      </c>
      <c r="B278" s="16" t="s">
        <v>1027</v>
      </c>
      <c r="C278" s="16">
        <v>1970.0</v>
      </c>
      <c r="D278" s="16"/>
      <c r="E278" s="16">
        <v>1970.0</v>
      </c>
      <c r="F278" s="16" t="b">
        <v>0</v>
      </c>
      <c r="G278" s="16" t="b">
        <v>0</v>
      </c>
      <c r="H278" s="16" t="b">
        <v>1</v>
      </c>
      <c r="I278" s="16" t="b">
        <v>1</v>
      </c>
      <c r="J278" s="18">
        <v>215.0</v>
      </c>
      <c r="K278" s="18">
        <v>999.0</v>
      </c>
      <c r="L278" s="16">
        <v>250.0</v>
      </c>
      <c r="M278" s="16">
        <v>0.0</v>
      </c>
      <c r="N278" s="16">
        <v>8.9</v>
      </c>
      <c r="O278" s="16">
        <v>2.811</v>
      </c>
      <c r="P278" s="18">
        <v>122.0</v>
      </c>
      <c r="Q278" s="16">
        <v>210.0</v>
      </c>
      <c r="R278" s="16">
        <v>2.4</v>
      </c>
      <c r="S278" s="16">
        <v>0.999</v>
      </c>
      <c r="T278" s="16">
        <v>0.999</v>
      </c>
      <c r="U278" s="19">
        <f t="shared" si="1"/>
        <v>250</v>
      </c>
      <c r="V278" s="19">
        <f t="shared" si="2"/>
        <v>32.20699176</v>
      </c>
      <c r="W278" s="20">
        <f t="shared" si="3"/>
        <v>7.495354975</v>
      </c>
      <c r="X278" s="17">
        <f t="shared" si="205"/>
        <v>21.06944284</v>
      </c>
      <c r="Y278" s="21">
        <f t="shared" si="4"/>
        <v>1.75</v>
      </c>
      <c r="Z278" s="21">
        <f t="shared" si="5"/>
        <v>57.9409678</v>
      </c>
      <c r="AA278" s="21">
        <f t="shared" si="6"/>
        <v>20.61222618</v>
      </c>
      <c r="AB278" s="22">
        <f t="shared" si="7"/>
        <v>0.08427777134</v>
      </c>
      <c r="AC278" s="8">
        <f t="shared" si="189"/>
        <v>32.17307081</v>
      </c>
      <c r="AD278" s="13">
        <f t="shared" si="190"/>
        <v>0.1286922833</v>
      </c>
      <c r="AE278" s="8">
        <f t="shared" si="191"/>
        <v>32.17307081</v>
      </c>
      <c r="AF278" s="73">
        <f t="shared" si="192"/>
        <v>2.89343931</v>
      </c>
      <c r="AG278" s="74" t="str">
        <f t="shared" si="193"/>
        <v>#REF!</v>
      </c>
      <c r="AH278" s="73">
        <f t="shared" si="194"/>
        <v>2</v>
      </c>
      <c r="AI278" s="73">
        <f t="shared" si="195"/>
        <v>1.123141633</v>
      </c>
      <c r="AJ278" s="75">
        <f t="shared" si="196"/>
        <v>1</v>
      </c>
      <c r="AK278" s="73">
        <f t="shared" si="197"/>
        <v>0.6344977517</v>
      </c>
      <c r="AL278" s="73">
        <f t="shared" si="198"/>
        <v>0.5391445025</v>
      </c>
      <c r="AM278" s="73">
        <f t="shared" si="199"/>
        <v>1.19780909</v>
      </c>
      <c r="AN278" s="75">
        <v>10.14</v>
      </c>
      <c r="AO278" s="76">
        <v>10.0</v>
      </c>
      <c r="AP278" s="73">
        <f t="shared" si="200"/>
        <v>10</v>
      </c>
      <c r="AQ278" s="29" t="str">
        <f t="shared" si="201"/>
        <v>#REF!</v>
      </c>
      <c r="AR278" s="77" t="str">
        <f t="shared" si="202"/>
        <v>#REF!</v>
      </c>
      <c r="AS278" s="73"/>
      <c r="AT278" s="39"/>
    </row>
    <row r="279" ht="15.75" customHeight="1">
      <c r="A279" s="16" t="s">
        <v>1028</v>
      </c>
      <c r="B279" s="16" t="s">
        <v>797</v>
      </c>
      <c r="C279" s="16">
        <v>1970.0</v>
      </c>
      <c r="D279" s="16"/>
      <c r="E279" s="16">
        <v>1970.0</v>
      </c>
      <c r="F279" s="16" t="b">
        <v>0</v>
      </c>
      <c r="G279" s="16" t="b">
        <v>0</v>
      </c>
      <c r="H279" s="16" t="b">
        <v>0</v>
      </c>
      <c r="I279" s="16" t="b">
        <v>0</v>
      </c>
      <c r="J279" s="18">
        <v>110.0</v>
      </c>
      <c r="K279" s="16">
        <v>1.0</v>
      </c>
      <c r="L279" s="16">
        <v>500.0</v>
      </c>
      <c r="M279" s="16">
        <v>0.0</v>
      </c>
      <c r="N279" s="16">
        <v>252.0</v>
      </c>
      <c r="O279" s="16">
        <v>406.8</v>
      </c>
      <c r="P279" s="18">
        <v>219.0</v>
      </c>
      <c r="Q279" s="16">
        <v>259.0</v>
      </c>
      <c r="R279" s="16">
        <v>1.96</v>
      </c>
      <c r="S279" s="16">
        <v>0.983333</v>
      </c>
      <c r="T279" s="16">
        <v>0.983333</v>
      </c>
      <c r="U279" s="19">
        <f t="shared" si="1"/>
        <v>500</v>
      </c>
      <c r="V279" s="19">
        <f t="shared" si="2"/>
        <v>164.611331</v>
      </c>
      <c r="W279" s="20">
        <f t="shared" si="3"/>
        <v>0.4121510497</v>
      </c>
      <c r="X279" s="17">
        <f t="shared" si="205"/>
        <v>167.663047</v>
      </c>
      <c r="Y279" s="21">
        <f t="shared" si="4"/>
        <v>1.75</v>
      </c>
      <c r="Z279" s="21">
        <f t="shared" si="5"/>
        <v>461.0733793</v>
      </c>
      <c r="AA279" s="21">
        <f t="shared" si="6"/>
        <v>1.133415387</v>
      </c>
      <c r="AB279" s="22">
        <f t="shared" si="7"/>
        <v>0.3353260941</v>
      </c>
      <c r="AC279" s="8">
        <f t="shared" si="189"/>
        <v>165.4740029</v>
      </c>
      <c r="AD279" s="13">
        <f t="shared" si="190"/>
        <v>0.3309480058</v>
      </c>
      <c r="AE279" s="8">
        <f t="shared" si="191"/>
        <v>165.4740029</v>
      </c>
      <c r="AF279" s="73">
        <f t="shared" si="192"/>
        <v>86.24524595</v>
      </c>
      <c r="AG279" s="74" t="str">
        <f t="shared" si="193"/>
        <v>#REF!</v>
      </c>
      <c r="AH279" s="73">
        <f t="shared" si="194"/>
        <v>0</v>
      </c>
      <c r="AI279" s="73">
        <f t="shared" si="195"/>
        <v>0</v>
      </c>
      <c r="AJ279" s="75">
        <f t="shared" si="196"/>
        <v>1.223812344</v>
      </c>
      <c r="AK279" s="73">
        <f t="shared" si="197"/>
        <v>1.4344482</v>
      </c>
      <c r="AL279" s="73">
        <f t="shared" si="198"/>
        <v>0.7547042658</v>
      </c>
      <c r="AM279" s="73">
        <f t="shared" si="199"/>
        <v>0.9309127151</v>
      </c>
      <c r="AN279" s="75">
        <v>149.55</v>
      </c>
      <c r="AO279" s="76">
        <v>150.0</v>
      </c>
      <c r="AP279" s="73">
        <f t="shared" si="200"/>
        <v>150</v>
      </c>
      <c r="AQ279" s="29" t="str">
        <f t="shared" si="201"/>
        <v>#REF!</v>
      </c>
      <c r="AR279" s="77" t="str">
        <f t="shared" si="202"/>
        <v>#REF!</v>
      </c>
      <c r="AS279" s="73"/>
      <c r="AT279" s="39"/>
    </row>
    <row r="280" ht="15.75" customHeight="1">
      <c r="A280" s="7" t="s">
        <v>133</v>
      </c>
      <c r="B280" s="7" t="s">
        <v>130</v>
      </c>
      <c r="C280" s="7">
        <v>1970.0</v>
      </c>
      <c r="D280" s="7"/>
      <c r="E280" s="7">
        <v>1970.0</v>
      </c>
      <c r="F280" s="7" t="b">
        <v>1</v>
      </c>
      <c r="G280" s="7" t="b">
        <v>0</v>
      </c>
      <c r="H280" s="7" t="b">
        <v>0</v>
      </c>
      <c r="I280" s="7" t="b">
        <v>0</v>
      </c>
      <c r="J280" s="7"/>
      <c r="K280" s="7">
        <v>1.0</v>
      </c>
      <c r="L280" s="7">
        <v>600.0</v>
      </c>
      <c r="M280" s="7">
        <v>100.0</v>
      </c>
      <c r="N280" s="7">
        <v>1800.0</v>
      </c>
      <c r="O280" s="7">
        <v>2358.25</v>
      </c>
      <c r="P280" s="9">
        <v>256.0</v>
      </c>
      <c r="Q280" s="7">
        <v>290.0</v>
      </c>
      <c r="R280" s="7">
        <v>5.45</v>
      </c>
      <c r="S280" s="7">
        <v>0.995</v>
      </c>
      <c r="T280" s="7">
        <v>0.996</v>
      </c>
      <c r="U280" s="10">
        <f t="shared" si="1"/>
        <v>700</v>
      </c>
      <c r="V280" s="10">
        <f t="shared" si="2"/>
        <v>133.5969862</v>
      </c>
      <c r="W280" s="11">
        <f t="shared" si="3"/>
        <v>0.2705866012</v>
      </c>
      <c r="X280" s="8">
        <f t="shared" si="205"/>
        <v>638.1108524</v>
      </c>
      <c r="Y280" s="12">
        <f t="shared" si="4"/>
        <v>4</v>
      </c>
      <c r="Z280" s="12">
        <f t="shared" si="5"/>
        <v>3190.554262</v>
      </c>
      <c r="AA280" s="12">
        <f t="shared" si="6"/>
        <v>1.352933006</v>
      </c>
      <c r="AB280" s="13">
        <f t="shared" si="7"/>
        <v>0.9115869319</v>
      </c>
      <c r="AC280" s="8">
        <f t="shared" si="189"/>
        <v>645.1428339</v>
      </c>
      <c r="AD280" s="13">
        <f t="shared" si="190"/>
        <v>0.9216326199</v>
      </c>
      <c r="AE280" s="8">
        <f t="shared" si="191"/>
        <v>645.1428339</v>
      </c>
      <c r="AF280" s="73">
        <f t="shared" si="192"/>
        <v>281.9732444</v>
      </c>
      <c r="AG280" s="74" t="str">
        <f t="shared" si="193"/>
        <v>#REF!</v>
      </c>
      <c r="AH280" s="73">
        <f t="shared" si="194"/>
        <v>0</v>
      </c>
      <c r="AI280" s="73">
        <f t="shared" si="195"/>
        <v>0</v>
      </c>
      <c r="AJ280" s="75">
        <f t="shared" si="196"/>
        <v>1.294381024</v>
      </c>
      <c r="AK280" s="73">
        <f t="shared" si="197"/>
        <v>1.292270222</v>
      </c>
      <c r="AL280" s="73">
        <f t="shared" si="198"/>
        <v>0.9336615296</v>
      </c>
      <c r="AM280" s="73">
        <f t="shared" si="199"/>
        <v>1</v>
      </c>
      <c r="AN280" s="75">
        <v>787.07</v>
      </c>
      <c r="AO280" s="76">
        <v>790.0</v>
      </c>
      <c r="AP280" s="73">
        <f t="shared" si="200"/>
        <v>790</v>
      </c>
      <c r="AQ280" s="29" t="str">
        <f t="shared" si="201"/>
        <v>#REF!</v>
      </c>
      <c r="AR280" s="77" t="str">
        <f t="shared" si="202"/>
        <v>#REF!</v>
      </c>
      <c r="AS280" s="73"/>
      <c r="AT280" s="39"/>
    </row>
    <row r="281" ht="15.75" customHeight="1">
      <c r="A281" s="16" t="s">
        <v>223</v>
      </c>
      <c r="B281" s="16" t="s">
        <v>224</v>
      </c>
      <c r="C281" s="16">
        <v>1970.0</v>
      </c>
      <c r="D281" s="16"/>
      <c r="E281" s="16">
        <v>1970.0</v>
      </c>
      <c r="F281" s="16" t="b">
        <v>1</v>
      </c>
      <c r="G281" s="16" t="b">
        <v>0</v>
      </c>
      <c r="H281" s="16" t="b">
        <v>1</v>
      </c>
      <c r="I281" s="16" t="b">
        <v>0</v>
      </c>
      <c r="J281" s="18">
        <v>560.0</v>
      </c>
      <c r="K281" s="18">
        <v>50.0</v>
      </c>
      <c r="L281" s="16">
        <v>200.0</v>
      </c>
      <c r="M281" s="16">
        <v>0.0</v>
      </c>
      <c r="N281" s="16">
        <v>70.0</v>
      </c>
      <c r="O281" s="16">
        <v>18.85</v>
      </c>
      <c r="P281" s="18">
        <v>254.0</v>
      </c>
      <c r="Q281" s="16">
        <v>312.0</v>
      </c>
      <c r="R281" s="16">
        <v>13.32</v>
      </c>
      <c r="S281" s="16">
        <v>0.996512</v>
      </c>
      <c r="T281" s="16">
        <v>0.991176</v>
      </c>
      <c r="U281" s="19">
        <f t="shared" si="1"/>
        <v>200</v>
      </c>
      <c r="V281" s="19">
        <f t="shared" si="2"/>
        <v>27.4595008</v>
      </c>
      <c r="W281" s="20">
        <f t="shared" si="3"/>
        <v>5.685623418</v>
      </c>
      <c r="X281" s="17">
        <f t="shared" si="205"/>
        <v>107.1740014</v>
      </c>
      <c r="Y281" s="21">
        <f t="shared" si="4"/>
        <v>4</v>
      </c>
      <c r="Z281" s="21">
        <f t="shared" si="5"/>
        <v>535.8700072</v>
      </c>
      <c r="AA281" s="21">
        <f t="shared" si="6"/>
        <v>28.42811709</v>
      </c>
      <c r="AB281" s="22">
        <f t="shared" si="7"/>
        <v>0.5358700072</v>
      </c>
      <c r="AC281" s="8">
        <f t="shared" si="189"/>
        <v>108.0012538</v>
      </c>
      <c r="AD281" s="13">
        <f t="shared" si="190"/>
        <v>0.5400062689</v>
      </c>
      <c r="AE281" s="8">
        <f t="shared" si="191"/>
        <v>108.0012538</v>
      </c>
      <c r="AF281" s="73">
        <f t="shared" si="192"/>
        <v>7.531288351</v>
      </c>
      <c r="AG281" s="74" t="str">
        <f t="shared" si="193"/>
        <v>#REF!</v>
      </c>
      <c r="AH281" s="73">
        <f t="shared" si="194"/>
        <v>0</v>
      </c>
      <c r="AI281" s="73">
        <f t="shared" si="195"/>
        <v>0.8140424221</v>
      </c>
      <c r="AJ281" s="75">
        <f t="shared" si="196"/>
        <v>1.169384173</v>
      </c>
      <c r="AK281" s="73">
        <f t="shared" si="197"/>
        <v>0.585870088</v>
      </c>
      <c r="AL281" s="73">
        <f t="shared" si="198"/>
        <v>1.123356654</v>
      </c>
      <c r="AM281" s="73">
        <f t="shared" si="199"/>
        <v>1.50676819</v>
      </c>
      <c r="AN281" s="75">
        <v>34.76</v>
      </c>
      <c r="AO281" s="76">
        <v>35.0</v>
      </c>
      <c r="AP281" s="73">
        <f t="shared" si="200"/>
        <v>35</v>
      </c>
      <c r="AQ281" s="29" t="str">
        <f t="shared" si="201"/>
        <v>#REF!</v>
      </c>
      <c r="AR281" s="77" t="str">
        <f t="shared" si="202"/>
        <v>#REF!</v>
      </c>
      <c r="AS281" s="73"/>
      <c r="AT281" s="39"/>
    </row>
    <row r="282" ht="15.75" customHeight="1">
      <c r="A282" s="16" t="s">
        <v>310</v>
      </c>
      <c r="B282" s="16" t="s">
        <v>288</v>
      </c>
      <c r="C282" s="16">
        <v>1970.0</v>
      </c>
      <c r="D282" s="16"/>
      <c r="E282" s="16">
        <v>1970.0</v>
      </c>
      <c r="F282" s="16" t="b">
        <v>1</v>
      </c>
      <c r="G282" s="16" t="b">
        <v>0</v>
      </c>
      <c r="H282" s="16" t="b">
        <v>0</v>
      </c>
      <c r="I282" s="16" t="b">
        <v>0</v>
      </c>
      <c r="J282" s="18">
        <v>190.0</v>
      </c>
      <c r="K282" s="16">
        <v>1.0</v>
      </c>
      <c r="L282" s="16">
        <v>250.0</v>
      </c>
      <c r="M282" s="16">
        <v>140.0</v>
      </c>
      <c r="N282" s="16">
        <v>758.0</v>
      </c>
      <c r="O282" s="16">
        <v>1170.0</v>
      </c>
      <c r="P282" s="18">
        <v>254.0</v>
      </c>
      <c r="Q282" s="16">
        <v>302.0</v>
      </c>
      <c r="R282" s="16">
        <v>5.7</v>
      </c>
      <c r="S282" s="16">
        <v>0.995778</v>
      </c>
      <c r="T282" s="16">
        <v>0.995778</v>
      </c>
      <c r="U282" s="19">
        <f t="shared" si="1"/>
        <v>390</v>
      </c>
      <c r="V282" s="19">
        <f t="shared" si="2"/>
        <v>157.3968292</v>
      </c>
      <c r="W282" s="20">
        <f t="shared" si="3"/>
        <v>0.3311930751</v>
      </c>
      <c r="X282" s="17">
        <f t="shared" si="205"/>
        <v>387.4958978</v>
      </c>
      <c r="Y282" s="21">
        <f t="shared" si="4"/>
        <v>4</v>
      </c>
      <c r="Z282" s="21">
        <f t="shared" si="5"/>
        <v>1937.479489</v>
      </c>
      <c r="AA282" s="21">
        <f t="shared" si="6"/>
        <v>1.655965375</v>
      </c>
      <c r="AB282" s="22">
        <f t="shared" si="7"/>
        <v>0.9935792252</v>
      </c>
      <c r="AC282" s="8">
        <f t="shared" si="189"/>
        <v>391.9807077</v>
      </c>
      <c r="AD282" s="13">
        <f t="shared" si="190"/>
        <v>1.005078738</v>
      </c>
      <c r="AE282" s="8">
        <f t="shared" si="191"/>
        <v>391.9807077</v>
      </c>
      <c r="AF282" s="73">
        <f t="shared" si="192"/>
        <v>151.24341</v>
      </c>
      <c r="AG282" s="74" t="str">
        <f t="shared" si="193"/>
        <v>#REF!</v>
      </c>
      <c r="AH282" s="73">
        <f t="shared" si="194"/>
        <v>0</v>
      </c>
      <c r="AI282" s="73">
        <f t="shared" si="195"/>
        <v>0</v>
      </c>
      <c r="AJ282" s="75">
        <f t="shared" si="196"/>
        <v>1.215719982</v>
      </c>
      <c r="AK282" s="73">
        <f t="shared" si="197"/>
        <v>1.402661886</v>
      </c>
      <c r="AL282" s="73">
        <f t="shared" si="198"/>
        <v>1.016338664</v>
      </c>
      <c r="AM282" s="73">
        <f t="shared" si="199"/>
        <v>1.152011174</v>
      </c>
      <c r="AN282" s="75">
        <v>524.75</v>
      </c>
      <c r="AO282" s="76">
        <v>520.0</v>
      </c>
      <c r="AP282" s="73">
        <f t="shared" si="200"/>
        <v>520</v>
      </c>
      <c r="AQ282" s="29" t="str">
        <f t="shared" si="201"/>
        <v>#REF!</v>
      </c>
      <c r="AR282" s="77" t="str">
        <f t="shared" si="202"/>
        <v>#REF!</v>
      </c>
      <c r="AS282" s="73"/>
      <c r="AT282" s="39"/>
    </row>
    <row r="283" ht="15.75" customHeight="1">
      <c r="A283" s="7" t="s">
        <v>328</v>
      </c>
      <c r="B283" s="7" t="s">
        <v>325</v>
      </c>
      <c r="C283" s="7">
        <v>1970.0</v>
      </c>
      <c r="D283" s="7" t="b">
        <v>1</v>
      </c>
      <c r="E283" s="7">
        <v>1970.0</v>
      </c>
      <c r="F283" s="7" t="b">
        <v>1</v>
      </c>
      <c r="G283" s="7" t="b">
        <v>0</v>
      </c>
      <c r="H283" s="7" t="b">
        <v>1</v>
      </c>
      <c r="I283" s="7" t="b">
        <v>0</v>
      </c>
      <c r="J283" s="9">
        <v>500.0</v>
      </c>
      <c r="K283" s="7">
        <v>1.0</v>
      </c>
      <c r="L283" s="7">
        <v>700.0</v>
      </c>
      <c r="M283" s="7">
        <v>500.0</v>
      </c>
      <c r="N283" s="7">
        <v>1050.0</v>
      </c>
      <c r="O283" s="7">
        <v>889.0</v>
      </c>
      <c r="P283" s="9">
        <v>289.0</v>
      </c>
      <c r="Q283" s="7">
        <v>434.0</v>
      </c>
      <c r="R283" s="7">
        <v>5.67</v>
      </c>
      <c r="S283" s="7">
        <v>0.99</v>
      </c>
      <c r="T283" s="7">
        <v>0.998</v>
      </c>
      <c r="U283" s="10">
        <f t="shared" si="1"/>
        <v>1200</v>
      </c>
      <c r="V283" s="10">
        <f t="shared" si="2"/>
        <v>86.33597245</v>
      </c>
      <c r="W283" s="11">
        <f t="shared" si="3"/>
        <v>1.420136576</v>
      </c>
      <c r="X283" s="8">
        <f>0.9*(0.00015*N283*Q283*R283+797)+0.1*(43.1*POWER(N283,0.549))</f>
        <v>1262.501416</v>
      </c>
      <c r="Y283" s="12">
        <f t="shared" si="4"/>
        <v>4</v>
      </c>
      <c r="Z283" s="12">
        <f t="shared" si="5"/>
        <v>6312.507081</v>
      </c>
      <c r="AA283" s="12">
        <f t="shared" si="6"/>
        <v>7.100682881</v>
      </c>
      <c r="AB283" s="13">
        <f t="shared" si="7"/>
        <v>1.052084513</v>
      </c>
      <c r="AC283" s="8">
        <f t="shared" si="189"/>
        <v>1272.626678</v>
      </c>
      <c r="AD283" s="13">
        <f t="shared" si="190"/>
        <v>1.060522231</v>
      </c>
      <c r="AE283" s="8">
        <f t="shared" si="191"/>
        <v>575.9590458</v>
      </c>
      <c r="AF283" s="73">
        <f t="shared" si="192"/>
        <v>119.2498027</v>
      </c>
      <c r="AG283" s="74" t="str">
        <f t="shared" si="193"/>
        <v>#REF!</v>
      </c>
      <c r="AH283" s="73">
        <f t="shared" si="194"/>
        <v>0</v>
      </c>
      <c r="AI283" s="73">
        <f t="shared" si="195"/>
        <v>0</v>
      </c>
      <c r="AJ283" s="75">
        <f t="shared" si="196"/>
        <v>1.001268479</v>
      </c>
      <c r="AK283" s="73">
        <f t="shared" si="197"/>
        <v>1.038845347</v>
      </c>
      <c r="AL283" s="73">
        <f t="shared" si="198"/>
        <v>5.224652186</v>
      </c>
      <c r="AM283" s="73">
        <f t="shared" si="199"/>
        <v>1.474076339</v>
      </c>
      <c r="AN283" s="75">
        <v>1827.11</v>
      </c>
      <c r="AO283" s="76">
        <v>1800.0</v>
      </c>
      <c r="AP283" s="73">
        <f t="shared" si="200"/>
        <v>1800</v>
      </c>
      <c r="AQ283" s="29" t="str">
        <f t="shared" si="201"/>
        <v>#REF!</v>
      </c>
      <c r="AR283" s="77" t="str">
        <f t="shared" si="202"/>
        <v>#REF!</v>
      </c>
      <c r="AS283" s="73"/>
      <c r="AT283" s="39"/>
    </row>
    <row r="284" ht="15.75" customHeight="1">
      <c r="A284" s="16" t="s">
        <v>584</v>
      </c>
      <c r="B284" s="16" t="s">
        <v>579</v>
      </c>
      <c r="C284" s="16">
        <v>1970.0</v>
      </c>
      <c r="D284" s="16"/>
      <c r="E284" s="16">
        <v>1970.0</v>
      </c>
      <c r="F284" s="16" t="b">
        <v>1</v>
      </c>
      <c r="G284" s="16" t="b">
        <v>0</v>
      </c>
      <c r="H284" s="16" t="b">
        <v>0</v>
      </c>
      <c r="I284" s="16" t="b">
        <v>0</v>
      </c>
      <c r="J284" s="18">
        <v>120.0</v>
      </c>
      <c r="K284" s="16">
        <v>1.0</v>
      </c>
      <c r="L284" s="16">
        <v>330.0</v>
      </c>
      <c r="M284" s="16">
        <v>0.0</v>
      </c>
      <c r="N284" s="16">
        <v>576.0</v>
      </c>
      <c r="O284" s="16">
        <v>882.6</v>
      </c>
      <c r="P284" s="18">
        <v>270.0</v>
      </c>
      <c r="Q284" s="16">
        <v>301.4</v>
      </c>
      <c r="R284" s="16">
        <v>8.34</v>
      </c>
      <c r="S284" s="16">
        <v>0.999046</v>
      </c>
      <c r="T284" s="16">
        <v>0.999046</v>
      </c>
      <c r="U284" s="19">
        <f t="shared" si="1"/>
        <v>330</v>
      </c>
      <c r="V284" s="19">
        <f t="shared" si="2"/>
        <v>156.2502651</v>
      </c>
      <c r="W284" s="20">
        <f t="shared" si="3"/>
        <v>0.3863741365</v>
      </c>
      <c r="X284" s="17">
        <f t="shared" ref="X284:X285" si="206">0.2*(8.17*POWER(N284*R284,0.46))+0.8*(0.146*POWER(N284*Q284,0.639))</f>
        <v>341.0138129</v>
      </c>
      <c r="Y284" s="21">
        <f t="shared" si="4"/>
        <v>4</v>
      </c>
      <c r="Z284" s="21">
        <f t="shared" si="5"/>
        <v>1705.069064</v>
      </c>
      <c r="AA284" s="21">
        <f t="shared" si="6"/>
        <v>1.931870682</v>
      </c>
      <c r="AB284" s="22">
        <f t="shared" si="7"/>
        <v>1.033375191</v>
      </c>
      <c r="AC284" s="8">
        <f t="shared" si="189"/>
        <v>347.1837451</v>
      </c>
      <c r="AD284" s="13">
        <f t="shared" si="190"/>
        <v>1.052071955</v>
      </c>
      <c r="AE284" s="8">
        <f t="shared" si="191"/>
        <v>347.1837451</v>
      </c>
      <c r="AF284" s="73">
        <f t="shared" si="192"/>
        <v>118.5130967</v>
      </c>
      <c r="AG284" s="74" t="str">
        <f t="shared" si="193"/>
        <v>#REF!</v>
      </c>
      <c r="AH284" s="73">
        <f t="shared" si="194"/>
        <v>0</v>
      </c>
      <c r="AI284" s="73">
        <f t="shared" si="195"/>
        <v>0</v>
      </c>
      <c r="AJ284" s="75">
        <f t="shared" si="196"/>
        <v>1.32064733</v>
      </c>
      <c r="AK284" s="73">
        <f t="shared" si="197"/>
        <v>1.397543671</v>
      </c>
      <c r="AL284" s="73">
        <f t="shared" si="198"/>
        <v>1.011007272</v>
      </c>
      <c r="AM284" s="73">
        <f t="shared" si="199"/>
        <v>0.9682484915</v>
      </c>
      <c r="AN284" s="75">
        <v>420.14</v>
      </c>
      <c r="AO284" s="76">
        <v>420.0</v>
      </c>
      <c r="AP284" s="73">
        <f t="shared" si="200"/>
        <v>420</v>
      </c>
      <c r="AQ284" s="29" t="str">
        <f t="shared" si="201"/>
        <v>#REF!</v>
      </c>
      <c r="AR284" s="77" t="str">
        <f t="shared" si="202"/>
        <v>#REF!</v>
      </c>
      <c r="AS284" s="73"/>
      <c r="AT284" s="39"/>
    </row>
    <row r="285" ht="15.75" customHeight="1">
      <c r="A285" s="7" t="s">
        <v>588</v>
      </c>
      <c r="B285" s="7" t="s">
        <v>586</v>
      </c>
      <c r="C285" s="7">
        <v>1970.0</v>
      </c>
      <c r="D285" s="7"/>
      <c r="E285" s="7">
        <v>1970.0</v>
      </c>
      <c r="F285" s="7" t="b">
        <v>1</v>
      </c>
      <c r="G285" s="7" t="b">
        <v>0</v>
      </c>
      <c r="H285" s="7" t="b">
        <v>1</v>
      </c>
      <c r="I285" s="7" t="b">
        <v>0</v>
      </c>
      <c r="J285" s="9">
        <v>160.0</v>
      </c>
      <c r="K285" s="7">
        <v>1.0</v>
      </c>
      <c r="L285" s="7">
        <v>350.0</v>
      </c>
      <c r="M285" s="7">
        <v>0.0</v>
      </c>
      <c r="N285" s="7">
        <v>728.0</v>
      </c>
      <c r="O285" s="7">
        <v>941.4</v>
      </c>
      <c r="P285" s="9">
        <v>231.0</v>
      </c>
      <c r="Q285" s="7">
        <v>318.0</v>
      </c>
      <c r="R285" s="7">
        <v>8.92</v>
      </c>
      <c r="S285" s="7">
        <v>0.99877</v>
      </c>
      <c r="T285" s="7">
        <v>0.99877</v>
      </c>
      <c r="U285" s="10">
        <f t="shared" si="1"/>
        <v>350</v>
      </c>
      <c r="V285" s="10">
        <f t="shared" si="2"/>
        <v>131.8627528</v>
      </c>
      <c r="W285" s="11">
        <f t="shared" si="3"/>
        <v>0.430822139</v>
      </c>
      <c r="X285" s="8">
        <f t="shared" si="206"/>
        <v>405.5759616</v>
      </c>
      <c r="Y285" s="12">
        <f t="shared" si="4"/>
        <v>4</v>
      </c>
      <c r="Z285" s="12">
        <f t="shared" si="5"/>
        <v>2027.879808</v>
      </c>
      <c r="AA285" s="12">
        <f t="shared" si="6"/>
        <v>2.154110695</v>
      </c>
      <c r="AB285" s="13">
        <f t="shared" si="7"/>
        <v>1.158788462</v>
      </c>
      <c r="AC285" s="8">
        <f t="shared" si="189"/>
        <v>412.6903776</v>
      </c>
      <c r="AD285" s="13">
        <f t="shared" si="190"/>
        <v>1.179115365</v>
      </c>
      <c r="AE285" s="8">
        <f t="shared" si="191"/>
        <v>412.6903776</v>
      </c>
      <c r="AF285" s="73">
        <f t="shared" si="192"/>
        <v>125.2665763</v>
      </c>
      <c r="AG285" s="74" t="str">
        <f t="shared" si="193"/>
        <v>#REF!</v>
      </c>
      <c r="AH285" s="73">
        <f t="shared" si="194"/>
        <v>0</v>
      </c>
      <c r="AI285" s="73">
        <f t="shared" si="195"/>
        <v>0</v>
      </c>
      <c r="AJ285" s="75">
        <f t="shared" si="196"/>
        <v>1.04792457</v>
      </c>
      <c r="AK285" s="73">
        <f t="shared" si="197"/>
        <v>1.283855291</v>
      </c>
      <c r="AL285" s="73">
        <f t="shared" si="198"/>
        <v>1.199256567</v>
      </c>
      <c r="AM285" s="73">
        <f t="shared" si="199"/>
        <v>1.085846338</v>
      </c>
      <c r="AN285" s="75">
        <v>439.31</v>
      </c>
      <c r="AO285" s="76">
        <v>440.0</v>
      </c>
      <c r="AP285" s="73">
        <f t="shared" si="200"/>
        <v>440</v>
      </c>
      <c r="AQ285" s="29" t="str">
        <f t="shared" si="201"/>
        <v>#REF!</v>
      </c>
      <c r="AR285" s="77" t="str">
        <f t="shared" si="202"/>
        <v>#REF!</v>
      </c>
      <c r="AS285" s="73"/>
      <c r="AT285" s="39"/>
    </row>
    <row r="286" ht="15.75" hidden="1" customHeight="1">
      <c r="A286" s="7" t="s">
        <v>885</v>
      </c>
      <c r="B286" s="7" t="s">
        <v>885</v>
      </c>
      <c r="C286" s="7">
        <v>1955.0</v>
      </c>
      <c r="D286" s="7"/>
      <c r="E286" s="7">
        <v>1955.0</v>
      </c>
      <c r="F286" s="7" t="b">
        <v>0</v>
      </c>
      <c r="G286" s="7" t="b">
        <v>1</v>
      </c>
      <c r="H286" s="7" t="b">
        <v>0</v>
      </c>
      <c r="I286" s="7" t="b">
        <v>0</v>
      </c>
      <c r="J286" s="7"/>
      <c r="K286" s="7"/>
      <c r="L286" s="7">
        <v>50.0</v>
      </c>
      <c r="M286" s="7">
        <v>0.0</v>
      </c>
      <c r="N286" s="7">
        <v>195.0</v>
      </c>
      <c r="O286" s="7">
        <v>224.46</v>
      </c>
      <c r="P286" s="7"/>
      <c r="Q286" s="7">
        <v>228.0</v>
      </c>
      <c r="R286" s="7"/>
      <c r="S286" s="7"/>
      <c r="T286" s="7"/>
      <c r="U286" s="10">
        <f t="shared" si="1"/>
        <v>50</v>
      </c>
      <c r="V286" s="10">
        <f t="shared" si="2"/>
        <v>117.3771797</v>
      </c>
      <c r="W286" s="11">
        <f t="shared" si="3"/>
        <v>0.4856868757</v>
      </c>
      <c r="X286" s="8">
        <f>0.2*(8.17*POW(N286*R286,0.46))+0.8*(0.146*POW(N286*Q286,0.639))</f>
        <v>109.0172761</v>
      </c>
      <c r="Y286" s="12">
        <f t="shared" si="4"/>
        <v>1.05</v>
      </c>
      <c r="Z286" s="12">
        <f t="shared" si="5"/>
        <v>223.4854161</v>
      </c>
      <c r="AA286" s="12">
        <f t="shared" si="6"/>
        <v>0.9956580952</v>
      </c>
      <c r="AB286" s="13">
        <f t="shared" si="7"/>
        <v>2.180345523</v>
      </c>
      <c r="AC286" s="8">
        <f>IF(I286,X286*1.5,X286)*IF(S286*T286&gt;0,(S286*T286+0.02),1)</f>
        <v>109.0172761</v>
      </c>
      <c r="AG286" s="7"/>
    </row>
    <row r="287" ht="15.75" customHeight="1">
      <c r="A287" s="7" t="s">
        <v>652</v>
      </c>
      <c r="B287" s="7" t="s">
        <v>653</v>
      </c>
      <c r="C287" s="7">
        <v>1970.0</v>
      </c>
      <c r="D287" s="7"/>
      <c r="E287" s="7">
        <v>1970.0</v>
      </c>
      <c r="F287" s="7" t="b">
        <v>1</v>
      </c>
      <c r="G287" s="7" t="b">
        <v>0</v>
      </c>
      <c r="H287" s="7" t="b">
        <v>1</v>
      </c>
      <c r="I287" s="7" t="b">
        <v>1</v>
      </c>
      <c r="J287" s="9">
        <v>470.0</v>
      </c>
      <c r="K287" s="9">
        <v>12.0</v>
      </c>
      <c r="L287" s="7">
        <v>450.0</v>
      </c>
      <c r="M287" s="7"/>
      <c r="N287" s="7">
        <v>53.0</v>
      </c>
      <c r="O287" s="7">
        <v>20.104</v>
      </c>
      <c r="P287" s="9">
        <v>152.0</v>
      </c>
      <c r="Q287" s="7">
        <v>314.9</v>
      </c>
      <c r="R287" s="7">
        <v>7.85</v>
      </c>
      <c r="S287" s="7">
        <v>0.996521</v>
      </c>
      <c r="T287" s="7">
        <v>0.998177</v>
      </c>
      <c r="U287" s="10">
        <f t="shared" si="1"/>
        <v>450</v>
      </c>
      <c r="V287" s="10">
        <f t="shared" si="2"/>
        <v>38.67995224</v>
      </c>
      <c r="W287" s="11">
        <f t="shared" si="3"/>
        <v>4.201875288</v>
      </c>
      <c r="X287" s="8">
        <f t="shared" ref="X287:X288" si="207">0.2*(8.17*POWER(N287*R287,0.46))+0.8*(0.146*POWER(N287*Q287,0.639))</f>
        <v>84.47450079</v>
      </c>
      <c r="Y287" s="12">
        <f t="shared" si="4"/>
        <v>4</v>
      </c>
      <c r="Z287" s="12">
        <f t="shared" si="5"/>
        <v>422.3725039</v>
      </c>
      <c r="AA287" s="12">
        <f t="shared" si="6"/>
        <v>21.00937644</v>
      </c>
      <c r="AB287" s="13">
        <f t="shared" si="7"/>
        <v>0.1877211129</v>
      </c>
      <c r="AC287" s="8">
        <f t="shared" ref="AC287:AC311" si="208">X287*IF(I287,1.5,1)*IF(S287*T287&gt;0,(S287*T287+0.02),1)</f>
        <v>128.5749641</v>
      </c>
      <c r="AD287" s="13">
        <f t="shared" ref="AD287:AD311" si="209">IFERROR(AC287/U287,#N/A)</f>
        <v>0.2857221425</v>
      </c>
      <c r="AE287" s="8">
        <f t="shared" ref="AE287:AE311" si="210">IF(I287,1.5,1)*IF(S287*T287&gt;0,(S287*T287+0.02),1)*(0.2*(8.17*POWER(N287*R287,0.46))+0.8*(0.146*POWER(N287*Q287,0.639)))</f>
        <v>128.5749641</v>
      </c>
      <c r="AF287" s="73">
        <f t="shared" ref="AF287:AF311" si="211">If(F287,$AT$2*O287*(1-log(O287)*0.04+1/(O287/80)^0.6),$AT$3*O287*(1+1/(O287/12)^0.9-log(O287)*0.03))</f>
        <v>7.811917151</v>
      </c>
      <c r="AG287" s="74" t="str">
        <f t="shared" ref="AG287:AG311" si="212">If(F287,VLOOKUP(E287,#REF!,2),VLOOKUP(E287,#REF!,3))</f>
        <v>#REF!</v>
      </c>
      <c r="AH287" s="73">
        <f t="shared" ref="AH287:AH311" si="213">If(I287,2,0)</f>
        <v>2</v>
      </c>
      <c r="AI287" s="73">
        <f t="shared" ref="AI287:AI311" si="214">1.5-1.5/K287^0.2</f>
        <v>0.5874534872</v>
      </c>
      <c r="AJ287" s="75">
        <f t="shared" ref="AJ287:AJ311" si="215">If(P287/Q287 &gt; 0.66,1+2.8*(P287/Q287-0.66)^1.5,1)</f>
        <v>1</v>
      </c>
      <c r="AK287" s="73">
        <f t="shared" ref="AK287:AK311" si="216">Max(0.8,Pow(V287/5,0.5))/4</f>
        <v>0.6953412133</v>
      </c>
      <c r="AL287" s="73">
        <f t="shared" ref="AL287:AL311" si="217">IF(Q287&gt;300,IF(Q287&gt;460.39,7.5*8.5^((Q287/460.4-1)^0.6),6.5^((Q287/150-2)^1.1)),2.8^(Q287/150-2))</f>
        <v>1.159040558</v>
      </c>
      <c r="AM287" s="73">
        <f t="shared" ref="AM287:AM311" si="218">If(ISBLANK(J287),1,2.6*(1-1/((J287*0.05)^0.26)))</f>
        <v>1.455816439</v>
      </c>
      <c r="AN287" s="75">
        <v>59.9</v>
      </c>
      <c r="AO287" s="76">
        <v>60.0</v>
      </c>
      <c r="AP287" s="73">
        <f t="shared" ref="AP287:AP311" si="219">If(MOD(Log10(AO287),1)&gt;0.2,ROUND(AO287,1-INT(LOG10(AO287))), ROUND(2*AO287,1-INT(LOG10(2*AO287)))/2)</f>
        <v>60</v>
      </c>
      <c r="AQ287" s="29" t="str">
        <f t="shared" ref="AQ287:AQ311" si="220">VLOOKUP(A287,#REF!,27,FALSE)</f>
        <v>#REF!</v>
      </c>
      <c r="AR287" s="77" t="str">
        <f t="shared" ref="AR287:AR311" si="221">AP287/AQ287-1</f>
        <v>#REF!</v>
      </c>
      <c r="AS287" s="73"/>
      <c r="AT287" s="39"/>
    </row>
    <row r="288" ht="15.75" customHeight="1">
      <c r="A288" s="16" t="s">
        <v>654</v>
      </c>
      <c r="B288" s="16" t="s">
        <v>655</v>
      </c>
      <c r="C288" s="16">
        <v>1970.0</v>
      </c>
      <c r="D288" s="16"/>
      <c r="E288" s="16">
        <v>1970.0</v>
      </c>
      <c r="F288" s="16" t="b">
        <v>1</v>
      </c>
      <c r="G288" s="16" t="b">
        <v>0</v>
      </c>
      <c r="H288" s="16" t="b">
        <v>1</v>
      </c>
      <c r="I288" s="16" t="b">
        <v>1</v>
      </c>
      <c r="J288" s="18">
        <v>470.0</v>
      </c>
      <c r="K288" s="18">
        <v>2.0</v>
      </c>
      <c r="L288" s="16">
        <v>450.0</v>
      </c>
      <c r="M288" s="16"/>
      <c r="N288" s="16">
        <v>57.0</v>
      </c>
      <c r="O288" s="16">
        <v>20.055</v>
      </c>
      <c r="P288" s="18">
        <v>150.0</v>
      </c>
      <c r="Q288" s="16">
        <v>311.9</v>
      </c>
      <c r="R288" s="16">
        <v>7.85</v>
      </c>
      <c r="S288" s="16">
        <v>0.996521</v>
      </c>
      <c r="T288" s="16">
        <v>0.998177</v>
      </c>
      <c r="U288" s="19">
        <f t="shared" si="1"/>
        <v>450</v>
      </c>
      <c r="V288" s="19">
        <f t="shared" si="2"/>
        <v>35.87790981</v>
      </c>
      <c r="W288" s="20">
        <f t="shared" si="3"/>
        <v>4.376335188</v>
      </c>
      <c r="X288" s="17">
        <f t="shared" si="207"/>
        <v>87.76740219</v>
      </c>
      <c r="Y288" s="21">
        <f t="shared" si="4"/>
        <v>4</v>
      </c>
      <c r="Z288" s="21">
        <f t="shared" si="5"/>
        <v>438.837011</v>
      </c>
      <c r="AA288" s="21">
        <f t="shared" si="6"/>
        <v>21.88167594</v>
      </c>
      <c r="AB288" s="22">
        <f t="shared" si="7"/>
        <v>0.1950386715</v>
      </c>
      <c r="AC288" s="8">
        <f t="shared" si="208"/>
        <v>133.5869462</v>
      </c>
      <c r="AD288" s="13">
        <f t="shared" si="209"/>
        <v>0.2968598804</v>
      </c>
      <c r="AE288" s="8">
        <f t="shared" si="210"/>
        <v>133.5869462</v>
      </c>
      <c r="AF288" s="73">
        <f t="shared" si="211"/>
        <v>7.801055072</v>
      </c>
      <c r="AG288" s="74" t="str">
        <f t="shared" si="212"/>
        <v>#REF!</v>
      </c>
      <c r="AH288" s="73">
        <f t="shared" si="213"/>
        <v>2</v>
      </c>
      <c r="AI288" s="73">
        <f t="shared" si="214"/>
        <v>0.1941741551</v>
      </c>
      <c r="AJ288" s="75">
        <f t="shared" si="215"/>
        <v>1</v>
      </c>
      <c r="AK288" s="73">
        <f t="shared" si="216"/>
        <v>0.669681919</v>
      </c>
      <c r="AL288" s="73">
        <f t="shared" si="217"/>
        <v>1.122159982</v>
      </c>
      <c r="AM288" s="73">
        <f t="shared" si="218"/>
        <v>1.455816439</v>
      </c>
      <c r="AN288" s="75">
        <v>52.24</v>
      </c>
      <c r="AO288" s="76">
        <v>52.0</v>
      </c>
      <c r="AP288" s="73">
        <f t="shared" si="219"/>
        <v>52</v>
      </c>
      <c r="AQ288" s="29" t="str">
        <f t="shared" si="220"/>
        <v>#REF!</v>
      </c>
      <c r="AR288" s="77" t="str">
        <f t="shared" si="221"/>
        <v>#REF!</v>
      </c>
      <c r="AS288" s="73"/>
      <c r="AT288" s="39"/>
    </row>
    <row r="289" ht="15.75" customHeight="1">
      <c r="A289" s="7" t="s">
        <v>663</v>
      </c>
      <c r="B289" s="7" t="s">
        <v>660</v>
      </c>
      <c r="C289" s="7">
        <v>1970.0</v>
      </c>
      <c r="D289" s="7" t="b">
        <v>1</v>
      </c>
      <c r="E289" s="7">
        <v>1970.0</v>
      </c>
      <c r="F289" s="7" t="b">
        <v>1</v>
      </c>
      <c r="G289" s="7" t="b">
        <v>0</v>
      </c>
      <c r="H289" s="7" t="b">
        <v>1</v>
      </c>
      <c r="I289" s="7" t="b">
        <v>1</v>
      </c>
      <c r="J289" s="7"/>
      <c r="K289" s="9">
        <v>20.0</v>
      </c>
      <c r="L289" s="7">
        <v>500.0</v>
      </c>
      <c r="M289" s="7">
        <v>800.0</v>
      </c>
      <c r="N289" s="7">
        <v>204.0</v>
      </c>
      <c r="O289" s="7">
        <v>66.7</v>
      </c>
      <c r="P289" s="9">
        <v>186.0</v>
      </c>
      <c r="Q289" s="7">
        <v>442.2</v>
      </c>
      <c r="R289" s="7">
        <v>2.72</v>
      </c>
      <c r="S289" s="7">
        <v>0.99486</v>
      </c>
      <c r="T289" s="7">
        <v>0.99717</v>
      </c>
      <c r="U289" s="10">
        <f t="shared" si="1"/>
        <v>1300</v>
      </c>
      <c r="V289" s="10">
        <f t="shared" si="2"/>
        <v>33.34072118</v>
      </c>
      <c r="W289" s="11">
        <f t="shared" si="3"/>
        <v>12.44841808</v>
      </c>
      <c r="X289" s="8">
        <f>0.9*(0.00015*N289*Q289*R289+797)+0.1*(43.1*POWER(N289,0.549))</f>
        <v>830.309486</v>
      </c>
      <c r="Y289" s="12">
        <f t="shared" si="4"/>
        <v>4</v>
      </c>
      <c r="Z289" s="12">
        <f t="shared" si="5"/>
        <v>4151.54743</v>
      </c>
      <c r="AA289" s="12">
        <f t="shared" si="6"/>
        <v>62.24209041</v>
      </c>
      <c r="AB289" s="13">
        <f t="shared" si="7"/>
        <v>0.6386996047</v>
      </c>
      <c r="AC289" s="8">
        <f t="shared" si="208"/>
        <v>1260.465281</v>
      </c>
      <c r="AD289" s="13">
        <f t="shared" si="209"/>
        <v>0.9695886773</v>
      </c>
      <c r="AE289" s="8">
        <f t="shared" si="210"/>
        <v>305.4795075</v>
      </c>
      <c r="AF289" s="73">
        <f t="shared" si="211"/>
        <v>16.34657754</v>
      </c>
      <c r="AG289" s="74" t="str">
        <f t="shared" si="212"/>
        <v>#REF!</v>
      </c>
      <c r="AH289" s="73">
        <f t="shared" si="213"/>
        <v>2</v>
      </c>
      <c r="AI289" s="73">
        <f t="shared" si="214"/>
        <v>0.6760795925</v>
      </c>
      <c r="AJ289" s="75">
        <f t="shared" si="215"/>
        <v>1</v>
      </c>
      <c r="AK289" s="73">
        <f t="shared" si="216"/>
        <v>0.6455687529</v>
      </c>
      <c r="AL289" s="73">
        <f t="shared" si="217"/>
        <v>5.84167704</v>
      </c>
      <c r="AM289" s="73">
        <f t="shared" si="218"/>
        <v>1</v>
      </c>
      <c r="AN289" s="75">
        <v>421.19</v>
      </c>
      <c r="AO289" s="76">
        <v>420.0</v>
      </c>
      <c r="AP289" s="73">
        <f t="shared" si="219"/>
        <v>420</v>
      </c>
      <c r="AQ289" s="29" t="str">
        <f t="shared" si="220"/>
        <v>#REF!</v>
      </c>
      <c r="AR289" s="77" t="str">
        <f t="shared" si="221"/>
        <v>#REF!</v>
      </c>
      <c r="AS289" s="73"/>
      <c r="AT289" s="39"/>
    </row>
    <row r="290" ht="15.75" customHeight="1">
      <c r="A290" s="7" t="s">
        <v>824</v>
      </c>
      <c r="B290" s="7" t="s">
        <v>820</v>
      </c>
      <c r="C290" s="7">
        <v>1970.0</v>
      </c>
      <c r="D290" s="7"/>
      <c r="E290" s="7">
        <v>1970.0</v>
      </c>
      <c r="F290" s="7" t="b">
        <v>1</v>
      </c>
      <c r="G290" s="7" t="b">
        <v>0</v>
      </c>
      <c r="H290" s="7" t="b">
        <v>1</v>
      </c>
      <c r="I290" s="7" t="b">
        <v>0</v>
      </c>
      <c r="J290" s="9">
        <v>245.0</v>
      </c>
      <c r="K290" s="9">
        <v>3.0</v>
      </c>
      <c r="L290" s="7">
        <v>400.0</v>
      </c>
      <c r="M290" s="7">
        <v>150.0</v>
      </c>
      <c r="N290" s="7">
        <v>240.0</v>
      </c>
      <c r="O290" s="7">
        <v>186.42</v>
      </c>
      <c r="P290" s="9">
        <v>197.35</v>
      </c>
      <c r="Q290" s="9">
        <v>330.53</v>
      </c>
      <c r="R290" s="7">
        <v>5.0</v>
      </c>
      <c r="S290" s="7">
        <v>0.998649</v>
      </c>
      <c r="T290" s="7">
        <v>0.996847</v>
      </c>
      <c r="U290" s="10">
        <f t="shared" si="1"/>
        <v>550</v>
      </c>
      <c r="V290" s="10">
        <f t="shared" si="2"/>
        <v>79.20645661</v>
      </c>
      <c r="W290" s="11">
        <f t="shared" si="3"/>
        <v>1.075261652</v>
      </c>
      <c r="X290" s="8">
        <f t="shared" ref="X290:X296" si="222">0.2*(8.17*POWER(N290*R290,0.46))+0.8*(0.146*POWER(N290*Q290,0.639))</f>
        <v>200.4502772</v>
      </c>
      <c r="Y290" s="12">
        <f t="shared" si="4"/>
        <v>4</v>
      </c>
      <c r="Z290" s="12">
        <f t="shared" si="5"/>
        <v>1002.251386</v>
      </c>
      <c r="AA290" s="12">
        <f t="shared" si="6"/>
        <v>5.376308261</v>
      </c>
      <c r="AB290" s="13">
        <f t="shared" si="7"/>
        <v>0.3644550494</v>
      </c>
      <c r="AC290" s="8">
        <f t="shared" si="208"/>
        <v>203.5573086</v>
      </c>
      <c r="AD290" s="13">
        <f t="shared" si="209"/>
        <v>0.3701041974</v>
      </c>
      <c r="AE290" s="8">
        <f t="shared" si="210"/>
        <v>203.5573086</v>
      </c>
      <c r="AF290" s="73">
        <f t="shared" si="211"/>
        <v>33.80452946</v>
      </c>
      <c r="AG290" s="74" t="str">
        <f t="shared" si="212"/>
        <v>#REF!</v>
      </c>
      <c r="AH290" s="73">
        <f t="shared" si="213"/>
        <v>0</v>
      </c>
      <c r="AI290" s="73">
        <f t="shared" si="214"/>
        <v>0.2958876574</v>
      </c>
      <c r="AJ290" s="75">
        <f t="shared" si="215"/>
        <v>1</v>
      </c>
      <c r="AK290" s="73">
        <f t="shared" si="216"/>
        <v>0.9950279934</v>
      </c>
      <c r="AL290" s="73">
        <f t="shared" si="217"/>
        <v>1.383901916</v>
      </c>
      <c r="AM290" s="73">
        <f t="shared" si="218"/>
        <v>1.2446297</v>
      </c>
      <c r="AN290" s="75">
        <v>143.51</v>
      </c>
      <c r="AO290" s="76">
        <v>145.0</v>
      </c>
      <c r="AP290" s="73">
        <f t="shared" si="219"/>
        <v>145</v>
      </c>
      <c r="AQ290" s="29" t="str">
        <f t="shared" si="220"/>
        <v>#REF!</v>
      </c>
      <c r="AR290" s="77" t="str">
        <f t="shared" si="221"/>
        <v>#REF!</v>
      </c>
      <c r="AS290" s="73"/>
      <c r="AT290" s="39"/>
    </row>
    <row r="291" ht="15.75" customHeight="1">
      <c r="A291" s="7" t="s">
        <v>256</v>
      </c>
      <c r="B291" s="7" t="s">
        <v>255</v>
      </c>
      <c r="C291" s="7">
        <v>1971.0</v>
      </c>
      <c r="D291" s="7"/>
      <c r="E291" s="7">
        <v>1971.0</v>
      </c>
      <c r="F291" s="7" t="b">
        <v>0</v>
      </c>
      <c r="G291" s="7" t="b">
        <v>0</v>
      </c>
      <c r="H291" s="7" t="b">
        <v>1</v>
      </c>
      <c r="I291" s="7" t="b">
        <v>1</v>
      </c>
      <c r="J291" s="9">
        <v>960.0</v>
      </c>
      <c r="K291" s="9">
        <v>20.0</v>
      </c>
      <c r="L291" s="7">
        <v>900.0</v>
      </c>
      <c r="M291" s="7">
        <v>150.0</v>
      </c>
      <c r="N291" s="7">
        <v>158.0</v>
      </c>
      <c r="O291" s="7">
        <v>46.92</v>
      </c>
      <c r="P291" s="9">
        <v>1.0</v>
      </c>
      <c r="Q291" s="7">
        <v>306.4</v>
      </c>
      <c r="R291" s="7">
        <v>0.71</v>
      </c>
      <c r="S291" s="7">
        <v>0.997826</v>
      </c>
      <c r="T291" s="7">
        <v>0.996721</v>
      </c>
      <c r="U291" s="10">
        <f t="shared" si="1"/>
        <v>1050</v>
      </c>
      <c r="V291" s="10">
        <f t="shared" si="2"/>
        <v>30.2816991</v>
      </c>
      <c r="W291" s="11">
        <f t="shared" si="3"/>
        <v>2.758772585</v>
      </c>
      <c r="X291" s="8">
        <f t="shared" si="222"/>
        <v>129.4416097</v>
      </c>
      <c r="Y291" s="12">
        <f t="shared" si="4"/>
        <v>1.75</v>
      </c>
      <c r="Z291" s="12">
        <f t="shared" si="5"/>
        <v>355.9644266</v>
      </c>
      <c r="AA291" s="12">
        <f t="shared" si="6"/>
        <v>7.586624608</v>
      </c>
      <c r="AB291" s="13">
        <f t="shared" si="7"/>
        <v>0.1232777235</v>
      </c>
      <c r="AC291" s="8">
        <f t="shared" si="208"/>
        <v>196.9882793</v>
      </c>
      <c r="AD291" s="13">
        <f t="shared" si="209"/>
        <v>0.187607885</v>
      </c>
      <c r="AE291" s="8">
        <f t="shared" si="210"/>
        <v>196.9882793</v>
      </c>
      <c r="AF291" s="73">
        <f t="shared" si="211"/>
        <v>12.83049753</v>
      </c>
      <c r="AG291" s="74" t="str">
        <f t="shared" si="212"/>
        <v>#REF!</v>
      </c>
      <c r="AH291" s="73">
        <f t="shared" si="213"/>
        <v>2</v>
      </c>
      <c r="AI291" s="73">
        <f t="shared" si="214"/>
        <v>0.6760795925</v>
      </c>
      <c r="AJ291" s="75">
        <f t="shared" si="215"/>
        <v>1</v>
      </c>
      <c r="AK291" s="73">
        <f t="shared" si="216"/>
        <v>0.6152407973</v>
      </c>
      <c r="AL291" s="73">
        <f t="shared" si="217"/>
        <v>1.059988717</v>
      </c>
      <c r="AM291" s="73">
        <f t="shared" si="218"/>
        <v>1.649722107</v>
      </c>
      <c r="AN291" s="75">
        <v>98.83</v>
      </c>
      <c r="AO291" s="76">
        <v>99.0</v>
      </c>
      <c r="AP291" s="73">
        <f t="shared" si="219"/>
        <v>99</v>
      </c>
      <c r="AQ291" s="29" t="str">
        <f t="shared" si="220"/>
        <v>#REF!</v>
      </c>
      <c r="AR291" s="77" t="str">
        <f t="shared" si="221"/>
        <v>#REF!</v>
      </c>
      <c r="AS291" s="73"/>
      <c r="AT291" s="39"/>
    </row>
    <row r="292" ht="15.75" customHeight="1">
      <c r="A292" s="16" t="s">
        <v>347</v>
      </c>
      <c r="B292" s="16" t="s">
        <v>339</v>
      </c>
      <c r="C292" s="16">
        <v>1971.0</v>
      </c>
      <c r="D292" s="16"/>
      <c r="E292" s="16">
        <v>1971.0</v>
      </c>
      <c r="F292" s="16" t="b">
        <v>1</v>
      </c>
      <c r="G292" s="16" t="b">
        <v>0</v>
      </c>
      <c r="H292" s="16" t="b">
        <v>1</v>
      </c>
      <c r="I292" s="16" t="b">
        <v>0</v>
      </c>
      <c r="J292" s="18">
        <v>250.0</v>
      </c>
      <c r="K292" s="16">
        <v>1.0</v>
      </c>
      <c r="L292" s="16">
        <v>250.0</v>
      </c>
      <c r="M292" s="16">
        <v>110.0</v>
      </c>
      <c r="N292" s="16">
        <f>500*1.178</f>
        <v>589</v>
      </c>
      <c r="O292" s="16">
        <v>456.1</v>
      </c>
      <c r="P292" s="18">
        <v>200.0</v>
      </c>
      <c r="Q292" s="16">
        <v>318.0</v>
      </c>
      <c r="R292" s="16">
        <v>5.7</v>
      </c>
      <c r="S292" s="16">
        <v>0.998649</v>
      </c>
      <c r="T292" s="16">
        <v>0.996847</v>
      </c>
      <c r="U292" s="19">
        <f t="shared" si="1"/>
        <v>360</v>
      </c>
      <c r="V292" s="19">
        <f t="shared" si="2"/>
        <v>78.96308377</v>
      </c>
      <c r="W292" s="20">
        <f t="shared" si="3"/>
        <v>0.7491719056</v>
      </c>
      <c r="X292" s="17">
        <f t="shared" si="222"/>
        <v>341.6973061</v>
      </c>
      <c r="Y292" s="21">
        <f t="shared" si="4"/>
        <v>4</v>
      </c>
      <c r="Z292" s="21">
        <f t="shared" si="5"/>
        <v>1708.486531</v>
      </c>
      <c r="AA292" s="21">
        <f t="shared" si="6"/>
        <v>3.745859528</v>
      </c>
      <c r="AB292" s="22">
        <f t="shared" si="7"/>
        <v>0.9491591837</v>
      </c>
      <c r="AC292" s="8">
        <f t="shared" si="208"/>
        <v>346.9937031</v>
      </c>
      <c r="AD292" s="13">
        <f t="shared" si="209"/>
        <v>0.9638713976</v>
      </c>
      <c r="AE292" s="8">
        <f t="shared" si="210"/>
        <v>346.9937031</v>
      </c>
      <c r="AF292" s="73">
        <f t="shared" si="211"/>
        <v>68.17070531</v>
      </c>
      <c r="AG292" s="74" t="str">
        <f t="shared" si="212"/>
        <v>#REF!</v>
      </c>
      <c r="AH292" s="73">
        <f t="shared" si="213"/>
        <v>0</v>
      </c>
      <c r="AI292" s="73">
        <f t="shared" si="214"/>
        <v>0</v>
      </c>
      <c r="AJ292" s="75">
        <f t="shared" si="215"/>
        <v>1</v>
      </c>
      <c r="AK292" s="73">
        <f t="shared" si="216"/>
        <v>0.9934981364</v>
      </c>
      <c r="AL292" s="73">
        <f t="shared" si="217"/>
        <v>1.199256567</v>
      </c>
      <c r="AM292" s="73">
        <f t="shared" si="218"/>
        <v>1.251730393</v>
      </c>
      <c r="AN292" s="75">
        <v>212.94</v>
      </c>
      <c r="AO292" s="76">
        <v>210.0</v>
      </c>
      <c r="AP292" s="73">
        <f t="shared" si="219"/>
        <v>210</v>
      </c>
      <c r="AQ292" s="29" t="str">
        <f t="shared" si="220"/>
        <v>#REF!</v>
      </c>
      <c r="AR292" s="77" t="str">
        <f t="shared" si="221"/>
        <v>#REF!</v>
      </c>
      <c r="AS292" s="73"/>
      <c r="AT292" s="39"/>
    </row>
    <row r="293" ht="15.75" customHeight="1">
      <c r="A293" s="16" t="s">
        <v>79</v>
      </c>
      <c r="B293" s="16" t="s">
        <v>76</v>
      </c>
      <c r="C293" s="16">
        <v>1972.0</v>
      </c>
      <c r="D293" s="16"/>
      <c r="E293" s="16">
        <v>1972.0</v>
      </c>
      <c r="F293" s="16" t="b">
        <v>0</v>
      </c>
      <c r="G293" s="16" t="b">
        <v>0</v>
      </c>
      <c r="H293" s="16" t="b">
        <v>1</v>
      </c>
      <c r="I293" s="16" t="b">
        <v>0</v>
      </c>
      <c r="J293" s="18">
        <v>450.0</v>
      </c>
      <c r="K293" s="18">
        <v>999.0</v>
      </c>
      <c r="L293" s="16">
        <v>200.0</v>
      </c>
      <c r="M293" s="16">
        <v>50.0</v>
      </c>
      <c r="N293" s="16">
        <v>100.0</v>
      </c>
      <c r="O293" s="16">
        <v>42.3</v>
      </c>
      <c r="P293" s="18">
        <v>5.0</v>
      </c>
      <c r="Q293" s="16">
        <v>315.0</v>
      </c>
      <c r="R293" s="16">
        <v>0.9</v>
      </c>
      <c r="S293" s="16">
        <v>0.999414</v>
      </c>
      <c r="T293" s="16">
        <v>0.999123</v>
      </c>
      <c r="U293" s="19">
        <f t="shared" si="1"/>
        <v>250</v>
      </c>
      <c r="V293" s="19">
        <f t="shared" si="2"/>
        <v>43.13399568</v>
      </c>
      <c r="W293" s="20">
        <f t="shared" si="3"/>
        <v>2.373968444</v>
      </c>
      <c r="X293" s="17">
        <f t="shared" si="222"/>
        <v>100.4188652</v>
      </c>
      <c r="Y293" s="21">
        <f t="shared" si="4"/>
        <v>1.75</v>
      </c>
      <c r="Z293" s="21">
        <f t="shared" si="5"/>
        <v>276.1518793</v>
      </c>
      <c r="AA293" s="21">
        <f t="shared" si="6"/>
        <v>6.528413221</v>
      </c>
      <c r="AB293" s="22">
        <f t="shared" si="7"/>
        <v>0.4016754607</v>
      </c>
      <c r="AC293" s="8">
        <f t="shared" si="208"/>
        <v>102.2803813</v>
      </c>
      <c r="AD293" s="13">
        <f t="shared" si="209"/>
        <v>0.4091215252</v>
      </c>
      <c r="AE293" s="8">
        <f t="shared" si="210"/>
        <v>102.2803813</v>
      </c>
      <c r="AF293" s="73">
        <f t="shared" si="211"/>
        <v>11.84642742</v>
      </c>
      <c r="AG293" s="74" t="str">
        <f t="shared" si="212"/>
        <v>#REF!</v>
      </c>
      <c r="AH293" s="73">
        <f t="shared" si="213"/>
        <v>0</v>
      </c>
      <c r="AI293" s="73">
        <f t="shared" si="214"/>
        <v>1.123141633</v>
      </c>
      <c r="AJ293" s="75">
        <f t="shared" si="215"/>
        <v>1</v>
      </c>
      <c r="AK293" s="73">
        <f t="shared" si="216"/>
        <v>0.7342853301</v>
      </c>
      <c r="AL293" s="73">
        <f t="shared" si="217"/>
        <v>1.160304571</v>
      </c>
      <c r="AM293" s="73">
        <f t="shared" si="218"/>
        <v>1.442806746</v>
      </c>
      <c r="AN293" s="75">
        <v>62.17</v>
      </c>
      <c r="AO293" s="76">
        <v>62.0</v>
      </c>
      <c r="AP293" s="73">
        <f t="shared" si="219"/>
        <v>62</v>
      </c>
      <c r="AQ293" s="29" t="str">
        <f t="shared" si="220"/>
        <v>#REF!</v>
      </c>
      <c r="AR293" s="77" t="str">
        <f t="shared" si="221"/>
        <v>#REF!</v>
      </c>
      <c r="AS293" s="73"/>
      <c r="AT293" s="39"/>
    </row>
    <row r="294" ht="15.75" customHeight="1">
      <c r="A294" s="16" t="s">
        <v>257</v>
      </c>
      <c r="B294" s="16" t="s">
        <v>255</v>
      </c>
      <c r="C294" s="16">
        <v>1972.0</v>
      </c>
      <c r="D294" s="16"/>
      <c r="E294" s="16">
        <v>1972.0</v>
      </c>
      <c r="F294" s="16" t="b">
        <v>0</v>
      </c>
      <c r="G294" s="16" t="b">
        <v>0</v>
      </c>
      <c r="H294" s="16" t="b">
        <v>1</v>
      </c>
      <c r="I294" s="16" t="b">
        <v>0</v>
      </c>
      <c r="J294" s="18">
        <v>360.0</v>
      </c>
      <c r="K294" s="18">
        <v>20.0</v>
      </c>
      <c r="L294" s="16">
        <v>900.0</v>
      </c>
      <c r="M294" s="16">
        <v>-500.0</v>
      </c>
      <c r="N294" s="16">
        <v>113.0</v>
      </c>
      <c r="O294" s="16">
        <v>43.5</v>
      </c>
      <c r="P294" s="18">
        <v>95.0</v>
      </c>
      <c r="Q294" s="16">
        <v>303.0</v>
      </c>
      <c r="R294" s="16">
        <v>0.71</v>
      </c>
      <c r="S294" s="16">
        <v>0.99837</v>
      </c>
      <c r="T294" s="16">
        <v>0.994355</v>
      </c>
      <c r="U294" s="19">
        <f t="shared" si="1"/>
        <v>400</v>
      </c>
      <c r="V294" s="19">
        <f t="shared" si="2"/>
        <v>39.25456207</v>
      </c>
      <c r="W294" s="20">
        <f t="shared" si="3"/>
        <v>2.403193133</v>
      </c>
      <c r="X294" s="17">
        <f t="shared" si="222"/>
        <v>104.5389013</v>
      </c>
      <c r="Y294" s="21">
        <f t="shared" si="4"/>
        <v>1.75</v>
      </c>
      <c r="Z294" s="21">
        <f t="shared" si="5"/>
        <v>287.4819786</v>
      </c>
      <c r="AA294" s="21">
        <f t="shared" si="6"/>
        <v>6.608781116</v>
      </c>
      <c r="AB294" s="22">
        <f t="shared" si="7"/>
        <v>0.2613472532</v>
      </c>
      <c r="AC294" s="8">
        <f t="shared" si="208"/>
        <v>105.8701207</v>
      </c>
      <c r="AD294" s="13">
        <f t="shared" si="209"/>
        <v>0.2646753018</v>
      </c>
      <c r="AE294" s="8">
        <f t="shared" si="210"/>
        <v>105.8701207</v>
      </c>
      <c r="AF294" s="73">
        <f t="shared" si="211"/>
        <v>12.10244727</v>
      </c>
      <c r="AG294" s="74" t="str">
        <f t="shared" si="212"/>
        <v>#REF!</v>
      </c>
      <c r="AH294" s="73">
        <f t="shared" si="213"/>
        <v>0</v>
      </c>
      <c r="AI294" s="73">
        <f t="shared" si="214"/>
        <v>0.6760795925</v>
      </c>
      <c r="AJ294" s="75">
        <f t="shared" si="215"/>
        <v>1</v>
      </c>
      <c r="AK294" s="73">
        <f t="shared" si="216"/>
        <v>0.7004869919</v>
      </c>
      <c r="AL294" s="73">
        <f t="shared" si="217"/>
        <v>1.025639043</v>
      </c>
      <c r="AM294" s="73">
        <f t="shared" si="218"/>
        <v>1.373683712</v>
      </c>
      <c r="AN294" s="75">
        <v>39.2</v>
      </c>
      <c r="AO294" s="76">
        <v>39.0</v>
      </c>
      <c r="AP294" s="73">
        <f t="shared" si="219"/>
        <v>39</v>
      </c>
      <c r="AQ294" s="29" t="str">
        <f t="shared" si="220"/>
        <v>#REF!</v>
      </c>
      <c r="AR294" s="77" t="str">
        <f t="shared" si="221"/>
        <v>#REF!</v>
      </c>
      <c r="AS294" s="73"/>
      <c r="AT294" s="39"/>
    </row>
    <row r="295" ht="15.75" customHeight="1">
      <c r="A295" s="7" t="s">
        <v>35</v>
      </c>
      <c r="B295" s="7" t="s">
        <v>33</v>
      </c>
      <c r="C295" s="7">
        <v>1972.0</v>
      </c>
      <c r="D295" s="7"/>
      <c r="E295" s="7">
        <v>1972.0</v>
      </c>
      <c r="F295" s="7" t="b">
        <v>1</v>
      </c>
      <c r="G295" s="7" t="b">
        <v>0</v>
      </c>
      <c r="H295" s="7" t="b">
        <v>0</v>
      </c>
      <c r="I295" s="7" t="b">
        <v>0</v>
      </c>
      <c r="J295" s="9">
        <v>40.0</v>
      </c>
      <c r="K295" s="9">
        <v>2.0</v>
      </c>
      <c r="L295" s="7"/>
      <c r="M295" s="7"/>
      <c r="N295" s="7">
        <v>117.7</v>
      </c>
      <c r="O295" s="7">
        <v>131.41</v>
      </c>
      <c r="P295" s="9">
        <v>227.0</v>
      </c>
      <c r="Q295" s="7">
        <v>335.0</v>
      </c>
      <c r="R295" s="7">
        <v>10.0</v>
      </c>
      <c r="S295" s="7">
        <v>0.998916</v>
      </c>
      <c r="T295" s="7">
        <v>0.99705</v>
      </c>
      <c r="U295" s="10">
        <f t="shared" si="1"/>
        <v>0</v>
      </c>
      <c r="V295" s="10">
        <f t="shared" si="2"/>
        <v>113.8495388</v>
      </c>
      <c r="W295" s="11">
        <f t="shared" si="3"/>
        <v>1.089823557</v>
      </c>
      <c r="X295" s="8">
        <f t="shared" si="222"/>
        <v>143.2137136</v>
      </c>
      <c r="Y295" s="12">
        <f t="shared" si="4"/>
        <v>4</v>
      </c>
      <c r="Z295" s="12">
        <f t="shared" si="5"/>
        <v>716.068568</v>
      </c>
      <c r="AA295" s="12">
        <f t="shared" si="6"/>
        <v>5.449117784</v>
      </c>
      <c r="AB295" s="13" t="str">
        <f t="shared" si="7"/>
        <v>#N/A</v>
      </c>
      <c r="AC295" s="8">
        <f t="shared" si="208"/>
        <v>145.5007217</v>
      </c>
      <c r="AD295" s="13" t="str">
        <f t="shared" si="209"/>
        <v>#N/A</v>
      </c>
      <c r="AE295" s="8">
        <f t="shared" si="210"/>
        <v>145.5007217</v>
      </c>
      <c r="AF295" s="73">
        <f t="shared" si="211"/>
        <v>26.14094188</v>
      </c>
      <c r="AG295" s="74" t="str">
        <f t="shared" si="212"/>
        <v>#REF!</v>
      </c>
      <c r="AH295" s="73">
        <f t="shared" si="213"/>
        <v>0</v>
      </c>
      <c r="AI295" s="73">
        <f t="shared" si="214"/>
        <v>0.1941741551</v>
      </c>
      <c r="AJ295" s="75">
        <f t="shared" si="215"/>
        <v>1.006544385</v>
      </c>
      <c r="AK295" s="73">
        <f t="shared" si="216"/>
        <v>1.192945613</v>
      </c>
      <c r="AL295" s="73">
        <f t="shared" si="217"/>
        <v>1.458782392</v>
      </c>
      <c r="AM295" s="73">
        <f t="shared" si="218"/>
        <v>0.4287714095</v>
      </c>
      <c r="AN295" s="75">
        <v>40.14</v>
      </c>
      <c r="AO295" s="76">
        <v>40.0</v>
      </c>
      <c r="AP295" s="73">
        <f t="shared" si="219"/>
        <v>40</v>
      </c>
      <c r="AQ295" s="29" t="str">
        <f t="shared" si="220"/>
        <v>#REF!</v>
      </c>
      <c r="AR295" s="77" t="str">
        <f t="shared" si="221"/>
        <v>#REF!</v>
      </c>
      <c r="AS295" s="73"/>
      <c r="AT295" s="39"/>
    </row>
    <row r="296" ht="15.75" customHeight="1">
      <c r="A296" s="16" t="s">
        <v>1029</v>
      </c>
      <c r="B296" s="16" t="s">
        <v>158</v>
      </c>
      <c r="C296" s="16">
        <v>1972.0</v>
      </c>
      <c r="D296" s="16"/>
      <c r="E296" s="16">
        <v>1972.0</v>
      </c>
      <c r="F296" s="16" t="b">
        <v>1</v>
      </c>
      <c r="G296" s="16" t="b">
        <v>0</v>
      </c>
      <c r="H296" s="16" t="b">
        <v>0</v>
      </c>
      <c r="I296" s="16" t="b">
        <v>0</v>
      </c>
      <c r="J296" s="18">
        <v>155.0</v>
      </c>
      <c r="K296" s="16">
        <v>1.0</v>
      </c>
      <c r="L296" s="16">
        <v>250.0</v>
      </c>
      <c r="M296" s="16">
        <v>15.0</v>
      </c>
      <c r="N296" s="16">
        <v>911.0</v>
      </c>
      <c r="O296" s="16">
        <v>1021.01</v>
      </c>
      <c r="P296" s="18">
        <v>262.57</v>
      </c>
      <c r="Q296" s="16">
        <v>295.0</v>
      </c>
      <c r="R296" s="16">
        <v>4.82</v>
      </c>
      <c r="S296" s="16">
        <v>0.996341</v>
      </c>
      <c r="T296" s="16">
        <v>0.996341</v>
      </c>
      <c r="U296" s="19">
        <f t="shared" si="1"/>
        <v>265</v>
      </c>
      <c r="V296" s="19">
        <f t="shared" si="2"/>
        <v>114.2854498</v>
      </c>
      <c r="W296" s="20">
        <f t="shared" si="3"/>
        <v>0.4129252292</v>
      </c>
      <c r="X296" s="17">
        <f t="shared" si="222"/>
        <v>421.6007883</v>
      </c>
      <c r="Y296" s="21">
        <f t="shared" si="4"/>
        <v>4</v>
      </c>
      <c r="Z296" s="21">
        <f t="shared" si="5"/>
        <v>2108.003941</v>
      </c>
      <c r="AA296" s="21">
        <f t="shared" si="6"/>
        <v>2.064626146</v>
      </c>
      <c r="AB296" s="22">
        <f t="shared" si="7"/>
        <v>1.590946371</v>
      </c>
      <c r="AC296" s="8">
        <f t="shared" si="208"/>
        <v>426.953174</v>
      </c>
      <c r="AD296" s="13">
        <f t="shared" si="209"/>
        <v>1.611144053</v>
      </c>
      <c r="AE296" s="8">
        <f t="shared" si="210"/>
        <v>426.953174</v>
      </c>
      <c r="AF296" s="73">
        <f t="shared" si="211"/>
        <v>134.3600485</v>
      </c>
      <c r="AG296" s="74" t="str">
        <f t="shared" si="212"/>
        <v>#REF!</v>
      </c>
      <c r="AH296" s="73">
        <f t="shared" si="213"/>
        <v>0</v>
      </c>
      <c r="AI296" s="73">
        <f t="shared" si="214"/>
        <v>0</v>
      </c>
      <c r="AJ296" s="75">
        <f t="shared" si="215"/>
        <v>1.308988119</v>
      </c>
      <c r="AK296" s="73">
        <f t="shared" si="216"/>
        <v>1.195227226</v>
      </c>
      <c r="AL296" s="73">
        <f t="shared" si="217"/>
        <v>0.9662616258</v>
      </c>
      <c r="AM296" s="73">
        <f t="shared" si="218"/>
        <v>1.073295783</v>
      </c>
      <c r="AN296" s="75">
        <v>387.13</v>
      </c>
      <c r="AO296" s="76">
        <v>390.0</v>
      </c>
      <c r="AP296" s="73">
        <f t="shared" si="219"/>
        <v>390</v>
      </c>
      <c r="AQ296" s="29" t="str">
        <f t="shared" si="220"/>
        <v>#REF!</v>
      </c>
      <c r="AR296" s="77" t="str">
        <f t="shared" si="221"/>
        <v>#REF!</v>
      </c>
      <c r="AS296" s="73"/>
      <c r="AT296" s="39"/>
    </row>
    <row r="297" ht="15.75" customHeight="1">
      <c r="A297" s="7" t="s">
        <v>178</v>
      </c>
      <c r="B297" s="7" t="s">
        <v>177</v>
      </c>
      <c r="C297" s="7">
        <v>1972.0</v>
      </c>
      <c r="D297" s="7" t="b">
        <v>1</v>
      </c>
      <c r="E297" s="7">
        <v>1972.0</v>
      </c>
      <c r="F297" s="7" t="b">
        <v>1</v>
      </c>
      <c r="G297" s="7" t="b">
        <v>0</v>
      </c>
      <c r="H297" s="7" t="b">
        <v>1</v>
      </c>
      <c r="I297" s="7" t="b">
        <v>0</v>
      </c>
      <c r="J297" s="9">
        <v>730.0</v>
      </c>
      <c r="K297" s="7">
        <v>1.0</v>
      </c>
      <c r="L297" s="7">
        <v>500.0</v>
      </c>
      <c r="M297" s="7">
        <v>100.0</v>
      </c>
      <c r="N297" s="7">
        <v>165.0</v>
      </c>
      <c r="O297" s="7">
        <v>64.2</v>
      </c>
      <c r="P297" s="9">
        <v>201.0</v>
      </c>
      <c r="Q297" s="7">
        <v>443.2</v>
      </c>
      <c r="R297" s="7">
        <v>3.5</v>
      </c>
      <c r="S297" s="7">
        <v>0.990833</v>
      </c>
      <c r="T297" s="7">
        <v>0.993966</v>
      </c>
      <c r="U297" s="10">
        <f t="shared" si="1"/>
        <v>600</v>
      </c>
      <c r="V297" s="10">
        <f t="shared" si="2"/>
        <v>39.67623072</v>
      </c>
      <c r="W297" s="11">
        <f t="shared" si="3"/>
        <v>12.81859845</v>
      </c>
      <c r="X297" s="8">
        <f>0.9*(0.00015*N297*Q297*R297+797)+0.1*(43.1*POWER(N297,0.549))</f>
        <v>822.9540204</v>
      </c>
      <c r="Y297" s="12">
        <f t="shared" si="4"/>
        <v>4</v>
      </c>
      <c r="Z297" s="12">
        <f t="shared" si="5"/>
        <v>4114.770102</v>
      </c>
      <c r="AA297" s="12">
        <f t="shared" si="6"/>
        <v>64.09299224</v>
      </c>
      <c r="AB297" s="13">
        <f t="shared" si="7"/>
        <v>1.371590034</v>
      </c>
      <c r="AC297" s="8">
        <f t="shared" si="208"/>
        <v>826.9488973</v>
      </c>
      <c r="AD297" s="13">
        <f t="shared" si="209"/>
        <v>1.378248162</v>
      </c>
      <c r="AE297" s="8">
        <f t="shared" si="210"/>
        <v>181.1513952</v>
      </c>
      <c r="AF297" s="73">
        <f t="shared" si="211"/>
        <v>15.93821205</v>
      </c>
      <c r="AG297" s="74" t="str">
        <f t="shared" si="212"/>
        <v>#REF!</v>
      </c>
      <c r="AH297" s="73">
        <f t="shared" si="213"/>
        <v>0</v>
      </c>
      <c r="AI297" s="73">
        <f t="shared" si="214"/>
        <v>0</v>
      </c>
      <c r="AJ297" s="75">
        <f t="shared" si="215"/>
        <v>1</v>
      </c>
      <c r="AK297" s="73">
        <f t="shared" si="216"/>
        <v>0.7042392235</v>
      </c>
      <c r="AL297" s="73">
        <f t="shared" si="217"/>
        <v>5.922011399</v>
      </c>
      <c r="AM297" s="73">
        <f t="shared" si="218"/>
        <v>1.579584133</v>
      </c>
      <c r="AN297" s="75">
        <v>224.69</v>
      </c>
      <c r="AO297" s="76">
        <v>220.0</v>
      </c>
      <c r="AP297" s="73">
        <f t="shared" si="219"/>
        <v>220</v>
      </c>
      <c r="AQ297" s="29" t="str">
        <f t="shared" si="220"/>
        <v>#REF!</v>
      </c>
      <c r="AR297" s="77" t="str">
        <f t="shared" si="221"/>
        <v>#REF!</v>
      </c>
      <c r="AS297" s="73"/>
      <c r="AT297" s="39"/>
    </row>
    <row r="298" ht="15.75" customHeight="1">
      <c r="A298" s="7" t="s">
        <v>225</v>
      </c>
      <c r="B298" s="7" t="s">
        <v>224</v>
      </c>
      <c r="C298" s="7">
        <v>1972.0</v>
      </c>
      <c r="D298" s="7"/>
      <c r="E298" s="7">
        <v>1972.0</v>
      </c>
      <c r="F298" s="7" t="b">
        <v>1</v>
      </c>
      <c r="G298" s="7" t="b">
        <v>0</v>
      </c>
      <c r="H298" s="7" t="b">
        <v>1</v>
      </c>
      <c r="I298" s="7" t="b">
        <v>0</v>
      </c>
      <c r="J298" s="9">
        <v>560.0</v>
      </c>
      <c r="K298" s="9">
        <v>50.0</v>
      </c>
      <c r="L298" s="7">
        <v>200.0</v>
      </c>
      <c r="M298" s="7">
        <v>0.0</v>
      </c>
      <c r="N298" s="7">
        <v>70.0</v>
      </c>
      <c r="O298" s="7">
        <v>18.89</v>
      </c>
      <c r="P298" s="9">
        <v>263.0</v>
      </c>
      <c r="Q298" s="7">
        <v>315.0</v>
      </c>
      <c r="R298" s="7">
        <v>14.9</v>
      </c>
      <c r="S298" s="7">
        <v>0.996512</v>
      </c>
      <c r="T298" s="7">
        <v>0.991176</v>
      </c>
      <c r="U298" s="10">
        <f t="shared" si="1"/>
        <v>200</v>
      </c>
      <c r="V298" s="10">
        <f t="shared" si="2"/>
        <v>27.5177703</v>
      </c>
      <c r="W298" s="11">
        <f t="shared" si="3"/>
        <v>5.802381819</v>
      </c>
      <c r="X298" s="8">
        <f t="shared" ref="X298:X299" si="223">0.2*(8.17*POWER(N298*R298,0.46))+0.8*(0.146*POWER(N298*Q298,0.639))</f>
        <v>109.6069926</v>
      </c>
      <c r="Y298" s="12">
        <f t="shared" si="4"/>
        <v>4</v>
      </c>
      <c r="Z298" s="12">
        <f t="shared" si="5"/>
        <v>548.0349628</v>
      </c>
      <c r="AA298" s="12">
        <f t="shared" si="6"/>
        <v>29.0119091</v>
      </c>
      <c r="AB298" s="13">
        <f t="shared" si="7"/>
        <v>0.5480349628</v>
      </c>
      <c r="AC298" s="8">
        <f t="shared" si="208"/>
        <v>110.4530246</v>
      </c>
      <c r="AD298" s="13">
        <f t="shared" si="209"/>
        <v>0.5522651231</v>
      </c>
      <c r="AE298" s="8">
        <f t="shared" si="210"/>
        <v>110.4530246</v>
      </c>
      <c r="AF298" s="73">
        <f t="shared" si="211"/>
        <v>7.540327662</v>
      </c>
      <c r="AG298" s="74" t="str">
        <f t="shared" si="212"/>
        <v>#REF!</v>
      </c>
      <c r="AH298" s="73">
        <f t="shared" si="213"/>
        <v>0</v>
      </c>
      <c r="AI298" s="73">
        <f t="shared" si="214"/>
        <v>0.8140424221</v>
      </c>
      <c r="AJ298" s="75">
        <f t="shared" si="215"/>
        <v>1.204842279</v>
      </c>
      <c r="AK298" s="73">
        <f t="shared" si="216"/>
        <v>0.5864913714</v>
      </c>
      <c r="AL298" s="73">
        <f t="shared" si="217"/>
        <v>1.160304571</v>
      </c>
      <c r="AM298" s="73">
        <f t="shared" si="218"/>
        <v>1.50676819</v>
      </c>
      <c r="AN298" s="75">
        <v>34.7</v>
      </c>
      <c r="AO298" s="76">
        <v>35.0</v>
      </c>
      <c r="AP298" s="73">
        <f t="shared" si="219"/>
        <v>35</v>
      </c>
      <c r="AQ298" s="29" t="str">
        <f t="shared" si="220"/>
        <v>#REF!</v>
      </c>
      <c r="AR298" s="77" t="str">
        <f t="shared" si="221"/>
        <v>#REF!</v>
      </c>
      <c r="AS298" s="73"/>
      <c r="AT298" s="39"/>
    </row>
    <row r="299" ht="15.75" customHeight="1">
      <c r="A299" s="7" t="s">
        <v>318</v>
      </c>
      <c r="B299" s="7" t="s">
        <v>288</v>
      </c>
      <c r="C299" s="7">
        <v>1972.0</v>
      </c>
      <c r="D299" s="7"/>
      <c r="E299" s="7">
        <v>1972.0</v>
      </c>
      <c r="F299" s="7" t="b">
        <v>1</v>
      </c>
      <c r="G299" s="7" t="b">
        <v>0</v>
      </c>
      <c r="H299" s="7" t="b">
        <v>0</v>
      </c>
      <c r="I299" s="7" t="b">
        <v>0</v>
      </c>
      <c r="J299" s="9">
        <v>190.0</v>
      </c>
      <c r="K299" s="7">
        <v>1.0</v>
      </c>
      <c r="L299" s="7">
        <v>250.0</v>
      </c>
      <c r="M299" s="7">
        <v>140.0</v>
      </c>
      <c r="N299" s="7">
        <v>758.0</v>
      </c>
      <c r="O299" s="7">
        <v>1225.3</v>
      </c>
      <c r="P299" s="9">
        <v>269.4</v>
      </c>
      <c r="Q299" s="7">
        <v>303.5</v>
      </c>
      <c r="R299" s="7">
        <v>5.88</v>
      </c>
      <c r="S299" s="7">
        <v>0.995977</v>
      </c>
      <c r="T299" s="7">
        <v>0.995977</v>
      </c>
      <c r="U299" s="10">
        <f t="shared" si="1"/>
        <v>390</v>
      </c>
      <c r="V299" s="10">
        <f t="shared" si="2"/>
        <v>164.8361837</v>
      </c>
      <c r="W299" s="11">
        <f t="shared" si="3"/>
        <v>0.3179530354</v>
      </c>
      <c r="X299" s="8">
        <f t="shared" si="223"/>
        <v>389.5878543</v>
      </c>
      <c r="Y299" s="12">
        <f t="shared" si="4"/>
        <v>4</v>
      </c>
      <c r="Z299" s="12">
        <f t="shared" si="5"/>
        <v>1947.939272</v>
      </c>
      <c r="AA299" s="12">
        <f t="shared" si="6"/>
        <v>1.589765177</v>
      </c>
      <c r="AB299" s="13">
        <f t="shared" si="7"/>
        <v>0.9989432162</v>
      </c>
      <c r="AC299" s="8">
        <f t="shared" si="208"/>
        <v>394.2512928</v>
      </c>
      <c r="AD299" s="13">
        <f t="shared" si="209"/>
        <v>1.010900751</v>
      </c>
      <c r="AE299" s="8">
        <f t="shared" si="210"/>
        <v>394.2512928</v>
      </c>
      <c r="AF299" s="73">
        <f t="shared" si="211"/>
        <v>157.4704602</v>
      </c>
      <c r="AG299" s="74" t="str">
        <f t="shared" si="212"/>
        <v>#REF!</v>
      </c>
      <c r="AH299" s="73">
        <f t="shared" si="213"/>
        <v>0</v>
      </c>
      <c r="AI299" s="73">
        <f t="shared" si="214"/>
        <v>0</v>
      </c>
      <c r="AJ299" s="75">
        <f t="shared" si="215"/>
        <v>1.304118456</v>
      </c>
      <c r="AK299" s="73">
        <f t="shared" si="216"/>
        <v>1.435427565</v>
      </c>
      <c r="AL299" s="73">
        <f t="shared" si="217"/>
        <v>1.030448353</v>
      </c>
      <c r="AM299" s="73">
        <f t="shared" si="218"/>
        <v>1.152011174</v>
      </c>
      <c r="AN299" s="75">
        <v>568.28</v>
      </c>
      <c r="AO299" s="76">
        <v>570.0</v>
      </c>
      <c r="AP299" s="73">
        <f t="shared" si="219"/>
        <v>570</v>
      </c>
      <c r="AQ299" s="29" t="str">
        <f t="shared" si="220"/>
        <v>#REF!</v>
      </c>
      <c r="AR299" s="77" t="str">
        <f t="shared" si="221"/>
        <v>#REF!</v>
      </c>
      <c r="AS299" s="73"/>
      <c r="AT299" s="39"/>
    </row>
    <row r="300" ht="15.75" customHeight="1">
      <c r="A300" s="7" t="s">
        <v>354</v>
      </c>
      <c r="B300" s="7" t="s">
        <v>355</v>
      </c>
      <c r="C300" s="7">
        <v>1972.0</v>
      </c>
      <c r="D300" s="7" t="b">
        <v>1</v>
      </c>
      <c r="E300" s="7">
        <v>1972.0</v>
      </c>
      <c r="F300" s="7" t="b">
        <v>1</v>
      </c>
      <c r="G300" s="7" t="b">
        <v>0</v>
      </c>
      <c r="H300" s="7" t="b">
        <v>1</v>
      </c>
      <c r="I300" s="7" t="b">
        <v>0</v>
      </c>
      <c r="J300" s="9">
        <v>500.0</v>
      </c>
      <c r="K300" s="9">
        <v>2.0</v>
      </c>
      <c r="L300" s="7">
        <v>9200.0</v>
      </c>
      <c r="M300" s="7">
        <v>0.0</v>
      </c>
      <c r="N300" s="7">
        <v>9071.0</v>
      </c>
      <c r="O300" s="7">
        <v>5337.866</v>
      </c>
      <c r="P300" s="9">
        <v>306.0</v>
      </c>
      <c r="Q300" s="7">
        <v>428.0</v>
      </c>
      <c r="R300" s="7">
        <v>6.89</v>
      </c>
      <c r="S300" s="7">
        <v>0.9932</v>
      </c>
      <c r="T300" s="7">
        <v>0.9932</v>
      </c>
      <c r="U300" s="10">
        <f t="shared" si="1"/>
        <v>9200</v>
      </c>
      <c r="V300" s="10">
        <f t="shared" si="2"/>
        <v>60.00560563</v>
      </c>
      <c r="W300" s="11">
        <f t="shared" si="3"/>
        <v>0.9310935085</v>
      </c>
      <c r="X300" s="8">
        <f>0.9*(0.00015*N300*Q300*R300+797)+0.1*(43.1*POWER(N300,0.549))</f>
        <v>4970.052382</v>
      </c>
      <c r="Y300" s="12">
        <f t="shared" si="4"/>
        <v>4</v>
      </c>
      <c r="Z300" s="12">
        <f t="shared" si="5"/>
        <v>24850.26191</v>
      </c>
      <c r="AA300" s="12">
        <f t="shared" si="6"/>
        <v>4.655467543</v>
      </c>
      <c r="AB300" s="13">
        <f t="shared" si="7"/>
        <v>0.540223085</v>
      </c>
      <c r="AC300" s="8">
        <f t="shared" si="208"/>
        <v>5002.090533</v>
      </c>
      <c r="AD300" s="13">
        <f t="shared" si="209"/>
        <v>0.5437054927</v>
      </c>
      <c r="AE300" s="8">
        <f t="shared" si="210"/>
        <v>2172.721276</v>
      </c>
      <c r="AF300" s="73">
        <f t="shared" si="211"/>
        <v>596.5629774</v>
      </c>
      <c r="AG300" s="74" t="str">
        <f t="shared" si="212"/>
        <v>#REF!</v>
      </c>
      <c r="AH300" s="73">
        <f t="shared" si="213"/>
        <v>0</v>
      </c>
      <c r="AI300" s="73">
        <f t="shared" si="214"/>
        <v>0.1941741551</v>
      </c>
      <c r="AJ300" s="75">
        <f t="shared" si="215"/>
        <v>1.036070184</v>
      </c>
      <c r="AK300" s="73">
        <f t="shared" si="216"/>
        <v>0.866065858</v>
      </c>
      <c r="AL300" s="73">
        <f t="shared" si="217"/>
        <v>4.816933439</v>
      </c>
      <c r="AM300" s="73">
        <f t="shared" si="218"/>
        <v>1.474076339</v>
      </c>
      <c r="AN300" s="75">
        <v>8120.92</v>
      </c>
      <c r="AO300" s="76">
        <v>8100.0</v>
      </c>
      <c r="AP300" s="73">
        <f t="shared" si="219"/>
        <v>8100</v>
      </c>
      <c r="AQ300" s="29" t="str">
        <f t="shared" si="220"/>
        <v>#REF!</v>
      </c>
      <c r="AR300" s="77" t="str">
        <f t="shared" si="221"/>
        <v>#REF!</v>
      </c>
      <c r="AS300" s="73"/>
      <c r="AT300" s="39"/>
    </row>
    <row r="301" ht="15.75" customHeight="1">
      <c r="A301" s="16" t="s">
        <v>405</v>
      </c>
      <c r="B301" s="16" t="s">
        <v>403</v>
      </c>
      <c r="C301" s="16">
        <v>1972.0</v>
      </c>
      <c r="D301" s="16"/>
      <c r="E301" s="16">
        <v>1972.0</v>
      </c>
      <c r="F301" s="16" t="b">
        <v>1</v>
      </c>
      <c r="G301" s="16" t="b">
        <v>0</v>
      </c>
      <c r="H301" s="16" t="b">
        <v>0</v>
      </c>
      <c r="I301" s="16" t="b">
        <v>0</v>
      </c>
      <c r="J301" s="18">
        <v>240.0</v>
      </c>
      <c r="K301" s="16">
        <v>1.0</v>
      </c>
      <c r="L301" s="16">
        <v>350.0</v>
      </c>
      <c r="M301" s="16">
        <v>4.0</v>
      </c>
      <c r="N301" s="16">
        <v>491.55</v>
      </c>
      <c r="O301" s="16">
        <v>555.0</v>
      </c>
      <c r="P301" s="18">
        <v>286.0</v>
      </c>
      <c r="Q301" s="16">
        <v>331.0</v>
      </c>
      <c r="R301" s="16">
        <v>10.58</v>
      </c>
      <c r="S301" s="16">
        <v>0.980556</v>
      </c>
      <c r="T301" s="16">
        <v>0.980556</v>
      </c>
      <c r="U301" s="19">
        <f t="shared" si="1"/>
        <v>354</v>
      </c>
      <c r="V301" s="19">
        <f t="shared" si="2"/>
        <v>115.1342684</v>
      </c>
      <c r="W301" s="20">
        <f t="shared" si="3"/>
        <v>0.6007998472</v>
      </c>
      <c r="X301" s="17">
        <f>0.2*(8.17*POWER(N301*R301,0.46))+0.8*(0.146*POWER(N301*Q301,0.639))</f>
        <v>333.4439152</v>
      </c>
      <c r="Y301" s="21">
        <f t="shared" si="4"/>
        <v>4</v>
      </c>
      <c r="Z301" s="21">
        <f t="shared" si="5"/>
        <v>1667.219576</v>
      </c>
      <c r="AA301" s="21">
        <f t="shared" si="6"/>
        <v>3.003999236</v>
      </c>
      <c r="AB301" s="22">
        <f t="shared" si="7"/>
        <v>0.9419319638</v>
      </c>
      <c r="AC301" s="8">
        <f t="shared" si="208"/>
        <v>327.2718914</v>
      </c>
      <c r="AD301" s="13">
        <f t="shared" si="209"/>
        <v>0.9244968683</v>
      </c>
      <c r="AE301" s="8">
        <f t="shared" si="210"/>
        <v>327.2718914</v>
      </c>
      <c r="AF301" s="73">
        <f t="shared" si="211"/>
        <v>80.12223312</v>
      </c>
      <c r="AG301" s="74" t="str">
        <f t="shared" si="212"/>
        <v>#REF!</v>
      </c>
      <c r="AH301" s="73">
        <f t="shared" si="213"/>
        <v>0</v>
      </c>
      <c r="AI301" s="73">
        <f t="shared" si="214"/>
        <v>0</v>
      </c>
      <c r="AJ301" s="75">
        <f t="shared" si="215"/>
        <v>1.258081946</v>
      </c>
      <c r="AK301" s="73">
        <f t="shared" si="216"/>
        <v>1.199657599</v>
      </c>
      <c r="AL301" s="73">
        <f t="shared" si="217"/>
        <v>1.391543035</v>
      </c>
      <c r="AM301" s="73">
        <f t="shared" si="218"/>
        <v>1.237344028</v>
      </c>
      <c r="AN301" s="75">
        <v>284.11</v>
      </c>
      <c r="AO301" s="76">
        <v>280.0</v>
      </c>
      <c r="AP301" s="73">
        <f t="shared" si="219"/>
        <v>280</v>
      </c>
      <c r="AQ301" s="29" t="str">
        <f t="shared" si="220"/>
        <v>#REF!</v>
      </c>
      <c r="AR301" s="77" t="str">
        <f t="shared" si="221"/>
        <v>#REF!</v>
      </c>
      <c r="AS301" s="73"/>
      <c r="AT301" s="39"/>
    </row>
    <row r="302" ht="15.75" customHeight="1">
      <c r="A302" s="16" t="s">
        <v>664</v>
      </c>
      <c r="B302" s="16" t="s">
        <v>660</v>
      </c>
      <c r="C302" s="16">
        <v>1972.0</v>
      </c>
      <c r="D302" s="16" t="b">
        <v>1</v>
      </c>
      <c r="E302" s="16">
        <v>1972.0</v>
      </c>
      <c r="F302" s="16" t="b">
        <v>1</v>
      </c>
      <c r="G302" s="16" t="b">
        <v>0</v>
      </c>
      <c r="H302" s="16" t="b">
        <v>1</v>
      </c>
      <c r="I302" s="16" t="b">
        <v>1</v>
      </c>
      <c r="J302" s="16"/>
      <c r="K302" s="18">
        <v>20.0</v>
      </c>
      <c r="L302" s="16">
        <v>500.0</v>
      </c>
      <c r="M302" s="16">
        <v>400.0</v>
      </c>
      <c r="N302" s="16">
        <v>205.0</v>
      </c>
      <c r="O302" s="16">
        <v>101.0</v>
      </c>
      <c r="P302" s="18">
        <v>240.0</v>
      </c>
      <c r="Q302" s="16">
        <v>424.0</v>
      </c>
      <c r="R302" s="16">
        <v>2.72</v>
      </c>
      <c r="S302" s="16">
        <v>0.998128</v>
      </c>
      <c r="T302" s="16">
        <v>0.996316</v>
      </c>
      <c r="U302" s="19">
        <f t="shared" si="1"/>
        <v>900</v>
      </c>
      <c r="V302" s="19">
        <f t="shared" si="2"/>
        <v>50.23967669</v>
      </c>
      <c r="W302" s="20">
        <f t="shared" si="3"/>
        <v>8.211055304</v>
      </c>
      <c r="X302" s="17">
        <f>0.9*(0.00015*N302*Q302*R302+797)+0.1*(43.1*POWER(N302,0.549))</f>
        <v>829.3165857</v>
      </c>
      <c r="Y302" s="21">
        <f t="shared" si="4"/>
        <v>4</v>
      </c>
      <c r="Z302" s="21">
        <f t="shared" si="5"/>
        <v>4146.582929</v>
      </c>
      <c r="AA302" s="21">
        <f t="shared" si="6"/>
        <v>41.05527652</v>
      </c>
      <c r="AB302" s="22">
        <f t="shared" si="7"/>
        <v>0.921462873</v>
      </c>
      <c r="AC302" s="8">
        <f t="shared" si="208"/>
        <v>1261.951431</v>
      </c>
      <c r="AD302" s="13">
        <f t="shared" si="209"/>
        <v>1.402168256</v>
      </c>
      <c r="AE302" s="8">
        <f t="shared" si="210"/>
        <v>300.1938691</v>
      </c>
      <c r="AF302" s="73">
        <f t="shared" si="211"/>
        <v>21.68644072</v>
      </c>
      <c r="AG302" s="74" t="str">
        <f t="shared" si="212"/>
        <v>#REF!</v>
      </c>
      <c r="AH302" s="73">
        <f t="shared" si="213"/>
        <v>2</v>
      </c>
      <c r="AI302" s="73">
        <f t="shared" si="214"/>
        <v>0.6760795925</v>
      </c>
      <c r="AJ302" s="75">
        <f t="shared" si="215"/>
        <v>1</v>
      </c>
      <c r="AK302" s="73">
        <f t="shared" si="216"/>
        <v>0.7924619603</v>
      </c>
      <c r="AL302" s="73">
        <f t="shared" si="217"/>
        <v>4.56391372</v>
      </c>
      <c r="AM302" s="73">
        <f t="shared" si="218"/>
        <v>1</v>
      </c>
      <c r="AN302" s="75">
        <v>439.37</v>
      </c>
      <c r="AO302" s="76">
        <v>440.0</v>
      </c>
      <c r="AP302" s="73">
        <f t="shared" si="219"/>
        <v>440</v>
      </c>
      <c r="AQ302" s="29" t="str">
        <f t="shared" si="220"/>
        <v>#REF!</v>
      </c>
      <c r="AR302" s="77" t="str">
        <f t="shared" si="221"/>
        <v>#REF!</v>
      </c>
      <c r="AS302" s="73"/>
      <c r="AT302" s="39"/>
    </row>
    <row r="303" ht="15.75" customHeight="1">
      <c r="A303" s="7" t="s">
        <v>412</v>
      </c>
      <c r="B303" s="7" t="s">
        <v>408</v>
      </c>
      <c r="C303" s="7">
        <v>1973.0</v>
      </c>
      <c r="D303" s="7"/>
      <c r="E303" s="7">
        <v>1973.0</v>
      </c>
      <c r="F303" s="7" t="b">
        <v>1</v>
      </c>
      <c r="G303" s="7" t="b">
        <v>0</v>
      </c>
      <c r="H303" s="7" t="b">
        <v>1</v>
      </c>
      <c r="I303" s="7" t="b">
        <v>0</v>
      </c>
      <c r="J303" s="9">
        <v>600.0</v>
      </c>
      <c r="K303" s="7">
        <v>1.0</v>
      </c>
      <c r="L303" s="7">
        <v>500.0</v>
      </c>
      <c r="M303" s="7">
        <v>40.0</v>
      </c>
      <c r="N303" s="7">
        <v>721.6</v>
      </c>
      <c r="O303" s="7">
        <v>402.1</v>
      </c>
      <c r="P303" s="9">
        <v>213.0</v>
      </c>
      <c r="Q303" s="7">
        <v>353.0</v>
      </c>
      <c r="R303" s="7">
        <v>9.2</v>
      </c>
      <c r="S303" s="7">
        <v>0.99</v>
      </c>
      <c r="T303" s="7">
        <v>0.985</v>
      </c>
      <c r="U303" s="10">
        <f t="shared" si="1"/>
        <v>540</v>
      </c>
      <c r="V303" s="10">
        <f t="shared" si="2"/>
        <v>56.82204657</v>
      </c>
      <c r="W303" s="11">
        <f t="shared" si="3"/>
        <v>1.060007929</v>
      </c>
      <c r="X303" s="8">
        <f t="shared" ref="X303:X310" si="224">0.2*(8.17*POWER(N303*R303,0.46))+0.8*(0.146*POWER(N303*Q303,0.639))</f>
        <v>426.2291883</v>
      </c>
      <c r="Y303" s="12">
        <f t="shared" si="4"/>
        <v>4</v>
      </c>
      <c r="Z303" s="12">
        <f t="shared" si="5"/>
        <v>2131.145941</v>
      </c>
      <c r="AA303" s="12">
        <f t="shared" si="6"/>
        <v>5.300039646</v>
      </c>
      <c r="AB303" s="13">
        <f t="shared" si="7"/>
        <v>0.7893133117</v>
      </c>
      <c r="AC303" s="8">
        <f t="shared" si="208"/>
        <v>424.1619767</v>
      </c>
      <c r="AD303" s="13">
        <f t="shared" si="209"/>
        <v>0.7854851421</v>
      </c>
      <c r="AE303" s="8">
        <f t="shared" si="210"/>
        <v>424.1619767</v>
      </c>
      <c r="AF303" s="73">
        <f t="shared" si="211"/>
        <v>61.53882209</v>
      </c>
      <c r="AG303" s="74" t="str">
        <f t="shared" si="212"/>
        <v>#REF!</v>
      </c>
      <c r="AH303" s="73">
        <f t="shared" si="213"/>
        <v>0</v>
      </c>
      <c r="AI303" s="73">
        <f t="shared" si="214"/>
        <v>0</v>
      </c>
      <c r="AJ303" s="75">
        <f t="shared" si="215"/>
        <v>1</v>
      </c>
      <c r="AK303" s="73">
        <f t="shared" si="216"/>
        <v>0.8427784893</v>
      </c>
      <c r="AL303" s="73">
        <f t="shared" si="217"/>
        <v>1.814886626</v>
      </c>
      <c r="AM303" s="73">
        <f t="shared" si="218"/>
        <v>1.526203901</v>
      </c>
      <c r="AN303" s="75">
        <v>247.26</v>
      </c>
      <c r="AO303" s="76">
        <v>250.0</v>
      </c>
      <c r="AP303" s="73">
        <f t="shared" si="219"/>
        <v>250</v>
      </c>
      <c r="AQ303" s="29" t="str">
        <f t="shared" si="220"/>
        <v>#REF!</v>
      </c>
      <c r="AR303" s="77" t="str">
        <f t="shared" si="221"/>
        <v>#REF!</v>
      </c>
      <c r="AS303" s="73"/>
      <c r="AT303" s="39"/>
    </row>
    <row r="304" ht="15.75" customHeight="1">
      <c r="A304" s="16" t="s">
        <v>411</v>
      </c>
      <c r="B304" s="16" t="s">
        <v>408</v>
      </c>
      <c r="C304" s="16">
        <v>1973.0</v>
      </c>
      <c r="D304" s="16"/>
      <c r="E304" s="16">
        <v>1973.0</v>
      </c>
      <c r="F304" s="16" t="b">
        <v>1</v>
      </c>
      <c r="G304" s="16" t="b">
        <v>0</v>
      </c>
      <c r="H304" s="16" t="b">
        <v>1</v>
      </c>
      <c r="I304" s="16" t="b">
        <v>0</v>
      </c>
      <c r="J304" s="18">
        <v>600.0</v>
      </c>
      <c r="K304" s="16">
        <v>1.0</v>
      </c>
      <c r="L304" s="16">
        <v>500.0</v>
      </c>
      <c r="M304" s="16">
        <v>25.0</v>
      </c>
      <c r="N304" s="16">
        <v>584.0</v>
      </c>
      <c r="O304" s="16">
        <v>407.0</v>
      </c>
      <c r="P304" s="18">
        <v>214.0</v>
      </c>
      <c r="Q304" s="16">
        <v>352.0</v>
      </c>
      <c r="R304" s="16">
        <v>9.2</v>
      </c>
      <c r="S304" s="16">
        <v>0.99</v>
      </c>
      <c r="T304" s="16">
        <v>0.985</v>
      </c>
      <c r="U304" s="19">
        <f t="shared" si="1"/>
        <v>525</v>
      </c>
      <c r="V304" s="19">
        <f t="shared" si="2"/>
        <v>71.06583861</v>
      </c>
      <c r="W304" s="20">
        <f t="shared" si="3"/>
        <v>0.9212823491</v>
      </c>
      <c r="X304" s="17">
        <f t="shared" si="224"/>
        <v>374.9619161</v>
      </c>
      <c r="Y304" s="21">
        <f t="shared" si="4"/>
        <v>4</v>
      </c>
      <c r="Z304" s="21">
        <f t="shared" si="5"/>
        <v>1874.80958</v>
      </c>
      <c r="AA304" s="21">
        <f t="shared" si="6"/>
        <v>4.606411745</v>
      </c>
      <c r="AB304" s="22">
        <f t="shared" si="7"/>
        <v>0.7142131735</v>
      </c>
      <c r="AC304" s="8">
        <f t="shared" si="208"/>
        <v>373.1433508</v>
      </c>
      <c r="AD304" s="13">
        <f t="shared" si="209"/>
        <v>0.7107492396</v>
      </c>
      <c r="AE304" s="8">
        <f t="shared" si="210"/>
        <v>373.1433508</v>
      </c>
      <c r="AF304" s="73">
        <f t="shared" si="211"/>
        <v>62.14423431</v>
      </c>
      <c r="AG304" s="74" t="str">
        <f t="shared" si="212"/>
        <v>#REF!</v>
      </c>
      <c r="AH304" s="73">
        <f t="shared" si="213"/>
        <v>0</v>
      </c>
      <c r="AI304" s="73">
        <f t="shared" si="214"/>
        <v>0</v>
      </c>
      <c r="AJ304" s="75">
        <f t="shared" si="215"/>
        <v>1</v>
      </c>
      <c r="AK304" s="73">
        <f t="shared" si="216"/>
        <v>0.9425088767</v>
      </c>
      <c r="AL304" s="73">
        <f t="shared" si="217"/>
        <v>1.792595283</v>
      </c>
      <c r="AM304" s="73">
        <f t="shared" si="218"/>
        <v>1.526203901</v>
      </c>
      <c r="AN304" s="75">
        <v>259.97</v>
      </c>
      <c r="AO304" s="76">
        <v>260.0</v>
      </c>
      <c r="AP304" s="73">
        <f t="shared" si="219"/>
        <v>260</v>
      </c>
      <c r="AQ304" s="29" t="str">
        <f t="shared" si="220"/>
        <v>#REF!</v>
      </c>
      <c r="AR304" s="77" t="str">
        <f t="shared" si="221"/>
        <v>#REF!</v>
      </c>
      <c r="AS304" s="73"/>
      <c r="AT304" s="39"/>
    </row>
    <row r="305" ht="15.75" customHeight="1">
      <c r="A305" s="7" t="s">
        <v>494</v>
      </c>
      <c r="B305" s="7" t="s">
        <v>492</v>
      </c>
      <c r="C305" s="7">
        <v>1973.0</v>
      </c>
      <c r="D305" s="7"/>
      <c r="E305" s="7">
        <v>1973.0</v>
      </c>
      <c r="F305" s="7" t="b">
        <v>1</v>
      </c>
      <c r="G305" s="7" t="b">
        <v>0</v>
      </c>
      <c r="H305" s="7" t="b">
        <v>1</v>
      </c>
      <c r="I305" s="7" t="b">
        <v>0</v>
      </c>
      <c r="J305" s="9">
        <v>183.0</v>
      </c>
      <c r="K305" s="7">
        <v>1.0</v>
      </c>
      <c r="L305" s="7">
        <v>194.0</v>
      </c>
      <c r="M305" s="7">
        <v>20.0</v>
      </c>
      <c r="N305" s="7">
        <v>199.0</v>
      </c>
      <c r="O305" s="7">
        <v>240.0</v>
      </c>
      <c r="P305" s="9">
        <v>200.0</v>
      </c>
      <c r="Q305" s="7">
        <v>322.0</v>
      </c>
      <c r="R305" s="7">
        <v>17.5</v>
      </c>
      <c r="S305" s="7">
        <v>0.998357</v>
      </c>
      <c r="T305" s="7">
        <v>0.998357</v>
      </c>
      <c r="U305" s="10">
        <f t="shared" si="1"/>
        <v>214</v>
      </c>
      <c r="V305" s="10">
        <f t="shared" si="2"/>
        <v>122.9808494</v>
      </c>
      <c r="W305" s="11">
        <f t="shared" si="3"/>
        <v>0.8636863418</v>
      </c>
      <c r="X305" s="8">
        <f t="shared" si="224"/>
        <v>207.284722</v>
      </c>
      <c r="Y305" s="12">
        <f t="shared" si="4"/>
        <v>4</v>
      </c>
      <c r="Z305" s="12">
        <f t="shared" si="5"/>
        <v>1036.42361</v>
      </c>
      <c r="AA305" s="12">
        <f t="shared" si="6"/>
        <v>4.318431709</v>
      </c>
      <c r="AB305" s="13">
        <f t="shared" si="7"/>
        <v>0.9686201964</v>
      </c>
      <c r="AC305" s="8">
        <f t="shared" si="208"/>
        <v>210.7498384</v>
      </c>
      <c r="AD305" s="13">
        <f t="shared" si="209"/>
        <v>0.9848123291</v>
      </c>
      <c r="AE305" s="8">
        <f t="shared" si="210"/>
        <v>210.7498384</v>
      </c>
      <c r="AF305" s="73">
        <f t="shared" si="211"/>
        <v>40.95571416</v>
      </c>
      <c r="AG305" s="74" t="str">
        <f t="shared" si="212"/>
        <v>#REF!</v>
      </c>
      <c r="AH305" s="73">
        <f t="shared" si="213"/>
        <v>0</v>
      </c>
      <c r="AI305" s="73">
        <f t="shared" si="214"/>
        <v>0</v>
      </c>
      <c r="AJ305" s="75">
        <f t="shared" si="215"/>
        <v>1</v>
      </c>
      <c r="AK305" s="73">
        <f t="shared" si="216"/>
        <v>1.239863145</v>
      </c>
      <c r="AL305" s="73">
        <f t="shared" si="217"/>
        <v>1.254304874</v>
      </c>
      <c r="AM305" s="73">
        <f t="shared" si="218"/>
        <v>1.137809818</v>
      </c>
      <c r="AN305" s="75">
        <v>131.9</v>
      </c>
      <c r="AO305" s="76">
        <v>130.0</v>
      </c>
      <c r="AP305" s="73">
        <f t="shared" si="219"/>
        <v>130</v>
      </c>
      <c r="AQ305" s="29" t="str">
        <f t="shared" si="220"/>
        <v>#REF!</v>
      </c>
      <c r="AR305" s="77" t="str">
        <f t="shared" si="221"/>
        <v>#REF!</v>
      </c>
      <c r="AS305" s="73"/>
      <c r="AT305" s="39"/>
    </row>
    <row r="306" ht="15.75" customHeight="1">
      <c r="A306" s="7" t="s">
        <v>506</v>
      </c>
      <c r="B306" s="7" t="s">
        <v>507</v>
      </c>
      <c r="C306" s="7">
        <v>1973.0</v>
      </c>
      <c r="D306" s="7"/>
      <c r="E306" s="7">
        <v>1973.0</v>
      </c>
      <c r="F306" s="7" t="b">
        <v>1</v>
      </c>
      <c r="G306" s="7" t="b">
        <v>0</v>
      </c>
      <c r="H306" s="7" t="b">
        <v>1</v>
      </c>
      <c r="I306" s="7" t="b">
        <v>0</v>
      </c>
      <c r="J306" s="9">
        <v>121.0</v>
      </c>
      <c r="K306" s="7">
        <v>1.0</v>
      </c>
      <c r="L306" s="7">
        <v>300.0</v>
      </c>
      <c r="M306" s="7">
        <v>0.0</v>
      </c>
      <c r="N306" s="7">
        <v>390.0</v>
      </c>
      <c r="O306" s="7">
        <v>515.8</v>
      </c>
      <c r="P306" s="9">
        <v>301.0</v>
      </c>
      <c r="Q306" s="7">
        <v>331.3</v>
      </c>
      <c r="R306" s="7">
        <v>20.1</v>
      </c>
      <c r="S306" s="7">
        <v>0.997592</v>
      </c>
      <c r="T306" s="7">
        <v>0.997592</v>
      </c>
      <c r="U306" s="10">
        <f t="shared" si="1"/>
        <v>300</v>
      </c>
      <c r="V306" s="10">
        <f t="shared" si="2"/>
        <v>134.8640054</v>
      </c>
      <c r="W306" s="11">
        <f t="shared" si="3"/>
        <v>0.6138442719</v>
      </c>
      <c r="X306" s="8">
        <f t="shared" si="224"/>
        <v>316.6208754</v>
      </c>
      <c r="Y306" s="12">
        <f t="shared" si="4"/>
        <v>4</v>
      </c>
      <c r="Z306" s="12">
        <f t="shared" si="5"/>
        <v>1583.104377</v>
      </c>
      <c r="AA306" s="12">
        <f t="shared" si="6"/>
        <v>3.069221359</v>
      </c>
      <c r="AB306" s="13">
        <f t="shared" si="7"/>
        <v>1.055402918</v>
      </c>
      <c r="AC306" s="8">
        <f t="shared" si="208"/>
        <v>321.4302827</v>
      </c>
      <c r="AD306" s="13">
        <f t="shared" si="209"/>
        <v>1.071434276</v>
      </c>
      <c r="AE306" s="8">
        <f t="shared" si="210"/>
        <v>321.4302827</v>
      </c>
      <c r="AF306" s="73">
        <f t="shared" si="211"/>
        <v>75.41181576</v>
      </c>
      <c r="AG306" s="74" t="str">
        <f t="shared" si="212"/>
        <v>#REF!</v>
      </c>
      <c r="AH306" s="73">
        <f t="shared" si="213"/>
        <v>0</v>
      </c>
      <c r="AI306" s="73">
        <f t="shared" si="214"/>
        <v>0</v>
      </c>
      <c r="AJ306" s="75">
        <f t="shared" si="215"/>
        <v>1.346942892</v>
      </c>
      <c r="AK306" s="73">
        <f t="shared" si="216"/>
        <v>1.298383637</v>
      </c>
      <c r="AL306" s="73">
        <f t="shared" si="217"/>
        <v>1.396448499</v>
      </c>
      <c r="AM306" s="73">
        <f t="shared" si="218"/>
        <v>0.9717655076</v>
      </c>
      <c r="AN306" s="75">
        <v>309.06</v>
      </c>
      <c r="AO306" s="76">
        <v>310.0</v>
      </c>
      <c r="AP306" s="73">
        <f t="shared" si="219"/>
        <v>310</v>
      </c>
      <c r="AQ306" s="29" t="str">
        <f t="shared" si="220"/>
        <v>#REF!</v>
      </c>
      <c r="AR306" s="77" t="str">
        <f t="shared" si="221"/>
        <v>#REF!</v>
      </c>
      <c r="AS306" s="73"/>
      <c r="AT306" s="39"/>
    </row>
    <row r="307" ht="15.75" customHeight="1">
      <c r="A307" s="16" t="s">
        <v>508</v>
      </c>
      <c r="B307" s="16" t="s">
        <v>509</v>
      </c>
      <c r="C307" s="16">
        <v>1973.0</v>
      </c>
      <c r="D307" s="16"/>
      <c r="E307" s="16">
        <v>1973.0</v>
      </c>
      <c r="F307" s="16" t="b">
        <v>1</v>
      </c>
      <c r="G307" s="16" t="b">
        <v>0</v>
      </c>
      <c r="H307" s="16" t="b">
        <v>0</v>
      </c>
      <c r="I307" s="16" t="b">
        <v>0</v>
      </c>
      <c r="J307" s="18">
        <v>183.0</v>
      </c>
      <c r="K307" s="16">
        <v>1.0</v>
      </c>
      <c r="L307" s="16">
        <v>4.0</v>
      </c>
      <c r="M307" s="16">
        <v>0.0</v>
      </c>
      <c r="N307" s="16">
        <v>60.0</v>
      </c>
      <c r="O307" s="16">
        <v>15.76</v>
      </c>
      <c r="P307" s="18">
        <v>232.0</v>
      </c>
      <c r="Q307" s="16">
        <v>293.0</v>
      </c>
      <c r="R307" s="16">
        <v>7.35</v>
      </c>
      <c r="S307" s="16">
        <v>0.999296</v>
      </c>
      <c r="T307" s="16">
        <v>0.999296</v>
      </c>
      <c r="U307" s="19">
        <f t="shared" si="1"/>
        <v>4</v>
      </c>
      <c r="V307" s="19">
        <f t="shared" si="2"/>
        <v>26.78454578</v>
      </c>
      <c r="W307" s="20">
        <f t="shared" si="3"/>
        <v>5.530057778</v>
      </c>
      <c r="X307" s="17">
        <f t="shared" si="224"/>
        <v>87.15371058</v>
      </c>
      <c r="Y307" s="21">
        <f t="shared" si="4"/>
        <v>4</v>
      </c>
      <c r="Z307" s="21">
        <f t="shared" si="5"/>
        <v>435.7685529</v>
      </c>
      <c r="AA307" s="21">
        <f t="shared" si="6"/>
        <v>27.65028889</v>
      </c>
      <c r="AB307" s="22">
        <f t="shared" si="7"/>
        <v>21.78842765</v>
      </c>
      <c r="AC307" s="8">
        <f t="shared" si="208"/>
        <v>88.77411557</v>
      </c>
      <c r="AD307" s="13">
        <f t="shared" si="209"/>
        <v>22.19352889</v>
      </c>
      <c r="AE307" s="8">
        <f t="shared" si="210"/>
        <v>88.77411557</v>
      </c>
      <c r="AF307" s="73">
        <f t="shared" si="211"/>
        <v>6.813145793</v>
      </c>
      <c r="AG307" s="74" t="str">
        <f t="shared" si="212"/>
        <v>#REF!</v>
      </c>
      <c r="AH307" s="73">
        <f t="shared" si="213"/>
        <v>0</v>
      </c>
      <c r="AI307" s="73">
        <f t="shared" si="214"/>
        <v>0</v>
      </c>
      <c r="AJ307" s="75">
        <f t="shared" si="215"/>
        <v>1.133990808</v>
      </c>
      <c r="AK307" s="73">
        <f t="shared" si="216"/>
        <v>0.5786249409</v>
      </c>
      <c r="AL307" s="73">
        <f t="shared" si="217"/>
        <v>0.9530871741</v>
      </c>
      <c r="AM307" s="73">
        <f t="shared" si="218"/>
        <v>1.137809818</v>
      </c>
      <c r="AN307" s="75">
        <v>14.12</v>
      </c>
      <c r="AO307" s="76">
        <v>14.0</v>
      </c>
      <c r="AP307" s="73">
        <f t="shared" si="219"/>
        <v>14</v>
      </c>
      <c r="AQ307" s="29" t="str">
        <f t="shared" si="220"/>
        <v>#REF!</v>
      </c>
      <c r="AR307" s="77" t="str">
        <f t="shared" si="221"/>
        <v>#REF!</v>
      </c>
      <c r="AS307" s="73"/>
      <c r="AT307" s="39"/>
    </row>
    <row r="308" ht="15.75" customHeight="1">
      <c r="A308" s="16" t="s">
        <v>534</v>
      </c>
      <c r="B308" s="16" t="s">
        <v>1008</v>
      </c>
      <c r="C308" s="16">
        <v>1973.0</v>
      </c>
      <c r="D308" s="16"/>
      <c r="E308" s="16">
        <v>1973.0</v>
      </c>
      <c r="F308" s="16" t="b">
        <v>1</v>
      </c>
      <c r="G308" s="16" t="b">
        <v>0</v>
      </c>
      <c r="H308" s="16" t="b">
        <v>0</v>
      </c>
      <c r="I308" s="16" t="b">
        <v>0</v>
      </c>
      <c r="J308" s="18">
        <v>130.0</v>
      </c>
      <c r="K308" s="16">
        <v>1.0</v>
      </c>
      <c r="L308" s="16">
        <v>470.0</v>
      </c>
      <c r="M308" s="16">
        <v>70.0</v>
      </c>
      <c r="N308" s="16">
        <v>1155.0</v>
      </c>
      <c r="O308" s="16">
        <v>999.3</v>
      </c>
      <c r="P308" s="18">
        <v>256.87</v>
      </c>
      <c r="Q308" s="16">
        <v>314.58</v>
      </c>
      <c r="R308" s="16">
        <v>5.86</v>
      </c>
      <c r="S308" s="16">
        <v>0.999807</v>
      </c>
      <c r="T308" s="16">
        <v>0.999807</v>
      </c>
      <c r="U308" s="19">
        <f t="shared" si="1"/>
        <v>540</v>
      </c>
      <c r="V308" s="19">
        <f t="shared" si="2"/>
        <v>88.22531677</v>
      </c>
      <c r="W308" s="20">
        <f t="shared" si="3"/>
        <v>0.5121570627</v>
      </c>
      <c r="X308" s="17">
        <f t="shared" si="224"/>
        <v>511.7985528</v>
      </c>
      <c r="Y308" s="21">
        <f t="shared" si="4"/>
        <v>4</v>
      </c>
      <c r="Z308" s="21">
        <f t="shared" si="5"/>
        <v>2558.992764</v>
      </c>
      <c r="AA308" s="21">
        <f t="shared" si="6"/>
        <v>2.560785313</v>
      </c>
      <c r="AB308" s="22">
        <f t="shared" si="7"/>
        <v>0.9477750977</v>
      </c>
      <c r="AC308" s="8">
        <f t="shared" si="208"/>
        <v>521.8369886</v>
      </c>
      <c r="AD308" s="13">
        <f t="shared" si="209"/>
        <v>0.9663647938</v>
      </c>
      <c r="AE308" s="8">
        <f t="shared" si="210"/>
        <v>521.8369886</v>
      </c>
      <c r="AF308" s="73">
        <f t="shared" si="211"/>
        <v>131.8856079</v>
      </c>
      <c r="AG308" s="74" t="str">
        <f t="shared" si="212"/>
        <v>#REF!</v>
      </c>
      <c r="AH308" s="73">
        <f t="shared" si="213"/>
        <v>0</v>
      </c>
      <c r="AI308" s="73">
        <f t="shared" si="214"/>
        <v>0</v>
      </c>
      <c r="AJ308" s="75">
        <f t="shared" si="215"/>
        <v>1.173433778</v>
      </c>
      <c r="AK308" s="73">
        <f t="shared" si="216"/>
        <v>1.050150684</v>
      </c>
      <c r="AL308" s="73">
        <f t="shared" si="217"/>
        <v>1.155010663</v>
      </c>
      <c r="AM308" s="73">
        <f t="shared" si="218"/>
        <v>1.001856123</v>
      </c>
      <c r="AN308" s="75">
        <v>413.55</v>
      </c>
      <c r="AO308" s="76">
        <v>410.0</v>
      </c>
      <c r="AP308" s="73">
        <f t="shared" si="219"/>
        <v>410</v>
      </c>
      <c r="AQ308" s="29" t="str">
        <f t="shared" si="220"/>
        <v>#REF!</v>
      </c>
      <c r="AR308" s="77" t="str">
        <f t="shared" si="221"/>
        <v>#REF!</v>
      </c>
      <c r="AS308" s="73"/>
      <c r="AT308" s="39"/>
    </row>
    <row r="309" ht="15.75" customHeight="1">
      <c r="A309" s="16" t="s">
        <v>545</v>
      </c>
      <c r="B309" s="16" t="s">
        <v>1009</v>
      </c>
      <c r="C309" s="16">
        <v>1973.0</v>
      </c>
      <c r="D309" s="16"/>
      <c r="E309" s="16">
        <v>1973.0</v>
      </c>
      <c r="F309" s="16" t="b">
        <v>1</v>
      </c>
      <c r="G309" s="16" t="b">
        <v>0</v>
      </c>
      <c r="H309" s="16" t="b">
        <v>0</v>
      </c>
      <c r="I309" s="16" t="b">
        <v>0</v>
      </c>
      <c r="J309" s="18">
        <v>305.0</v>
      </c>
      <c r="K309" s="16">
        <v>1.0</v>
      </c>
      <c r="L309" s="16">
        <v>450.0</v>
      </c>
      <c r="M309" s="16">
        <v>70.0</v>
      </c>
      <c r="N309" s="16">
        <v>1250.0</v>
      </c>
      <c r="O309" s="16">
        <v>977.72</v>
      </c>
      <c r="P309" s="18">
        <v>252.89</v>
      </c>
      <c r="Q309" s="16">
        <v>315.91</v>
      </c>
      <c r="R309" s="16">
        <v>5.86</v>
      </c>
      <c r="S309" s="16">
        <v>0.999807</v>
      </c>
      <c r="T309" s="16">
        <v>0.999807</v>
      </c>
      <c r="U309" s="19">
        <f t="shared" si="1"/>
        <v>520</v>
      </c>
      <c r="V309" s="19">
        <f t="shared" si="2"/>
        <v>79.75975463</v>
      </c>
      <c r="W309" s="20">
        <f t="shared" si="3"/>
        <v>0.5503639206</v>
      </c>
      <c r="X309" s="17">
        <f t="shared" si="224"/>
        <v>538.1018124</v>
      </c>
      <c r="Y309" s="21">
        <f t="shared" si="4"/>
        <v>4</v>
      </c>
      <c r="Z309" s="21">
        <f t="shared" si="5"/>
        <v>2690.509062</v>
      </c>
      <c r="AA309" s="21">
        <f t="shared" si="6"/>
        <v>2.751819603</v>
      </c>
      <c r="AB309" s="22">
        <f t="shared" si="7"/>
        <v>1.034811178</v>
      </c>
      <c r="AC309" s="8">
        <f t="shared" si="208"/>
        <v>548.6561614</v>
      </c>
      <c r="AD309" s="13">
        <f t="shared" si="209"/>
        <v>1.055108003</v>
      </c>
      <c r="AE309" s="8">
        <f t="shared" si="210"/>
        <v>548.6561614</v>
      </c>
      <c r="AF309" s="73">
        <f t="shared" si="211"/>
        <v>129.4220506</v>
      </c>
      <c r="AG309" s="74" t="str">
        <f t="shared" si="212"/>
        <v>#REF!</v>
      </c>
      <c r="AH309" s="73">
        <f t="shared" si="213"/>
        <v>0</v>
      </c>
      <c r="AI309" s="73">
        <f t="shared" si="214"/>
        <v>0</v>
      </c>
      <c r="AJ309" s="75">
        <f t="shared" si="215"/>
        <v>1.147479577</v>
      </c>
      <c r="AK309" s="73">
        <f t="shared" si="216"/>
        <v>0.9984973374</v>
      </c>
      <c r="AL309" s="73">
        <f t="shared" si="217"/>
        <v>1.171909157</v>
      </c>
      <c r="AM309" s="73">
        <f t="shared" si="218"/>
        <v>1.319666265</v>
      </c>
      <c r="AN309" s="75">
        <v>517.02</v>
      </c>
      <c r="AO309" s="76">
        <v>520.0</v>
      </c>
      <c r="AP309" s="73">
        <f t="shared" si="219"/>
        <v>520</v>
      </c>
      <c r="AQ309" s="29" t="str">
        <f t="shared" si="220"/>
        <v>#REF!</v>
      </c>
      <c r="AR309" s="77" t="str">
        <f t="shared" si="221"/>
        <v>#REF!</v>
      </c>
      <c r="AS309" s="73"/>
      <c r="AT309" s="39"/>
    </row>
    <row r="310" ht="15.75" customHeight="1">
      <c r="A310" s="16" t="s">
        <v>1030</v>
      </c>
      <c r="B310" s="16" t="s">
        <v>605</v>
      </c>
      <c r="C310" s="16">
        <v>1973.0</v>
      </c>
      <c r="D310" s="16"/>
      <c r="E310" s="16">
        <v>1973.0</v>
      </c>
      <c r="F310" s="16" t="b">
        <v>1</v>
      </c>
      <c r="G310" s="16" t="b">
        <v>0</v>
      </c>
      <c r="H310" s="16" t="b">
        <v>1</v>
      </c>
      <c r="I310" s="16" t="b">
        <v>0</v>
      </c>
      <c r="J310" s="18">
        <v>225.0</v>
      </c>
      <c r="K310" s="16">
        <v>1.0</v>
      </c>
      <c r="L310" s="16">
        <v>525.0</v>
      </c>
      <c r="M310" s="16">
        <v>75.0</v>
      </c>
      <c r="N310" s="16">
        <v>1450.0</v>
      </c>
      <c r="O310" s="16">
        <v>1782.0</v>
      </c>
      <c r="P310" s="18">
        <v>240.0</v>
      </c>
      <c r="Q310" s="16">
        <v>327.8</v>
      </c>
      <c r="R310" s="16">
        <v>14.71</v>
      </c>
      <c r="S310" s="16">
        <v>0.999251</v>
      </c>
      <c r="T310" s="16">
        <v>0.999251</v>
      </c>
      <c r="U310" s="19">
        <f t="shared" si="1"/>
        <v>600</v>
      </c>
      <c r="V310" s="19">
        <f t="shared" si="2"/>
        <v>125.3196059</v>
      </c>
      <c r="W310" s="20">
        <f t="shared" si="3"/>
        <v>0.3679328963</v>
      </c>
      <c r="X310" s="17">
        <f t="shared" si="224"/>
        <v>655.6564212</v>
      </c>
      <c r="Y310" s="21">
        <f t="shared" si="4"/>
        <v>4</v>
      </c>
      <c r="Z310" s="21">
        <f t="shared" si="5"/>
        <v>3278.282106</v>
      </c>
      <c r="AA310" s="21">
        <f t="shared" si="6"/>
        <v>1.839664481</v>
      </c>
      <c r="AB310" s="22">
        <f t="shared" si="7"/>
        <v>1.092760702</v>
      </c>
      <c r="AC310" s="8">
        <f t="shared" si="208"/>
        <v>667.7877441</v>
      </c>
      <c r="AD310" s="13">
        <f t="shared" si="209"/>
        <v>1.112979573</v>
      </c>
      <c r="AE310" s="8">
        <f t="shared" si="210"/>
        <v>667.7877441</v>
      </c>
      <c r="AF310" s="73">
        <f t="shared" si="211"/>
        <v>219.2529357</v>
      </c>
      <c r="AG310" s="74" t="str">
        <f t="shared" si="212"/>
        <v>#REF!</v>
      </c>
      <c r="AH310" s="73">
        <f t="shared" si="213"/>
        <v>0</v>
      </c>
      <c r="AI310" s="73">
        <f t="shared" si="214"/>
        <v>0</v>
      </c>
      <c r="AJ310" s="75">
        <f t="shared" si="215"/>
        <v>1.054268324</v>
      </c>
      <c r="AK310" s="73">
        <f t="shared" si="216"/>
        <v>1.25159701</v>
      </c>
      <c r="AL310" s="73">
        <f t="shared" si="217"/>
        <v>1.340570527</v>
      </c>
      <c r="AM310" s="73">
        <f t="shared" si="218"/>
        <v>1.214285721</v>
      </c>
      <c r="AN310" s="75">
        <v>901.28</v>
      </c>
      <c r="AO310" s="76">
        <v>900.0</v>
      </c>
      <c r="AP310" s="73">
        <f t="shared" si="219"/>
        <v>900</v>
      </c>
      <c r="AQ310" s="29" t="str">
        <f t="shared" si="220"/>
        <v>#REF!</v>
      </c>
      <c r="AR310" s="77" t="str">
        <f t="shared" si="221"/>
        <v>#REF!</v>
      </c>
      <c r="AS310" s="73"/>
      <c r="AT310" s="39"/>
    </row>
    <row r="311" ht="15.75" customHeight="1">
      <c r="A311" s="16" t="s">
        <v>625</v>
      </c>
      <c r="B311" s="16" t="s">
        <v>626</v>
      </c>
      <c r="C311" s="16">
        <v>1973.0</v>
      </c>
      <c r="D311" s="16" t="b">
        <v>1</v>
      </c>
      <c r="E311" s="16">
        <v>1973.0</v>
      </c>
      <c r="F311" s="16" t="b">
        <v>1</v>
      </c>
      <c r="G311" s="16" t="b">
        <v>0</v>
      </c>
      <c r="H311" s="16" t="b">
        <v>1</v>
      </c>
      <c r="I311" s="16" t="b">
        <v>0</v>
      </c>
      <c r="J311" s="18">
        <v>800.0</v>
      </c>
      <c r="K311" s="18">
        <v>4.0</v>
      </c>
      <c r="L311" s="16">
        <v>700.0</v>
      </c>
      <c r="M311" s="16">
        <v>0.0</v>
      </c>
      <c r="N311" s="16">
        <v>840.0</v>
      </c>
      <c r="O311" s="16">
        <v>392.3</v>
      </c>
      <c r="P311" s="18">
        <v>273.0</v>
      </c>
      <c r="Q311" s="16">
        <v>456.5</v>
      </c>
      <c r="R311" s="16">
        <v>10.0</v>
      </c>
      <c r="S311" s="16">
        <v>0.98125</v>
      </c>
      <c r="T311" s="16">
        <v>0.97</v>
      </c>
      <c r="U311" s="19">
        <f t="shared" si="1"/>
        <v>700</v>
      </c>
      <c r="V311" s="19">
        <f t="shared" si="2"/>
        <v>47.6231749</v>
      </c>
      <c r="W311" s="20">
        <f t="shared" si="3"/>
        <v>3.590909286</v>
      </c>
      <c r="X311" s="17">
        <f>0.9*(0.00015*N311*Q311*R311+797)+0.1*(43.1*POWER(N311,0.549))</f>
        <v>1408.713713</v>
      </c>
      <c r="Y311" s="21">
        <f t="shared" si="4"/>
        <v>4</v>
      </c>
      <c r="Z311" s="21">
        <f t="shared" si="5"/>
        <v>7043.568564</v>
      </c>
      <c r="AA311" s="21">
        <f t="shared" si="6"/>
        <v>17.95454643</v>
      </c>
      <c r="AB311" s="22">
        <f t="shared" si="7"/>
        <v>2.012448161</v>
      </c>
      <c r="AC311" s="8">
        <f t="shared" si="208"/>
        <v>1369.005595</v>
      </c>
      <c r="AD311" s="13">
        <f t="shared" si="209"/>
        <v>1.955722279</v>
      </c>
      <c r="AE311" s="8">
        <f t="shared" si="210"/>
        <v>521.1725204</v>
      </c>
      <c r="AF311" s="73">
        <f t="shared" si="211"/>
        <v>60.3256516</v>
      </c>
      <c r="AG311" s="74" t="str">
        <f t="shared" si="212"/>
        <v>#REF!</v>
      </c>
      <c r="AH311" s="73">
        <f t="shared" si="213"/>
        <v>0</v>
      </c>
      <c r="AI311" s="73">
        <f t="shared" si="214"/>
        <v>0.3632125751</v>
      </c>
      <c r="AJ311" s="75">
        <f t="shared" si="215"/>
        <v>1</v>
      </c>
      <c r="AK311" s="73">
        <f t="shared" si="216"/>
        <v>0.7715501839</v>
      </c>
      <c r="AL311" s="73">
        <f t="shared" si="217"/>
        <v>7.107962256</v>
      </c>
      <c r="AM311" s="73">
        <f t="shared" si="218"/>
        <v>1.603590751</v>
      </c>
      <c r="AN311" s="75">
        <v>992.27</v>
      </c>
      <c r="AO311" s="76">
        <v>990.0</v>
      </c>
      <c r="AP311" s="73">
        <f t="shared" si="219"/>
        <v>990</v>
      </c>
      <c r="AQ311" s="29" t="str">
        <f t="shared" si="220"/>
        <v>#REF!</v>
      </c>
      <c r="AR311" s="77" t="str">
        <f t="shared" si="221"/>
        <v>#REF!</v>
      </c>
      <c r="AS311" s="73"/>
      <c r="AT311" s="39"/>
    </row>
    <row r="312" ht="15.75" hidden="1" customHeight="1">
      <c r="A312" s="7" t="s">
        <v>879</v>
      </c>
      <c r="B312" s="7" t="s">
        <v>880</v>
      </c>
      <c r="C312" s="7">
        <v>1945.0</v>
      </c>
      <c r="D312" s="7"/>
      <c r="E312" s="7">
        <v>1945.0</v>
      </c>
      <c r="F312" s="7" t="b">
        <v>0</v>
      </c>
      <c r="G312" s="7" t="b">
        <v>1</v>
      </c>
      <c r="H312" s="7" t="b">
        <v>0</v>
      </c>
      <c r="I312" s="7" t="b">
        <v>0</v>
      </c>
      <c r="J312" s="7"/>
      <c r="K312" s="7"/>
      <c r="L312" s="7">
        <v>4.0</v>
      </c>
      <c r="M312" s="7">
        <v>0.0</v>
      </c>
      <c r="N312" s="7">
        <v>11.0</v>
      </c>
      <c r="O312" s="7">
        <v>11.192</v>
      </c>
      <c r="P312" s="7"/>
      <c r="Q312" s="7">
        <v>220.0</v>
      </c>
      <c r="R312" s="7">
        <v>5.2689</v>
      </c>
      <c r="S312" s="7"/>
      <c r="T312" s="7"/>
      <c r="U312" s="10">
        <f t="shared" si="1"/>
        <v>4</v>
      </c>
      <c r="V312" s="10">
        <f t="shared" si="2"/>
        <v>103.7514893</v>
      </c>
      <c r="W312" s="11">
        <f t="shared" si="3"/>
        <v>2.461206952</v>
      </c>
      <c r="X312" s="8">
        <f>0.2*(8.17*POW(N312*R312,0.46))+0.8*(0.146*POW(N312*Q312,0.639))</f>
        <v>27.5458282</v>
      </c>
      <c r="Y312" s="12">
        <f t="shared" si="4"/>
        <v>1.05</v>
      </c>
      <c r="Z312" s="12">
        <f t="shared" si="5"/>
        <v>56.46894781</v>
      </c>
      <c r="AA312" s="12">
        <f t="shared" si="6"/>
        <v>5.045474251</v>
      </c>
      <c r="AB312" s="13">
        <f t="shared" si="7"/>
        <v>6.88645705</v>
      </c>
      <c r="AC312" s="8">
        <f>IF(I312,X312*1.5,X312)*IF(S312*T312&gt;0,(S312*T312+0.02),1)</f>
        <v>27.5458282</v>
      </c>
      <c r="AG312" s="7"/>
    </row>
    <row r="313" ht="15.75" customHeight="1">
      <c r="A313" s="7" t="s">
        <v>163</v>
      </c>
      <c r="B313" s="7" t="s">
        <v>158</v>
      </c>
      <c r="C313" s="7">
        <v>1974.0</v>
      </c>
      <c r="D313" s="7"/>
      <c r="E313" s="7">
        <v>1974.0</v>
      </c>
      <c r="F313" s="7" t="b">
        <v>1</v>
      </c>
      <c r="G313" s="7" t="b">
        <v>0</v>
      </c>
      <c r="H313" s="7" t="b">
        <v>0</v>
      </c>
      <c r="I313" s="7" t="b">
        <v>0</v>
      </c>
      <c r="J313" s="9">
        <v>240.0</v>
      </c>
      <c r="K313" s="7">
        <v>1.0</v>
      </c>
      <c r="L313" s="7">
        <v>250.0</v>
      </c>
      <c r="M313" s="7">
        <v>1.0</v>
      </c>
      <c r="N313" s="7">
        <v>1072.0</v>
      </c>
      <c r="O313" s="7">
        <v>1023.0</v>
      </c>
      <c r="P313" s="9">
        <v>264.0</v>
      </c>
      <c r="Q313" s="7">
        <v>295.0</v>
      </c>
      <c r="R313" s="7">
        <v>4.85</v>
      </c>
      <c r="S313" s="7">
        <v>0.996535</v>
      </c>
      <c r="T313" s="7">
        <v>0.996535</v>
      </c>
      <c r="U313" s="10">
        <f t="shared" si="1"/>
        <v>251</v>
      </c>
      <c r="V313" s="10">
        <f t="shared" si="2"/>
        <v>97.31060474</v>
      </c>
      <c r="W313" s="11">
        <f t="shared" si="3"/>
        <v>0.4551084734</v>
      </c>
      <c r="X313" s="8">
        <f>0.2*(8.17*POWER(N313*R313,0.46))+0.8*(0.146*POWER(N313*Q313,0.639))</f>
        <v>465.5759683</v>
      </c>
      <c r="Y313" s="12">
        <f t="shared" si="4"/>
        <v>4</v>
      </c>
      <c r="Z313" s="12">
        <f t="shared" si="5"/>
        <v>2327.879842</v>
      </c>
      <c r="AA313" s="12">
        <f t="shared" si="6"/>
        <v>2.275542367</v>
      </c>
      <c r="AB313" s="13">
        <f t="shared" si="7"/>
        <v>1.854884336</v>
      </c>
      <c r="AC313" s="8">
        <f t="shared" ref="AC313:AC485" si="225">X313*IF(I313,1.5,1)*IF(S313*T313&gt;0,(S313*T313+0.02),1)</f>
        <v>471.666636</v>
      </c>
      <c r="AD313" s="13">
        <f t="shared" ref="AD313:AD485" si="226">IFERROR(AC313/U313,#N/A)</f>
        <v>1.879149944</v>
      </c>
      <c r="AE313" s="8">
        <f t="shared" ref="AE313:AE485" si="227">IF(I313,1.5,1)*IF(S313*T313&gt;0,(S313*T313+0.02),1)*(0.2*(8.17*POWER(N313*R313,0.46))+0.8*(0.146*POWER(N313*Q313,0.639)))</f>
        <v>471.666636</v>
      </c>
      <c r="AF313" s="73">
        <f t="shared" ref="AF313:AF485" si="228">If(F313,$AT$2*O313*(1-log(O313)*0.04+1/(O313/80)^0.6),$AT$3*O313*(1+1/(O313/12)^0.9-log(O313)*0.03))</f>
        <v>134.5866684</v>
      </c>
      <c r="AG313" s="74" t="str">
        <f t="shared" ref="AG313:AG485" si="229">If(F313,VLOOKUP(E313,#REF!,2),VLOOKUP(E313,#REF!,3))</f>
        <v>#REF!</v>
      </c>
      <c r="AH313" s="73">
        <f t="shared" ref="AH313:AH485" si="230">If(I313,2,0)</f>
        <v>0</v>
      </c>
      <c r="AI313" s="73">
        <f t="shared" ref="AI313:AI485" si="231">1.5-1.5/K313^0.2</f>
        <v>0</v>
      </c>
      <c r="AJ313" s="75">
        <f t="shared" ref="AJ313:AJ485" si="232">If(P313/Q313 &gt; 0.66,1+2.8*(P313/Q313-0.66)^1.5,1)</f>
        <v>1.318804806</v>
      </c>
      <c r="AK313" s="73">
        <f t="shared" ref="AK313:AK485" si="233">Max(0.8,Pow(V313/5,0.5))/4</f>
        <v>1.102897348</v>
      </c>
      <c r="AL313" s="73">
        <f t="shared" ref="AL313:AL485" si="234">IF(Q313&gt;300,IF(Q313&gt;460.39,7.5*8.5^((Q313/460.4-1)^0.6),6.5^((Q313/150-2)^1.1)),2.8^(Q313/150-2))</f>
        <v>0.9662616258</v>
      </c>
      <c r="AM313" s="73">
        <f t="shared" ref="AM313:AM485" si="235">If(ISBLANK(J313),1,2.6*(1-1/((J313*0.05)^0.26)))</f>
        <v>1.237344028</v>
      </c>
      <c r="AN313" s="75">
        <v>406.87</v>
      </c>
      <c r="AO313" s="76">
        <v>410.0</v>
      </c>
      <c r="AP313" s="73">
        <f t="shared" ref="AP313:AP485" si="236">If(MOD(Log10(AO313),1)&gt;0.2,ROUND(AO313,1-INT(LOG10(AO313))), ROUND(2*AO313,1-INT(LOG10(2*AO313)))/2)</f>
        <v>410</v>
      </c>
      <c r="AQ313" s="29" t="str">
        <f t="shared" ref="AQ313:AQ485" si="237">VLOOKUP(A313,#REF!,27,FALSE)</f>
        <v>#REF!</v>
      </c>
      <c r="AR313" s="77" t="str">
        <f t="shared" ref="AR313:AR485" si="238">AP313/AQ313-1</f>
        <v>#REF!</v>
      </c>
      <c r="AS313" s="73"/>
      <c r="AT313" s="39"/>
    </row>
    <row r="314" ht="15.75" customHeight="1">
      <c r="A314" s="7" t="s">
        <v>273</v>
      </c>
      <c r="B314" s="7" t="s">
        <v>274</v>
      </c>
      <c r="C314" s="7">
        <v>1974.0</v>
      </c>
      <c r="D314" s="7" t="b">
        <v>1</v>
      </c>
      <c r="E314" s="7">
        <v>1974.0</v>
      </c>
      <c r="F314" s="7" t="b">
        <v>1</v>
      </c>
      <c r="G314" s="7" t="b">
        <v>0</v>
      </c>
      <c r="H314" s="7" t="b">
        <v>0</v>
      </c>
      <c r="I314" s="7" t="b">
        <v>0</v>
      </c>
      <c r="J314" s="9">
        <v>500.0</v>
      </c>
      <c r="K314" s="7">
        <v>1.0</v>
      </c>
      <c r="L314" s="7">
        <v>4300.0</v>
      </c>
      <c r="M314" s="7">
        <v>0.0</v>
      </c>
      <c r="N314" s="7">
        <v>1596.6</v>
      </c>
      <c r="O314" s="7">
        <v>1085.4</v>
      </c>
      <c r="P314" s="9">
        <v>353.0</v>
      </c>
      <c r="Q314" s="7">
        <v>450.0</v>
      </c>
      <c r="R314" s="7">
        <v>18.89</v>
      </c>
      <c r="S314" s="7">
        <v>0.97381</v>
      </c>
      <c r="T314" s="7">
        <v>0.983333</v>
      </c>
      <c r="U314" s="10">
        <f t="shared" si="1"/>
        <v>4300</v>
      </c>
      <c r="V314" s="10">
        <f t="shared" si="2"/>
        <v>69.3223083</v>
      </c>
      <c r="W314" s="11">
        <f t="shared" si="3"/>
        <v>2.57665088</v>
      </c>
      <c r="X314" s="8">
        <f>0.9*(0.00015*N314*Q314*R314+797)+0.1*(43.1*POWER(N314,0.549))</f>
        <v>2796.696865</v>
      </c>
      <c r="Y314" s="12">
        <f t="shared" si="4"/>
        <v>4</v>
      </c>
      <c r="Z314" s="12">
        <f t="shared" si="5"/>
        <v>13983.48433</v>
      </c>
      <c r="AA314" s="12">
        <f t="shared" si="6"/>
        <v>12.8832544</v>
      </c>
      <c r="AB314" s="13">
        <f t="shared" si="7"/>
        <v>0.6503946199</v>
      </c>
      <c r="AC314" s="8">
        <f t="shared" si="225"/>
        <v>2733.993548</v>
      </c>
      <c r="AD314" s="13">
        <f t="shared" si="226"/>
        <v>0.635812453</v>
      </c>
      <c r="AE314" s="8">
        <f t="shared" si="227"/>
        <v>814.3539219</v>
      </c>
      <c r="AF314" s="73">
        <f t="shared" si="228"/>
        <v>141.6768383</v>
      </c>
      <c r="AG314" s="74" t="str">
        <f t="shared" si="229"/>
        <v>#REF!</v>
      </c>
      <c r="AH314" s="73">
        <f t="shared" si="230"/>
        <v>0</v>
      </c>
      <c r="AI314" s="73">
        <f t="shared" si="231"/>
        <v>0</v>
      </c>
      <c r="AJ314" s="75">
        <f t="shared" si="232"/>
        <v>1.122919646</v>
      </c>
      <c r="AK314" s="73">
        <f t="shared" si="233"/>
        <v>0.9308753159</v>
      </c>
      <c r="AL314" s="73">
        <f t="shared" si="234"/>
        <v>6.5</v>
      </c>
      <c r="AM314" s="73">
        <f t="shared" si="235"/>
        <v>1.474076339</v>
      </c>
      <c r="AN314" s="75">
        <v>1981.02</v>
      </c>
      <c r="AO314" s="76">
        <v>2000.0</v>
      </c>
      <c r="AP314" s="73">
        <f t="shared" si="236"/>
        <v>2000</v>
      </c>
      <c r="AQ314" s="29" t="str">
        <f t="shared" si="237"/>
        <v>#REF!</v>
      </c>
      <c r="AR314" s="77" t="str">
        <f t="shared" si="238"/>
        <v>#REF!</v>
      </c>
      <c r="AS314" s="73"/>
      <c r="AT314" s="39"/>
    </row>
    <row r="315" ht="15.75" customHeight="1">
      <c r="A315" s="7" t="s">
        <v>619</v>
      </c>
      <c r="B315" s="7" t="s">
        <v>618</v>
      </c>
      <c r="C315" s="7">
        <v>1974.0</v>
      </c>
      <c r="D315" s="7"/>
      <c r="E315" s="7">
        <v>1974.0</v>
      </c>
      <c r="F315" s="7" t="b">
        <v>1</v>
      </c>
      <c r="G315" s="7" t="b">
        <v>0</v>
      </c>
      <c r="H315" s="7" t="b">
        <v>0</v>
      </c>
      <c r="I315" s="7" t="b">
        <v>0</v>
      </c>
      <c r="J315" s="9">
        <v>148.0</v>
      </c>
      <c r="K315" s="7">
        <v>1.0</v>
      </c>
      <c r="L315" s="7">
        <v>4500.0</v>
      </c>
      <c r="M315" s="7">
        <v>0.0</v>
      </c>
      <c r="N315" s="7">
        <v>4470.0</v>
      </c>
      <c r="O315" s="7">
        <v>6713.0</v>
      </c>
      <c r="P315" s="9">
        <v>301.0</v>
      </c>
      <c r="Q315" s="7">
        <v>322.0</v>
      </c>
      <c r="R315" s="7">
        <v>26.08</v>
      </c>
      <c r="S315" s="7">
        <v>0.997966</v>
      </c>
      <c r="T315" s="7">
        <v>0.997966</v>
      </c>
      <c r="U315" s="10">
        <f t="shared" si="1"/>
        <v>4500</v>
      </c>
      <c r="V315" s="10">
        <f t="shared" si="2"/>
        <v>153.139931</v>
      </c>
      <c r="W315" s="11">
        <f t="shared" si="3"/>
        <v>0.2019447434</v>
      </c>
      <c r="X315" s="8">
        <f t="shared" ref="X315:X317" si="239">0.2*(8.17*POWER(N315*R315,0.46))+0.8*(0.146*POWER(N315*Q315,0.639))</f>
        <v>1355.655063</v>
      </c>
      <c r="Y315" s="12">
        <f t="shared" si="4"/>
        <v>4</v>
      </c>
      <c r="Z315" s="12">
        <f t="shared" si="5"/>
        <v>6778.275314</v>
      </c>
      <c r="AA315" s="12">
        <f t="shared" si="6"/>
        <v>1.009723717</v>
      </c>
      <c r="AB315" s="13">
        <f t="shared" si="7"/>
        <v>0.3012566806</v>
      </c>
      <c r="AC315" s="8">
        <f t="shared" si="225"/>
        <v>1377.258968</v>
      </c>
      <c r="AD315" s="13">
        <f t="shared" si="226"/>
        <v>0.3060575484</v>
      </c>
      <c r="AE315" s="8">
        <f t="shared" si="227"/>
        <v>1377.258968</v>
      </c>
      <c r="AF315" s="73">
        <f t="shared" si="228"/>
        <v>738.7154949</v>
      </c>
      <c r="AG315" s="74" t="str">
        <f t="shared" si="229"/>
        <v>#REF!</v>
      </c>
      <c r="AH315" s="73">
        <f t="shared" si="230"/>
        <v>0</v>
      </c>
      <c r="AI315" s="73">
        <f t="shared" si="231"/>
        <v>0</v>
      </c>
      <c r="AJ315" s="75">
        <f t="shared" si="232"/>
        <v>1.403312697</v>
      </c>
      <c r="AK315" s="73">
        <f t="shared" si="233"/>
        <v>1.383563926</v>
      </c>
      <c r="AL315" s="73">
        <f t="shared" si="234"/>
        <v>1.254304874</v>
      </c>
      <c r="AM315" s="73">
        <f t="shared" si="235"/>
        <v>1.054841267</v>
      </c>
      <c r="AN315" s="75">
        <v>3136.98</v>
      </c>
      <c r="AO315" s="76">
        <v>3100.0</v>
      </c>
      <c r="AP315" s="73">
        <f t="shared" si="236"/>
        <v>3100</v>
      </c>
      <c r="AQ315" s="29" t="str">
        <f t="shared" si="237"/>
        <v>#REF!</v>
      </c>
      <c r="AR315" s="77" t="str">
        <f t="shared" si="238"/>
        <v>#REF!</v>
      </c>
      <c r="AS315" s="73"/>
      <c r="AT315" s="39"/>
    </row>
    <row r="316" ht="15.75" customHeight="1">
      <c r="A316" s="16" t="s">
        <v>617</v>
      </c>
      <c r="B316" s="16" t="s">
        <v>618</v>
      </c>
      <c r="C316" s="16">
        <v>1974.0</v>
      </c>
      <c r="D316" s="16"/>
      <c r="E316" s="16">
        <v>1974.0</v>
      </c>
      <c r="F316" s="16" t="b">
        <v>1</v>
      </c>
      <c r="G316" s="16" t="b">
        <v>0</v>
      </c>
      <c r="H316" s="16" t="b">
        <v>0</v>
      </c>
      <c r="I316" s="16" t="b">
        <v>0</v>
      </c>
      <c r="J316" s="18">
        <v>148.0</v>
      </c>
      <c r="K316" s="16">
        <v>1.0</v>
      </c>
      <c r="L316" s="16">
        <v>4500.0</v>
      </c>
      <c r="M316" s="16">
        <v>500.0</v>
      </c>
      <c r="N316" s="16">
        <v>4470.0</v>
      </c>
      <c r="O316" s="16">
        <v>7159.0</v>
      </c>
      <c r="P316" s="18">
        <v>340.0</v>
      </c>
      <c r="Q316" s="16">
        <v>365.0</v>
      </c>
      <c r="R316" s="16">
        <v>26.08</v>
      </c>
      <c r="S316" s="16">
        <v>0.997966</v>
      </c>
      <c r="T316" s="16">
        <v>0.997966</v>
      </c>
      <c r="U316" s="19">
        <f t="shared" si="1"/>
        <v>5000</v>
      </c>
      <c r="V316" s="19">
        <f t="shared" si="2"/>
        <v>163.3142807</v>
      </c>
      <c r="W316" s="20">
        <f t="shared" si="3"/>
        <v>0.2010796631</v>
      </c>
      <c r="X316" s="17">
        <f t="shared" si="239"/>
        <v>1439.529308</v>
      </c>
      <c r="Y316" s="21">
        <f t="shared" si="4"/>
        <v>4</v>
      </c>
      <c r="Z316" s="21">
        <f t="shared" si="5"/>
        <v>7197.646542</v>
      </c>
      <c r="AA316" s="21">
        <f t="shared" si="6"/>
        <v>1.005398316</v>
      </c>
      <c r="AB316" s="22">
        <f t="shared" si="7"/>
        <v>0.2879058617</v>
      </c>
      <c r="AC316" s="8">
        <f t="shared" si="225"/>
        <v>1462.469845</v>
      </c>
      <c r="AD316" s="13">
        <f t="shared" si="226"/>
        <v>0.292493969</v>
      </c>
      <c r="AE316" s="8">
        <f t="shared" si="227"/>
        <v>1462.469845</v>
      </c>
      <c r="AF316" s="73">
        <f t="shared" si="228"/>
        <v>784.5546294</v>
      </c>
      <c r="AG316" s="74" t="str">
        <f t="shared" si="229"/>
        <v>#REF!</v>
      </c>
      <c r="AH316" s="73">
        <f t="shared" si="230"/>
        <v>0</v>
      </c>
      <c r="AI316" s="73">
        <f t="shared" si="231"/>
        <v>0</v>
      </c>
      <c r="AJ316" s="75">
        <f t="shared" si="232"/>
        <v>1.396122231</v>
      </c>
      <c r="AK316" s="73">
        <f t="shared" si="233"/>
        <v>1.428785676</v>
      </c>
      <c r="AL316" s="73">
        <f t="shared" si="234"/>
        <v>2.108641032</v>
      </c>
      <c r="AM316" s="73">
        <f t="shared" si="235"/>
        <v>1.054841267</v>
      </c>
      <c r="AN316" s="75">
        <v>5677.91</v>
      </c>
      <c r="AO316" s="76">
        <v>5700.0</v>
      </c>
      <c r="AP316" s="73">
        <f t="shared" si="236"/>
        <v>5700</v>
      </c>
      <c r="AQ316" s="29" t="str">
        <f t="shared" si="237"/>
        <v>#REF!</v>
      </c>
      <c r="AR316" s="77" t="str">
        <f t="shared" si="238"/>
        <v>#REF!</v>
      </c>
      <c r="AS316" s="73"/>
      <c r="AT316" s="39"/>
    </row>
    <row r="317" ht="15.75" customHeight="1">
      <c r="A317" s="7" t="s">
        <v>634</v>
      </c>
      <c r="B317" s="7" t="s">
        <v>630</v>
      </c>
      <c r="C317" s="7">
        <v>1974.0</v>
      </c>
      <c r="D317" s="7"/>
      <c r="E317" s="7">
        <v>1974.0</v>
      </c>
      <c r="F317" s="7" t="b">
        <v>1</v>
      </c>
      <c r="G317" s="7" t="b">
        <v>0</v>
      </c>
      <c r="H317" s="7" t="b">
        <v>1</v>
      </c>
      <c r="I317" s="7" t="b">
        <v>0</v>
      </c>
      <c r="J317" s="9">
        <v>720.0</v>
      </c>
      <c r="K317" s="9">
        <v>7.0</v>
      </c>
      <c r="L317" s="7">
        <v>400.0</v>
      </c>
      <c r="M317" s="7">
        <v>120.0</v>
      </c>
      <c r="N317" s="7">
        <v>230.0</v>
      </c>
      <c r="O317" s="7">
        <v>83.36</v>
      </c>
      <c r="P317" s="9">
        <v>155.0</v>
      </c>
      <c r="Q317" s="7">
        <v>356.0</v>
      </c>
      <c r="R317" s="7">
        <v>7.74</v>
      </c>
      <c r="S317" s="7">
        <v>0.996521</v>
      </c>
      <c r="T317" s="7">
        <v>0.998177</v>
      </c>
      <c r="U317" s="10">
        <f t="shared" si="1"/>
        <v>520</v>
      </c>
      <c r="V317" s="10">
        <f t="shared" si="2"/>
        <v>36.95806229</v>
      </c>
      <c r="W317" s="11">
        <f t="shared" si="3"/>
        <v>2.545063896</v>
      </c>
      <c r="X317" s="8">
        <f t="shared" si="239"/>
        <v>212.1565263</v>
      </c>
      <c r="Y317" s="12">
        <f t="shared" si="4"/>
        <v>4</v>
      </c>
      <c r="Z317" s="12">
        <f t="shared" si="5"/>
        <v>1060.782632</v>
      </c>
      <c r="AA317" s="12">
        <f t="shared" si="6"/>
        <v>12.72531948</v>
      </c>
      <c r="AB317" s="13">
        <f t="shared" si="7"/>
        <v>0.4079933199</v>
      </c>
      <c r="AC317" s="8">
        <f t="shared" si="225"/>
        <v>215.2761485</v>
      </c>
      <c r="AD317" s="13">
        <f t="shared" si="226"/>
        <v>0.4139925933</v>
      </c>
      <c r="AE317" s="8">
        <f t="shared" si="227"/>
        <v>215.2761485</v>
      </c>
      <c r="AF317" s="73">
        <f t="shared" si="228"/>
        <v>18.99386322</v>
      </c>
      <c r="AG317" s="74" t="str">
        <f t="shared" si="229"/>
        <v>#REF!</v>
      </c>
      <c r="AH317" s="73">
        <f t="shared" si="230"/>
        <v>0</v>
      </c>
      <c r="AI317" s="73">
        <f t="shared" si="231"/>
        <v>0.4835836299</v>
      </c>
      <c r="AJ317" s="75">
        <f t="shared" si="232"/>
        <v>1</v>
      </c>
      <c r="AK317" s="73">
        <f t="shared" si="233"/>
        <v>0.6796880009</v>
      </c>
      <c r="AL317" s="73">
        <f t="shared" si="234"/>
        <v>1.883698555</v>
      </c>
      <c r="AM317" s="73">
        <f t="shared" si="235"/>
        <v>1.575918082</v>
      </c>
      <c r="AN317" s="75">
        <v>114.25</v>
      </c>
      <c r="AO317" s="76">
        <v>115.0</v>
      </c>
      <c r="AP317" s="73">
        <f t="shared" si="236"/>
        <v>115</v>
      </c>
      <c r="AQ317" s="29" t="str">
        <f t="shared" si="237"/>
        <v>#REF!</v>
      </c>
      <c r="AR317" s="77" t="str">
        <f t="shared" si="238"/>
        <v>#REF!</v>
      </c>
      <c r="AS317" s="73"/>
      <c r="AT317" s="39"/>
    </row>
    <row r="318" ht="15.75" customHeight="1">
      <c r="A318" s="16" t="s">
        <v>191</v>
      </c>
      <c r="B318" s="16" t="s">
        <v>185</v>
      </c>
      <c r="C318" s="16">
        <v>1975.0</v>
      </c>
      <c r="D318" s="16" t="b">
        <v>1</v>
      </c>
      <c r="E318" s="16">
        <v>1975.0</v>
      </c>
      <c r="F318" s="16" t="b">
        <v>1</v>
      </c>
      <c r="G318" s="16" t="b">
        <v>0</v>
      </c>
      <c r="H318" s="16" t="b">
        <v>1</v>
      </c>
      <c r="I318" s="16" t="b">
        <v>0</v>
      </c>
      <c r="J318" s="18">
        <v>580.0</v>
      </c>
      <c r="K318" s="18">
        <v>3.0</v>
      </c>
      <c r="L318" s="16">
        <v>1355.0</v>
      </c>
      <c r="M318" s="16">
        <v>-339.0</v>
      </c>
      <c r="N318" s="16">
        <v>1467.37</v>
      </c>
      <c r="O318" s="16">
        <v>1178.7783</v>
      </c>
      <c r="P318" s="18">
        <v>323.0</v>
      </c>
      <c r="Q318" s="16">
        <v>436.0</v>
      </c>
      <c r="R318" s="16">
        <v>8.58</v>
      </c>
      <c r="S318" s="16">
        <v>0.9995</v>
      </c>
      <c r="T318" s="16">
        <v>0.9995</v>
      </c>
      <c r="U318" s="19">
        <f t="shared" si="1"/>
        <v>1016</v>
      </c>
      <c r="V318" s="19">
        <f t="shared" si="2"/>
        <v>81.9165814</v>
      </c>
      <c r="W318" s="20">
        <f t="shared" si="3"/>
        <v>1.437375464</v>
      </c>
      <c r="X318" s="17">
        <f t="shared" ref="X318:X319" si="240">0.9*(0.00015*N318*Q318*R318+797)+0.1*(43.1*POWER(N318,0.549))</f>
        <v>1694.347006</v>
      </c>
      <c r="Y318" s="21">
        <f t="shared" si="4"/>
        <v>4</v>
      </c>
      <c r="Z318" s="21">
        <f t="shared" si="5"/>
        <v>8471.73503</v>
      </c>
      <c r="AA318" s="21">
        <f t="shared" si="6"/>
        <v>7.18687732</v>
      </c>
      <c r="AB318" s="22">
        <f t="shared" si="7"/>
        <v>1.667664376</v>
      </c>
      <c r="AC318" s="8">
        <f t="shared" si="225"/>
        <v>1726.540023</v>
      </c>
      <c r="AD318" s="13">
        <f t="shared" si="226"/>
        <v>1.699350416</v>
      </c>
      <c r="AE318" s="8">
        <f t="shared" si="227"/>
        <v>738.5423607</v>
      </c>
      <c r="AF318" s="73">
        <f t="shared" si="228"/>
        <v>152.2332234</v>
      </c>
      <c r="AG318" s="74" t="str">
        <f t="shared" si="229"/>
        <v>#REF!</v>
      </c>
      <c r="AH318" s="73">
        <f t="shared" si="230"/>
        <v>0</v>
      </c>
      <c r="AI318" s="73">
        <f t="shared" si="231"/>
        <v>0.2958876574</v>
      </c>
      <c r="AJ318" s="75">
        <f t="shared" si="232"/>
        <v>1.064340162</v>
      </c>
      <c r="AK318" s="73">
        <f t="shared" si="233"/>
        <v>1.011907737</v>
      </c>
      <c r="AL318" s="73">
        <f t="shared" si="234"/>
        <v>5.368527035</v>
      </c>
      <c r="AM318" s="73">
        <f t="shared" si="235"/>
        <v>1.516697193</v>
      </c>
      <c r="AN318" s="75">
        <v>3124.53</v>
      </c>
      <c r="AO318" s="76">
        <v>3100.0</v>
      </c>
      <c r="AP318" s="73">
        <f t="shared" si="236"/>
        <v>3100</v>
      </c>
      <c r="AQ318" s="29" t="str">
        <f t="shared" si="237"/>
        <v>#REF!</v>
      </c>
      <c r="AR318" s="77" t="str">
        <f t="shared" si="238"/>
        <v>#REF!</v>
      </c>
      <c r="AS318" s="73"/>
      <c r="AT318" s="39"/>
    </row>
    <row r="319" ht="15.75" customHeight="1">
      <c r="A319" s="7" t="s">
        <v>228</v>
      </c>
      <c r="B319" s="7" t="s">
        <v>229</v>
      </c>
      <c r="C319" s="7">
        <v>1975.0</v>
      </c>
      <c r="D319" s="7" t="b">
        <v>1</v>
      </c>
      <c r="E319" s="7">
        <v>1975.0</v>
      </c>
      <c r="F319" s="7" t="b">
        <v>1</v>
      </c>
      <c r="G319" s="7" t="b">
        <v>0</v>
      </c>
      <c r="H319" s="7" t="b">
        <v>1</v>
      </c>
      <c r="I319" s="7" t="b">
        <v>0</v>
      </c>
      <c r="J319" s="9">
        <v>800.0</v>
      </c>
      <c r="K319" s="9">
        <v>5.0</v>
      </c>
      <c r="L319" s="7">
        <v>650.0</v>
      </c>
      <c r="M319" s="7">
        <v>0.0</v>
      </c>
      <c r="N319" s="7">
        <v>282.0</v>
      </c>
      <c r="O319" s="7">
        <v>69.6</v>
      </c>
      <c r="P319" s="9">
        <v>121.0</v>
      </c>
      <c r="Q319" s="7">
        <v>447.5</v>
      </c>
      <c r="R319" s="7">
        <v>5.59</v>
      </c>
      <c r="S319" s="7">
        <v>0.98125</v>
      </c>
      <c r="T319" s="7">
        <v>0.97</v>
      </c>
      <c r="U319" s="10">
        <f t="shared" si="1"/>
        <v>650</v>
      </c>
      <c r="V319" s="10">
        <f t="shared" si="2"/>
        <v>25.16746391</v>
      </c>
      <c r="W319" s="11">
        <f t="shared" si="3"/>
        <v>13.04538026</v>
      </c>
      <c r="X319" s="8">
        <f t="shared" si="240"/>
        <v>907.9584659</v>
      </c>
      <c r="Y319" s="12">
        <f t="shared" si="4"/>
        <v>4</v>
      </c>
      <c r="Z319" s="12">
        <f t="shared" si="5"/>
        <v>4539.792329</v>
      </c>
      <c r="AA319" s="12">
        <f t="shared" si="6"/>
        <v>65.22690128</v>
      </c>
      <c r="AB319" s="13">
        <f t="shared" si="7"/>
        <v>1.396859178</v>
      </c>
      <c r="AC319" s="8">
        <f t="shared" si="225"/>
        <v>882.3653866</v>
      </c>
      <c r="AD319" s="13">
        <f t="shared" si="226"/>
        <v>1.35748521</v>
      </c>
      <c r="AE319" s="8">
        <f t="shared" si="227"/>
        <v>253.3070146</v>
      </c>
      <c r="AF319" s="73">
        <f t="shared" si="228"/>
        <v>16.81627654</v>
      </c>
      <c r="AG319" s="74" t="str">
        <f t="shared" si="229"/>
        <v>#REF!</v>
      </c>
      <c r="AH319" s="73">
        <f t="shared" si="230"/>
        <v>0</v>
      </c>
      <c r="AI319" s="73">
        <f t="shared" si="231"/>
        <v>0.4128305045</v>
      </c>
      <c r="AJ319" s="75">
        <f t="shared" si="232"/>
        <v>1</v>
      </c>
      <c r="AK319" s="73">
        <f t="shared" si="233"/>
        <v>0.5608861728</v>
      </c>
      <c r="AL319" s="73">
        <f t="shared" si="234"/>
        <v>6.280907929</v>
      </c>
      <c r="AM319" s="73">
        <f t="shared" si="235"/>
        <v>1.603590751</v>
      </c>
      <c r="AN319" s="75">
        <v>208.79</v>
      </c>
      <c r="AO319" s="76">
        <v>210.0</v>
      </c>
      <c r="AP319" s="73">
        <f t="shared" si="236"/>
        <v>210</v>
      </c>
      <c r="AQ319" s="29" t="str">
        <f t="shared" si="237"/>
        <v>#REF!</v>
      </c>
      <c r="AR319" s="77" t="str">
        <f t="shared" si="238"/>
        <v>#REF!</v>
      </c>
      <c r="AS319" s="73"/>
      <c r="AT319" s="39"/>
    </row>
    <row r="320" ht="15.75" customHeight="1">
      <c r="A320" s="7" t="s">
        <v>394</v>
      </c>
      <c r="B320" s="7" t="s">
        <v>393</v>
      </c>
      <c r="C320" s="7">
        <v>1975.0</v>
      </c>
      <c r="D320" s="7"/>
      <c r="E320" s="7">
        <v>1975.0</v>
      </c>
      <c r="F320" s="7" t="b">
        <v>1</v>
      </c>
      <c r="G320" s="7" t="b">
        <v>0</v>
      </c>
      <c r="H320" s="7" t="b">
        <v>0</v>
      </c>
      <c r="I320" s="7" t="b">
        <v>0</v>
      </c>
      <c r="J320" s="9">
        <v>365.0</v>
      </c>
      <c r="K320" s="7">
        <v>1.0</v>
      </c>
      <c r="L320" s="7">
        <v>670.0</v>
      </c>
      <c r="M320" s="7">
        <v>100.0</v>
      </c>
      <c r="N320" s="7">
        <v>1240.0</v>
      </c>
      <c r="O320" s="7">
        <v>1765.7</v>
      </c>
      <c r="P320" s="9">
        <v>297.23</v>
      </c>
      <c r="Q320" s="7">
        <v>331.0</v>
      </c>
      <c r="R320" s="7">
        <v>14.83</v>
      </c>
      <c r="S320" s="7">
        <v>0.980556</v>
      </c>
      <c r="T320" s="7">
        <v>0.980556</v>
      </c>
      <c r="U320" s="10">
        <f t="shared" si="1"/>
        <v>770</v>
      </c>
      <c r="V320" s="10">
        <f t="shared" si="2"/>
        <v>145.2026542</v>
      </c>
      <c r="W320" s="11">
        <f t="shared" si="3"/>
        <v>0.3402303036</v>
      </c>
      <c r="X320" s="8">
        <f t="shared" ref="X320:X325" si="241">0.2*(8.17*POWER(N320*R320,0.46))+0.8*(0.146*POWER(N320*Q320,0.639))</f>
        <v>600.744647</v>
      </c>
      <c r="Y320" s="12">
        <f t="shared" si="4"/>
        <v>4</v>
      </c>
      <c r="Z320" s="12">
        <f t="shared" si="5"/>
        <v>3003.723235</v>
      </c>
      <c r="AA320" s="12">
        <f t="shared" si="6"/>
        <v>1.701151518</v>
      </c>
      <c r="AB320" s="13">
        <f t="shared" si="7"/>
        <v>0.7801878533</v>
      </c>
      <c r="AC320" s="8">
        <f t="shared" si="225"/>
        <v>589.6249052</v>
      </c>
      <c r="AD320" s="13">
        <f t="shared" si="226"/>
        <v>0.7657466301</v>
      </c>
      <c r="AE320" s="8">
        <f t="shared" si="227"/>
        <v>589.6249052</v>
      </c>
      <c r="AF320" s="73">
        <f t="shared" si="228"/>
        <v>217.4632296</v>
      </c>
      <c r="AG320" s="74" t="str">
        <f t="shared" si="229"/>
        <v>#REF!</v>
      </c>
      <c r="AH320" s="73">
        <f t="shared" si="230"/>
        <v>0</v>
      </c>
      <c r="AI320" s="73">
        <f t="shared" si="231"/>
        <v>0</v>
      </c>
      <c r="AJ320" s="75">
        <f t="shared" si="232"/>
        <v>1.325055343</v>
      </c>
      <c r="AK320" s="73">
        <f t="shared" si="233"/>
        <v>1.347231672</v>
      </c>
      <c r="AL320" s="73">
        <f t="shared" si="234"/>
        <v>1.391543035</v>
      </c>
      <c r="AM320" s="73">
        <f t="shared" si="235"/>
        <v>1.378073729</v>
      </c>
      <c r="AN320" s="75">
        <v>860.96</v>
      </c>
      <c r="AO320" s="76">
        <v>860.0</v>
      </c>
      <c r="AP320" s="73">
        <f t="shared" si="236"/>
        <v>860</v>
      </c>
      <c r="AQ320" s="29" t="str">
        <f t="shared" si="237"/>
        <v>#REF!</v>
      </c>
      <c r="AR320" s="77" t="str">
        <f t="shared" si="238"/>
        <v>#REF!</v>
      </c>
      <c r="AS320" s="73"/>
      <c r="AT320" s="39"/>
    </row>
    <row r="321" ht="15.75" customHeight="1">
      <c r="A321" s="16" t="s">
        <v>400</v>
      </c>
      <c r="B321" s="16" t="s">
        <v>399</v>
      </c>
      <c r="C321" s="16">
        <v>1975.0</v>
      </c>
      <c r="D321" s="16"/>
      <c r="E321" s="16">
        <v>1975.0</v>
      </c>
      <c r="F321" s="16" t="b">
        <v>1</v>
      </c>
      <c r="G321" s="16" t="b">
        <v>0</v>
      </c>
      <c r="H321" s="16" t="b">
        <v>1</v>
      </c>
      <c r="I321" s="16" t="b">
        <v>0</v>
      </c>
      <c r="J321" s="18">
        <v>346.0</v>
      </c>
      <c r="K321" s="18">
        <v>3.0</v>
      </c>
      <c r="L321" s="16">
        <v>780.0</v>
      </c>
      <c r="M321" s="16">
        <v>100.0</v>
      </c>
      <c r="N321" s="16">
        <v>1396.0</v>
      </c>
      <c r="O321" s="16">
        <v>1757.4</v>
      </c>
      <c r="P321" s="18">
        <v>251.0</v>
      </c>
      <c r="Q321" s="16">
        <v>346.0</v>
      </c>
      <c r="R321" s="16">
        <v>14.57</v>
      </c>
      <c r="S321" s="16">
        <v>0.996</v>
      </c>
      <c r="T321" s="16">
        <v>0.996</v>
      </c>
      <c r="U321" s="19">
        <f t="shared" si="1"/>
        <v>880</v>
      </c>
      <c r="V321" s="19">
        <f t="shared" si="2"/>
        <v>128.3702914</v>
      </c>
      <c r="W321" s="20">
        <f t="shared" si="3"/>
        <v>0.3740251349</v>
      </c>
      <c r="X321" s="17">
        <f t="shared" si="241"/>
        <v>657.3117721</v>
      </c>
      <c r="Y321" s="21">
        <f t="shared" si="4"/>
        <v>4</v>
      </c>
      <c r="Z321" s="21">
        <f t="shared" si="5"/>
        <v>3286.558861</v>
      </c>
      <c r="AA321" s="21">
        <f t="shared" si="6"/>
        <v>1.870125675</v>
      </c>
      <c r="AB321" s="22">
        <f t="shared" si="7"/>
        <v>0.7469451956</v>
      </c>
      <c r="AC321" s="8">
        <f t="shared" si="225"/>
        <v>665.2100304</v>
      </c>
      <c r="AD321" s="13">
        <f t="shared" si="226"/>
        <v>0.755920489</v>
      </c>
      <c r="AE321" s="8">
        <f t="shared" si="227"/>
        <v>665.2100304</v>
      </c>
      <c r="AF321" s="73">
        <f t="shared" si="228"/>
        <v>216.551527</v>
      </c>
      <c r="AG321" s="74" t="str">
        <f t="shared" si="229"/>
        <v>#REF!</v>
      </c>
      <c r="AH321" s="73">
        <f t="shared" si="230"/>
        <v>0</v>
      </c>
      <c r="AI321" s="73">
        <f t="shared" si="231"/>
        <v>0.2958876574</v>
      </c>
      <c r="AJ321" s="75">
        <f t="shared" si="232"/>
        <v>1.046866068</v>
      </c>
      <c r="AK321" s="73">
        <f t="shared" si="233"/>
        <v>1.266739374</v>
      </c>
      <c r="AL321" s="73">
        <f t="shared" si="234"/>
        <v>1.665336179</v>
      </c>
      <c r="AM321" s="73">
        <f t="shared" si="235"/>
        <v>1.360971314</v>
      </c>
      <c r="AN321" s="75">
        <v>1143.24</v>
      </c>
      <c r="AO321" s="76">
        <v>1150.0</v>
      </c>
      <c r="AP321" s="73">
        <f t="shared" si="236"/>
        <v>1150</v>
      </c>
      <c r="AQ321" s="29" t="str">
        <f t="shared" si="237"/>
        <v>#REF!</v>
      </c>
      <c r="AR321" s="77" t="str">
        <f t="shared" si="238"/>
        <v>#REF!</v>
      </c>
      <c r="AS321" s="73"/>
      <c r="AT321" s="39"/>
    </row>
    <row r="322" ht="15.75" customHeight="1">
      <c r="A322" s="7" t="s">
        <v>497</v>
      </c>
      <c r="B322" s="7" t="s">
        <v>498</v>
      </c>
      <c r="C322" s="7">
        <v>1975.0</v>
      </c>
      <c r="D322" s="7"/>
      <c r="E322" s="7">
        <v>1975.0</v>
      </c>
      <c r="F322" s="7" t="b">
        <v>1</v>
      </c>
      <c r="G322" s="7" t="b">
        <v>0</v>
      </c>
      <c r="H322" s="7" t="b">
        <v>1</v>
      </c>
      <c r="I322" s="7" t="b">
        <v>0</v>
      </c>
      <c r="J322" s="9">
        <v>153.0</v>
      </c>
      <c r="K322" s="7">
        <v>1.0</v>
      </c>
      <c r="L322" s="7"/>
      <c r="M322" s="7">
        <v>0.0</v>
      </c>
      <c r="N322" s="7">
        <v>770.0</v>
      </c>
      <c r="O322" s="7">
        <v>760.0</v>
      </c>
      <c r="P322" s="9">
        <v>234.0</v>
      </c>
      <c r="Q322" s="7">
        <v>340.0</v>
      </c>
      <c r="R322" s="7">
        <v>16.32</v>
      </c>
      <c r="S322" s="7">
        <v>0.997651</v>
      </c>
      <c r="T322" s="7">
        <v>0.997635</v>
      </c>
      <c r="U322" s="10">
        <f t="shared" si="1"/>
        <v>0</v>
      </c>
      <c r="V322" s="10">
        <f t="shared" si="2"/>
        <v>100.6473142</v>
      </c>
      <c r="W322" s="11">
        <f t="shared" si="3"/>
        <v>0.6105855474</v>
      </c>
      <c r="X322" s="8">
        <f t="shared" si="241"/>
        <v>464.045016</v>
      </c>
      <c r="Y322" s="12">
        <f t="shared" si="4"/>
        <v>4</v>
      </c>
      <c r="Z322" s="12">
        <f t="shared" si="5"/>
        <v>2320.22508</v>
      </c>
      <c r="AA322" s="12">
        <f t="shared" si="6"/>
        <v>3.052927737</v>
      </c>
      <c r="AB322" s="13" t="str">
        <f t="shared" si="7"/>
        <v>#N/A</v>
      </c>
      <c r="AC322" s="8">
        <f t="shared" si="225"/>
        <v>471.1409861</v>
      </c>
      <c r="AD322" s="13" t="str">
        <f t="shared" si="226"/>
        <v>#N/A</v>
      </c>
      <c r="AE322" s="8">
        <f t="shared" si="227"/>
        <v>471.1409861</v>
      </c>
      <c r="AF322" s="73">
        <f t="shared" si="228"/>
        <v>104.3151859</v>
      </c>
      <c r="AG322" s="74" t="str">
        <f t="shared" si="229"/>
        <v>#REF!</v>
      </c>
      <c r="AH322" s="73">
        <f t="shared" si="230"/>
        <v>0</v>
      </c>
      <c r="AI322" s="73">
        <f t="shared" si="231"/>
        <v>0</v>
      </c>
      <c r="AJ322" s="75">
        <f t="shared" si="232"/>
        <v>1.01328454</v>
      </c>
      <c r="AK322" s="73">
        <f t="shared" si="233"/>
        <v>1.121646748</v>
      </c>
      <c r="AL322" s="73">
        <f t="shared" si="234"/>
        <v>1.548592413</v>
      </c>
      <c r="AM322" s="73">
        <f t="shared" si="235"/>
        <v>1.068131891</v>
      </c>
      <c r="AN322" s="75">
        <v>340.21</v>
      </c>
      <c r="AO322" s="76">
        <v>340.0</v>
      </c>
      <c r="AP322" s="73">
        <f t="shared" si="236"/>
        <v>340</v>
      </c>
      <c r="AQ322" s="29" t="str">
        <f t="shared" si="237"/>
        <v>#REF!</v>
      </c>
      <c r="AR322" s="77" t="str">
        <f t="shared" si="238"/>
        <v>#REF!</v>
      </c>
      <c r="AS322" s="73"/>
      <c r="AT322" s="39"/>
    </row>
    <row r="323" ht="15.75" customHeight="1">
      <c r="A323" s="7" t="s">
        <v>500</v>
      </c>
      <c r="B323" s="7" t="s">
        <v>501</v>
      </c>
      <c r="C323" s="7">
        <v>1975.0</v>
      </c>
      <c r="D323" s="7"/>
      <c r="E323" s="7">
        <v>1975.0</v>
      </c>
      <c r="F323" s="7" t="b">
        <v>1</v>
      </c>
      <c r="G323" s="7" t="b">
        <v>0</v>
      </c>
      <c r="H323" s="7" t="b">
        <v>1</v>
      </c>
      <c r="I323" s="7" t="b">
        <v>0</v>
      </c>
      <c r="J323" s="9">
        <v>153.0</v>
      </c>
      <c r="K323" s="7">
        <v>1.0</v>
      </c>
      <c r="L323" s="7">
        <v>340.0</v>
      </c>
      <c r="M323" s="7">
        <v>0.0</v>
      </c>
      <c r="N323" s="7">
        <v>680.0</v>
      </c>
      <c r="O323" s="7">
        <v>729.02</v>
      </c>
      <c r="P323" s="9">
        <v>235.0</v>
      </c>
      <c r="Q323" s="7">
        <v>341.4</v>
      </c>
      <c r="R323" s="7">
        <v>16.32</v>
      </c>
      <c r="S323" s="7">
        <v>0.998822</v>
      </c>
      <c r="T323" s="7">
        <v>0.998818</v>
      </c>
      <c r="U323" s="10">
        <f t="shared" si="1"/>
        <v>340</v>
      </c>
      <c r="V323" s="10">
        <f t="shared" si="2"/>
        <v>109.3225752</v>
      </c>
      <c r="W323" s="11">
        <f t="shared" si="3"/>
        <v>0.5926378268</v>
      </c>
      <c r="X323" s="8">
        <f t="shared" si="241"/>
        <v>432.0448285</v>
      </c>
      <c r="Y323" s="12">
        <f t="shared" si="4"/>
        <v>4</v>
      </c>
      <c r="Z323" s="12">
        <f t="shared" si="5"/>
        <v>2160.224143</v>
      </c>
      <c r="AA323" s="12">
        <f t="shared" si="6"/>
        <v>2.963189134</v>
      </c>
      <c r="AB323" s="13">
        <f t="shared" si="7"/>
        <v>1.270720084</v>
      </c>
      <c r="AC323" s="8">
        <f t="shared" si="225"/>
        <v>439.6667009</v>
      </c>
      <c r="AD323" s="13">
        <f t="shared" si="226"/>
        <v>1.293137356</v>
      </c>
      <c r="AE323" s="8">
        <f t="shared" si="227"/>
        <v>439.6667009</v>
      </c>
      <c r="AF323" s="73">
        <f t="shared" si="228"/>
        <v>100.6992034</v>
      </c>
      <c r="AG323" s="74" t="str">
        <f t="shared" si="229"/>
        <v>#REF!</v>
      </c>
      <c r="AH323" s="73">
        <f t="shared" si="230"/>
        <v>0</v>
      </c>
      <c r="AI323" s="73">
        <f t="shared" si="231"/>
        <v>0</v>
      </c>
      <c r="AJ323" s="75">
        <f t="shared" si="232"/>
        <v>1.013360003</v>
      </c>
      <c r="AK323" s="73">
        <f t="shared" si="233"/>
        <v>1.168987677</v>
      </c>
      <c r="AL323" s="73">
        <f t="shared" si="234"/>
        <v>1.574934046</v>
      </c>
      <c r="AM323" s="73">
        <f t="shared" si="235"/>
        <v>1.068131891</v>
      </c>
      <c r="AN323" s="75">
        <v>361.6</v>
      </c>
      <c r="AO323" s="76">
        <v>360.0</v>
      </c>
      <c r="AP323" s="73">
        <f t="shared" si="236"/>
        <v>360</v>
      </c>
      <c r="AQ323" s="29" t="str">
        <f t="shared" si="237"/>
        <v>#REF!</v>
      </c>
      <c r="AR323" s="77" t="str">
        <f t="shared" si="238"/>
        <v>#REF!</v>
      </c>
      <c r="AS323" s="73"/>
      <c r="AT323" s="39"/>
    </row>
    <row r="324" ht="15.75" customHeight="1">
      <c r="A324" s="7" t="s">
        <v>503</v>
      </c>
      <c r="B324" s="7" t="s">
        <v>504</v>
      </c>
      <c r="C324" s="7">
        <v>1975.0</v>
      </c>
      <c r="D324" s="7"/>
      <c r="E324" s="7">
        <v>1975.0</v>
      </c>
      <c r="F324" s="7" t="b">
        <v>1</v>
      </c>
      <c r="G324" s="7" t="b">
        <v>0</v>
      </c>
      <c r="H324" s="7" t="b">
        <v>1</v>
      </c>
      <c r="I324" s="7" t="b">
        <v>0</v>
      </c>
      <c r="J324" s="9">
        <v>175.0</v>
      </c>
      <c r="K324" s="7">
        <v>1.0</v>
      </c>
      <c r="L324" s="7">
        <v>10.0</v>
      </c>
      <c r="M324" s="7">
        <v>0.0</v>
      </c>
      <c r="N324" s="7">
        <v>90.0</v>
      </c>
      <c r="O324" s="7">
        <v>30.98</v>
      </c>
      <c r="P324" s="9">
        <v>215.0</v>
      </c>
      <c r="Q324" s="7">
        <v>307.0</v>
      </c>
      <c r="R324" s="7">
        <v>5.3</v>
      </c>
      <c r="S324" s="7">
        <v>0.998822</v>
      </c>
      <c r="T324" s="7">
        <v>0.998818</v>
      </c>
      <c r="U324" s="10">
        <f t="shared" si="1"/>
        <v>10</v>
      </c>
      <c r="V324" s="10">
        <f t="shared" si="2"/>
        <v>35.10089798</v>
      </c>
      <c r="W324" s="11">
        <f t="shared" si="3"/>
        <v>3.49668914</v>
      </c>
      <c r="X324" s="8">
        <f t="shared" si="241"/>
        <v>108.3274296</v>
      </c>
      <c r="Y324" s="12">
        <f t="shared" si="4"/>
        <v>4</v>
      </c>
      <c r="Z324" s="12">
        <f t="shared" si="5"/>
        <v>541.6371478</v>
      </c>
      <c r="AA324" s="12">
        <f t="shared" si="6"/>
        <v>17.4834457</v>
      </c>
      <c r="AB324" s="13">
        <f t="shared" si="7"/>
        <v>10.83274296</v>
      </c>
      <c r="AC324" s="8">
        <f t="shared" si="225"/>
        <v>110.2384763</v>
      </c>
      <c r="AD324" s="13">
        <f t="shared" si="226"/>
        <v>11.02384763</v>
      </c>
      <c r="AE324" s="8">
        <f t="shared" si="227"/>
        <v>110.2384763</v>
      </c>
      <c r="AF324" s="73">
        <f t="shared" si="228"/>
        <v>10.06439442</v>
      </c>
      <c r="AG324" s="74" t="str">
        <f t="shared" si="229"/>
        <v>#REF!</v>
      </c>
      <c r="AH324" s="73">
        <f t="shared" si="230"/>
        <v>0</v>
      </c>
      <c r="AI324" s="73">
        <f t="shared" si="231"/>
        <v>0</v>
      </c>
      <c r="AJ324" s="75">
        <f t="shared" si="232"/>
        <v>1.022674172</v>
      </c>
      <c r="AK324" s="73">
        <f t="shared" si="233"/>
        <v>0.662390538</v>
      </c>
      <c r="AL324" s="73">
        <f t="shared" si="234"/>
        <v>1.066405396</v>
      </c>
      <c r="AM324" s="73">
        <f t="shared" si="235"/>
        <v>1.120717041</v>
      </c>
      <c r="AN324" s="75">
        <v>19.86</v>
      </c>
      <c r="AO324" s="76">
        <v>20.0</v>
      </c>
      <c r="AP324" s="73">
        <f t="shared" si="236"/>
        <v>20</v>
      </c>
      <c r="AQ324" s="29" t="str">
        <f t="shared" si="237"/>
        <v>#REF!</v>
      </c>
      <c r="AR324" s="77" t="str">
        <f t="shared" si="238"/>
        <v>#REF!</v>
      </c>
      <c r="AS324" s="73"/>
      <c r="AT324" s="39"/>
    </row>
    <row r="325" ht="15.75" customHeight="1">
      <c r="A325" s="16" t="s">
        <v>613</v>
      </c>
      <c r="B325" s="16" t="s">
        <v>614</v>
      </c>
      <c r="C325" s="16">
        <v>1975.0</v>
      </c>
      <c r="D325" s="16"/>
      <c r="E325" s="16">
        <v>1975.0</v>
      </c>
      <c r="F325" s="16" t="b">
        <v>1</v>
      </c>
      <c r="G325" s="16" t="b">
        <v>0</v>
      </c>
      <c r="H325" s="16" t="b">
        <v>0</v>
      </c>
      <c r="I325" s="16" t="b">
        <v>0</v>
      </c>
      <c r="J325" s="18">
        <v>130.0</v>
      </c>
      <c r="K325" s="16">
        <v>1.0</v>
      </c>
      <c r="L325" s="16">
        <v>445.0</v>
      </c>
      <c r="M325" s="16">
        <v>0.0</v>
      </c>
      <c r="N325" s="16">
        <v>870.0</v>
      </c>
      <c r="O325" s="16">
        <v>1130.7</v>
      </c>
      <c r="P325" s="18">
        <v>293.3</v>
      </c>
      <c r="Q325" s="16">
        <v>318.4</v>
      </c>
      <c r="R325" s="16">
        <v>20.59</v>
      </c>
      <c r="S325" s="16">
        <v>0.998792</v>
      </c>
      <c r="T325" s="16">
        <v>0.998463</v>
      </c>
      <c r="U325" s="19">
        <f t="shared" si="1"/>
        <v>445</v>
      </c>
      <c r="V325" s="19">
        <f t="shared" si="2"/>
        <v>132.5279447</v>
      </c>
      <c r="W325" s="20">
        <f t="shared" si="3"/>
        <v>0.4410743898</v>
      </c>
      <c r="X325" s="17">
        <f t="shared" si="241"/>
        <v>498.7228126</v>
      </c>
      <c r="Y325" s="21">
        <f t="shared" si="4"/>
        <v>4</v>
      </c>
      <c r="Z325" s="21">
        <f t="shared" si="5"/>
        <v>2493.614063</v>
      </c>
      <c r="AA325" s="21">
        <f t="shared" si="6"/>
        <v>2.205371949</v>
      </c>
      <c r="AB325" s="22">
        <f t="shared" si="7"/>
        <v>1.120725421</v>
      </c>
      <c r="AC325" s="8">
        <f t="shared" si="225"/>
        <v>507.3292007</v>
      </c>
      <c r="AD325" s="13">
        <f t="shared" si="226"/>
        <v>1.140065619</v>
      </c>
      <c r="AE325" s="8">
        <f t="shared" si="227"/>
        <v>507.3292007</v>
      </c>
      <c r="AF325" s="73">
        <f t="shared" si="228"/>
        <v>146.8056516</v>
      </c>
      <c r="AG325" s="74" t="str">
        <f t="shared" si="229"/>
        <v>#REF!</v>
      </c>
      <c r="AH325" s="73">
        <f t="shared" si="230"/>
        <v>0</v>
      </c>
      <c r="AI325" s="73">
        <f t="shared" si="231"/>
        <v>0</v>
      </c>
      <c r="AJ325" s="75">
        <f t="shared" si="232"/>
        <v>1.373713536</v>
      </c>
      <c r="AK325" s="73">
        <f t="shared" si="233"/>
        <v>1.287089472</v>
      </c>
      <c r="AL325" s="73">
        <f t="shared" si="234"/>
        <v>1.204600938</v>
      </c>
      <c r="AM325" s="73">
        <f t="shared" si="235"/>
        <v>1.001856123</v>
      </c>
      <c r="AN325" s="75">
        <v>534.48</v>
      </c>
      <c r="AO325" s="76">
        <v>530.0</v>
      </c>
      <c r="AP325" s="73">
        <f t="shared" si="236"/>
        <v>530</v>
      </c>
      <c r="AQ325" s="29" t="str">
        <f t="shared" si="237"/>
        <v>#REF!</v>
      </c>
      <c r="AR325" s="77" t="str">
        <f t="shared" si="238"/>
        <v>#REF!</v>
      </c>
      <c r="AS325" s="73"/>
      <c r="AT325" s="39"/>
    </row>
    <row r="326" ht="15.75" customHeight="1">
      <c r="A326" s="7" t="s">
        <v>665</v>
      </c>
      <c r="B326" s="7" t="s">
        <v>660</v>
      </c>
      <c r="C326" s="7">
        <v>1975.0</v>
      </c>
      <c r="D326" s="7" t="b">
        <v>1</v>
      </c>
      <c r="E326" s="7">
        <v>1975.0</v>
      </c>
      <c r="F326" s="7" t="b">
        <v>1</v>
      </c>
      <c r="G326" s="7" t="b">
        <v>0</v>
      </c>
      <c r="H326" s="7" t="b">
        <v>1</v>
      </c>
      <c r="I326" s="7" t="b">
        <v>0</v>
      </c>
      <c r="J326" s="9">
        <v>550.0</v>
      </c>
      <c r="K326" s="9">
        <v>20.0</v>
      </c>
      <c r="L326" s="7">
        <v>500.0</v>
      </c>
      <c r="M326" s="7">
        <v>262.0</v>
      </c>
      <c r="N326" s="7">
        <v>141.0</v>
      </c>
      <c r="O326" s="7">
        <v>73.4</v>
      </c>
      <c r="P326" s="9">
        <v>217.0</v>
      </c>
      <c r="Q326" s="7">
        <v>444.4</v>
      </c>
      <c r="R326" s="7">
        <v>3.28</v>
      </c>
      <c r="S326" s="7">
        <v>0.99486</v>
      </c>
      <c r="T326" s="7">
        <v>0.99717</v>
      </c>
      <c r="U326" s="10">
        <f t="shared" si="1"/>
        <v>762</v>
      </c>
      <c r="V326" s="10">
        <f t="shared" si="2"/>
        <v>53.08309916</v>
      </c>
      <c r="W326" s="11">
        <f t="shared" si="3"/>
        <v>11.03908302</v>
      </c>
      <c r="X326" s="8">
        <f>0.9*(0.00015*N326*Q326*R326+797)+0.1*(43.1*POWER(N326,0.549))</f>
        <v>810.2686936</v>
      </c>
      <c r="Y326" s="12">
        <f t="shared" si="4"/>
        <v>4</v>
      </c>
      <c r="Z326" s="12">
        <f t="shared" si="5"/>
        <v>4051.343468</v>
      </c>
      <c r="AA326" s="12">
        <f t="shared" si="6"/>
        <v>55.19541509</v>
      </c>
      <c r="AB326" s="13">
        <f t="shared" si="7"/>
        <v>1.063344742</v>
      </c>
      <c r="AC326" s="8">
        <f t="shared" si="225"/>
        <v>820.0280123</v>
      </c>
      <c r="AD326" s="13">
        <f t="shared" si="226"/>
        <v>1.076152247</v>
      </c>
      <c r="AE326" s="8">
        <f t="shared" si="227"/>
        <v>165.2016283</v>
      </c>
      <c r="AF326" s="73">
        <f t="shared" si="228"/>
        <v>17.4256725</v>
      </c>
      <c r="AG326" s="74" t="str">
        <f t="shared" si="229"/>
        <v>#REF!</v>
      </c>
      <c r="AH326" s="73">
        <f t="shared" si="230"/>
        <v>0</v>
      </c>
      <c r="AI326" s="73">
        <f t="shared" si="231"/>
        <v>0.6760795925</v>
      </c>
      <c r="AJ326" s="75">
        <f t="shared" si="232"/>
        <v>1</v>
      </c>
      <c r="AK326" s="73">
        <f t="shared" si="233"/>
        <v>0.8145788725</v>
      </c>
      <c r="AL326" s="73">
        <f t="shared" si="234"/>
        <v>6.019948023</v>
      </c>
      <c r="AM326" s="73">
        <f t="shared" si="235"/>
        <v>1.50163459</v>
      </c>
      <c r="AN326" s="75">
        <v>340.79</v>
      </c>
      <c r="AO326" s="76">
        <v>340.0</v>
      </c>
      <c r="AP326" s="73">
        <f t="shared" si="236"/>
        <v>340</v>
      </c>
      <c r="AQ326" s="29" t="str">
        <f t="shared" si="237"/>
        <v>#REF!</v>
      </c>
      <c r="AR326" s="77" t="str">
        <f t="shared" si="238"/>
        <v>#REF!</v>
      </c>
      <c r="AS326" s="73"/>
      <c r="AT326" s="39"/>
    </row>
    <row r="327" ht="15.75" customHeight="1">
      <c r="A327" s="16" t="s">
        <v>64</v>
      </c>
      <c r="B327" s="16" t="s">
        <v>54</v>
      </c>
      <c r="C327" s="16">
        <v>1976.0</v>
      </c>
      <c r="D327" s="16"/>
      <c r="E327" s="16">
        <v>1976.0</v>
      </c>
      <c r="F327" s="16" t="b">
        <v>1</v>
      </c>
      <c r="G327" s="16" t="b">
        <v>0</v>
      </c>
      <c r="H327" s="16" t="b">
        <v>1</v>
      </c>
      <c r="I327" s="16" t="b">
        <v>0</v>
      </c>
      <c r="J327" s="18">
        <v>1200.0</v>
      </c>
      <c r="K327" s="18">
        <v>15.0</v>
      </c>
      <c r="L327" s="16">
        <v>150.0</v>
      </c>
      <c r="M327" s="16">
        <v>150.0</v>
      </c>
      <c r="N327" s="16">
        <v>84.3</v>
      </c>
      <c r="O327" s="16">
        <v>53.4</v>
      </c>
      <c r="P327" s="18">
        <v>37.0</v>
      </c>
      <c r="Q327" s="16">
        <v>336.0</v>
      </c>
      <c r="R327" s="16">
        <v>5.17</v>
      </c>
      <c r="S327" s="16">
        <v>0.9977</v>
      </c>
      <c r="T327" s="16">
        <v>0.9978</v>
      </c>
      <c r="U327" s="19">
        <f t="shared" si="1"/>
        <v>300</v>
      </c>
      <c r="V327" s="19">
        <f t="shared" si="2"/>
        <v>64.59412291</v>
      </c>
      <c r="W327" s="20">
        <f t="shared" si="3"/>
        <v>2.031463285</v>
      </c>
      <c r="X327" s="17">
        <f t="shared" ref="X327:X331" si="242">0.2*(8.17*POWER(N327*R327,0.46))+0.8*(0.146*POWER(N327*Q327,0.639))</f>
        <v>108.4801394</v>
      </c>
      <c r="Y327" s="21">
        <f t="shared" si="4"/>
        <v>4</v>
      </c>
      <c r="Z327" s="21">
        <f t="shared" si="5"/>
        <v>542.4006972</v>
      </c>
      <c r="AA327" s="21">
        <f t="shared" si="6"/>
        <v>10.15731643</v>
      </c>
      <c r="AB327" s="22">
        <f t="shared" si="7"/>
        <v>0.3616004648</v>
      </c>
      <c r="AC327" s="8">
        <f t="shared" si="225"/>
        <v>110.1621305</v>
      </c>
      <c r="AD327" s="13">
        <f t="shared" si="226"/>
        <v>0.3672071017</v>
      </c>
      <c r="AE327" s="8">
        <f t="shared" si="227"/>
        <v>110.1621305</v>
      </c>
      <c r="AF327" s="73">
        <f t="shared" si="228"/>
        <v>14.13199326</v>
      </c>
      <c r="AG327" s="74" t="str">
        <f t="shared" si="229"/>
        <v>#REF!</v>
      </c>
      <c r="AH327" s="73">
        <f t="shared" si="230"/>
        <v>0</v>
      </c>
      <c r="AI327" s="73">
        <f t="shared" si="231"/>
        <v>0.6272838613</v>
      </c>
      <c r="AJ327" s="75">
        <f t="shared" si="232"/>
        <v>1</v>
      </c>
      <c r="AK327" s="73">
        <f t="shared" si="233"/>
        <v>0.8985691606</v>
      </c>
      <c r="AL327" s="73">
        <f t="shared" si="234"/>
        <v>1.476222433</v>
      </c>
      <c r="AM327" s="73">
        <f t="shared" si="235"/>
        <v>1.70328585</v>
      </c>
      <c r="AN327" s="75">
        <v>80.03</v>
      </c>
      <c r="AO327" s="76">
        <v>80.0</v>
      </c>
      <c r="AP327" s="73">
        <f t="shared" si="236"/>
        <v>80</v>
      </c>
      <c r="AQ327" s="29" t="str">
        <f t="shared" si="237"/>
        <v>#REF!</v>
      </c>
      <c r="AR327" s="77" t="str">
        <f t="shared" si="238"/>
        <v>#REF!</v>
      </c>
      <c r="AS327" s="73"/>
      <c r="AT327" s="39"/>
    </row>
    <row r="328" ht="15.75" customHeight="1">
      <c r="A328" s="16" t="s">
        <v>134</v>
      </c>
      <c r="B328" s="16" t="s">
        <v>130</v>
      </c>
      <c r="C328" s="16">
        <v>1976.0</v>
      </c>
      <c r="D328" s="16" t="b">
        <v>0</v>
      </c>
      <c r="E328" s="16">
        <v>1976.0</v>
      </c>
      <c r="F328" s="16" t="b">
        <v>1</v>
      </c>
      <c r="G328" s="16" t="b">
        <v>0</v>
      </c>
      <c r="H328" s="16" t="b">
        <v>0</v>
      </c>
      <c r="I328" s="16" t="b">
        <v>0</v>
      </c>
      <c r="J328" s="18">
        <v>165.0</v>
      </c>
      <c r="K328" s="16">
        <v>1.0</v>
      </c>
      <c r="L328" s="16"/>
      <c r="M328" s="16"/>
      <c r="N328" s="16">
        <v>1814.4</v>
      </c>
      <c r="O328" s="16">
        <v>2828.57</v>
      </c>
      <c r="P328" s="18">
        <v>264.04</v>
      </c>
      <c r="Q328" s="16">
        <v>292.0</v>
      </c>
      <c r="R328" s="16">
        <v>6.45</v>
      </c>
      <c r="S328" s="16">
        <v>0.996341</v>
      </c>
      <c r="T328" s="16">
        <v>0.996341</v>
      </c>
      <c r="U328" s="19">
        <f t="shared" si="1"/>
        <v>0</v>
      </c>
      <c r="V328" s="19">
        <f t="shared" si="2"/>
        <v>158.9692835</v>
      </c>
      <c r="W328" s="20">
        <f t="shared" si="3"/>
        <v>0.2307161153</v>
      </c>
      <c r="X328" s="17">
        <f t="shared" si="242"/>
        <v>652.5966823</v>
      </c>
      <c r="Y328" s="21">
        <f t="shared" si="4"/>
        <v>4</v>
      </c>
      <c r="Z328" s="21">
        <f t="shared" si="5"/>
        <v>3262.983411</v>
      </c>
      <c r="AA328" s="21">
        <f t="shared" si="6"/>
        <v>1.153580577</v>
      </c>
      <c r="AB328" s="22" t="str">
        <f t="shared" si="7"/>
        <v>#N/A</v>
      </c>
      <c r="AC328" s="8">
        <f t="shared" si="225"/>
        <v>660.8816506</v>
      </c>
      <c r="AD328" s="13" t="str">
        <f t="shared" si="226"/>
        <v>#N/A</v>
      </c>
      <c r="AE328" s="8">
        <f t="shared" si="227"/>
        <v>660.8816506</v>
      </c>
      <c r="AF328" s="73">
        <f t="shared" si="228"/>
        <v>332.5293678</v>
      </c>
      <c r="AG328" s="74" t="str">
        <f t="shared" si="229"/>
        <v>#REF!</v>
      </c>
      <c r="AH328" s="73">
        <f t="shared" si="230"/>
        <v>0</v>
      </c>
      <c r="AI328" s="73">
        <f t="shared" si="231"/>
        <v>0</v>
      </c>
      <c r="AJ328" s="75">
        <f t="shared" si="232"/>
        <v>1.337987591</v>
      </c>
      <c r="AK328" s="73">
        <f t="shared" si="233"/>
        <v>1.409651036</v>
      </c>
      <c r="AL328" s="73">
        <f t="shared" si="234"/>
        <v>0.9465674621</v>
      </c>
      <c r="AM328" s="73">
        <f t="shared" si="235"/>
        <v>1.097912191</v>
      </c>
      <c r="AN328" s="75">
        <v>945.01</v>
      </c>
      <c r="AO328" s="76">
        <v>950.0</v>
      </c>
      <c r="AP328" s="73">
        <f t="shared" si="236"/>
        <v>950</v>
      </c>
      <c r="AQ328" s="29" t="str">
        <f t="shared" si="237"/>
        <v>#REF!</v>
      </c>
      <c r="AR328" s="77" t="str">
        <f t="shared" si="238"/>
        <v>#REF!</v>
      </c>
      <c r="AS328" s="73"/>
      <c r="AT328" s="39"/>
    </row>
    <row r="329" ht="15.75" customHeight="1">
      <c r="A329" s="7" t="s">
        <v>135</v>
      </c>
      <c r="B329" s="7" t="s">
        <v>130</v>
      </c>
      <c r="C329" s="7">
        <v>1976.0</v>
      </c>
      <c r="D329" s="7"/>
      <c r="E329" s="7">
        <v>1976.0</v>
      </c>
      <c r="F329" s="7" t="b">
        <v>1</v>
      </c>
      <c r="G329" s="7" t="b">
        <v>0</v>
      </c>
      <c r="H329" s="7" t="b">
        <v>0</v>
      </c>
      <c r="I329" s="7" t="b">
        <v>0</v>
      </c>
      <c r="J329" s="7"/>
      <c r="K329" s="7">
        <v>1.0</v>
      </c>
      <c r="L329" s="7">
        <v>600.0</v>
      </c>
      <c r="M329" s="7">
        <v>50.0</v>
      </c>
      <c r="N329" s="7">
        <v>1800.0</v>
      </c>
      <c r="O329" s="7">
        <v>2662.6</v>
      </c>
      <c r="P329" s="9">
        <v>256.0</v>
      </c>
      <c r="Q329" s="7">
        <v>301.0</v>
      </c>
      <c r="R329" s="7">
        <v>5.45</v>
      </c>
      <c r="S329" s="7">
        <v>0.998</v>
      </c>
      <c r="T329" s="7">
        <v>0.998</v>
      </c>
      <c r="U329" s="10">
        <f t="shared" si="1"/>
        <v>650</v>
      </c>
      <c r="V329" s="10">
        <f t="shared" si="2"/>
        <v>150.8386878</v>
      </c>
      <c r="W329" s="11">
        <f t="shared" si="3"/>
        <v>0.2444135812</v>
      </c>
      <c r="X329" s="8">
        <f t="shared" si="242"/>
        <v>650.7756013</v>
      </c>
      <c r="Y329" s="12">
        <f t="shared" si="4"/>
        <v>4</v>
      </c>
      <c r="Z329" s="12">
        <f t="shared" si="5"/>
        <v>3253.878007</v>
      </c>
      <c r="AA329" s="12">
        <f t="shared" si="6"/>
        <v>1.222067906</v>
      </c>
      <c r="AB329" s="13">
        <f t="shared" si="7"/>
        <v>1.001193233</v>
      </c>
      <c r="AC329" s="8">
        <f t="shared" si="225"/>
        <v>661.1906141</v>
      </c>
      <c r="AD329" s="13">
        <f t="shared" si="226"/>
        <v>1.017216329</v>
      </c>
      <c r="AE329" s="8">
        <f t="shared" si="227"/>
        <v>661.1906141</v>
      </c>
      <c r="AF329" s="73">
        <f t="shared" si="228"/>
        <v>314.7432987</v>
      </c>
      <c r="AG329" s="74" t="str">
        <f t="shared" si="229"/>
        <v>#REF!</v>
      </c>
      <c r="AH329" s="73">
        <f t="shared" si="230"/>
        <v>0</v>
      </c>
      <c r="AI329" s="73">
        <f t="shared" si="231"/>
        <v>0</v>
      </c>
      <c r="AJ329" s="75">
        <f t="shared" si="232"/>
        <v>1.232806349</v>
      </c>
      <c r="AK329" s="73">
        <f t="shared" si="233"/>
        <v>1.373129126</v>
      </c>
      <c r="AL329" s="73">
        <f t="shared" si="234"/>
        <v>1.007589311</v>
      </c>
      <c r="AM329" s="73">
        <f t="shared" si="235"/>
        <v>1</v>
      </c>
      <c r="AN329" s="75">
        <v>836.27</v>
      </c>
      <c r="AO329" s="76">
        <v>840.0</v>
      </c>
      <c r="AP329" s="73">
        <f t="shared" si="236"/>
        <v>840</v>
      </c>
      <c r="AQ329" s="29" t="str">
        <f t="shared" si="237"/>
        <v>#REF!</v>
      </c>
      <c r="AR329" s="77" t="str">
        <f t="shared" si="238"/>
        <v>#REF!</v>
      </c>
      <c r="AS329" s="73"/>
      <c r="AT329" s="39"/>
    </row>
    <row r="330" ht="15.75" customHeight="1">
      <c r="A330" s="16" t="s">
        <v>136</v>
      </c>
      <c r="B330" s="16" t="s">
        <v>130</v>
      </c>
      <c r="C330" s="16">
        <v>1976.0</v>
      </c>
      <c r="D330" s="16"/>
      <c r="E330" s="16">
        <v>1976.0</v>
      </c>
      <c r="F330" s="16" t="b">
        <v>1</v>
      </c>
      <c r="G330" s="16" t="b">
        <v>0</v>
      </c>
      <c r="H330" s="16" t="b">
        <v>0</v>
      </c>
      <c r="I330" s="16" t="b">
        <v>0</v>
      </c>
      <c r="J330" s="18">
        <v>240.0</v>
      </c>
      <c r="K330" s="16">
        <v>1.0</v>
      </c>
      <c r="L330" s="16">
        <v>600.0</v>
      </c>
      <c r="M330" s="16">
        <v>20.0</v>
      </c>
      <c r="N330" s="16">
        <v>1835.0</v>
      </c>
      <c r="O330" s="16">
        <v>2250.0</v>
      </c>
      <c r="P330" s="18">
        <v>269.0</v>
      </c>
      <c r="Q330" s="16">
        <v>310.0</v>
      </c>
      <c r="R330" s="16">
        <v>6.0</v>
      </c>
      <c r="S330" s="16">
        <v>0.998944</v>
      </c>
      <c r="T330" s="16">
        <v>0.998944</v>
      </c>
      <c r="U330" s="19">
        <f t="shared" si="1"/>
        <v>620</v>
      </c>
      <c r="V330" s="19">
        <f t="shared" si="2"/>
        <v>125.0333228</v>
      </c>
      <c r="W330" s="20">
        <f t="shared" si="3"/>
        <v>0.2995199554</v>
      </c>
      <c r="X330" s="17">
        <f t="shared" si="242"/>
        <v>673.9198996</v>
      </c>
      <c r="Y330" s="21">
        <f t="shared" si="4"/>
        <v>4</v>
      </c>
      <c r="Z330" s="21">
        <f t="shared" si="5"/>
        <v>3369.599498</v>
      </c>
      <c r="AA330" s="21">
        <f t="shared" si="6"/>
        <v>1.497599777</v>
      </c>
      <c r="AB330" s="22">
        <f t="shared" si="7"/>
        <v>1.08696758</v>
      </c>
      <c r="AC330" s="8">
        <f t="shared" si="225"/>
        <v>685.9757303</v>
      </c>
      <c r="AD330" s="13">
        <f t="shared" si="226"/>
        <v>1.106412468</v>
      </c>
      <c r="AE330" s="8">
        <f t="shared" si="227"/>
        <v>685.9757303</v>
      </c>
      <c r="AF330" s="73">
        <f t="shared" si="228"/>
        <v>270.2641181</v>
      </c>
      <c r="AG330" s="74" t="str">
        <f t="shared" si="229"/>
        <v>#REF!</v>
      </c>
      <c r="AH330" s="73">
        <f t="shared" si="230"/>
        <v>0</v>
      </c>
      <c r="AI330" s="73">
        <f t="shared" si="231"/>
        <v>0</v>
      </c>
      <c r="AJ330" s="75">
        <f t="shared" si="232"/>
        <v>1.265121099</v>
      </c>
      <c r="AK330" s="73">
        <f t="shared" si="233"/>
        <v>1.250166603</v>
      </c>
      <c r="AL330" s="73">
        <f t="shared" si="234"/>
        <v>1.099860153</v>
      </c>
      <c r="AM330" s="73">
        <f t="shared" si="235"/>
        <v>1.237344028</v>
      </c>
      <c r="AN330" s="75">
        <v>993.49</v>
      </c>
      <c r="AO330" s="76">
        <v>990.0</v>
      </c>
      <c r="AP330" s="73">
        <f t="shared" si="236"/>
        <v>990</v>
      </c>
      <c r="AQ330" s="29" t="str">
        <f t="shared" si="237"/>
        <v>#REF!</v>
      </c>
      <c r="AR330" s="77" t="str">
        <f t="shared" si="238"/>
        <v>#REF!</v>
      </c>
      <c r="AS330" s="73"/>
      <c r="AT330" s="39"/>
    </row>
    <row r="331" ht="15.75" customHeight="1">
      <c r="A331" s="16" t="s">
        <v>1031</v>
      </c>
      <c r="B331" s="16" t="s">
        <v>158</v>
      </c>
      <c r="C331" s="16">
        <v>1976.0</v>
      </c>
      <c r="D331" s="16"/>
      <c r="E331" s="16">
        <v>1976.0</v>
      </c>
      <c r="F331" s="16" t="b">
        <v>1</v>
      </c>
      <c r="G331" s="16" t="b">
        <v>0</v>
      </c>
      <c r="H331" s="16" t="b">
        <v>0</v>
      </c>
      <c r="I331" s="16" t="b">
        <v>0</v>
      </c>
      <c r="J331" s="18">
        <v>155.0</v>
      </c>
      <c r="K331" s="16">
        <v>1.0</v>
      </c>
      <c r="L331" s="16">
        <v>250.0</v>
      </c>
      <c r="M331" s="16">
        <v>25.0</v>
      </c>
      <c r="N331" s="16">
        <v>911.0</v>
      </c>
      <c r="O331" s="16">
        <v>1224.46</v>
      </c>
      <c r="P331" s="18">
        <v>267.93</v>
      </c>
      <c r="Q331" s="16">
        <v>295.0</v>
      </c>
      <c r="R331" s="16">
        <v>5.78</v>
      </c>
      <c r="S331" s="16">
        <v>0.996341</v>
      </c>
      <c r="T331" s="16">
        <v>0.996341</v>
      </c>
      <c r="U331" s="19">
        <f t="shared" si="1"/>
        <v>275</v>
      </c>
      <c r="V331" s="19">
        <f t="shared" si="2"/>
        <v>137.0583656</v>
      </c>
      <c r="W331" s="20">
        <f t="shared" si="3"/>
        <v>0.3498250502</v>
      </c>
      <c r="X331" s="17">
        <f t="shared" si="242"/>
        <v>428.346781</v>
      </c>
      <c r="Y331" s="21">
        <f t="shared" si="4"/>
        <v>4</v>
      </c>
      <c r="Z331" s="21">
        <f t="shared" si="5"/>
        <v>2141.733905</v>
      </c>
      <c r="AA331" s="21">
        <f t="shared" si="6"/>
        <v>1.749125251</v>
      </c>
      <c r="AB331" s="22">
        <f t="shared" si="7"/>
        <v>1.557624658</v>
      </c>
      <c r="AC331" s="8">
        <f t="shared" si="225"/>
        <v>433.7848097</v>
      </c>
      <c r="AD331" s="13">
        <f t="shared" si="226"/>
        <v>1.577399308</v>
      </c>
      <c r="AE331" s="8">
        <f t="shared" si="227"/>
        <v>433.7848097</v>
      </c>
      <c r="AF331" s="73">
        <f t="shared" si="228"/>
        <v>157.3760188</v>
      </c>
      <c r="AG331" s="74" t="str">
        <f t="shared" si="229"/>
        <v>#REF!</v>
      </c>
      <c r="AH331" s="73">
        <f t="shared" si="230"/>
        <v>0</v>
      </c>
      <c r="AI331" s="73">
        <f t="shared" si="231"/>
        <v>0</v>
      </c>
      <c r="AJ331" s="75">
        <f t="shared" si="232"/>
        <v>1.346304838</v>
      </c>
      <c r="AK331" s="73">
        <f t="shared" si="233"/>
        <v>1.308903957</v>
      </c>
      <c r="AL331" s="73">
        <f t="shared" si="234"/>
        <v>0.9662616258</v>
      </c>
      <c r="AM331" s="73">
        <f t="shared" si="235"/>
        <v>1.073295783</v>
      </c>
      <c r="AN331" s="75">
        <v>430.31</v>
      </c>
      <c r="AO331" s="76">
        <v>430.0</v>
      </c>
      <c r="AP331" s="73">
        <f t="shared" si="236"/>
        <v>430</v>
      </c>
      <c r="AQ331" s="29" t="str">
        <f t="shared" si="237"/>
        <v>#REF!</v>
      </c>
      <c r="AR331" s="77" t="str">
        <f t="shared" si="238"/>
        <v>#REF!</v>
      </c>
      <c r="AS331" s="73"/>
      <c r="AT331" s="39"/>
    </row>
    <row r="332" ht="15.75" customHeight="1">
      <c r="A332" s="16" t="s">
        <v>169</v>
      </c>
      <c r="B332" s="16" t="s">
        <v>168</v>
      </c>
      <c r="C332" s="16">
        <v>1976.0</v>
      </c>
      <c r="D332" s="16" t="b">
        <v>1</v>
      </c>
      <c r="E332" s="16">
        <v>1976.0</v>
      </c>
      <c r="F332" s="16" t="b">
        <v>1</v>
      </c>
      <c r="G332" s="16" t="b">
        <v>0</v>
      </c>
      <c r="H332" s="16" t="b">
        <v>1</v>
      </c>
      <c r="I332" s="16" t="b">
        <v>0</v>
      </c>
      <c r="J332" s="18">
        <v>500.0</v>
      </c>
      <c r="K332" s="18">
        <v>2.0</v>
      </c>
      <c r="L332" s="16">
        <v>4200.0</v>
      </c>
      <c r="M332" s="16">
        <v>0.0</v>
      </c>
      <c r="N332" s="16">
        <v>1780.0</v>
      </c>
      <c r="O332" s="16">
        <v>1400.7</v>
      </c>
      <c r="P332" s="18">
        <v>270.0</v>
      </c>
      <c r="Q332" s="16">
        <v>451.0</v>
      </c>
      <c r="R332" s="16">
        <v>11.5</v>
      </c>
      <c r="S332" s="16">
        <v>0.97</v>
      </c>
      <c r="T332" s="16">
        <v>0.96</v>
      </c>
      <c r="U332" s="19">
        <f t="shared" si="1"/>
        <v>4200</v>
      </c>
      <c r="V332" s="19">
        <f t="shared" si="2"/>
        <v>80.24249974</v>
      </c>
      <c r="W332" s="20">
        <f t="shared" si="3"/>
        <v>1.589214205</v>
      </c>
      <c r="X332" s="17">
        <f t="shared" ref="X332:X337" si="243">0.9*(0.00015*N332*Q332*R332+797)+0.1*(43.1*POWER(N332,0.549))</f>
        <v>2226.012337</v>
      </c>
      <c r="Y332" s="21">
        <f t="shared" si="4"/>
        <v>4</v>
      </c>
      <c r="Z332" s="21">
        <f t="shared" si="5"/>
        <v>11130.06169</v>
      </c>
      <c r="AA332" s="21">
        <f t="shared" si="6"/>
        <v>7.946071026</v>
      </c>
      <c r="AB332" s="22">
        <f t="shared" si="7"/>
        <v>0.5300029375</v>
      </c>
      <c r="AC332" s="8">
        <f t="shared" si="225"/>
        <v>2117.382935</v>
      </c>
      <c r="AD332" s="13">
        <f t="shared" si="226"/>
        <v>0.5041387941</v>
      </c>
      <c r="AE332" s="8">
        <f t="shared" si="227"/>
        <v>808.2963353</v>
      </c>
      <c r="AF332" s="73">
        <f t="shared" si="228"/>
        <v>177.0998487</v>
      </c>
      <c r="AG332" s="74" t="str">
        <f t="shared" si="229"/>
        <v>#REF!</v>
      </c>
      <c r="AH332" s="73">
        <f t="shared" si="230"/>
        <v>0</v>
      </c>
      <c r="AI332" s="73">
        <f t="shared" si="231"/>
        <v>0.1941741551</v>
      </c>
      <c r="AJ332" s="75">
        <f t="shared" si="232"/>
        <v>1</v>
      </c>
      <c r="AK332" s="73">
        <f t="shared" si="233"/>
        <v>1.001514477</v>
      </c>
      <c r="AL332" s="73">
        <f t="shared" si="234"/>
        <v>6.589867833</v>
      </c>
      <c r="AM332" s="73">
        <f t="shared" si="235"/>
        <v>1.474076339</v>
      </c>
      <c r="AN332" s="75">
        <v>2009.47</v>
      </c>
      <c r="AO332" s="76">
        <v>2000.0</v>
      </c>
      <c r="AP332" s="73">
        <f t="shared" si="236"/>
        <v>2000</v>
      </c>
      <c r="AQ332" s="29" t="str">
        <f t="shared" si="237"/>
        <v>#REF!</v>
      </c>
      <c r="AR332" s="77" t="str">
        <f t="shared" si="238"/>
        <v>#REF!</v>
      </c>
      <c r="AS332" s="73"/>
      <c r="AT332" s="39"/>
    </row>
    <row r="333" ht="15.75" customHeight="1">
      <c r="A333" s="7" t="s">
        <v>167</v>
      </c>
      <c r="B333" s="7" t="s">
        <v>168</v>
      </c>
      <c r="C333" s="7">
        <v>1976.0</v>
      </c>
      <c r="D333" s="7" t="b">
        <v>1</v>
      </c>
      <c r="E333" s="7">
        <v>1976.0</v>
      </c>
      <c r="F333" s="7" t="b">
        <v>1</v>
      </c>
      <c r="G333" s="7" t="b">
        <v>0</v>
      </c>
      <c r="H333" s="7" t="b">
        <v>0</v>
      </c>
      <c r="I333" s="7" t="b">
        <v>0</v>
      </c>
      <c r="J333" s="9">
        <v>500.0</v>
      </c>
      <c r="K333" s="7">
        <v>1.0</v>
      </c>
      <c r="L333" s="7">
        <v>4200.0</v>
      </c>
      <c r="M333" s="7">
        <v>-200.0</v>
      </c>
      <c r="N333" s="7">
        <f>1780*0.973574409</f>
        <v>1732.962448</v>
      </c>
      <c r="O333" s="7">
        <v>1382.07</v>
      </c>
      <c r="P333" s="9">
        <v>340.0</v>
      </c>
      <c r="Q333" s="7">
        <v>445.0</v>
      </c>
      <c r="R333" s="7">
        <v>11.5</v>
      </c>
      <c r="S333" s="7">
        <v>0.97</v>
      </c>
      <c r="T333" s="7">
        <v>0.96</v>
      </c>
      <c r="U333" s="10">
        <f t="shared" si="1"/>
        <v>4000</v>
      </c>
      <c r="V333" s="10">
        <f t="shared" si="2"/>
        <v>81.32427705</v>
      </c>
      <c r="W333" s="11">
        <f t="shared" si="3"/>
        <v>1.572355541</v>
      </c>
      <c r="X333" s="8">
        <f t="shared" si="243"/>
        <v>2173.105423</v>
      </c>
      <c r="Y333" s="12">
        <f t="shared" si="4"/>
        <v>4</v>
      </c>
      <c r="Z333" s="12">
        <f t="shared" si="5"/>
        <v>10865.52711</v>
      </c>
      <c r="AA333" s="12">
        <f t="shared" si="6"/>
        <v>7.861777706</v>
      </c>
      <c r="AB333" s="13">
        <f t="shared" si="7"/>
        <v>0.5432763557</v>
      </c>
      <c r="AC333" s="8">
        <f t="shared" si="225"/>
        <v>2067.057878</v>
      </c>
      <c r="AD333" s="13">
        <f t="shared" si="226"/>
        <v>0.5167644695</v>
      </c>
      <c r="AE333" s="8">
        <f t="shared" si="227"/>
        <v>789.7690033</v>
      </c>
      <c r="AF333" s="73">
        <f t="shared" si="228"/>
        <v>175.0230297</v>
      </c>
      <c r="AG333" s="74" t="str">
        <f t="shared" si="229"/>
        <v>#REF!</v>
      </c>
      <c r="AH333" s="73">
        <f t="shared" si="230"/>
        <v>0</v>
      </c>
      <c r="AI333" s="73">
        <f t="shared" si="231"/>
        <v>0</v>
      </c>
      <c r="AJ333" s="75">
        <f t="shared" si="232"/>
        <v>1.093970059</v>
      </c>
      <c r="AK333" s="73">
        <f t="shared" si="233"/>
        <v>1.00824276</v>
      </c>
      <c r="AL333" s="73">
        <f t="shared" si="234"/>
        <v>6.069553116</v>
      </c>
      <c r="AM333" s="73">
        <f t="shared" si="235"/>
        <v>1.474076339</v>
      </c>
      <c r="AN333" s="75">
        <v>1830.16</v>
      </c>
      <c r="AO333" s="76">
        <v>1800.0</v>
      </c>
      <c r="AP333" s="73">
        <f t="shared" si="236"/>
        <v>1800</v>
      </c>
      <c r="AQ333" s="29" t="str">
        <f t="shared" si="237"/>
        <v>#REF!</v>
      </c>
      <c r="AR333" s="77" t="str">
        <f t="shared" si="238"/>
        <v>#REF!</v>
      </c>
      <c r="AS333" s="73"/>
      <c r="AT333" s="39"/>
    </row>
    <row r="334" ht="15.75" customHeight="1">
      <c r="A334" s="16" t="s">
        <v>179</v>
      </c>
      <c r="B334" s="16" t="s">
        <v>177</v>
      </c>
      <c r="C334" s="16">
        <v>1976.0</v>
      </c>
      <c r="D334" s="16" t="b">
        <v>1</v>
      </c>
      <c r="E334" s="16">
        <v>1976.0</v>
      </c>
      <c r="F334" s="16" t="b">
        <v>1</v>
      </c>
      <c r="G334" s="16" t="b">
        <v>0</v>
      </c>
      <c r="H334" s="16" t="b">
        <v>1</v>
      </c>
      <c r="I334" s="16" t="b">
        <v>0</v>
      </c>
      <c r="J334" s="18">
        <v>780.0</v>
      </c>
      <c r="K334" s="16">
        <v>1.0</v>
      </c>
      <c r="L334" s="16">
        <v>500.0</v>
      </c>
      <c r="M334" s="16">
        <v>11.0</v>
      </c>
      <c r="N334" s="16">
        <v>165.0</v>
      </c>
      <c r="O334" s="16">
        <v>64.6</v>
      </c>
      <c r="P334" s="18">
        <v>196.0</v>
      </c>
      <c r="Q334" s="16">
        <v>446.0</v>
      </c>
      <c r="R334" s="16">
        <v>3.7</v>
      </c>
      <c r="S334" s="16">
        <v>0.997973</v>
      </c>
      <c r="T334" s="16">
        <v>0.99527</v>
      </c>
      <c r="U334" s="19">
        <f t="shared" si="1"/>
        <v>511</v>
      </c>
      <c r="V334" s="19">
        <f t="shared" si="2"/>
        <v>39.92343465</v>
      </c>
      <c r="W334" s="20">
        <f t="shared" si="3"/>
        <v>12.77336293</v>
      </c>
      <c r="X334" s="17">
        <f t="shared" si="243"/>
        <v>825.1592454</v>
      </c>
      <c r="Y334" s="21">
        <f t="shared" si="4"/>
        <v>4</v>
      </c>
      <c r="Z334" s="21">
        <f t="shared" si="5"/>
        <v>4125.796227</v>
      </c>
      <c r="AA334" s="21">
        <f t="shared" si="6"/>
        <v>63.86681466</v>
      </c>
      <c r="AB334" s="22">
        <f t="shared" si="7"/>
        <v>1.614793044</v>
      </c>
      <c r="AC334" s="8">
        <f t="shared" si="225"/>
        <v>836.0947407</v>
      </c>
      <c r="AD334" s="13">
        <f t="shared" si="226"/>
        <v>1.63619323</v>
      </c>
      <c r="AE334" s="8">
        <f t="shared" si="227"/>
        <v>184.0763887</v>
      </c>
      <c r="AF334" s="73">
        <f t="shared" si="228"/>
        <v>16.00377392</v>
      </c>
      <c r="AG334" s="74" t="str">
        <f t="shared" si="229"/>
        <v>#REF!</v>
      </c>
      <c r="AH334" s="73">
        <f t="shared" si="230"/>
        <v>0</v>
      </c>
      <c r="AI334" s="73">
        <f t="shared" si="231"/>
        <v>0</v>
      </c>
      <c r="AJ334" s="75">
        <f t="shared" si="232"/>
        <v>1</v>
      </c>
      <c r="AK334" s="73">
        <f t="shared" si="233"/>
        <v>0.7064297085</v>
      </c>
      <c r="AL334" s="73">
        <f t="shared" si="234"/>
        <v>6.153184675</v>
      </c>
      <c r="AM334" s="73">
        <f t="shared" si="235"/>
        <v>1.597010122</v>
      </c>
      <c r="AN334" s="75">
        <v>229.63</v>
      </c>
      <c r="AO334" s="76">
        <v>230.0</v>
      </c>
      <c r="AP334" s="73">
        <f t="shared" si="236"/>
        <v>230</v>
      </c>
      <c r="AQ334" s="29" t="str">
        <f t="shared" si="237"/>
        <v>#REF!</v>
      </c>
      <c r="AR334" s="77" t="str">
        <f t="shared" si="238"/>
        <v>#REF!</v>
      </c>
      <c r="AS334" s="73"/>
      <c r="AT334" s="39"/>
    </row>
    <row r="335" ht="15.75" customHeight="1">
      <c r="A335" s="16" t="s">
        <v>275</v>
      </c>
      <c r="B335" s="16" t="s">
        <v>274</v>
      </c>
      <c r="C335" s="16">
        <v>1976.0</v>
      </c>
      <c r="D335" s="16" t="b">
        <v>1</v>
      </c>
      <c r="E335" s="16">
        <v>1976.0</v>
      </c>
      <c r="F335" s="16" t="b">
        <v>1</v>
      </c>
      <c r="G335" s="16" t="b">
        <v>0</v>
      </c>
      <c r="H335" s="16" t="b">
        <v>0</v>
      </c>
      <c r="I335" s="16" t="b">
        <v>0</v>
      </c>
      <c r="J335" s="18">
        <v>500.0</v>
      </c>
      <c r="K335" s="16">
        <v>1.0</v>
      </c>
      <c r="L335" s="16">
        <v>4300.0</v>
      </c>
      <c r="M335" s="16">
        <v>0.0</v>
      </c>
      <c r="N335" s="16">
        <v>1260.9</v>
      </c>
      <c r="O335" s="16">
        <v>1112.0</v>
      </c>
      <c r="P335" s="18">
        <v>390.0</v>
      </c>
      <c r="Q335" s="16">
        <v>463.0</v>
      </c>
      <c r="R335" s="16">
        <v>20.68</v>
      </c>
      <c r="S335" s="16">
        <v>0.988281</v>
      </c>
      <c r="T335" s="16">
        <v>0.997656</v>
      </c>
      <c r="U335" s="19">
        <f t="shared" si="1"/>
        <v>4300</v>
      </c>
      <c r="V335" s="19">
        <f t="shared" si="2"/>
        <v>89.92976648</v>
      </c>
      <c r="W335" s="20">
        <f t="shared" si="3"/>
        <v>2.306015452</v>
      </c>
      <c r="X335" s="17">
        <f t="shared" si="243"/>
        <v>2564.289182</v>
      </c>
      <c r="Y335" s="21">
        <f t="shared" si="4"/>
        <v>4</v>
      </c>
      <c r="Z335" s="21">
        <f t="shared" si="5"/>
        <v>12821.44591</v>
      </c>
      <c r="AA335" s="21">
        <f t="shared" si="6"/>
        <v>11.53007726</v>
      </c>
      <c r="AB335" s="22">
        <f t="shared" si="7"/>
        <v>0.5963463215</v>
      </c>
      <c r="AC335" s="8">
        <f t="shared" si="225"/>
        <v>2579.583806</v>
      </c>
      <c r="AD335" s="13">
        <f t="shared" si="226"/>
        <v>0.5999032108</v>
      </c>
      <c r="AE335" s="8">
        <f t="shared" si="227"/>
        <v>745.1427311</v>
      </c>
      <c r="AF335" s="73">
        <f t="shared" si="228"/>
        <v>144.6902599</v>
      </c>
      <c r="AG335" s="74" t="str">
        <f t="shared" si="229"/>
        <v>#REF!</v>
      </c>
      <c r="AH335" s="73">
        <f t="shared" si="230"/>
        <v>0</v>
      </c>
      <c r="AI335" s="73">
        <f t="shared" si="231"/>
        <v>0</v>
      </c>
      <c r="AJ335" s="75">
        <f t="shared" si="232"/>
        <v>1.217999033</v>
      </c>
      <c r="AK335" s="73">
        <f t="shared" si="233"/>
        <v>1.060246236</v>
      </c>
      <c r="AL335" s="73">
        <f t="shared" si="234"/>
        <v>8.254341601</v>
      </c>
      <c r="AM335" s="73">
        <f t="shared" si="235"/>
        <v>1.474076339</v>
      </c>
      <c r="AN335" s="75">
        <v>3440.93</v>
      </c>
      <c r="AO335" s="76">
        <v>3400.0</v>
      </c>
      <c r="AP335" s="73">
        <f t="shared" si="236"/>
        <v>3400</v>
      </c>
      <c r="AQ335" s="29" t="str">
        <f t="shared" si="237"/>
        <v>#REF!</v>
      </c>
      <c r="AR335" s="77" t="str">
        <f t="shared" si="238"/>
        <v>#REF!</v>
      </c>
      <c r="AS335" s="73"/>
      <c r="AT335" s="39"/>
    </row>
    <row r="336" ht="15.75" customHeight="1">
      <c r="A336" s="16" t="s">
        <v>357</v>
      </c>
      <c r="B336" s="16" t="s">
        <v>355</v>
      </c>
      <c r="C336" s="16">
        <v>1976.0</v>
      </c>
      <c r="D336" s="16" t="b">
        <v>1</v>
      </c>
      <c r="E336" s="16">
        <v>1976.0</v>
      </c>
      <c r="F336" s="16" t="b">
        <v>1</v>
      </c>
      <c r="G336" s="16" t="b">
        <v>0</v>
      </c>
      <c r="H336" s="16" t="b">
        <v>1</v>
      </c>
      <c r="I336" s="16" t="b">
        <v>0</v>
      </c>
      <c r="J336" s="18">
        <v>500.0</v>
      </c>
      <c r="K336" s="18">
        <v>2.0</v>
      </c>
      <c r="L336" s="16">
        <v>9200.0</v>
      </c>
      <c r="M336" s="16">
        <v>200.0</v>
      </c>
      <c r="N336" s="16">
        <v>9071.0</v>
      </c>
      <c r="O336" s="16">
        <v>6672.332</v>
      </c>
      <c r="P336" s="18">
        <v>308.0</v>
      </c>
      <c r="Q336" s="16">
        <v>430.0</v>
      </c>
      <c r="R336" s="16">
        <v>6.89</v>
      </c>
      <c r="S336" s="16">
        <v>0.9999</v>
      </c>
      <c r="T336" s="16">
        <v>0.9999</v>
      </c>
      <c r="U336" s="19">
        <f t="shared" si="1"/>
        <v>9400</v>
      </c>
      <c r="V336" s="19">
        <f t="shared" si="2"/>
        <v>75.00700142</v>
      </c>
      <c r="W336" s="20">
        <f t="shared" si="3"/>
        <v>0.7474039306</v>
      </c>
      <c r="X336" s="17">
        <f t="shared" si="243"/>
        <v>4986.927163</v>
      </c>
      <c r="Y336" s="21">
        <f t="shared" si="4"/>
        <v>4</v>
      </c>
      <c r="Z336" s="21">
        <f t="shared" si="5"/>
        <v>24934.63582</v>
      </c>
      <c r="AA336" s="21">
        <f t="shared" si="6"/>
        <v>3.737019653</v>
      </c>
      <c r="AB336" s="22">
        <f t="shared" si="7"/>
        <v>0.5305241663</v>
      </c>
      <c r="AC336" s="8">
        <f t="shared" si="225"/>
        <v>5085.668371</v>
      </c>
      <c r="AD336" s="13">
        <f t="shared" si="226"/>
        <v>0.5410285501</v>
      </c>
      <c r="AE336" s="8">
        <f t="shared" si="227"/>
        <v>2207.318634</v>
      </c>
      <c r="AF336" s="73">
        <f t="shared" si="228"/>
        <v>734.5298085</v>
      </c>
      <c r="AG336" s="74" t="str">
        <f t="shared" si="229"/>
        <v>#REF!</v>
      </c>
      <c r="AH336" s="73">
        <f t="shared" si="230"/>
        <v>0</v>
      </c>
      <c r="AI336" s="73">
        <f t="shared" si="231"/>
        <v>0.1941741551</v>
      </c>
      <c r="AJ336" s="75">
        <f t="shared" si="232"/>
        <v>1.037383366</v>
      </c>
      <c r="AK336" s="73">
        <f t="shared" si="233"/>
        <v>0.9682910295</v>
      </c>
      <c r="AL336" s="73">
        <f t="shared" si="234"/>
        <v>4.948970797</v>
      </c>
      <c r="AM336" s="73">
        <f t="shared" si="235"/>
        <v>1.474076339</v>
      </c>
      <c r="AN336" s="75">
        <v>12408.32</v>
      </c>
      <c r="AO336" s="76">
        <v>12500.0</v>
      </c>
      <c r="AP336" s="73">
        <f t="shared" si="236"/>
        <v>12500</v>
      </c>
      <c r="AQ336" s="29" t="str">
        <f t="shared" si="237"/>
        <v>#REF!</v>
      </c>
      <c r="AR336" s="77" t="str">
        <f t="shared" si="238"/>
        <v>#REF!</v>
      </c>
      <c r="AS336" s="73"/>
      <c r="AT336" s="39"/>
    </row>
    <row r="337" ht="15.75" customHeight="1">
      <c r="A337" s="7" t="s">
        <v>356</v>
      </c>
      <c r="B337" s="7" t="s">
        <v>355</v>
      </c>
      <c r="C337" s="7">
        <v>1976.0</v>
      </c>
      <c r="D337" s="7" t="b">
        <v>1</v>
      </c>
      <c r="E337" s="7">
        <v>1976.0</v>
      </c>
      <c r="F337" s="7" t="b">
        <v>1</v>
      </c>
      <c r="G337" s="7" t="b">
        <v>0</v>
      </c>
      <c r="H337" s="7" t="b">
        <v>0</v>
      </c>
      <c r="I337" s="7" t="b">
        <v>0</v>
      </c>
      <c r="J337" s="9">
        <v>500.0</v>
      </c>
      <c r="K337" s="9">
        <v>2.0</v>
      </c>
      <c r="L337" s="7">
        <v>9200.0</v>
      </c>
      <c r="M337" s="7">
        <v>500.0</v>
      </c>
      <c r="N337" s="7">
        <v>9071.0</v>
      </c>
      <c r="O337" s="7">
        <v>6948.122</v>
      </c>
      <c r="P337" s="9">
        <v>344.5</v>
      </c>
      <c r="Q337" s="7">
        <v>414.0</v>
      </c>
      <c r="R337" s="7">
        <v>6.89</v>
      </c>
      <c r="S337" s="7">
        <v>0.9999</v>
      </c>
      <c r="T337" s="7">
        <v>0.9999</v>
      </c>
      <c r="U337" s="10">
        <f t="shared" si="1"/>
        <v>9700</v>
      </c>
      <c r="V337" s="10">
        <f t="shared" si="2"/>
        <v>78.10729393</v>
      </c>
      <c r="W337" s="11">
        <f t="shared" si="3"/>
        <v>0.6983079619</v>
      </c>
      <c r="X337" s="8">
        <f t="shared" si="243"/>
        <v>4851.928913</v>
      </c>
      <c r="Y337" s="12">
        <f t="shared" si="4"/>
        <v>4</v>
      </c>
      <c r="Z337" s="12">
        <f t="shared" si="5"/>
        <v>24259.64456</v>
      </c>
      <c r="AA337" s="12">
        <f t="shared" si="6"/>
        <v>3.49153981</v>
      </c>
      <c r="AB337" s="13">
        <f t="shared" si="7"/>
        <v>0.500198857</v>
      </c>
      <c r="AC337" s="8">
        <f t="shared" si="225"/>
        <v>4947.997154</v>
      </c>
      <c r="AD337" s="13">
        <f t="shared" si="226"/>
        <v>0.5101027994</v>
      </c>
      <c r="AE337" s="8">
        <f t="shared" si="227"/>
        <v>2160.888992</v>
      </c>
      <c r="AF337" s="73">
        <f t="shared" si="228"/>
        <v>762.8954605</v>
      </c>
      <c r="AG337" s="74" t="str">
        <f t="shared" si="229"/>
        <v>#REF!</v>
      </c>
      <c r="AH337" s="73">
        <f t="shared" si="230"/>
        <v>0</v>
      </c>
      <c r="AI337" s="73">
        <f t="shared" si="231"/>
        <v>0.1941741551</v>
      </c>
      <c r="AJ337" s="75">
        <f t="shared" si="232"/>
        <v>1.199952228</v>
      </c>
      <c r="AK337" s="73">
        <f t="shared" si="233"/>
        <v>0.9880997794</v>
      </c>
      <c r="AL337" s="73">
        <f t="shared" si="234"/>
        <v>3.991072304</v>
      </c>
      <c r="AM337" s="73">
        <f t="shared" si="235"/>
        <v>1.474076339</v>
      </c>
      <c r="AN337" s="75">
        <v>12131.88</v>
      </c>
      <c r="AO337" s="76">
        <v>12000.0</v>
      </c>
      <c r="AP337" s="73">
        <f t="shared" si="236"/>
        <v>12000</v>
      </c>
      <c r="AQ337" s="29" t="str">
        <f t="shared" si="237"/>
        <v>#REF!</v>
      </c>
      <c r="AR337" s="77" t="str">
        <f t="shared" si="238"/>
        <v>#REF!</v>
      </c>
      <c r="AS337" s="73"/>
      <c r="AT337" s="39"/>
    </row>
    <row r="338" ht="15.75" customHeight="1">
      <c r="A338" s="7" t="s">
        <v>620</v>
      </c>
      <c r="B338" s="7" t="s">
        <v>618</v>
      </c>
      <c r="C338" s="7">
        <v>1976.0</v>
      </c>
      <c r="D338" s="7"/>
      <c r="E338" s="7">
        <v>1976.0</v>
      </c>
      <c r="F338" s="7" t="b">
        <v>1</v>
      </c>
      <c r="G338" s="7" t="b">
        <v>0</v>
      </c>
      <c r="H338" s="7" t="b">
        <v>0</v>
      </c>
      <c r="I338" s="7" t="b">
        <v>0</v>
      </c>
      <c r="J338" s="9">
        <v>148.0</v>
      </c>
      <c r="K338" s="7">
        <v>1.0</v>
      </c>
      <c r="L338" s="7">
        <v>4500.0</v>
      </c>
      <c r="M338" s="7">
        <v>-500.0</v>
      </c>
      <c r="N338" s="7">
        <v>4800.0</v>
      </c>
      <c r="O338" s="7">
        <v>6325.3</v>
      </c>
      <c r="P338" s="9">
        <v>310.0</v>
      </c>
      <c r="Q338" s="7">
        <v>333.0</v>
      </c>
      <c r="R338" s="7">
        <v>20.0</v>
      </c>
      <c r="S338" s="7">
        <v>0.997966</v>
      </c>
      <c r="T338" s="7">
        <v>0.997966</v>
      </c>
      <c r="U338" s="10">
        <f t="shared" si="1"/>
        <v>4000</v>
      </c>
      <c r="V338" s="10">
        <f t="shared" si="2"/>
        <v>134.375228</v>
      </c>
      <c r="W338" s="11">
        <f t="shared" si="3"/>
        <v>0.220610839</v>
      </c>
      <c r="X338" s="8">
        <f t="shared" ref="X338:X340" si="244">0.2*(8.17*POWER(N338*R338,0.46))+0.8*(0.146*POWER(N338*Q338,0.639))</f>
        <v>1395.42974</v>
      </c>
      <c r="Y338" s="12">
        <f t="shared" si="4"/>
        <v>4</v>
      </c>
      <c r="Z338" s="12">
        <f t="shared" si="5"/>
        <v>6977.148699</v>
      </c>
      <c r="AA338" s="12">
        <f t="shared" si="6"/>
        <v>1.103054195</v>
      </c>
      <c r="AB338" s="13">
        <f t="shared" si="7"/>
        <v>0.3488574349</v>
      </c>
      <c r="AC338" s="8">
        <f t="shared" si="225"/>
        <v>1417.667499</v>
      </c>
      <c r="AD338" s="13">
        <f t="shared" si="226"/>
        <v>0.3544168749</v>
      </c>
      <c r="AE338" s="8">
        <f t="shared" si="227"/>
        <v>1417.667499</v>
      </c>
      <c r="AF338" s="73">
        <f t="shared" si="228"/>
        <v>698.7698212</v>
      </c>
      <c r="AG338" s="74" t="str">
        <f t="shared" si="229"/>
        <v>#REF!</v>
      </c>
      <c r="AH338" s="73">
        <f t="shared" si="230"/>
        <v>0</v>
      </c>
      <c r="AI338" s="73">
        <f t="shared" si="231"/>
        <v>0</v>
      </c>
      <c r="AJ338" s="75">
        <f t="shared" si="232"/>
        <v>1.394862522</v>
      </c>
      <c r="AK338" s="73">
        <f t="shared" si="233"/>
        <v>1.296028684</v>
      </c>
      <c r="AL338" s="73">
        <f t="shared" si="234"/>
        <v>1.424664189</v>
      </c>
      <c r="AM338" s="73">
        <f t="shared" si="235"/>
        <v>1.054841267</v>
      </c>
      <c r="AN338" s="75">
        <v>3026.72</v>
      </c>
      <c r="AO338" s="76">
        <v>3000.0</v>
      </c>
      <c r="AP338" s="73">
        <f t="shared" si="236"/>
        <v>3000</v>
      </c>
      <c r="AQ338" s="29" t="str">
        <f t="shared" si="237"/>
        <v>#REF!</v>
      </c>
      <c r="AR338" s="77" t="str">
        <f t="shared" si="238"/>
        <v>#REF!</v>
      </c>
      <c r="AS338" s="73"/>
      <c r="AT338" s="39"/>
    </row>
    <row r="339" ht="15.75" customHeight="1">
      <c r="A339" s="7" t="s">
        <v>137</v>
      </c>
      <c r="B339" s="7" t="s">
        <v>137</v>
      </c>
      <c r="C339" s="7">
        <v>1977.0</v>
      </c>
      <c r="D339" s="7"/>
      <c r="E339" s="7">
        <v>1977.0</v>
      </c>
      <c r="F339" s="7" t="b">
        <v>1</v>
      </c>
      <c r="G339" s="7" t="b">
        <v>0</v>
      </c>
      <c r="H339" s="7" t="b">
        <v>0</v>
      </c>
      <c r="I339" s="7" t="b">
        <v>0</v>
      </c>
      <c r="J339" s="9">
        <v>315.0</v>
      </c>
      <c r="K339" s="7">
        <v>1.0</v>
      </c>
      <c r="L339" s="7"/>
      <c r="M339" s="7">
        <v>-800.0</v>
      </c>
      <c r="N339" s="7">
        <v>8390.0</v>
      </c>
      <c r="O339" s="7">
        <v>9189.6</v>
      </c>
      <c r="P339" s="9">
        <v>268.8</v>
      </c>
      <c r="Q339" s="7">
        <v>306.2</v>
      </c>
      <c r="R339" s="7">
        <v>8.0</v>
      </c>
      <c r="S339" s="9">
        <v>1.0</v>
      </c>
      <c r="T339" s="9">
        <v>1.0</v>
      </c>
      <c r="U339" s="10">
        <f t="shared" si="1"/>
        <v>-800</v>
      </c>
      <c r="V339" s="10">
        <f t="shared" si="2"/>
        <v>111.6899176</v>
      </c>
      <c r="W339" s="11">
        <f t="shared" si="3"/>
        <v>0.1880177211</v>
      </c>
      <c r="X339" s="8">
        <f t="shared" si="244"/>
        <v>1727.807649</v>
      </c>
      <c r="Y339" s="12">
        <f t="shared" si="4"/>
        <v>4</v>
      </c>
      <c r="Z339" s="12">
        <f t="shared" si="5"/>
        <v>8639.038247</v>
      </c>
      <c r="AA339" s="12">
        <f t="shared" si="6"/>
        <v>0.9400886053</v>
      </c>
      <c r="AB339" s="13">
        <f t="shared" si="7"/>
        <v>-2.159759562</v>
      </c>
      <c r="AC339" s="8">
        <f t="shared" si="225"/>
        <v>1762.363802</v>
      </c>
      <c r="AD339" s="13">
        <f t="shared" si="226"/>
        <v>-2.202954753</v>
      </c>
      <c r="AE339" s="8">
        <f t="shared" si="227"/>
        <v>1762.363802</v>
      </c>
      <c r="AF339" s="73">
        <f t="shared" si="228"/>
        <v>991.9563026</v>
      </c>
      <c r="AG339" s="74" t="str">
        <f t="shared" si="229"/>
        <v>#REF!</v>
      </c>
      <c r="AH339" s="73">
        <f t="shared" si="230"/>
        <v>0</v>
      </c>
      <c r="AI339" s="73">
        <f t="shared" si="231"/>
        <v>0</v>
      </c>
      <c r="AJ339" s="75">
        <f t="shared" si="232"/>
        <v>1.284719447</v>
      </c>
      <c r="AK339" s="73">
        <f t="shared" si="233"/>
        <v>1.1815769</v>
      </c>
      <c r="AL339" s="73">
        <f t="shared" si="234"/>
        <v>1.05787142</v>
      </c>
      <c r="AM339" s="73">
        <f t="shared" si="235"/>
        <v>1.330360566</v>
      </c>
      <c r="AN339" s="75">
        <v>3919.05</v>
      </c>
      <c r="AO339" s="76">
        <v>3900.0</v>
      </c>
      <c r="AP339" s="73">
        <f t="shared" si="236"/>
        <v>3900</v>
      </c>
      <c r="AQ339" s="29" t="str">
        <f t="shared" si="237"/>
        <v>#REF!</v>
      </c>
      <c r="AR339" s="77" t="str">
        <f t="shared" si="238"/>
        <v>#REF!</v>
      </c>
      <c r="AS339" s="73"/>
      <c r="AT339" s="39"/>
    </row>
    <row r="340" ht="15.75" customHeight="1">
      <c r="A340" s="16" t="s">
        <v>141</v>
      </c>
      <c r="B340" s="16" t="s">
        <v>139</v>
      </c>
      <c r="C340" s="16">
        <v>1977.0</v>
      </c>
      <c r="D340" s="16"/>
      <c r="E340" s="16">
        <v>1977.0</v>
      </c>
      <c r="F340" s="16" t="b">
        <v>1</v>
      </c>
      <c r="G340" s="16" t="b">
        <v>0</v>
      </c>
      <c r="H340" s="16" t="b">
        <v>0</v>
      </c>
      <c r="I340" s="16" t="b">
        <v>0</v>
      </c>
      <c r="J340" s="18">
        <v>315.0</v>
      </c>
      <c r="K340" s="16">
        <v>1.0</v>
      </c>
      <c r="L340" s="16">
        <v>2100.0</v>
      </c>
      <c r="M340" s="16">
        <v>-260.0</v>
      </c>
      <c r="N340" s="16">
        <v>8618.0</v>
      </c>
      <c r="O340" s="16">
        <v>9189.6</v>
      </c>
      <c r="P340" s="18">
        <v>268.8</v>
      </c>
      <c r="Q340" s="16">
        <v>306.2</v>
      </c>
      <c r="R340" s="16">
        <v>8.0</v>
      </c>
      <c r="S340" s="16">
        <v>0.998</v>
      </c>
      <c r="T340" s="16">
        <v>0.998</v>
      </c>
      <c r="U340" s="19">
        <f t="shared" si="1"/>
        <v>1840</v>
      </c>
      <c r="V340" s="19">
        <f t="shared" si="2"/>
        <v>108.7350207</v>
      </c>
      <c r="W340" s="20">
        <f t="shared" si="3"/>
        <v>0.1911229747</v>
      </c>
      <c r="X340" s="17">
        <f t="shared" si="244"/>
        <v>1756.343688</v>
      </c>
      <c r="Y340" s="21">
        <f t="shared" si="4"/>
        <v>4</v>
      </c>
      <c r="Z340" s="21">
        <f t="shared" si="5"/>
        <v>8781.71844</v>
      </c>
      <c r="AA340" s="21">
        <f t="shared" si="6"/>
        <v>0.9556148733</v>
      </c>
      <c r="AB340" s="22">
        <f t="shared" si="7"/>
        <v>0.954534613</v>
      </c>
      <c r="AC340" s="8">
        <f t="shared" si="225"/>
        <v>1784.452212</v>
      </c>
      <c r="AD340" s="13">
        <f t="shared" si="226"/>
        <v>0.969810985</v>
      </c>
      <c r="AE340" s="8">
        <f t="shared" si="227"/>
        <v>1784.452212</v>
      </c>
      <c r="AF340" s="73">
        <f t="shared" si="228"/>
        <v>991.9563026</v>
      </c>
      <c r="AG340" s="74" t="str">
        <f t="shared" si="229"/>
        <v>#REF!</v>
      </c>
      <c r="AH340" s="73">
        <f t="shared" si="230"/>
        <v>0</v>
      </c>
      <c r="AI340" s="73">
        <f t="shared" si="231"/>
        <v>0</v>
      </c>
      <c r="AJ340" s="75">
        <f t="shared" si="232"/>
        <v>1.284719447</v>
      </c>
      <c r="AK340" s="73">
        <f t="shared" si="233"/>
        <v>1.165842081</v>
      </c>
      <c r="AL340" s="73">
        <f t="shared" si="234"/>
        <v>1.05787142</v>
      </c>
      <c r="AM340" s="73">
        <f t="shared" si="235"/>
        <v>1.330360566</v>
      </c>
      <c r="AN340" s="75">
        <v>3388.32</v>
      </c>
      <c r="AO340" s="76">
        <v>3400.0</v>
      </c>
      <c r="AP340" s="73">
        <f t="shared" si="236"/>
        <v>3400</v>
      </c>
      <c r="AQ340" s="29" t="str">
        <f t="shared" si="237"/>
        <v>#REF!</v>
      </c>
      <c r="AR340" s="77" t="str">
        <f t="shared" si="238"/>
        <v>#REF!</v>
      </c>
      <c r="AS340" s="73"/>
      <c r="AT340" s="39"/>
    </row>
    <row r="341" ht="15.75" customHeight="1">
      <c r="A341" s="7" t="s">
        <v>192</v>
      </c>
      <c r="B341" s="7" t="s">
        <v>193</v>
      </c>
      <c r="C341" s="7">
        <v>1977.0</v>
      </c>
      <c r="D341" s="7" t="b">
        <v>1</v>
      </c>
      <c r="E341" s="7">
        <v>1977.0</v>
      </c>
      <c r="F341" s="7" t="b">
        <v>1</v>
      </c>
      <c r="G341" s="7" t="b">
        <v>0</v>
      </c>
      <c r="H341" s="7" t="b">
        <v>1</v>
      </c>
      <c r="I341" s="7" t="b">
        <v>0</v>
      </c>
      <c r="J341" s="9">
        <v>600.0</v>
      </c>
      <c r="K341" s="9">
        <v>3.0</v>
      </c>
      <c r="L341" s="7">
        <v>2235.0</v>
      </c>
      <c r="M341" s="7">
        <v>0.0</v>
      </c>
      <c r="N341" s="7">
        <v>1511.0</v>
      </c>
      <c r="O341" s="7">
        <v>889.3</v>
      </c>
      <c r="P341" s="9">
        <v>362.0</v>
      </c>
      <c r="Q341" s="7">
        <v>442.0</v>
      </c>
      <c r="R341" s="7">
        <v>6.89</v>
      </c>
      <c r="S341" s="7">
        <v>0.9999</v>
      </c>
      <c r="T341" s="7">
        <v>0.9999</v>
      </c>
      <c r="U341" s="10">
        <f t="shared" si="1"/>
        <v>2235</v>
      </c>
      <c r="V341" s="10">
        <f t="shared" si="2"/>
        <v>60.01546165</v>
      </c>
      <c r="W341" s="11">
        <f t="shared" si="3"/>
        <v>1.774807479</v>
      </c>
      <c r="X341" s="8">
        <f t="shared" ref="X341:X342" si="245">0.9*(0.00015*N341*Q341*R341+797)+0.1*(43.1*POWER(N341,0.549))</f>
        <v>1578.336291</v>
      </c>
      <c r="Y341" s="12">
        <f t="shared" si="4"/>
        <v>4</v>
      </c>
      <c r="Z341" s="12">
        <f t="shared" si="5"/>
        <v>7891.681457</v>
      </c>
      <c r="AA341" s="12">
        <f t="shared" si="6"/>
        <v>8.874037397</v>
      </c>
      <c r="AB341" s="13">
        <f t="shared" si="7"/>
        <v>0.7061907344</v>
      </c>
      <c r="AC341" s="8">
        <f t="shared" si="225"/>
        <v>1609.587366</v>
      </c>
      <c r="AD341" s="13">
        <f t="shared" si="226"/>
        <v>0.720173318</v>
      </c>
      <c r="AE341" s="8">
        <f t="shared" si="227"/>
        <v>745.3992543</v>
      </c>
      <c r="AF341" s="73">
        <f t="shared" si="228"/>
        <v>119.2843257</v>
      </c>
      <c r="AG341" s="74" t="str">
        <f t="shared" si="229"/>
        <v>#REF!</v>
      </c>
      <c r="AH341" s="73">
        <f t="shared" si="230"/>
        <v>0</v>
      </c>
      <c r="AI341" s="73">
        <f t="shared" si="231"/>
        <v>0.2958876574</v>
      </c>
      <c r="AJ341" s="75">
        <f t="shared" si="232"/>
        <v>1.177530206</v>
      </c>
      <c r="AK341" s="73">
        <f t="shared" si="233"/>
        <v>0.8661369815</v>
      </c>
      <c r="AL341" s="73">
        <f t="shared" si="234"/>
        <v>5.825748118</v>
      </c>
      <c r="AM341" s="73">
        <f t="shared" si="235"/>
        <v>1.526203901</v>
      </c>
      <c r="AN341" s="75">
        <v>2704.51</v>
      </c>
      <c r="AO341" s="76">
        <v>2700.0</v>
      </c>
      <c r="AP341" s="73">
        <f t="shared" si="236"/>
        <v>2700</v>
      </c>
      <c r="AQ341" s="29" t="str">
        <f t="shared" si="237"/>
        <v>#REF!</v>
      </c>
      <c r="AR341" s="77" t="str">
        <f t="shared" si="238"/>
        <v>#REF!</v>
      </c>
      <c r="AS341" s="73"/>
      <c r="AT341" s="39"/>
    </row>
    <row r="342" ht="15.75" customHeight="1">
      <c r="A342" s="16" t="s">
        <v>230</v>
      </c>
      <c r="B342" s="16" t="s">
        <v>229</v>
      </c>
      <c r="C342" s="16">
        <v>1977.0</v>
      </c>
      <c r="D342" s="16" t="b">
        <v>1</v>
      </c>
      <c r="E342" s="16">
        <v>1977.0</v>
      </c>
      <c r="F342" s="16" t="b">
        <v>1</v>
      </c>
      <c r="G342" s="16" t="b">
        <v>0</v>
      </c>
      <c r="H342" s="16" t="b">
        <v>1</v>
      </c>
      <c r="I342" s="16" t="b">
        <v>0</v>
      </c>
      <c r="J342" s="18">
        <v>800.0</v>
      </c>
      <c r="K342" s="18">
        <v>5.0</v>
      </c>
      <c r="L342" s="16">
        <v>650.0</v>
      </c>
      <c r="M342" s="16">
        <v>0.0</v>
      </c>
      <c r="N342" s="16">
        <v>165.0</v>
      </c>
      <c r="O342" s="16">
        <v>73.6</v>
      </c>
      <c r="P342" s="18">
        <v>146.0</v>
      </c>
      <c r="Q342" s="16">
        <v>461.5</v>
      </c>
      <c r="R342" s="16">
        <v>5.88</v>
      </c>
      <c r="S342" s="16">
        <v>0.98125</v>
      </c>
      <c r="T342" s="16">
        <v>0.97</v>
      </c>
      <c r="U342" s="19">
        <f t="shared" si="1"/>
        <v>650</v>
      </c>
      <c r="V342" s="19">
        <f t="shared" si="2"/>
        <v>45.48552306</v>
      </c>
      <c r="W342" s="20">
        <f t="shared" si="3"/>
        <v>11.53324628</v>
      </c>
      <c r="X342" s="17">
        <f t="shared" si="245"/>
        <v>848.8469259</v>
      </c>
      <c r="Y342" s="21">
        <f t="shared" si="4"/>
        <v>4</v>
      </c>
      <c r="Z342" s="21">
        <f t="shared" si="5"/>
        <v>4244.234629</v>
      </c>
      <c r="AA342" s="21">
        <f t="shared" si="6"/>
        <v>57.66623138</v>
      </c>
      <c r="AB342" s="22">
        <f t="shared" si="7"/>
        <v>1.305918348</v>
      </c>
      <c r="AC342" s="8">
        <f t="shared" si="225"/>
        <v>824.9200532</v>
      </c>
      <c r="AD342" s="13">
        <f t="shared" si="226"/>
        <v>1.269107774</v>
      </c>
      <c r="AE342" s="8">
        <f t="shared" si="227"/>
        <v>186.983759</v>
      </c>
      <c r="AF342" s="73">
        <f t="shared" si="228"/>
        <v>17.45756467</v>
      </c>
      <c r="AG342" s="74" t="str">
        <f t="shared" si="229"/>
        <v>#REF!</v>
      </c>
      <c r="AH342" s="73">
        <f t="shared" si="230"/>
        <v>0</v>
      </c>
      <c r="AI342" s="73">
        <f t="shared" si="231"/>
        <v>0.4128305045</v>
      </c>
      <c r="AJ342" s="75">
        <f t="shared" si="232"/>
        <v>1</v>
      </c>
      <c r="AK342" s="73">
        <f t="shared" si="233"/>
        <v>0.7540351705</v>
      </c>
      <c r="AL342" s="73">
        <f t="shared" si="234"/>
        <v>7.941491652</v>
      </c>
      <c r="AM342" s="73">
        <f t="shared" si="235"/>
        <v>1.603590751</v>
      </c>
      <c r="AN342" s="75">
        <v>277.43</v>
      </c>
      <c r="AO342" s="76">
        <v>280.0</v>
      </c>
      <c r="AP342" s="73">
        <f t="shared" si="236"/>
        <v>280</v>
      </c>
      <c r="AQ342" s="29" t="str">
        <f t="shared" si="237"/>
        <v>#REF!</v>
      </c>
      <c r="AR342" s="77" t="str">
        <f t="shared" si="238"/>
        <v>#REF!</v>
      </c>
      <c r="AS342" s="73"/>
      <c r="AT342" s="39"/>
    </row>
    <row r="343" ht="15.75" customHeight="1">
      <c r="A343" s="7" t="s">
        <v>476</v>
      </c>
      <c r="B343" s="7" t="s">
        <v>474</v>
      </c>
      <c r="C343" s="7">
        <v>1977.0</v>
      </c>
      <c r="D343" s="7"/>
      <c r="E343" s="7">
        <v>1977.0</v>
      </c>
      <c r="F343" s="7" t="b">
        <v>1</v>
      </c>
      <c r="G343" s="7" t="b">
        <v>0</v>
      </c>
      <c r="H343" s="7" t="b">
        <v>1</v>
      </c>
      <c r="I343" s="7" t="b">
        <v>0</v>
      </c>
      <c r="J343" s="9">
        <v>238.0</v>
      </c>
      <c r="K343" s="7">
        <v>1.0</v>
      </c>
      <c r="L343" s="7">
        <v>300.0</v>
      </c>
      <c r="M343" s="7">
        <v>15.0</v>
      </c>
      <c r="N343" s="7">
        <v>566.0</v>
      </c>
      <c r="O343" s="7">
        <v>600.0</v>
      </c>
      <c r="P343" s="9">
        <v>242.0</v>
      </c>
      <c r="Q343" s="7">
        <v>327.3</v>
      </c>
      <c r="R343" s="7">
        <v>14.7</v>
      </c>
      <c r="S343" s="7">
        <v>0.999762</v>
      </c>
      <c r="T343" s="7">
        <v>0.999128</v>
      </c>
      <c r="U343" s="10">
        <f t="shared" si="1"/>
        <v>315</v>
      </c>
      <c r="V343" s="10">
        <f t="shared" si="2"/>
        <v>108.0971247</v>
      </c>
      <c r="W343" s="11">
        <f t="shared" si="3"/>
        <v>0.6253897759</v>
      </c>
      <c r="X343" s="8">
        <f t="shared" ref="X343:X350" si="246">0.2*(8.17*POWER(N343*R343,0.46))+0.8*(0.146*POWER(N343*Q343,0.639))</f>
        <v>375.2338656</v>
      </c>
      <c r="Y343" s="12">
        <f t="shared" si="4"/>
        <v>4</v>
      </c>
      <c r="Z343" s="12">
        <f t="shared" si="5"/>
        <v>1876.169328</v>
      </c>
      <c r="AA343" s="12">
        <f t="shared" si="6"/>
        <v>3.12694888</v>
      </c>
      <c r="AB343" s="13">
        <f t="shared" si="7"/>
        <v>1.191218621</v>
      </c>
      <c r="AC343" s="8">
        <f t="shared" si="225"/>
        <v>382.3221111</v>
      </c>
      <c r="AD343" s="13">
        <f t="shared" si="226"/>
        <v>1.213720988</v>
      </c>
      <c r="AE343" s="8">
        <f t="shared" si="227"/>
        <v>382.3221111</v>
      </c>
      <c r="AF343" s="73">
        <f t="shared" si="228"/>
        <v>85.49186005</v>
      </c>
      <c r="AG343" s="74" t="str">
        <f t="shared" si="229"/>
        <v>#REF!</v>
      </c>
      <c r="AH343" s="73">
        <f t="shared" si="230"/>
        <v>0</v>
      </c>
      <c r="AI343" s="73">
        <f t="shared" si="231"/>
        <v>0</v>
      </c>
      <c r="AJ343" s="75">
        <f t="shared" si="232"/>
        <v>1.062625022</v>
      </c>
      <c r="AK343" s="73">
        <f t="shared" si="233"/>
        <v>1.162417334</v>
      </c>
      <c r="AL343" s="73">
        <f t="shared" si="234"/>
        <v>1.332826513</v>
      </c>
      <c r="AM343" s="73">
        <f t="shared" si="235"/>
        <v>1.234376008</v>
      </c>
      <c r="AN343" s="75">
        <v>310.08</v>
      </c>
      <c r="AO343" s="76">
        <v>310.0</v>
      </c>
      <c r="AP343" s="73">
        <f t="shared" si="236"/>
        <v>310</v>
      </c>
      <c r="AQ343" s="29" t="str">
        <f t="shared" si="237"/>
        <v>#REF!</v>
      </c>
      <c r="AR343" s="77" t="str">
        <f t="shared" si="238"/>
        <v>#REF!</v>
      </c>
      <c r="AS343" s="73"/>
      <c r="AT343" s="39"/>
    </row>
    <row r="344" ht="15.75" customHeight="1">
      <c r="A344" s="7" t="s">
        <v>481</v>
      </c>
      <c r="B344" s="7" t="s">
        <v>479</v>
      </c>
      <c r="C344" s="7">
        <v>1977.0</v>
      </c>
      <c r="D344" s="7"/>
      <c r="E344" s="7">
        <v>1977.0</v>
      </c>
      <c r="F344" s="7" t="b">
        <v>1</v>
      </c>
      <c r="G344" s="7" t="b">
        <v>0</v>
      </c>
      <c r="H344" s="7" t="b">
        <v>1</v>
      </c>
      <c r="I344" s="7" t="b">
        <v>0</v>
      </c>
      <c r="J344" s="9">
        <v>250.0</v>
      </c>
      <c r="K344" s="7">
        <v>1.0</v>
      </c>
      <c r="L344" s="7">
        <v>300.0</v>
      </c>
      <c r="M344" s="7">
        <v>15.0</v>
      </c>
      <c r="N344" s="7">
        <f>550+90</f>
        <v>640</v>
      </c>
      <c r="O344" s="7">
        <f>594+30.98</f>
        <v>624.98</v>
      </c>
      <c r="P344" s="9">
        <v>240.0</v>
      </c>
      <c r="Q344" s="7">
        <v>325.3</v>
      </c>
      <c r="R344" s="7">
        <v>14.71</v>
      </c>
      <c r="S344" s="7">
        <v>0.998951</v>
      </c>
      <c r="T344" s="7">
        <v>0.997552</v>
      </c>
      <c r="U344" s="10">
        <f t="shared" si="1"/>
        <v>315</v>
      </c>
      <c r="V344" s="10">
        <f t="shared" si="2"/>
        <v>99.57847452</v>
      </c>
      <c r="W344" s="11">
        <f t="shared" si="3"/>
        <v>0.6437423962</v>
      </c>
      <c r="X344" s="8">
        <f t="shared" si="246"/>
        <v>402.3261228</v>
      </c>
      <c r="Y344" s="12">
        <f t="shared" si="4"/>
        <v>4</v>
      </c>
      <c r="Z344" s="12">
        <f t="shared" si="5"/>
        <v>2011.630614</v>
      </c>
      <c r="AA344" s="12">
        <f t="shared" si="6"/>
        <v>3.218711981</v>
      </c>
      <c r="AB344" s="13">
        <f t="shared" si="7"/>
        <v>1.277225787</v>
      </c>
      <c r="AC344" s="8">
        <f t="shared" si="225"/>
        <v>408.9667439</v>
      </c>
      <c r="AD344" s="13">
        <f t="shared" si="226"/>
        <v>1.298307124</v>
      </c>
      <c r="AE344" s="8">
        <f t="shared" si="227"/>
        <v>408.9667439</v>
      </c>
      <c r="AF344" s="73">
        <f t="shared" si="228"/>
        <v>88.45676084</v>
      </c>
      <c r="AG344" s="74" t="str">
        <f t="shared" si="229"/>
        <v>#REF!</v>
      </c>
      <c r="AH344" s="73">
        <f t="shared" si="230"/>
        <v>0</v>
      </c>
      <c r="AI344" s="73">
        <f t="shared" si="231"/>
        <v>0</v>
      </c>
      <c r="AJ344" s="75">
        <f t="shared" si="232"/>
        <v>1.060738521</v>
      </c>
      <c r="AK344" s="73">
        <f t="shared" si="233"/>
        <v>1.115675101</v>
      </c>
      <c r="AL344" s="73">
        <f t="shared" si="234"/>
        <v>1.302435654</v>
      </c>
      <c r="AM344" s="73">
        <f t="shared" si="235"/>
        <v>1.251730393</v>
      </c>
      <c r="AN344" s="75">
        <v>285.7</v>
      </c>
      <c r="AO344" s="76">
        <v>290.0</v>
      </c>
      <c r="AP344" s="73">
        <f t="shared" si="236"/>
        <v>290</v>
      </c>
      <c r="AQ344" s="29" t="str">
        <f t="shared" si="237"/>
        <v>#REF!</v>
      </c>
      <c r="AR344" s="77" t="str">
        <f t="shared" si="238"/>
        <v>#REF!</v>
      </c>
      <c r="AS344" s="73"/>
      <c r="AT344" s="39"/>
    </row>
    <row r="345" ht="15.75" customHeight="1">
      <c r="A345" s="7" t="s">
        <v>486</v>
      </c>
      <c r="B345" s="7" t="s">
        <v>484</v>
      </c>
      <c r="C345" s="7">
        <v>1977.0</v>
      </c>
      <c r="D345" s="7"/>
      <c r="E345" s="7">
        <v>1977.0</v>
      </c>
      <c r="F345" s="7" t="b">
        <v>1</v>
      </c>
      <c r="G345" s="7" t="b">
        <v>0</v>
      </c>
      <c r="H345" s="7" t="b">
        <v>1</v>
      </c>
      <c r="I345" s="7" t="b">
        <v>0</v>
      </c>
      <c r="J345" s="9">
        <v>250.0</v>
      </c>
      <c r="K345" s="7">
        <v>1.0</v>
      </c>
      <c r="L345" s="7">
        <v>260.0</v>
      </c>
      <c r="M345" s="7">
        <v>15.0</v>
      </c>
      <c r="N345" s="7">
        <v>550.0</v>
      </c>
      <c r="O345" s="7">
        <v>594.0</v>
      </c>
      <c r="P345" s="9">
        <v>242.0</v>
      </c>
      <c r="Q345" s="7">
        <v>327.0</v>
      </c>
      <c r="R345" s="7">
        <v>14.71</v>
      </c>
      <c r="S345" s="7">
        <v>0.999474</v>
      </c>
      <c r="T345" s="7">
        <v>0.998772</v>
      </c>
      <c r="U345" s="10">
        <f t="shared" si="1"/>
        <v>275</v>
      </c>
      <c r="V345" s="10">
        <f t="shared" si="2"/>
        <v>110.1293507</v>
      </c>
      <c r="W345" s="11">
        <f t="shared" si="3"/>
        <v>0.6209117963</v>
      </c>
      <c r="X345" s="8">
        <f t="shared" si="246"/>
        <v>368.821607</v>
      </c>
      <c r="Y345" s="12">
        <f t="shared" si="4"/>
        <v>4</v>
      </c>
      <c r="Z345" s="12">
        <f t="shared" si="5"/>
        <v>1844.108035</v>
      </c>
      <c r="AA345" s="12">
        <f t="shared" si="6"/>
        <v>3.104558981</v>
      </c>
      <c r="AB345" s="13">
        <f t="shared" si="7"/>
        <v>1.34116948</v>
      </c>
      <c r="AC345" s="8">
        <f t="shared" si="225"/>
        <v>375.5513642</v>
      </c>
      <c r="AD345" s="13">
        <f t="shared" si="226"/>
        <v>1.365641325</v>
      </c>
      <c r="AE345" s="8">
        <f t="shared" si="227"/>
        <v>375.5513642</v>
      </c>
      <c r="AF345" s="73">
        <f t="shared" si="228"/>
        <v>84.7780847</v>
      </c>
      <c r="AG345" s="74" t="str">
        <f t="shared" si="229"/>
        <v>#REF!</v>
      </c>
      <c r="AH345" s="73">
        <f t="shared" si="230"/>
        <v>0</v>
      </c>
      <c r="AI345" s="73">
        <f t="shared" si="231"/>
        <v>0</v>
      </c>
      <c r="AJ345" s="75">
        <f t="shared" si="232"/>
        <v>1.063429438</v>
      </c>
      <c r="AK345" s="73">
        <f t="shared" si="233"/>
        <v>1.173293179</v>
      </c>
      <c r="AL345" s="73">
        <f t="shared" si="234"/>
        <v>1.328208337</v>
      </c>
      <c r="AM345" s="73">
        <f t="shared" si="235"/>
        <v>1.251730393</v>
      </c>
      <c r="AN345" s="75">
        <v>303.42</v>
      </c>
      <c r="AO345" s="76">
        <v>300.0</v>
      </c>
      <c r="AP345" s="73">
        <f t="shared" si="236"/>
        <v>300</v>
      </c>
      <c r="AQ345" s="29" t="str">
        <f t="shared" si="237"/>
        <v>#REF!</v>
      </c>
      <c r="AR345" s="77" t="str">
        <f t="shared" si="238"/>
        <v>#REF!</v>
      </c>
      <c r="AS345" s="73"/>
      <c r="AT345" s="39"/>
    </row>
    <row r="346" ht="15.75" customHeight="1">
      <c r="A346" s="16" t="s">
        <v>598</v>
      </c>
      <c r="B346" s="16" t="s">
        <v>596</v>
      </c>
      <c r="C346" s="16">
        <v>1977.0</v>
      </c>
      <c r="D346" s="16"/>
      <c r="E346" s="16">
        <v>1977.0</v>
      </c>
      <c r="F346" s="16" t="b">
        <v>1</v>
      </c>
      <c r="G346" s="16" t="b">
        <v>0</v>
      </c>
      <c r="H346" s="16" t="b">
        <v>0</v>
      </c>
      <c r="I346" s="16" t="b">
        <v>0</v>
      </c>
      <c r="J346" s="18">
        <v>148.0</v>
      </c>
      <c r="K346" s="16">
        <v>1.0</v>
      </c>
      <c r="L346" s="16">
        <v>515.0</v>
      </c>
      <c r="M346" s="16">
        <v>75.0</v>
      </c>
      <c r="N346" s="16">
        <v>1080.0</v>
      </c>
      <c r="O346" s="16">
        <v>1698.0</v>
      </c>
      <c r="P346" s="18">
        <v>285.0</v>
      </c>
      <c r="Q346" s="16">
        <v>316.0</v>
      </c>
      <c r="R346" s="16">
        <v>14.71</v>
      </c>
      <c r="S346" s="16">
        <v>0.999251</v>
      </c>
      <c r="T346" s="16">
        <v>0.999251</v>
      </c>
      <c r="U346" s="19">
        <f t="shared" si="1"/>
        <v>590</v>
      </c>
      <c r="V346" s="19">
        <f t="shared" si="2"/>
        <v>160.3220486</v>
      </c>
      <c r="W346" s="20">
        <f t="shared" si="3"/>
        <v>0.3185106078</v>
      </c>
      <c r="X346" s="17">
        <f t="shared" si="246"/>
        <v>540.831012</v>
      </c>
      <c r="Y346" s="21">
        <f t="shared" si="4"/>
        <v>4</v>
      </c>
      <c r="Z346" s="21">
        <f t="shared" si="5"/>
        <v>2704.15506</v>
      </c>
      <c r="AA346" s="21">
        <f t="shared" si="6"/>
        <v>1.592553039</v>
      </c>
      <c r="AB346" s="22">
        <f t="shared" si="7"/>
        <v>0.9166627322</v>
      </c>
      <c r="AC346" s="8">
        <f t="shared" si="225"/>
        <v>550.8377708</v>
      </c>
      <c r="AD346" s="13">
        <f t="shared" si="226"/>
        <v>0.9336233403</v>
      </c>
      <c r="AE346" s="8">
        <f t="shared" si="227"/>
        <v>550.8377708</v>
      </c>
      <c r="AF346" s="73">
        <f t="shared" si="228"/>
        <v>210.0191597</v>
      </c>
      <c r="AG346" s="74" t="str">
        <f t="shared" si="229"/>
        <v>#REF!</v>
      </c>
      <c r="AH346" s="73">
        <f t="shared" si="230"/>
        <v>0</v>
      </c>
      <c r="AI346" s="73">
        <f t="shared" si="231"/>
        <v>0</v>
      </c>
      <c r="AJ346" s="75">
        <f t="shared" si="232"/>
        <v>1.333125919</v>
      </c>
      <c r="AK346" s="73">
        <f t="shared" si="233"/>
        <v>1.415636114</v>
      </c>
      <c r="AL346" s="73">
        <f t="shared" si="234"/>
        <v>1.173066849</v>
      </c>
      <c r="AM346" s="73">
        <f t="shared" si="235"/>
        <v>1.054841267</v>
      </c>
      <c r="AN346" s="75">
        <v>787.9</v>
      </c>
      <c r="AO346" s="76">
        <v>790.0</v>
      </c>
      <c r="AP346" s="73">
        <f t="shared" si="236"/>
        <v>790</v>
      </c>
      <c r="AQ346" s="29" t="str">
        <f t="shared" si="237"/>
        <v>#REF!</v>
      </c>
      <c r="AR346" s="77" t="str">
        <f t="shared" si="238"/>
        <v>#REF!</v>
      </c>
      <c r="AS346" s="73"/>
      <c r="AT346" s="39"/>
    </row>
    <row r="347" ht="15.75" customHeight="1">
      <c r="A347" s="7" t="s">
        <v>656</v>
      </c>
      <c r="B347" s="7" t="s">
        <v>657</v>
      </c>
      <c r="C347" s="7">
        <v>1977.0</v>
      </c>
      <c r="D347" s="7"/>
      <c r="E347" s="7">
        <v>1977.0</v>
      </c>
      <c r="F347" s="7" t="b">
        <v>1</v>
      </c>
      <c r="G347" s="7" t="b">
        <v>0</v>
      </c>
      <c r="H347" s="7" t="b">
        <v>1</v>
      </c>
      <c r="I347" s="7" t="b">
        <v>0</v>
      </c>
      <c r="J347" s="9">
        <v>600.0</v>
      </c>
      <c r="K347" s="9">
        <v>25.0</v>
      </c>
      <c r="L347" s="7">
        <v>50.0</v>
      </c>
      <c r="M347" s="7">
        <v>0.0</v>
      </c>
      <c r="N347" s="7">
        <v>199.0</v>
      </c>
      <c r="O347" s="7">
        <v>20.2</v>
      </c>
      <c r="P347" s="9">
        <v>107.0</v>
      </c>
      <c r="Q347" s="7">
        <v>316.0</v>
      </c>
      <c r="R347" s="7">
        <v>4.1</v>
      </c>
      <c r="S347" s="7">
        <v>0.999694</v>
      </c>
      <c r="T347" s="7">
        <v>0.994262</v>
      </c>
      <c r="U347" s="10">
        <f t="shared" si="1"/>
        <v>50</v>
      </c>
      <c r="V347" s="10">
        <f t="shared" si="2"/>
        <v>10.35088816</v>
      </c>
      <c r="W347" s="11">
        <f t="shared" si="3"/>
        <v>8.502395882</v>
      </c>
      <c r="X347" s="8">
        <f t="shared" si="246"/>
        <v>171.7483968</v>
      </c>
      <c r="Y347" s="12">
        <f t="shared" si="4"/>
        <v>4</v>
      </c>
      <c r="Z347" s="12">
        <f t="shared" si="5"/>
        <v>858.7419841</v>
      </c>
      <c r="AA347" s="12">
        <f t="shared" si="6"/>
        <v>42.51197941</v>
      </c>
      <c r="AB347" s="13">
        <f t="shared" si="7"/>
        <v>3.434967936</v>
      </c>
      <c r="AC347" s="8">
        <f t="shared" si="225"/>
        <v>174.145619</v>
      </c>
      <c r="AD347" s="13">
        <f t="shared" si="226"/>
        <v>3.48291238</v>
      </c>
      <c r="AE347" s="8">
        <f t="shared" si="227"/>
        <v>174.145619</v>
      </c>
      <c r="AF347" s="73">
        <f t="shared" si="228"/>
        <v>7.833174429</v>
      </c>
      <c r="AG347" s="74" t="str">
        <f t="shared" si="229"/>
        <v>#REF!</v>
      </c>
      <c r="AH347" s="73">
        <f t="shared" si="230"/>
        <v>0</v>
      </c>
      <c r="AI347" s="73">
        <f t="shared" si="231"/>
        <v>0.7120416587</v>
      </c>
      <c r="AJ347" s="75">
        <f t="shared" si="232"/>
        <v>1</v>
      </c>
      <c r="AK347" s="73">
        <f t="shared" si="233"/>
        <v>0.3597027968</v>
      </c>
      <c r="AL347" s="73">
        <f t="shared" si="234"/>
        <v>1.173066849</v>
      </c>
      <c r="AM347" s="73">
        <f t="shared" si="235"/>
        <v>1.526203901</v>
      </c>
      <c r="AN347" s="75">
        <v>24.33</v>
      </c>
      <c r="AO347" s="76">
        <v>24.0</v>
      </c>
      <c r="AP347" s="73">
        <f t="shared" si="236"/>
        <v>24</v>
      </c>
      <c r="AQ347" s="29" t="str">
        <f t="shared" si="237"/>
        <v>#REF!</v>
      </c>
      <c r="AR347" s="77" t="str">
        <f t="shared" si="238"/>
        <v>#REF!</v>
      </c>
      <c r="AS347" s="73"/>
      <c r="AT347" s="39"/>
    </row>
    <row r="348" ht="15.75" customHeight="1">
      <c r="A348" s="16" t="s">
        <v>1033</v>
      </c>
      <c r="B348" s="16" t="s">
        <v>430</v>
      </c>
      <c r="C348" s="16">
        <v>1978.0</v>
      </c>
      <c r="D348" s="16"/>
      <c r="E348" s="16">
        <v>1978.0</v>
      </c>
      <c r="F348" s="16" t="b">
        <v>0</v>
      </c>
      <c r="G348" s="16" t="b">
        <v>0</v>
      </c>
      <c r="H348" s="16" t="b">
        <v>1</v>
      </c>
      <c r="I348" s="16" t="b">
        <v>0</v>
      </c>
      <c r="J348" s="18">
        <v>1800.0</v>
      </c>
      <c r="K348" s="18">
        <v>672.0</v>
      </c>
      <c r="L348" s="16"/>
      <c r="M348" s="16">
        <v>0.0</v>
      </c>
      <c r="N348" s="16">
        <v>5.2</v>
      </c>
      <c r="O348" s="16">
        <v>0.445</v>
      </c>
      <c r="P348" s="18">
        <v>1.0</v>
      </c>
      <c r="Q348" s="16">
        <v>326.0</v>
      </c>
      <c r="R348" s="16">
        <v>0.94</v>
      </c>
      <c r="S348" s="16">
        <v>0.999758</v>
      </c>
      <c r="T348" s="16">
        <v>0.99967</v>
      </c>
      <c r="U348" s="19">
        <f t="shared" si="1"/>
        <v>0</v>
      </c>
      <c r="V348" s="19">
        <f t="shared" si="2"/>
        <v>8.726417566</v>
      </c>
      <c r="W348" s="20">
        <f t="shared" si="3"/>
        <v>37.99661089</v>
      </c>
      <c r="X348" s="17">
        <f t="shared" si="246"/>
        <v>16.90849185</v>
      </c>
      <c r="Y348" s="21">
        <f t="shared" si="4"/>
        <v>1.75</v>
      </c>
      <c r="Z348" s="21">
        <f t="shared" si="5"/>
        <v>46.49835258</v>
      </c>
      <c r="AA348" s="21">
        <f t="shared" si="6"/>
        <v>104.49068</v>
      </c>
      <c r="AB348" s="22" t="str">
        <f t="shared" si="7"/>
        <v>#N/A</v>
      </c>
      <c r="AC348" s="8">
        <f t="shared" si="225"/>
        <v>17.23699138</v>
      </c>
      <c r="AD348" s="13" t="str">
        <f t="shared" si="226"/>
        <v>#N/A</v>
      </c>
      <c r="AE348" s="8">
        <f t="shared" si="227"/>
        <v>17.23699138</v>
      </c>
      <c r="AF348" s="73">
        <f t="shared" si="228"/>
        <v>1.997918943</v>
      </c>
      <c r="AG348" s="74" t="str">
        <f t="shared" si="229"/>
        <v>#REF!</v>
      </c>
      <c r="AH348" s="73">
        <f t="shared" si="230"/>
        <v>0</v>
      </c>
      <c r="AI348" s="73">
        <f t="shared" si="231"/>
        <v>1.092040168</v>
      </c>
      <c r="AJ348" s="75">
        <f t="shared" si="232"/>
        <v>1</v>
      </c>
      <c r="AK348" s="73">
        <f t="shared" si="233"/>
        <v>0.3302729471</v>
      </c>
      <c r="AL348" s="73">
        <f t="shared" si="234"/>
        <v>1.312966516</v>
      </c>
      <c r="AM348" s="73">
        <f t="shared" si="235"/>
        <v>1.793006019</v>
      </c>
      <c r="AN348" s="75">
        <v>10.99</v>
      </c>
      <c r="AO348" s="76">
        <v>11.0</v>
      </c>
      <c r="AP348" s="73">
        <f t="shared" si="236"/>
        <v>11</v>
      </c>
      <c r="AQ348" s="29" t="str">
        <f t="shared" si="237"/>
        <v>#REF!</v>
      </c>
      <c r="AR348" s="77" t="str">
        <f t="shared" si="238"/>
        <v>#REF!</v>
      </c>
      <c r="AS348" s="73"/>
      <c r="AT348" s="39"/>
    </row>
    <row r="349" ht="15.75" customHeight="1">
      <c r="A349" s="7" t="s">
        <v>1032</v>
      </c>
      <c r="B349" s="7" t="s">
        <v>430</v>
      </c>
      <c r="C349" s="7">
        <v>1978.0</v>
      </c>
      <c r="D349" s="7"/>
      <c r="E349" s="7">
        <v>1978.0</v>
      </c>
      <c r="F349" s="7" t="b">
        <v>0</v>
      </c>
      <c r="G349" s="7" t="b">
        <v>0</v>
      </c>
      <c r="H349" s="7" t="b">
        <v>1</v>
      </c>
      <c r="I349" s="7" t="b">
        <v>0</v>
      </c>
      <c r="J349" s="9">
        <v>7200.0</v>
      </c>
      <c r="K349" s="9">
        <v>500.0</v>
      </c>
      <c r="L349" s="7"/>
      <c r="M349" s="7">
        <v>0.0</v>
      </c>
      <c r="N349" s="7">
        <v>5.2</v>
      </c>
      <c r="O349" s="7">
        <v>0.445</v>
      </c>
      <c r="P349" s="9">
        <v>1.0</v>
      </c>
      <c r="Q349" s="7">
        <v>320.6</v>
      </c>
      <c r="R349" s="7">
        <v>0.94</v>
      </c>
      <c r="S349" s="7">
        <v>0.999758</v>
      </c>
      <c r="T349" s="7">
        <v>0.99967</v>
      </c>
      <c r="U349" s="10">
        <f t="shared" si="1"/>
        <v>0</v>
      </c>
      <c r="V349" s="10">
        <f t="shared" si="2"/>
        <v>8.726417566</v>
      </c>
      <c r="W349" s="11">
        <f t="shared" si="3"/>
        <v>37.67410444</v>
      </c>
      <c r="X349" s="8">
        <f t="shared" si="246"/>
        <v>16.76497648</v>
      </c>
      <c r="Y349" s="12">
        <f t="shared" si="4"/>
        <v>1.75</v>
      </c>
      <c r="Z349" s="12">
        <f t="shared" si="5"/>
        <v>46.10368531</v>
      </c>
      <c r="AA349" s="12">
        <f t="shared" si="6"/>
        <v>103.6037872</v>
      </c>
      <c r="AB349" s="13" t="str">
        <f t="shared" si="7"/>
        <v>#N/A</v>
      </c>
      <c r="AC349" s="8">
        <f t="shared" si="225"/>
        <v>17.09068778</v>
      </c>
      <c r="AD349" s="13" t="str">
        <f t="shared" si="226"/>
        <v>#N/A</v>
      </c>
      <c r="AE349" s="8">
        <f t="shared" si="227"/>
        <v>17.09068778</v>
      </c>
      <c r="AF349" s="73">
        <f t="shared" si="228"/>
        <v>1.997918943</v>
      </c>
      <c r="AG349" s="74" t="str">
        <f t="shared" si="229"/>
        <v>#REF!</v>
      </c>
      <c r="AH349" s="73">
        <f t="shared" si="230"/>
        <v>0</v>
      </c>
      <c r="AI349" s="73">
        <f t="shared" si="231"/>
        <v>1.067190028</v>
      </c>
      <c r="AJ349" s="75">
        <f t="shared" si="232"/>
        <v>1</v>
      </c>
      <c r="AK349" s="73">
        <f t="shared" si="233"/>
        <v>0.3302729471</v>
      </c>
      <c r="AL349" s="73">
        <f t="shared" si="234"/>
        <v>1.23463118</v>
      </c>
      <c r="AM349" s="73">
        <f t="shared" si="235"/>
        <v>2.037225128</v>
      </c>
      <c r="AN349" s="75">
        <v>11.62</v>
      </c>
      <c r="AO349" s="76">
        <v>11.5</v>
      </c>
      <c r="AP349" s="73">
        <f t="shared" si="236"/>
        <v>11.5</v>
      </c>
      <c r="AQ349" s="29" t="str">
        <f t="shared" si="237"/>
        <v>#REF!</v>
      </c>
      <c r="AR349" s="77" t="str">
        <f t="shared" si="238"/>
        <v>#REF!</v>
      </c>
      <c r="AS349" s="73"/>
      <c r="AT349" s="39"/>
    </row>
    <row r="350" ht="15.75" customHeight="1">
      <c r="A350" s="7" t="s">
        <v>615</v>
      </c>
      <c r="B350" s="7" t="s">
        <v>614</v>
      </c>
      <c r="C350" s="7">
        <v>1978.0</v>
      </c>
      <c r="D350" s="7"/>
      <c r="E350" s="7">
        <v>1978.0</v>
      </c>
      <c r="F350" s="7" t="b">
        <v>1</v>
      </c>
      <c r="G350" s="7" t="b">
        <v>0</v>
      </c>
      <c r="H350" s="7" t="b">
        <v>0</v>
      </c>
      <c r="I350" s="7" t="b">
        <v>0</v>
      </c>
      <c r="J350" s="9">
        <v>130.0</v>
      </c>
      <c r="K350" s="7">
        <v>1.0</v>
      </c>
      <c r="L350" s="7">
        <v>445.0</v>
      </c>
      <c r="M350" s="7">
        <v>0.0</v>
      </c>
      <c r="N350" s="7">
        <v>770.0</v>
      </c>
      <c r="O350" s="7">
        <v>1235.7</v>
      </c>
      <c r="P350" s="9">
        <v>295.6</v>
      </c>
      <c r="Q350" s="7">
        <v>318.5</v>
      </c>
      <c r="R350" s="7">
        <v>22.55</v>
      </c>
      <c r="S350" s="7">
        <v>0.996957</v>
      </c>
      <c r="T350" s="7">
        <v>0.995175</v>
      </c>
      <c r="U350" s="10">
        <f t="shared" si="1"/>
        <v>445</v>
      </c>
      <c r="V350" s="10">
        <f t="shared" si="2"/>
        <v>163.6445871</v>
      </c>
      <c r="W350" s="11">
        <f t="shared" si="3"/>
        <v>0.3806304952</v>
      </c>
      <c r="X350" s="8">
        <f t="shared" si="246"/>
        <v>470.345103</v>
      </c>
      <c r="Y350" s="12">
        <f t="shared" si="4"/>
        <v>4</v>
      </c>
      <c r="Z350" s="12">
        <f t="shared" si="5"/>
        <v>2351.725515</v>
      </c>
      <c r="AA350" s="12">
        <f t="shared" si="6"/>
        <v>1.903152476</v>
      </c>
      <c r="AB350" s="13">
        <f t="shared" si="7"/>
        <v>1.056955288</v>
      </c>
      <c r="AC350" s="8">
        <f t="shared" si="225"/>
        <v>476.0582356</v>
      </c>
      <c r="AD350" s="13">
        <f t="shared" si="226"/>
        <v>1.069793788</v>
      </c>
      <c r="AE350" s="8">
        <f t="shared" si="227"/>
        <v>476.0582356</v>
      </c>
      <c r="AF350" s="73">
        <f t="shared" si="228"/>
        <v>158.6393693</v>
      </c>
      <c r="AG350" s="74" t="str">
        <f t="shared" si="229"/>
        <v>#REF!</v>
      </c>
      <c r="AH350" s="73">
        <f t="shared" si="230"/>
        <v>0</v>
      </c>
      <c r="AI350" s="73">
        <f t="shared" si="231"/>
        <v>0</v>
      </c>
      <c r="AJ350" s="75">
        <f t="shared" si="232"/>
        <v>1.388690921</v>
      </c>
      <c r="AK350" s="73">
        <f t="shared" si="233"/>
        <v>1.43022982</v>
      </c>
      <c r="AL350" s="73">
        <f t="shared" si="234"/>
        <v>1.20594258</v>
      </c>
      <c r="AM350" s="73">
        <f t="shared" si="235"/>
        <v>1.001856123</v>
      </c>
      <c r="AN350" s="75">
        <v>507.89</v>
      </c>
      <c r="AO350" s="76">
        <v>510.0</v>
      </c>
      <c r="AP350" s="73">
        <f t="shared" si="236"/>
        <v>510</v>
      </c>
      <c r="AQ350" s="29" t="str">
        <f t="shared" si="237"/>
        <v>#REF!</v>
      </c>
      <c r="AR350" s="77" t="str">
        <f t="shared" si="238"/>
        <v>#REF!</v>
      </c>
      <c r="AS350" s="73"/>
      <c r="AT350" s="39"/>
    </row>
    <row r="351" ht="15.75" customHeight="1">
      <c r="A351" s="16" t="s">
        <v>621</v>
      </c>
      <c r="B351" s="16" t="s">
        <v>622</v>
      </c>
      <c r="C351" s="16">
        <v>1978.0</v>
      </c>
      <c r="D351" s="16" t="b">
        <v>1</v>
      </c>
      <c r="E351" s="16">
        <v>1978.0</v>
      </c>
      <c r="F351" s="16" t="b">
        <v>1</v>
      </c>
      <c r="G351" s="16" t="b">
        <v>0</v>
      </c>
      <c r="H351" s="16" t="b">
        <v>1</v>
      </c>
      <c r="I351" s="16" t="b">
        <v>0</v>
      </c>
      <c r="J351" s="18">
        <v>750.0</v>
      </c>
      <c r="K351" s="18">
        <v>7.0</v>
      </c>
      <c r="L351" s="16">
        <v>800.0</v>
      </c>
      <c r="M351" s="16">
        <v>0.0</v>
      </c>
      <c r="N351" s="16">
        <v>183.0</v>
      </c>
      <c r="O351" s="16">
        <v>96.67</v>
      </c>
      <c r="P351" s="18">
        <v>277.0</v>
      </c>
      <c r="Q351" s="16">
        <v>400.0</v>
      </c>
      <c r="R351" s="16">
        <v>11.76</v>
      </c>
      <c r="S351" s="16">
        <v>0.990909</v>
      </c>
      <c r="T351" s="16">
        <v>0.988235</v>
      </c>
      <c r="U351" s="19">
        <f t="shared" si="1"/>
        <v>800</v>
      </c>
      <c r="V351" s="19">
        <f t="shared" si="2"/>
        <v>53.8666481</v>
      </c>
      <c r="W351" s="20">
        <f t="shared" si="3"/>
        <v>9.400766479</v>
      </c>
      <c r="X351" s="17">
        <f t="shared" ref="X351:X352" si="247">0.9*(0.00015*N351*Q351*R351+797)+0.1*(43.1*POWER(N351,0.549))</f>
        <v>908.7720955</v>
      </c>
      <c r="Y351" s="21">
        <f t="shared" si="4"/>
        <v>4</v>
      </c>
      <c r="Z351" s="21">
        <f t="shared" si="5"/>
        <v>4543.860477</v>
      </c>
      <c r="AA351" s="21">
        <f t="shared" si="6"/>
        <v>47.00383239</v>
      </c>
      <c r="AB351" s="22">
        <f t="shared" si="7"/>
        <v>1.135965119</v>
      </c>
      <c r="AC351" s="8">
        <f t="shared" si="225"/>
        <v>908.0913849</v>
      </c>
      <c r="AD351" s="13">
        <f t="shared" si="226"/>
        <v>1.135114231</v>
      </c>
      <c r="AE351" s="8">
        <f t="shared" si="227"/>
        <v>205.5336199</v>
      </c>
      <c r="AF351" s="73">
        <f t="shared" si="228"/>
        <v>21.03423633</v>
      </c>
      <c r="AG351" s="74" t="str">
        <f t="shared" si="229"/>
        <v>#REF!</v>
      </c>
      <c r="AH351" s="73">
        <f t="shared" si="230"/>
        <v>0</v>
      </c>
      <c r="AI351" s="73">
        <f t="shared" si="231"/>
        <v>0.4835836299</v>
      </c>
      <c r="AJ351" s="75">
        <f t="shared" si="232"/>
        <v>1.016405258</v>
      </c>
      <c r="AK351" s="73">
        <f t="shared" si="233"/>
        <v>0.8205687669</v>
      </c>
      <c r="AL351" s="73">
        <f t="shared" si="234"/>
        <v>3.314422682</v>
      </c>
      <c r="AM351" s="73">
        <f t="shared" si="235"/>
        <v>1.586729921</v>
      </c>
      <c r="AN351" s="75">
        <v>175.57</v>
      </c>
      <c r="AO351" s="76">
        <v>180.0</v>
      </c>
      <c r="AP351" s="73">
        <f t="shared" si="236"/>
        <v>180</v>
      </c>
      <c r="AQ351" s="29" t="str">
        <f t="shared" si="237"/>
        <v>#REF!</v>
      </c>
      <c r="AR351" s="77" t="str">
        <f t="shared" si="238"/>
        <v>#REF!</v>
      </c>
      <c r="AS351" s="73"/>
      <c r="AT351" s="39"/>
    </row>
    <row r="352" ht="15.75" customHeight="1">
      <c r="A352" s="16" t="s">
        <v>695</v>
      </c>
      <c r="B352" s="16" t="s">
        <v>696</v>
      </c>
      <c r="C352" s="16">
        <v>1979.0</v>
      </c>
      <c r="D352" s="16" t="b">
        <v>1</v>
      </c>
      <c r="E352" s="16">
        <v>1979.0</v>
      </c>
      <c r="F352" s="16" t="b">
        <v>1</v>
      </c>
      <c r="G352" s="16" t="b">
        <v>0</v>
      </c>
      <c r="H352" s="16" t="b">
        <v>1</v>
      </c>
      <c r="I352" s="16" t="b">
        <v>0</v>
      </c>
      <c r="J352" s="18">
        <v>2000.0</v>
      </c>
      <c r="K352" s="18">
        <v>60.0</v>
      </c>
      <c r="L352" s="16">
        <v>666.0</v>
      </c>
      <c r="M352" s="16">
        <v>0.0</v>
      </c>
      <c r="N352" s="16">
        <v>174.0</v>
      </c>
      <c r="O352" s="16">
        <v>88.964</v>
      </c>
      <c r="P352" s="18">
        <v>220.0</v>
      </c>
      <c r="Q352" s="16">
        <v>473.4</v>
      </c>
      <c r="R352" s="16">
        <v>15.4</v>
      </c>
      <c r="S352" s="16">
        <v>0.993333</v>
      </c>
      <c r="T352" s="16">
        <v>0.996667</v>
      </c>
      <c r="U352" s="19">
        <f t="shared" si="1"/>
        <v>666</v>
      </c>
      <c r="V352" s="19">
        <f t="shared" si="2"/>
        <v>52.13680052</v>
      </c>
      <c r="W352" s="20">
        <f t="shared" si="3"/>
        <v>10.81061137</v>
      </c>
      <c r="X352" s="17">
        <f t="shared" si="247"/>
        <v>961.7552298</v>
      </c>
      <c r="Y352" s="21">
        <f t="shared" si="4"/>
        <v>4</v>
      </c>
      <c r="Z352" s="21">
        <f t="shared" si="5"/>
        <v>4808.776149</v>
      </c>
      <c r="AA352" s="21">
        <f t="shared" si="6"/>
        <v>54.05305684</v>
      </c>
      <c r="AB352" s="22">
        <f t="shared" si="7"/>
        <v>1.444076922</v>
      </c>
      <c r="AC352" s="8">
        <f t="shared" si="225"/>
        <v>971.3941534</v>
      </c>
      <c r="AD352" s="13">
        <f t="shared" si="226"/>
        <v>1.45854978</v>
      </c>
      <c r="AE352" s="8">
        <f t="shared" si="227"/>
        <v>225.5895197</v>
      </c>
      <c r="AF352" s="73">
        <f t="shared" si="228"/>
        <v>19.85992695</v>
      </c>
      <c r="AG352" s="74" t="str">
        <f t="shared" si="229"/>
        <v>#REF!</v>
      </c>
      <c r="AH352" s="73">
        <f t="shared" si="230"/>
        <v>0</v>
      </c>
      <c r="AI352" s="73">
        <f t="shared" si="231"/>
        <v>0.8386048453</v>
      </c>
      <c r="AJ352" s="75">
        <f t="shared" si="232"/>
        <v>1</v>
      </c>
      <c r="AK352" s="73">
        <f t="shared" si="233"/>
        <v>0.8072855793</v>
      </c>
      <c r="AL352" s="73">
        <f t="shared" si="234"/>
        <v>9.646736935</v>
      </c>
      <c r="AM352" s="73">
        <f t="shared" si="235"/>
        <v>1.814812553</v>
      </c>
      <c r="AN352" s="75">
        <v>684.21</v>
      </c>
      <c r="AO352" s="76">
        <v>680.0</v>
      </c>
      <c r="AP352" s="73">
        <f t="shared" si="236"/>
        <v>680</v>
      </c>
      <c r="AQ352" s="29" t="str">
        <f t="shared" si="237"/>
        <v>#REF!</v>
      </c>
      <c r="AR352" s="77" t="str">
        <f t="shared" si="238"/>
        <v>#REF!</v>
      </c>
      <c r="AS352" s="73"/>
      <c r="AT352" s="39"/>
    </row>
    <row r="353" ht="15.75" customHeight="1">
      <c r="A353" s="7" t="s">
        <v>73</v>
      </c>
      <c r="B353" s="7" t="s">
        <v>74</v>
      </c>
      <c r="C353" s="7">
        <v>1981.0</v>
      </c>
      <c r="D353" s="7"/>
      <c r="E353" s="7">
        <v>1981.0</v>
      </c>
      <c r="F353" s="7" t="b">
        <v>0</v>
      </c>
      <c r="G353" s="7" t="b">
        <v>0</v>
      </c>
      <c r="H353" s="7" t="b">
        <v>1</v>
      </c>
      <c r="I353" s="7" t="b">
        <v>0</v>
      </c>
      <c r="J353" s="9">
        <v>1250.0</v>
      </c>
      <c r="K353" s="9">
        <v>500.0</v>
      </c>
      <c r="L353" s="7">
        <v>300.0</v>
      </c>
      <c r="M353" s="7">
        <v>0.0</v>
      </c>
      <c r="N353" s="7">
        <v>125.0</v>
      </c>
      <c r="O353" s="7">
        <v>26.7</v>
      </c>
      <c r="P353" s="9">
        <v>1.0</v>
      </c>
      <c r="Q353" s="7">
        <v>316.0</v>
      </c>
      <c r="R353" s="7">
        <v>0.86</v>
      </c>
      <c r="S353" s="7">
        <v>0.999814</v>
      </c>
      <c r="T353" s="7">
        <v>0.999442</v>
      </c>
      <c r="U353" s="10">
        <f t="shared" si="1"/>
        <v>300</v>
      </c>
      <c r="V353" s="10">
        <f t="shared" si="2"/>
        <v>21.78113825</v>
      </c>
      <c r="W353" s="11">
        <f t="shared" si="3"/>
        <v>4.312041131</v>
      </c>
      <c r="X353" s="8">
        <f t="shared" ref="X353:X356" si="248">0.2*(8.17*POWER(N353*R353,0.46))+0.8*(0.146*POWER(N353*Q353,0.639))</f>
        <v>115.1314982</v>
      </c>
      <c r="Y353" s="12">
        <f t="shared" si="4"/>
        <v>1.75</v>
      </c>
      <c r="Z353" s="12">
        <f t="shared" si="5"/>
        <v>316.6116201</v>
      </c>
      <c r="AA353" s="12">
        <f t="shared" si="6"/>
        <v>11.85811311</v>
      </c>
      <c r="AB353" s="13">
        <f t="shared" si="7"/>
        <v>0.3837716607</v>
      </c>
      <c r="AC353" s="8">
        <f t="shared" si="225"/>
        <v>117.3484823</v>
      </c>
      <c r="AD353" s="13">
        <f t="shared" si="226"/>
        <v>0.3911616076</v>
      </c>
      <c r="AE353" s="8">
        <f t="shared" si="227"/>
        <v>117.3484823</v>
      </c>
      <c r="AF353" s="73">
        <f t="shared" si="228"/>
        <v>8.482428526</v>
      </c>
      <c r="AG353" s="74" t="str">
        <f t="shared" si="229"/>
        <v>#REF!</v>
      </c>
      <c r="AH353" s="73">
        <f t="shared" si="230"/>
        <v>0</v>
      </c>
      <c r="AI353" s="73">
        <f t="shared" si="231"/>
        <v>1.067190028</v>
      </c>
      <c r="AJ353" s="75">
        <f t="shared" si="232"/>
        <v>1</v>
      </c>
      <c r="AK353" s="73">
        <f t="shared" si="233"/>
        <v>0.521789448</v>
      </c>
      <c r="AL353" s="73">
        <f t="shared" si="234"/>
        <v>1.173066849</v>
      </c>
      <c r="AM353" s="73">
        <f t="shared" si="235"/>
        <v>1.712752992</v>
      </c>
      <c r="AN353" s="75">
        <v>39.58</v>
      </c>
      <c r="AO353" s="76">
        <v>40.0</v>
      </c>
      <c r="AP353" s="73">
        <f t="shared" si="236"/>
        <v>40</v>
      </c>
      <c r="AQ353" s="29" t="str">
        <f t="shared" si="237"/>
        <v>#REF!</v>
      </c>
      <c r="AR353" s="77" t="str">
        <f t="shared" si="238"/>
        <v>#REF!</v>
      </c>
      <c r="AS353" s="73"/>
      <c r="AT353" s="39"/>
    </row>
    <row r="354" ht="15.75" customHeight="1">
      <c r="A354" s="16" t="s">
        <v>425</v>
      </c>
      <c r="B354" s="16" t="s">
        <v>424</v>
      </c>
      <c r="C354" s="16">
        <v>1981.0</v>
      </c>
      <c r="D354" s="16"/>
      <c r="E354" s="16">
        <v>1981.0</v>
      </c>
      <c r="F354" s="16" t="b">
        <v>0</v>
      </c>
      <c r="G354" s="16" t="b">
        <v>0</v>
      </c>
      <c r="H354" s="16" t="b">
        <v>1</v>
      </c>
      <c r="I354" s="16" t="b">
        <v>0</v>
      </c>
      <c r="J354" s="18">
        <v>23000.0</v>
      </c>
      <c r="K354" s="18">
        <v>999.0</v>
      </c>
      <c r="L354" s="16">
        <v>150.0</v>
      </c>
      <c r="M354" s="16">
        <v>0.0</v>
      </c>
      <c r="N354" s="16">
        <v>10.5</v>
      </c>
      <c r="O354" s="16">
        <v>3.87</v>
      </c>
      <c r="P354" s="18">
        <v>84.0</v>
      </c>
      <c r="Q354" s="16">
        <v>281.0</v>
      </c>
      <c r="R354" s="16">
        <v>0.99</v>
      </c>
      <c r="S354" s="16">
        <v>0.999814</v>
      </c>
      <c r="T354" s="16">
        <v>0.999442</v>
      </c>
      <c r="U354" s="19">
        <f t="shared" si="1"/>
        <v>150</v>
      </c>
      <c r="V354" s="19">
        <f t="shared" si="2"/>
        <v>37.58382603</v>
      </c>
      <c r="W354" s="20">
        <f t="shared" si="3"/>
        <v>6.216912126</v>
      </c>
      <c r="X354" s="17">
        <f t="shared" si="248"/>
        <v>24.05944993</v>
      </c>
      <c r="Y354" s="21">
        <f t="shared" si="4"/>
        <v>1.75</v>
      </c>
      <c r="Z354" s="21">
        <f t="shared" si="5"/>
        <v>66.1634873</v>
      </c>
      <c r="AA354" s="21">
        <f t="shared" si="6"/>
        <v>17.09650835</v>
      </c>
      <c r="AB354" s="22">
        <f t="shared" si="7"/>
        <v>0.1603963329</v>
      </c>
      <c r="AC354" s="8">
        <f t="shared" si="225"/>
        <v>24.52274119</v>
      </c>
      <c r="AD354" s="13">
        <f t="shared" si="226"/>
        <v>0.1634849413</v>
      </c>
      <c r="AE354" s="8">
        <f t="shared" si="227"/>
        <v>24.52274119</v>
      </c>
      <c r="AF354" s="73">
        <f t="shared" si="228"/>
        <v>3.1939169</v>
      </c>
      <c r="AG354" s="74" t="str">
        <f t="shared" si="229"/>
        <v>#REF!</v>
      </c>
      <c r="AH354" s="73">
        <f t="shared" si="230"/>
        <v>0</v>
      </c>
      <c r="AI354" s="73">
        <f t="shared" si="231"/>
        <v>1.123141633</v>
      </c>
      <c r="AJ354" s="75">
        <f t="shared" si="232"/>
        <v>1</v>
      </c>
      <c r="AK354" s="73">
        <f t="shared" si="233"/>
        <v>0.6854179931</v>
      </c>
      <c r="AL354" s="73">
        <f t="shared" si="234"/>
        <v>0.8777280604</v>
      </c>
      <c r="AM354" s="73">
        <f t="shared" si="235"/>
        <v>2.183905563</v>
      </c>
      <c r="AN354" s="75">
        <v>15.43</v>
      </c>
      <c r="AO354" s="76">
        <v>15.5</v>
      </c>
      <c r="AP354" s="73">
        <f t="shared" si="236"/>
        <v>15.5</v>
      </c>
      <c r="AQ354" s="29" t="str">
        <f t="shared" si="237"/>
        <v>#REF!</v>
      </c>
      <c r="AR354" s="77" t="str">
        <f t="shared" si="238"/>
        <v>#REF!</v>
      </c>
      <c r="AS354" s="73"/>
      <c r="AT354" s="39"/>
    </row>
    <row r="355" ht="15.75" customHeight="1">
      <c r="A355" s="7" t="s">
        <v>423</v>
      </c>
      <c r="B355" s="7" t="s">
        <v>424</v>
      </c>
      <c r="C355" s="7">
        <v>1981.0</v>
      </c>
      <c r="D355" s="7"/>
      <c r="E355" s="7">
        <v>1981.0</v>
      </c>
      <c r="F355" s="7" t="b">
        <v>0</v>
      </c>
      <c r="G355" s="7" t="b">
        <v>0</v>
      </c>
      <c r="H355" s="7" t="b">
        <v>1</v>
      </c>
      <c r="I355" s="7" t="b">
        <v>0</v>
      </c>
      <c r="J355" s="9">
        <v>23000.0</v>
      </c>
      <c r="K355" s="9">
        <v>999.0</v>
      </c>
      <c r="L355" s="7">
        <v>150.0</v>
      </c>
      <c r="M355" s="7">
        <v>0.0</v>
      </c>
      <c r="N355" s="7">
        <v>10.5</v>
      </c>
      <c r="O355" s="7">
        <v>4.0</v>
      </c>
      <c r="P355" s="9">
        <v>1.0</v>
      </c>
      <c r="Q355" s="7">
        <v>293.0</v>
      </c>
      <c r="R355" s="7">
        <v>1.034</v>
      </c>
      <c r="S355" s="7">
        <v>0.999814</v>
      </c>
      <c r="T355" s="7">
        <v>0.999442</v>
      </c>
      <c r="U355" s="10">
        <f t="shared" si="1"/>
        <v>150</v>
      </c>
      <c r="V355" s="10">
        <f t="shared" si="2"/>
        <v>38.84633181</v>
      </c>
      <c r="W355" s="11">
        <f t="shared" si="3"/>
        <v>6.169508265</v>
      </c>
      <c r="X355" s="8">
        <f t="shared" si="248"/>
        <v>24.67803306</v>
      </c>
      <c r="Y355" s="12">
        <f t="shared" si="4"/>
        <v>1.75</v>
      </c>
      <c r="Z355" s="12">
        <f t="shared" si="5"/>
        <v>67.86459092</v>
      </c>
      <c r="AA355" s="12">
        <f t="shared" si="6"/>
        <v>16.96614773</v>
      </c>
      <c r="AB355" s="13">
        <f t="shared" si="7"/>
        <v>0.1645202204</v>
      </c>
      <c r="AC355" s="8">
        <f t="shared" si="225"/>
        <v>25.15323583</v>
      </c>
      <c r="AD355" s="13">
        <f t="shared" si="226"/>
        <v>0.1676882388</v>
      </c>
      <c r="AE355" s="8">
        <f t="shared" si="227"/>
        <v>25.15323583</v>
      </c>
      <c r="AF355" s="73">
        <f t="shared" si="228"/>
        <v>3.22943595</v>
      </c>
      <c r="AG355" s="74" t="str">
        <f t="shared" si="229"/>
        <v>#REF!</v>
      </c>
      <c r="AH355" s="73">
        <f t="shared" si="230"/>
        <v>0</v>
      </c>
      <c r="AI355" s="73">
        <f t="shared" si="231"/>
        <v>1.123141633</v>
      </c>
      <c r="AJ355" s="75">
        <f t="shared" si="232"/>
        <v>1</v>
      </c>
      <c r="AK355" s="73">
        <f t="shared" si="233"/>
        <v>0.6968350936</v>
      </c>
      <c r="AL355" s="73">
        <f t="shared" si="234"/>
        <v>0.9530871741</v>
      </c>
      <c r="AM355" s="73">
        <f t="shared" si="235"/>
        <v>2.183905563</v>
      </c>
      <c r="AN355" s="75">
        <v>17.01</v>
      </c>
      <c r="AO355" s="76">
        <v>17.0</v>
      </c>
      <c r="AP355" s="73">
        <f t="shared" si="236"/>
        <v>17</v>
      </c>
      <c r="AQ355" s="29" t="str">
        <f t="shared" si="237"/>
        <v>#REF!</v>
      </c>
      <c r="AR355" s="77" t="str">
        <f t="shared" si="238"/>
        <v>#REF!</v>
      </c>
      <c r="AS355" s="73"/>
      <c r="AT355" s="39"/>
    </row>
    <row r="356" ht="15.75" customHeight="1">
      <c r="A356" s="16" t="s">
        <v>1035</v>
      </c>
      <c r="B356" s="16" t="s">
        <v>430</v>
      </c>
      <c r="C356" s="16">
        <v>1981.0</v>
      </c>
      <c r="D356" s="16"/>
      <c r="E356" s="16">
        <v>1981.0</v>
      </c>
      <c r="F356" s="16" t="b">
        <v>0</v>
      </c>
      <c r="G356" s="16" t="b">
        <v>0</v>
      </c>
      <c r="H356" s="16" t="b">
        <v>1</v>
      </c>
      <c r="I356" s="16" t="b">
        <v>0</v>
      </c>
      <c r="J356" s="18">
        <v>12000.0</v>
      </c>
      <c r="K356" s="18">
        <v>245.0</v>
      </c>
      <c r="L356" s="16"/>
      <c r="M356" s="16">
        <v>0.0</v>
      </c>
      <c r="N356" s="16">
        <v>3.76</v>
      </c>
      <c r="O356" s="16">
        <v>0.49</v>
      </c>
      <c r="P356" s="18">
        <v>1.0</v>
      </c>
      <c r="Q356" s="16">
        <v>311.0</v>
      </c>
      <c r="R356" s="16">
        <v>0.745</v>
      </c>
      <c r="S356" s="16">
        <v>0.999758</v>
      </c>
      <c r="T356" s="16">
        <v>0.99967</v>
      </c>
      <c r="U356" s="19">
        <f t="shared" si="1"/>
        <v>0</v>
      </c>
      <c r="V356" s="19">
        <f t="shared" si="2"/>
        <v>13.28885486</v>
      </c>
      <c r="W356" s="20">
        <f t="shared" si="3"/>
        <v>27.11626265</v>
      </c>
      <c r="X356" s="17">
        <f t="shared" si="248"/>
        <v>13.2869687</v>
      </c>
      <c r="Y356" s="21">
        <f t="shared" si="4"/>
        <v>1.75</v>
      </c>
      <c r="Z356" s="21">
        <f t="shared" si="5"/>
        <v>36.53916392</v>
      </c>
      <c r="AA356" s="21">
        <f t="shared" si="6"/>
        <v>74.56972229</v>
      </c>
      <c r="AB356" s="22" t="str">
        <f t="shared" si="7"/>
        <v>#N/A</v>
      </c>
      <c r="AC356" s="8">
        <f t="shared" si="225"/>
        <v>13.54510899</v>
      </c>
      <c r="AD356" s="13" t="str">
        <f t="shared" si="226"/>
        <v>#N/A</v>
      </c>
      <c r="AE356" s="8">
        <f t="shared" si="227"/>
        <v>13.54510899</v>
      </c>
      <c r="AF356" s="73">
        <f t="shared" si="228"/>
        <v>2.02616962</v>
      </c>
      <c r="AG356" s="74" t="str">
        <f t="shared" si="229"/>
        <v>#REF!</v>
      </c>
      <c r="AH356" s="73">
        <f t="shared" si="230"/>
        <v>0</v>
      </c>
      <c r="AI356" s="73">
        <f t="shared" si="231"/>
        <v>1.000819005</v>
      </c>
      <c r="AJ356" s="75">
        <f t="shared" si="232"/>
        <v>1</v>
      </c>
      <c r="AK356" s="73">
        <f t="shared" si="233"/>
        <v>0.4075667869</v>
      </c>
      <c r="AL356" s="73">
        <f t="shared" si="234"/>
        <v>1.111492852</v>
      </c>
      <c r="AM356" s="73">
        <f t="shared" si="235"/>
        <v>2.107218922</v>
      </c>
      <c r="AN356" s="75">
        <v>10.41</v>
      </c>
      <c r="AO356" s="76">
        <v>10.5</v>
      </c>
      <c r="AP356" s="73">
        <f t="shared" si="236"/>
        <v>10.5</v>
      </c>
      <c r="AQ356" s="29" t="str">
        <f t="shared" si="237"/>
        <v>#REF!</v>
      </c>
      <c r="AR356" s="77" t="str">
        <f t="shared" si="238"/>
        <v>#REF!</v>
      </c>
      <c r="AS356" s="73"/>
      <c r="AT356" s="39"/>
    </row>
    <row r="357" ht="15.75" customHeight="1">
      <c r="A357" s="16" t="s">
        <v>171</v>
      </c>
      <c r="B357" s="16" t="s">
        <v>168</v>
      </c>
      <c r="C357" s="16">
        <v>1981.0</v>
      </c>
      <c r="D357" s="16" t="b">
        <v>1</v>
      </c>
      <c r="E357" s="16">
        <v>1981.0</v>
      </c>
      <c r="F357" s="16" t="b">
        <v>1</v>
      </c>
      <c r="G357" s="16" t="b">
        <v>0</v>
      </c>
      <c r="H357" s="16" t="b">
        <v>1</v>
      </c>
      <c r="I357" s="16" t="b">
        <v>0</v>
      </c>
      <c r="J357" s="18">
        <v>500.0</v>
      </c>
      <c r="K357" s="18">
        <v>5.0</v>
      </c>
      <c r="L357" s="16">
        <v>4200.0</v>
      </c>
      <c r="M357" s="16">
        <v>500.0</v>
      </c>
      <c r="N357" s="16">
        <v>1780.0</v>
      </c>
      <c r="O357" s="16">
        <v>1400.7</v>
      </c>
      <c r="P357" s="18">
        <v>270.0</v>
      </c>
      <c r="Q357" s="16">
        <v>451.0</v>
      </c>
      <c r="R357" s="16">
        <v>11.5</v>
      </c>
      <c r="S357" s="16">
        <v>0.97</v>
      </c>
      <c r="T357" s="16">
        <v>0.98</v>
      </c>
      <c r="U357" s="19">
        <f t="shared" si="1"/>
        <v>4700</v>
      </c>
      <c r="V357" s="19">
        <f t="shared" si="2"/>
        <v>80.24249974</v>
      </c>
      <c r="W357" s="20">
        <f t="shared" si="3"/>
        <v>1.589214205</v>
      </c>
      <c r="X357" s="17">
        <f t="shared" ref="X357:X360" si="249">0.9*(0.00015*N357*Q357*R357+797)+0.1*(43.1*POWER(N357,0.549))</f>
        <v>2226.012337</v>
      </c>
      <c r="Y357" s="21">
        <f t="shared" si="4"/>
        <v>4</v>
      </c>
      <c r="Z357" s="21">
        <f t="shared" si="5"/>
        <v>11130.06169</v>
      </c>
      <c r="AA357" s="21">
        <f t="shared" si="6"/>
        <v>7.946071026</v>
      </c>
      <c r="AB357" s="22">
        <f t="shared" si="7"/>
        <v>0.4736196462</v>
      </c>
      <c r="AC357" s="8">
        <f t="shared" si="225"/>
        <v>2160.567575</v>
      </c>
      <c r="AD357" s="13">
        <f t="shared" si="226"/>
        <v>0.4596952286</v>
      </c>
      <c r="AE357" s="8">
        <f t="shared" si="227"/>
        <v>824.7817736</v>
      </c>
      <c r="AF357" s="73">
        <f t="shared" si="228"/>
        <v>177.0998487</v>
      </c>
      <c r="AG357" s="74" t="str">
        <f t="shared" si="229"/>
        <v>#REF!</v>
      </c>
      <c r="AH357" s="73">
        <f t="shared" si="230"/>
        <v>0</v>
      </c>
      <c r="AI357" s="73">
        <f t="shared" si="231"/>
        <v>0.4128305045</v>
      </c>
      <c r="AJ357" s="75">
        <f t="shared" si="232"/>
        <v>1</v>
      </c>
      <c r="AK357" s="73">
        <f t="shared" si="233"/>
        <v>1.001514477</v>
      </c>
      <c r="AL357" s="73">
        <f t="shared" si="234"/>
        <v>6.589867833</v>
      </c>
      <c r="AM357" s="73">
        <f t="shared" si="235"/>
        <v>1.474076339</v>
      </c>
      <c r="AN357" s="75">
        <v>2080.79</v>
      </c>
      <c r="AO357" s="76">
        <v>2100.0</v>
      </c>
      <c r="AP357" s="73">
        <f t="shared" si="236"/>
        <v>2100</v>
      </c>
      <c r="AQ357" s="29" t="str">
        <f t="shared" si="237"/>
        <v>#REF!</v>
      </c>
      <c r="AR357" s="77" t="str">
        <f t="shared" si="238"/>
        <v>#REF!</v>
      </c>
      <c r="AS357" s="73"/>
      <c r="AT357" s="39"/>
    </row>
    <row r="358" ht="15.75" customHeight="1">
      <c r="A358" s="7" t="s">
        <v>170</v>
      </c>
      <c r="B358" s="7" t="s">
        <v>168</v>
      </c>
      <c r="C358" s="7">
        <v>1981.0</v>
      </c>
      <c r="D358" s="7" t="b">
        <v>1</v>
      </c>
      <c r="E358" s="7">
        <v>1981.0</v>
      </c>
      <c r="F358" s="7" t="b">
        <v>1</v>
      </c>
      <c r="G358" s="7" t="b">
        <v>0</v>
      </c>
      <c r="H358" s="7" t="b">
        <v>0</v>
      </c>
      <c r="I358" s="7" t="b">
        <v>0</v>
      </c>
      <c r="J358" s="9">
        <v>500.0</v>
      </c>
      <c r="K358" s="9">
        <v>2.0</v>
      </c>
      <c r="L358" s="7">
        <v>4200.0</v>
      </c>
      <c r="M358" s="7">
        <v>300.0</v>
      </c>
      <c r="N358" s="7">
        <f>1780*0.973574409</f>
        <v>1732.962448</v>
      </c>
      <c r="O358" s="7">
        <v>1382.07</v>
      </c>
      <c r="P358" s="9">
        <v>340.0</v>
      </c>
      <c r="Q358" s="7">
        <v>445.0</v>
      </c>
      <c r="R358" s="7">
        <v>11.5</v>
      </c>
      <c r="S358" s="7">
        <v>0.97</v>
      </c>
      <c r="T358" s="7">
        <v>0.98</v>
      </c>
      <c r="U358" s="10">
        <f t="shared" si="1"/>
        <v>4500</v>
      </c>
      <c r="V358" s="10">
        <f t="shared" si="2"/>
        <v>81.32427705</v>
      </c>
      <c r="W358" s="11">
        <f t="shared" si="3"/>
        <v>1.572355541</v>
      </c>
      <c r="X358" s="8">
        <f t="shared" si="249"/>
        <v>2173.105423</v>
      </c>
      <c r="Y358" s="12">
        <f t="shared" si="4"/>
        <v>4</v>
      </c>
      <c r="Z358" s="12">
        <f t="shared" si="5"/>
        <v>10865.52711</v>
      </c>
      <c r="AA358" s="12">
        <f t="shared" si="6"/>
        <v>7.861777706</v>
      </c>
      <c r="AB358" s="13">
        <f t="shared" si="7"/>
        <v>0.4829123162</v>
      </c>
      <c r="AC358" s="8">
        <f t="shared" si="225"/>
        <v>2109.216123</v>
      </c>
      <c r="AD358" s="13">
        <f t="shared" si="226"/>
        <v>0.4687146941</v>
      </c>
      <c r="AE358" s="8">
        <f t="shared" si="227"/>
        <v>805.8765712</v>
      </c>
      <c r="AF358" s="73">
        <f t="shared" si="228"/>
        <v>175.0230297</v>
      </c>
      <c r="AG358" s="74" t="str">
        <f t="shared" si="229"/>
        <v>#REF!</v>
      </c>
      <c r="AH358" s="73">
        <f t="shared" si="230"/>
        <v>0</v>
      </c>
      <c r="AI358" s="73">
        <f t="shared" si="231"/>
        <v>0.1941741551</v>
      </c>
      <c r="AJ358" s="75">
        <f t="shared" si="232"/>
        <v>1.093970059</v>
      </c>
      <c r="AK358" s="73">
        <f t="shared" si="233"/>
        <v>1.00824276</v>
      </c>
      <c r="AL358" s="73">
        <f t="shared" si="234"/>
        <v>6.069553116</v>
      </c>
      <c r="AM358" s="73">
        <f t="shared" si="235"/>
        <v>1.474076339</v>
      </c>
      <c r="AN358" s="75">
        <v>1890.13</v>
      </c>
      <c r="AO358" s="76">
        <v>1900.0</v>
      </c>
      <c r="AP358" s="73">
        <f t="shared" si="236"/>
        <v>1900</v>
      </c>
      <c r="AQ358" s="29" t="str">
        <f t="shared" si="237"/>
        <v>#REF!</v>
      </c>
      <c r="AR358" s="77" t="str">
        <f t="shared" si="238"/>
        <v>#REF!</v>
      </c>
      <c r="AS358" s="73"/>
      <c r="AT358" s="39"/>
    </row>
    <row r="359" ht="15.75" customHeight="1">
      <c r="A359" s="16" t="s">
        <v>1034</v>
      </c>
      <c r="B359" s="16" t="s">
        <v>193</v>
      </c>
      <c r="C359" s="16">
        <v>1981.0</v>
      </c>
      <c r="D359" s="16" t="b">
        <v>1</v>
      </c>
      <c r="E359" s="16">
        <v>1981.0</v>
      </c>
      <c r="F359" s="16" t="b">
        <v>1</v>
      </c>
      <c r="G359" s="16" t="b">
        <v>0</v>
      </c>
      <c r="H359" s="16" t="b">
        <v>1</v>
      </c>
      <c r="I359" s="16" t="b">
        <v>0</v>
      </c>
      <c r="J359" s="18">
        <v>600.0</v>
      </c>
      <c r="K359" s="18">
        <v>3.0</v>
      </c>
      <c r="L359" s="16">
        <v>2235.0</v>
      </c>
      <c r="M359" s="16">
        <v>1000.0</v>
      </c>
      <c r="N359" s="16">
        <v>1511.0</v>
      </c>
      <c r="O359" s="16">
        <v>1111.6</v>
      </c>
      <c r="P359" s="18">
        <v>373.0</v>
      </c>
      <c r="Q359" s="16">
        <v>440.0</v>
      </c>
      <c r="R359" s="16">
        <v>8.96</v>
      </c>
      <c r="S359" s="16">
        <v>0.9999</v>
      </c>
      <c r="T359" s="16">
        <v>0.9999</v>
      </c>
      <c r="U359" s="19">
        <f t="shared" si="1"/>
        <v>3235</v>
      </c>
      <c r="V359" s="19">
        <f t="shared" si="2"/>
        <v>75.01763991</v>
      </c>
      <c r="W359" s="20">
        <f t="shared" si="3"/>
        <v>1.584486251</v>
      </c>
      <c r="X359" s="17">
        <f t="shared" si="249"/>
        <v>1761.314916</v>
      </c>
      <c r="Y359" s="21">
        <f t="shared" si="4"/>
        <v>4</v>
      </c>
      <c r="Z359" s="21">
        <f t="shared" si="5"/>
        <v>8806.574581</v>
      </c>
      <c r="AA359" s="21">
        <f t="shared" si="6"/>
        <v>7.922431253</v>
      </c>
      <c r="AB359" s="22">
        <f t="shared" si="7"/>
        <v>0.5444559246</v>
      </c>
      <c r="AC359" s="8">
        <f t="shared" si="225"/>
        <v>1796.188969</v>
      </c>
      <c r="AD359" s="13">
        <f t="shared" si="226"/>
        <v>0.5552361574</v>
      </c>
      <c r="AE359" s="8">
        <f t="shared" si="227"/>
        <v>758.6665718</v>
      </c>
      <c r="AF359" s="73">
        <f t="shared" si="228"/>
        <v>144.6449836</v>
      </c>
      <c r="AG359" s="74" t="str">
        <f t="shared" si="229"/>
        <v>#REF!</v>
      </c>
      <c r="AH359" s="73">
        <f t="shared" si="230"/>
        <v>0</v>
      </c>
      <c r="AI359" s="73">
        <f t="shared" si="231"/>
        <v>0.2958876574</v>
      </c>
      <c r="AJ359" s="75">
        <f t="shared" si="232"/>
        <v>1.227745124</v>
      </c>
      <c r="AK359" s="73">
        <f t="shared" si="233"/>
        <v>0.968359695</v>
      </c>
      <c r="AL359" s="73">
        <f t="shared" si="234"/>
        <v>5.668948711</v>
      </c>
      <c r="AM359" s="73">
        <f t="shared" si="235"/>
        <v>1.526203901</v>
      </c>
      <c r="AN359" s="75">
        <v>3190.01</v>
      </c>
      <c r="AO359" s="76">
        <v>3200.0</v>
      </c>
      <c r="AP359" s="73">
        <f t="shared" si="236"/>
        <v>3200</v>
      </c>
      <c r="AQ359" s="29" t="str">
        <f t="shared" si="237"/>
        <v>#REF!</v>
      </c>
      <c r="AR359" s="77" t="str">
        <f t="shared" si="238"/>
        <v>#REF!</v>
      </c>
      <c r="AS359" s="73"/>
      <c r="AT359" s="39"/>
    </row>
    <row r="360" ht="15.75" customHeight="1">
      <c r="A360" s="7" t="s">
        <v>276</v>
      </c>
      <c r="B360" s="7" t="s">
        <v>274</v>
      </c>
      <c r="C360" s="7">
        <v>1981.0</v>
      </c>
      <c r="D360" s="7" t="b">
        <v>1</v>
      </c>
      <c r="E360" s="7">
        <v>1981.0</v>
      </c>
      <c r="F360" s="7" t="b">
        <v>1</v>
      </c>
      <c r="G360" s="7" t="b">
        <v>0</v>
      </c>
      <c r="H360" s="7" t="b">
        <v>0</v>
      </c>
      <c r="I360" s="7" t="b">
        <v>0</v>
      </c>
      <c r="J360" s="9">
        <v>500.0</v>
      </c>
      <c r="K360" s="7">
        <v>1.0</v>
      </c>
      <c r="L360" s="7">
        <v>4300.0</v>
      </c>
      <c r="M360" s="7">
        <v>1200.0</v>
      </c>
      <c r="N360" s="7">
        <v>1632.9</v>
      </c>
      <c r="O360" s="7">
        <v>1556.9</v>
      </c>
      <c r="P360" s="9">
        <v>393.0</v>
      </c>
      <c r="Q360" s="7">
        <v>463.0</v>
      </c>
      <c r="R360" s="7">
        <v>22.75</v>
      </c>
      <c r="S360" s="7">
        <v>0.991176</v>
      </c>
      <c r="T360" s="7">
        <v>0.979412</v>
      </c>
      <c r="U360" s="10">
        <f t="shared" si="1"/>
        <v>5500</v>
      </c>
      <c r="V360" s="10">
        <f t="shared" si="2"/>
        <v>97.22555988</v>
      </c>
      <c r="W360" s="11">
        <f t="shared" si="3"/>
        <v>2.112869035</v>
      </c>
      <c r="X360" s="8">
        <f t="shared" si="249"/>
        <v>3289.525801</v>
      </c>
      <c r="Y360" s="12">
        <f t="shared" si="4"/>
        <v>4</v>
      </c>
      <c r="Z360" s="12">
        <f t="shared" si="5"/>
        <v>16447.62901</v>
      </c>
      <c r="AA360" s="12">
        <f t="shared" si="6"/>
        <v>10.56434518</v>
      </c>
      <c r="AB360" s="13">
        <f t="shared" si="7"/>
        <v>0.5980956002</v>
      </c>
      <c r="AC360" s="8">
        <f t="shared" si="225"/>
        <v>3259.162388</v>
      </c>
      <c r="AD360" s="13">
        <f t="shared" si="226"/>
        <v>0.5925749796</v>
      </c>
      <c r="AE360" s="8">
        <f t="shared" si="227"/>
        <v>865.2256907</v>
      </c>
      <c r="AF360" s="73">
        <f t="shared" si="228"/>
        <v>194.4449529</v>
      </c>
      <c r="AG360" s="74" t="str">
        <f t="shared" si="229"/>
        <v>#REF!</v>
      </c>
      <c r="AH360" s="73">
        <f t="shared" si="230"/>
        <v>0</v>
      </c>
      <c r="AI360" s="73">
        <f t="shared" si="231"/>
        <v>0</v>
      </c>
      <c r="AJ360" s="75">
        <f t="shared" si="232"/>
        <v>1.229722084</v>
      </c>
      <c r="AK360" s="73">
        <f t="shared" si="233"/>
        <v>1.102415302</v>
      </c>
      <c r="AL360" s="73">
        <f t="shared" si="234"/>
        <v>8.254341601</v>
      </c>
      <c r="AM360" s="73">
        <f t="shared" si="235"/>
        <v>1.474076339</v>
      </c>
      <c r="AN360" s="75">
        <v>3555.27</v>
      </c>
      <c r="AO360" s="76">
        <v>3600.0</v>
      </c>
      <c r="AP360" s="73">
        <f t="shared" si="236"/>
        <v>3600</v>
      </c>
      <c r="AQ360" s="29" t="str">
        <f t="shared" si="237"/>
        <v>#REF!</v>
      </c>
      <c r="AR360" s="77" t="str">
        <f t="shared" si="238"/>
        <v>#REF!</v>
      </c>
      <c r="AS360" s="73"/>
      <c r="AT360" s="39"/>
    </row>
    <row r="361" ht="15.75" customHeight="1">
      <c r="A361" s="16" t="s">
        <v>635</v>
      </c>
      <c r="B361" s="16" t="s">
        <v>630</v>
      </c>
      <c r="C361" s="16">
        <v>1981.0</v>
      </c>
      <c r="D361" s="16"/>
      <c r="E361" s="16">
        <v>1981.0</v>
      </c>
      <c r="F361" s="16" t="b">
        <v>1</v>
      </c>
      <c r="G361" s="16" t="b">
        <v>0</v>
      </c>
      <c r="H361" s="16" t="b">
        <v>1</v>
      </c>
      <c r="I361" s="16" t="b">
        <v>0</v>
      </c>
      <c r="J361" s="18">
        <v>680.0</v>
      </c>
      <c r="K361" s="18">
        <v>15.0</v>
      </c>
      <c r="L361" s="16">
        <v>400.0</v>
      </c>
      <c r="M361" s="16">
        <v>200.0</v>
      </c>
      <c r="N361" s="16">
        <v>230.0</v>
      </c>
      <c r="O361" s="16">
        <v>86.24</v>
      </c>
      <c r="P361" s="18">
        <v>158.0</v>
      </c>
      <c r="Q361" s="16">
        <v>362.0</v>
      </c>
      <c r="R361" s="16">
        <v>7.94</v>
      </c>
      <c r="S361" s="16">
        <v>0.998</v>
      </c>
      <c r="T361" s="16">
        <v>0.998</v>
      </c>
      <c r="U361" s="19">
        <f t="shared" si="1"/>
        <v>600</v>
      </c>
      <c r="V361" s="19">
        <f t="shared" si="2"/>
        <v>38.23492433</v>
      </c>
      <c r="W361" s="20">
        <f t="shared" si="3"/>
        <v>2.48711767</v>
      </c>
      <c r="X361" s="17">
        <f>0.2*(8.17*POWER(N361*R361,0.46))+0.8*(0.146*POWER(N361*Q361,0.639))</f>
        <v>214.4890279</v>
      </c>
      <c r="Y361" s="21">
        <f t="shared" si="4"/>
        <v>4</v>
      </c>
      <c r="Z361" s="21">
        <f t="shared" si="5"/>
        <v>1072.445139</v>
      </c>
      <c r="AA361" s="21">
        <f t="shared" si="6"/>
        <v>12.43558835</v>
      </c>
      <c r="AB361" s="22">
        <f t="shared" si="7"/>
        <v>0.3574817131</v>
      </c>
      <c r="AC361" s="8">
        <f t="shared" si="225"/>
        <v>217.9217103</v>
      </c>
      <c r="AD361" s="13">
        <f t="shared" si="226"/>
        <v>0.3632028505</v>
      </c>
      <c r="AE361" s="8">
        <f t="shared" si="227"/>
        <v>217.9217103</v>
      </c>
      <c r="AF361" s="73">
        <f t="shared" si="228"/>
        <v>19.44029829</v>
      </c>
      <c r="AG361" s="74" t="str">
        <f t="shared" si="229"/>
        <v>#REF!</v>
      </c>
      <c r="AH361" s="73">
        <f t="shared" si="230"/>
        <v>0</v>
      </c>
      <c r="AI361" s="73">
        <f t="shared" si="231"/>
        <v>0.6272838613</v>
      </c>
      <c r="AJ361" s="75">
        <f t="shared" si="232"/>
        <v>1</v>
      </c>
      <c r="AK361" s="73">
        <f t="shared" si="233"/>
        <v>0.6913295553</v>
      </c>
      <c r="AL361" s="73">
        <f t="shared" si="234"/>
        <v>2.030447596</v>
      </c>
      <c r="AM361" s="73">
        <f t="shared" si="235"/>
        <v>1.56058536</v>
      </c>
      <c r="AN361" s="75">
        <v>112.84</v>
      </c>
      <c r="AO361" s="76">
        <v>115.0</v>
      </c>
      <c r="AP361" s="73">
        <f t="shared" si="236"/>
        <v>115</v>
      </c>
      <c r="AQ361" s="29" t="str">
        <f t="shared" si="237"/>
        <v>#REF!</v>
      </c>
      <c r="AR361" s="77" t="str">
        <f t="shared" si="238"/>
        <v>#REF!</v>
      </c>
      <c r="AS361" s="73"/>
      <c r="AT361" s="39"/>
    </row>
    <row r="362" ht="15.75" customHeight="1">
      <c r="A362" s="16" t="s">
        <v>754</v>
      </c>
      <c r="B362" s="16" t="s">
        <v>752</v>
      </c>
      <c r="C362" s="16">
        <v>1981.0</v>
      </c>
      <c r="D362" s="16" t="b">
        <v>1</v>
      </c>
      <c r="E362" s="16">
        <v>1981.0</v>
      </c>
      <c r="F362" s="16" t="b">
        <v>1</v>
      </c>
      <c r="G362" s="16" t="b">
        <v>0</v>
      </c>
      <c r="H362" s="16" t="b">
        <v>0</v>
      </c>
      <c r="I362" s="16" t="b">
        <v>0</v>
      </c>
      <c r="J362" s="18">
        <v>480.0</v>
      </c>
      <c r="K362" s="16">
        <v>1.0</v>
      </c>
      <c r="L362" s="16">
        <v>6077.0</v>
      </c>
      <c r="M362" s="16">
        <v>1000.0</v>
      </c>
      <c r="N362" s="16">
        <v>3527.0</v>
      </c>
      <c r="O362" s="16">
        <v>2090.0</v>
      </c>
      <c r="P362" s="18">
        <v>363.2</v>
      </c>
      <c r="Q362" s="16">
        <v>455.2</v>
      </c>
      <c r="R362" s="16">
        <v>20.48</v>
      </c>
      <c r="S362" s="16">
        <v>0.990984</v>
      </c>
      <c r="T362" s="16">
        <v>0.994262</v>
      </c>
      <c r="U362" s="19">
        <f t="shared" si="1"/>
        <v>7077</v>
      </c>
      <c r="V362" s="19">
        <f t="shared" si="2"/>
        <v>60.42548565</v>
      </c>
      <c r="W362" s="20">
        <f t="shared" si="3"/>
        <v>2.649811795</v>
      </c>
      <c r="X362" s="17">
        <f t="shared" ref="X362:X365" si="250">0.9*(0.00015*N362*Q362*R362+797)+0.1*(43.1*POWER(N362,0.549))</f>
        <v>5538.106651</v>
      </c>
      <c r="Y362" s="21">
        <f t="shared" si="4"/>
        <v>4</v>
      </c>
      <c r="Z362" s="21">
        <f t="shared" si="5"/>
        <v>27690.53325</v>
      </c>
      <c r="AA362" s="21">
        <f t="shared" si="6"/>
        <v>13.24905897</v>
      </c>
      <c r="AB362" s="22">
        <f t="shared" si="7"/>
        <v>0.7825500425</v>
      </c>
      <c r="AC362" s="8">
        <f t="shared" si="225"/>
        <v>5567.446065</v>
      </c>
      <c r="AD362" s="13">
        <f t="shared" si="226"/>
        <v>0.7866957843</v>
      </c>
      <c r="AE362" s="8">
        <f t="shared" si="227"/>
        <v>1366.433862</v>
      </c>
      <c r="AF362" s="73">
        <f t="shared" si="228"/>
        <v>252.8996693</v>
      </c>
      <c r="AG362" s="74" t="str">
        <f t="shared" si="229"/>
        <v>#REF!</v>
      </c>
      <c r="AH362" s="73">
        <f t="shared" si="230"/>
        <v>0</v>
      </c>
      <c r="AI362" s="73">
        <f t="shared" si="231"/>
        <v>0</v>
      </c>
      <c r="AJ362" s="75">
        <f t="shared" si="232"/>
        <v>1.143371255</v>
      </c>
      <c r="AK362" s="73">
        <f t="shared" si="233"/>
        <v>0.8690906573</v>
      </c>
      <c r="AL362" s="73">
        <f t="shared" si="234"/>
        <v>6.981771557</v>
      </c>
      <c r="AM362" s="73">
        <f t="shared" si="235"/>
        <v>1.462062459</v>
      </c>
      <c r="AN362" s="75">
        <v>3683.73</v>
      </c>
      <c r="AO362" s="76">
        <v>3700.0</v>
      </c>
      <c r="AP362" s="73">
        <f t="shared" si="236"/>
        <v>3700</v>
      </c>
      <c r="AQ362" s="29" t="str">
        <f t="shared" si="237"/>
        <v>#REF!</v>
      </c>
      <c r="AR362" s="77" t="str">
        <f t="shared" si="238"/>
        <v>#REF!</v>
      </c>
      <c r="AS362" s="73"/>
      <c r="AT362" s="39"/>
    </row>
    <row r="363" ht="15.75" customHeight="1">
      <c r="A363" s="7" t="s">
        <v>1036</v>
      </c>
      <c r="B363" s="7" t="s">
        <v>752</v>
      </c>
      <c r="C363" s="7">
        <v>1981.0</v>
      </c>
      <c r="D363" s="7" t="b">
        <v>1</v>
      </c>
      <c r="E363" s="7">
        <v>1981.0</v>
      </c>
      <c r="F363" s="7" t="b">
        <v>1</v>
      </c>
      <c r="G363" s="7" t="b">
        <v>0</v>
      </c>
      <c r="H363" s="7" t="b">
        <v>0</v>
      </c>
      <c r="I363" s="7" t="b">
        <v>0</v>
      </c>
      <c r="J363" s="9">
        <v>480.0</v>
      </c>
      <c r="K363" s="9">
        <v>3.0</v>
      </c>
      <c r="L363" s="7">
        <v>6077.0</v>
      </c>
      <c r="M363" s="7">
        <v>1000.0</v>
      </c>
      <c r="N363" s="7">
        <v>4400.0</v>
      </c>
      <c r="O363" s="7">
        <v>2130.0</v>
      </c>
      <c r="P363" s="9">
        <v>340.0</v>
      </c>
      <c r="Q363" s="7">
        <v>464.0</v>
      </c>
      <c r="R363" s="7">
        <v>20.48</v>
      </c>
      <c r="S363" s="7">
        <v>0.990984</v>
      </c>
      <c r="T363" s="7">
        <v>0.994262</v>
      </c>
      <c r="U363" s="10">
        <f t="shared" si="1"/>
        <v>7077</v>
      </c>
      <c r="V363" s="10">
        <f t="shared" si="2"/>
        <v>49.36353471</v>
      </c>
      <c r="W363" s="11">
        <f t="shared" si="3"/>
        <v>3.189281378</v>
      </c>
      <c r="X363" s="8">
        <f t="shared" si="250"/>
        <v>6793.169336</v>
      </c>
      <c r="Y363" s="12">
        <f t="shared" si="4"/>
        <v>4</v>
      </c>
      <c r="Z363" s="12">
        <f t="shared" si="5"/>
        <v>33965.84668</v>
      </c>
      <c r="AA363" s="12">
        <f t="shared" si="6"/>
        <v>15.94640689</v>
      </c>
      <c r="AB363" s="13">
        <f t="shared" si="7"/>
        <v>0.959893929</v>
      </c>
      <c r="AC363" s="8">
        <f t="shared" si="225"/>
        <v>6829.157739</v>
      </c>
      <c r="AD363" s="13">
        <f t="shared" si="226"/>
        <v>0.9649791915</v>
      </c>
      <c r="AE363" s="8">
        <f t="shared" si="227"/>
        <v>1576.605363</v>
      </c>
      <c r="AF363" s="73">
        <f t="shared" si="228"/>
        <v>257.2475443</v>
      </c>
      <c r="AG363" s="74" t="str">
        <f t="shared" si="229"/>
        <v>#REF!</v>
      </c>
      <c r="AH363" s="73">
        <f t="shared" si="230"/>
        <v>0</v>
      </c>
      <c r="AI363" s="73">
        <f t="shared" si="231"/>
        <v>0.2958876574</v>
      </c>
      <c r="AJ363" s="75">
        <f t="shared" si="232"/>
        <v>1.054952154</v>
      </c>
      <c r="AK363" s="73">
        <f t="shared" si="233"/>
        <v>0.7855215999</v>
      </c>
      <c r="AL363" s="73">
        <f t="shared" si="234"/>
        <v>8.426684915</v>
      </c>
      <c r="AM363" s="73">
        <f t="shared" si="235"/>
        <v>1.462062459</v>
      </c>
      <c r="AN363" s="75">
        <v>4646.8</v>
      </c>
      <c r="AO363" s="76">
        <v>4600.0</v>
      </c>
      <c r="AP363" s="73">
        <f t="shared" si="236"/>
        <v>4600</v>
      </c>
      <c r="AQ363" s="29" t="str">
        <f t="shared" si="237"/>
        <v>#REF!</v>
      </c>
      <c r="AR363" s="77" t="str">
        <f t="shared" si="238"/>
        <v>#REF!</v>
      </c>
      <c r="AS363" s="73"/>
      <c r="AT363" s="39"/>
    </row>
    <row r="364" ht="15.75" customHeight="1">
      <c r="A364" s="16" t="s">
        <v>1037</v>
      </c>
      <c r="B364" s="16" t="s">
        <v>752</v>
      </c>
      <c r="C364" s="16">
        <v>1981.0</v>
      </c>
      <c r="D364" s="16" t="b">
        <v>1</v>
      </c>
      <c r="E364" s="16">
        <v>1981.0</v>
      </c>
      <c r="F364" s="16" t="b">
        <v>1</v>
      </c>
      <c r="G364" s="16" t="b">
        <v>0</v>
      </c>
      <c r="H364" s="16" t="b">
        <v>0</v>
      </c>
      <c r="I364" s="16" t="b">
        <v>0</v>
      </c>
      <c r="J364" s="18">
        <v>40.0</v>
      </c>
      <c r="K364" s="16">
        <v>1.0</v>
      </c>
      <c r="L364" s="16">
        <v>6077.0</v>
      </c>
      <c r="M364" s="16">
        <v>1000.0</v>
      </c>
      <c r="N364" s="16">
        <v>3372.0</v>
      </c>
      <c r="O364" s="16">
        <v>2043.0</v>
      </c>
      <c r="P364" s="18">
        <v>406.0</v>
      </c>
      <c r="Q364" s="16">
        <v>445.0</v>
      </c>
      <c r="R364" s="16">
        <v>20.48</v>
      </c>
      <c r="S364" s="16">
        <v>0.990984</v>
      </c>
      <c r="T364" s="16">
        <v>0.994262</v>
      </c>
      <c r="U364" s="19">
        <f t="shared" si="1"/>
        <v>7077</v>
      </c>
      <c r="V364" s="19">
        <f t="shared" si="2"/>
        <v>61.78173835</v>
      </c>
      <c r="W364" s="20">
        <f t="shared" si="3"/>
        <v>2.564185677</v>
      </c>
      <c r="X364" s="17">
        <f t="shared" si="250"/>
        <v>5238.631338</v>
      </c>
      <c r="Y364" s="21">
        <f t="shared" si="4"/>
        <v>4</v>
      </c>
      <c r="Z364" s="21">
        <f t="shared" si="5"/>
        <v>26193.15669</v>
      </c>
      <c r="AA364" s="21">
        <f t="shared" si="6"/>
        <v>12.82092839</v>
      </c>
      <c r="AB364" s="22">
        <f t="shared" si="7"/>
        <v>0.7402333387</v>
      </c>
      <c r="AC364" s="8">
        <f t="shared" si="225"/>
        <v>5266.384213</v>
      </c>
      <c r="AD364" s="13">
        <f t="shared" si="226"/>
        <v>0.7441548979</v>
      </c>
      <c r="AE364" s="8">
        <f t="shared" si="227"/>
        <v>1314.819253</v>
      </c>
      <c r="AF364" s="73">
        <f t="shared" si="228"/>
        <v>247.7848892</v>
      </c>
      <c r="AG364" s="74" t="str">
        <f t="shared" si="229"/>
        <v>#REF!</v>
      </c>
      <c r="AH364" s="73">
        <f t="shared" si="230"/>
        <v>0</v>
      </c>
      <c r="AI364" s="73">
        <f t="shared" si="231"/>
        <v>0</v>
      </c>
      <c r="AJ364" s="75">
        <f t="shared" si="232"/>
        <v>1.35496673</v>
      </c>
      <c r="AK364" s="73">
        <f t="shared" si="233"/>
        <v>0.8787899233</v>
      </c>
      <c r="AL364" s="73">
        <f t="shared" si="234"/>
        <v>6.069553116</v>
      </c>
      <c r="AM364" s="73">
        <f t="shared" si="235"/>
        <v>0.4287714095</v>
      </c>
      <c r="AN364" s="75">
        <v>1096.11</v>
      </c>
      <c r="AO364" s="76">
        <v>1100.0</v>
      </c>
      <c r="AP364" s="73">
        <f t="shared" si="236"/>
        <v>1100</v>
      </c>
      <c r="AQ364" s="29" t="str">
        <f t="shared" si="237"/>
        <v>#REF!</v>
      </c>
      <c r="AR364" s="77" t="str">
        <f t="shared" si="238"/>
        <v>#REF!</v>
      </c>
      <c r="AS364" s="73"/>
      <c r="AT364" s="39"/>
    </row>
    <row r="365" ht="15.75" customHeight="1">
      <c r="A365" s="7" t="s">
        <v>1038</v>
      </c>
      <c r="B365" s="7" t="s">
        <v>752</v>
      </c>
      <c r="C365" s="7">
        <v>1981.0</v>
      </c>
      <c r="D365" s="7" t="b">
        <v>1</v>
      </c>
      <c r="E365" s="7">
        <v>1981.0</v>
      </c>
      <c r="F365" s="7" t="b">
        <v>1</v>
      </c>
      <c r="G365" s="7" t="b">
        <v>0</v>
      </c>
      <c r="H365" s="7" t="b">
        <v>0</v>
      </c>
      <c r="I365" s="7" t="b">
        <v>0</v>
      </c>
      <c r="J365" s="9">
        <v>480.0</v>
      </c>
      <c r="K365" s="7">
        <v>1.0</v>
      </c>
      <c r="L365" s="7">
        <v>6077.0</v>
      </c>
      <c r="M365" s="7">
        <v>1000.0</v>
      </c>
      <c r="N365" s="7">
        <v>3440.0</v>
      </c>
      <c r="O365" s="7">
        <v>2066.0</v>
      </c>
      <c r="P365" s="9">
        <v>391.0</v>
      </c>
      <c r="Q365" s="7">
        <v>450.0</v>
      </c>
      <c r="R365" s="7">
        <v>20.48</v>
      </c>
      <c r="S365" s="7">
        <v>0.990984</v>
      </c>
      <c r="T365" s="7">
        <v>0.994262</v>
      </c>
      <c r="U365" s="10">
        <f t="shared" si="1"/>
        <v>7077</v>
      </c>
      <c r="V365" s="10">
        <f t="shared" si="2"/>
        <v>61.24225843</v>
      </c>
      <c r="W365" s="11">
        <f t="shared" si="3"/>
        <v>2.601140228</v>
      </c>
      <c r="X365" s="8">
        <f t="shared" si="250"/>
        <v>5373.95571</v>
      </c>
      <c r="Y365" s="12">
        <f t="shared" si="4"/>
        <v>4</v>
      </c>
      <c r="Z365" s="12">
        <f t="shared" si="5"/>
        <v>26869.77855</v>
      </c>
      <c r="AA365" s="12">
        <f t="shared" si="6"/>
        <v>13.00570114</v>
      </c>
      <c r="AB365" s="13">
        <f t="shared" si="7"/>
        <v>0.7593550531</v>
      </c>
      <c r="AC365" s="8">
        <f t="shared" si="225"/>
        <v>5402.425497</v>
      </c>
      <c r="AD365" s="13">
        <f t="shared" si="226"/>
        <v>0.763377914</v>
      </c>
      <c r="AE365" s="8">
        <f t="shared" si="227"/>
        <v>1338.238129</v>
      </c>
      <c r="AF365" s="73">
        <f t="shared" si="228"/>
        <v>250.288692</v>
      </c>
      <c r="AG365" s="74" t="str">
        <f t="shared" si="229"/>
        <v>#REF!</v>
      </c>
      <c r="AH365" s="73">
        <f t="shared" si="230"/>
        <v>0</v>
      </c>
      <c r="AI365" s="73">
        <f t="shared" si="231"/>
        <v>0</v>
      </c>
      <c r="AJ365" s="75">
        <f t="shared" si="232"/>
        <v>1.267319747</v>
      </c>
      <c r="AK365" s="73">
        <f t="shared" si="233"/>
        <v>0.8749447013</v>
      </c>
      <c r="AL365" s="73">
        <f t="shared" si="234"/>
        <v>6.5</v>
      </c>
      <c r="AM365" s="73">
        <f t="shared" si="235"/>
        <v>1.462062459</v>
      </c>
      <c r="AN365" s="75">
        <v>3773.85</v>
      </c>
      <c r="AO365" s="76">
        <v>3800.0</v>
      </c>
      <c r="AP365" s="73">
        <f t="shared" si="236"/>
        <v>3800</v>
      </c>
      <c r="AQ365" s="29" t="str">
        <f t="shared" si="237"/>
        <v>#REF!</v>
      </c>
      <c r="AR365" s="77" t="str">
        <f t="shared" si="238"/>
        <v>#REF!</v>
      </c>
      <c r="AS365" s="73"/>
      <c r="AT365" s="39"/>
    </row>
    <row r="366" ht="15.75" customHeight="1">
      <c r="A366" s="7" t="s">
        <v>535</v>
      </c>
      <c r="B366" s="7" t="s">
        <v>1008</v>
      </c>
      <c r="C366" s="7">
        <v>1982.0</v>
      </c>
      <c r="D366" s="7"/>
      <c r="E366" s="7">
        <v>1982.0</v>
      </c>
      <c r="F366" s="7" t="b">
        <v>1</v>
      </c>
      <c r="G366" s="7" t="b">
        <v>0</v>
      </c>
      <c r="H366" s="7" t="b">
        <v>0</v>
      </c>
      <c r="I366" s="7" t="b">
        <v>0</v>
      </c>
      <c r="J366" s="9">
        <v>130.0</v>
      </c>
      <c r="K366" s="7">
        <v>1.0</v>
      </c>
      <c r="L366" s="7">
        <v>470.0</v>
      </c>
      <c r="M366" s="7">
        <v>80.0</v>
      </c>
      <c r="N366" s="7">
        <v>1155.0</v>
      </c>
      <c r="O366" s="7">
        <v>1033.3</v>
      </c>
      <c r="P366" s="9">
        <v>261.0</v>
      </c>
      <c r="Q366" s="7">
        <v>317.6</v>
      </c>
      <c r="R366" s="7">
        <v>5.86</v>
      </c>
      <c r="S366" s="7">
        <v>0.999584</v>
      </c>
      <c r="T366" s="7">
        <v>0.999584</v>
      </c>
      <c r="U366" s="10">
        <f t="shared" si="1"/>
        <v>550</v>
      </c>
      <c r="V366" s="10">
        <f t="shared" si="2"/>
        <v>91.22707877</v>
      </c>
      <c r="W366" s="11">
        <f t="shared" si="3"/>
        <v>0.4977782362</v>
      </c>
      <c r="X366" s="8">
        <f t="shared" ref="X366:X372" si="251">0.2*(8.17*POWER(N366*R366,0.46))+0.8*(0.146*POWER(N366*Q366,0.639))</f>
        <v>514.3542515</v>
      </c>
      <c r="Y366" s="12">
        <f t="shared" si="4"/>
        <v>4</v>
      </c>
      <c r="Z366" s="12">
        <f t="shared" si="5"/>
        <v>2571.771258</v>
      </c>
      <c r="AA366" s="12">
        <f t="shared" si="6"/>
        <v>2.488891181</v>
      </c>
      <c r="AB366" s="13">
        <f t="shared" si="7"/>
        <v>0.9351895482</v>
      </c>
      <c r="AC366" s="8">
        <f t="shared" si="225"/>
        <v>524.2134828</v>
      </c>
      <c r="AD366" s="13">
        <f t="shared" si="226"/>
        <v>0.9531154233</v>
      </c>
      <c r="AE366" s="8">
        <f t="shared" si="227"/>
        <v>524.2134828</v>
      </c>
      <c r="AF366" s="73">
        <f t="shared" si="228"/>
        <v>135.7591127</v>
      </c>
      <c r="AG366" s="74" t="str">
        <f t="shared" si="229"/>
        <v>#REF!</v>
      </c>
      <c r="AH366" s="73">
        <f t="shared" si="230"/>
        <v>0</v>
      </c>
      <c r="AI366" s="73">
        <f t="shared" si="231"/>
        <v>0</v>
      </c>
      <c r="AJ366" s="75">
        <f t="shared" si="232"/>
        <v>1.182212914</v>
      </c>
      <c r="AK366" s="73">
        <f t="shared" si="233"/>
        <v>1.067866323</v>
      </c>
      <c r="AL366" s="73">
        <f t="shared" si="234"/>
        <v>1.193947692</v>
      </c>
      <c r="AM366" s="73">
        <f t="shared" si="235"/>
        <v>1.001856123</v>
      </c>
      <c r="AN366" s="75">
        <v>346.8</v>
      </c>
      <c r="AO366" s="76">
        <v>350.0</v>
      </c>
      <c r="AP366" s="73">
        <f t="shared" si="236"/>
        <v>350</v>
      </c>
      <c r="AQ366" s="29" t="str">
        <f t="shared" si="237"/>
        <v>#REF!</v>
      </c>
      <c r="AR366" s="77" t="str">
        <f t="shared" si="238"/>
        <v>#REF!</v>
      </c>
      <c r="AS366" s="73"/>
      <c r="AT366" s="39"/>
    </row>
    <row r="367" ht="15.75" customHeight="1">
      <c r="A367" s="7" t="s">
        <v>546</v>
      </c>
      <c r="B367" s="7" t="s">
        <v>1009</v>
      </c>
      <c r="C367" s="7">
        <v>1982.0</v>
      </c>
      <c r="D367" s="7"/>
      <c r="E367" s="7">
        <v>1982.0</v>
      </c>
      <c r="F367" s="7" t="b">
        <v>1</v>
      </c>
      <c r="G367" s="7" t="b">
        <v>0</v>
      </c>
      <c r="H367" s="7" t="b">
        <v>0</v>
      </c>
      <c r="I367" s="7" t="b">
        <v>0</v>
      </c>
      <c r="J367" s="9">
        <v>310.0</v>
      </c>
      <c r="K367" s="7">
        <v>1.0</v>
      </c>
      <c r="L367" s="7">
        <v>450.0</v>
      </c>
      <c r="M367" s="7">
        <v>80.0</v>
      </c>
      <c r="N367" s="7">
        <v>1250.0</v>
      </c>
      <c r="O367" s="7">
        <v>1011.0</v>
      </c>
      <c r="P367" s="9">
        <v>257.0</v>
      </c>
      <c r="Q367" s="7">
        <v>319.0</v>
      </c>
      <c r="R367" s="7">
        <v>5.86</v>
      </c>
      <c r="S367" s="7">
        <v>0.999584</v>
      </c>
      <c r="T367" s="7">
        <v>0.999584</v>
      </c>
      <c r="U367" s="10">
        <f t="shared" si="1"/>
        <v>530</v>
      </c>
      <c r="V367" s="10">
        <f t="shared" si="2"/>
        <v>82.47464706</v>
      </c>
      <c r="W367" s="11">
        <f t="shared" si="3"/>
        <v>0.5349633467</v>
      </c>
      <c r="X367" s="8">
        <f t="shared" si="251"/>
        <v>540.8479435</v>
      </c>
      <c r="Y367" s="12">
        <f t="shared" si="4"/>
        <v>4</v>
      </c>
      <c r="Z367" s="12">
        <f t="shared" si="5"/>
        <v>2704.239717</v>
      </c>
      <c r="AA367" s="12">
        <f t="shared" si="6"/>
        <v>2.674816733</v>
      </c>
      <c r="AB367" s="13">
        <f t="shared" si="7"/>
        <v>1.020467818</v>
      </c>
      <c r="AC367" s="8">
        <f t="shared" si="225"/>
        <v>551.2150105</v>
      </c>
      <c r="AD367" s="13">
        <f t="shared" si="226"/>
        <v>1.040028322</v>
      </c>
      <c r="AE367" s="8">
        <f t="shared" si="227"/>
        <v>551.2150105</v>
      </c>
      <c r="AF367" s="73">
        <f t="shared" si="228"/>
        <v>133.219624</v>
      </c>
      <c r="AG367" s="74" t="str">
        <f t="shared" si="229"/>
        <v>#REF!</v>
      </c>
      <c r="AH367" s="73">
        <f t="shared" si="230"/>
        <v>0</v>
      </c>
      <c r="AI367" s="73">
        <f t="shared" si="231"/>
        <v>0</v>
      </c>
      <c r="AJ367" s="75">
        <f t="shared" si="232"/>
        <v>1.155629103</v>
      </c>
      <c r="AK367" s="73">
        <f t="shared" si="233"/>
        <v>1.015348752</v>
      </c>
      <c r="AL367" s="73">
        <f t="shared" si="234"/>
        <v>1.212684118</v>
      </c>
      <c r="AM367" s="73">
        <f t="shared" si="235"/>
        <v>1.325067751</v>
      </c>
      <c r="AN367" s="75">
        <v>435.53</v>
      </c>
      <c r="AO367" s="76">
        <v>440.0</v>
      </c>
      <c r="AP367" s="73">
        <f t="shared" si="236"/>
        <v>440</v>
      </c>
      <c r="AQ367" s="29" t="str">
        <f t="shared" si="237"/>
        <v>#REF!</v>
      </c>
      <c r="AR367" s="77" t="str">
        <f t="shared" si="238"/>
        <v>#REF!</v>
      </c>
      <c r="AS367" s="73"/>
      <c r="AT367" s="39"/>
    </row>
    <row r="368" ht="15.75" customHeight="1">
      <c r="A368" s="7" t="s">
        <v>349</v>
      </c>
      <c r="B368" s="7" t="s">
        <v>339</v>
      </c>
      <c r="C368" s="7">
        <v>1983.0</v>
      </c>
      <c r="D368" s="7"/>
      <c r="E368" s="7">
        <v>1983.0</v>
      </c>
      <c r="F368" s="7" t="b">
        <v>1</v>
      </c>
      <c r="G368" s="7" t="b">
        <v>0</v>
      </c>
      <c r="H368" s="7" t="b">
        <v>1</v>
      </c>
      <c r="I368" s="7" t="b">
        <v>0</v>
      </c>
      <c r="J368" s="9">
        <v>250.0</v>
      </c>
      <c r="K368" s="7">
        <v>1.0</v>
      </c>
      <c r="L368" s="7">
        <v>250.0</v>
      </c>
      <c r="M368" s="7">
        <v>110.0</v>
      </c>
      <c r="N368" s="7">
        <f>500*1.178</f>
        <v>589</v>
      </c>
      <c r="O368" s="7">
        <v>474.6</v>
      </c>
      <c r="P368" s="9">
        <v>200.0</v>
      </c>
      <c r="Q368" s="9">
        <v>318.0</v>
      </c>
      <c r="R368" s="7">
        <v>6.06</v>
      </c>
      <c r="S368" s="7">
        <v>0.996341</v>
      </c>
      <c r="T368" s="7">
        <v>0.996341</v>
      </c>
      <c r="U368" s="10">
        <f t="shared" si="1"/>
        <v>360</v>
      </c>
      <c r="V368" s="10">
        <f t="shared" si="2"/>
        <v>82.16592755</v>
      </c>
      <c r="W368" s="11">
        <f t="shared" si="3"/>
        <v>0.7240884053</v>
      </c>
      <c r="X368" s="8">
        <f t="shared" si="251"/>
        <v>343.6523571</v>
      </c>
      <c r="Y368" s="12">
        <f t="shared" si="4"/>
        <v>4</v>
      </c>
      <c r="Z368" s="12">
        <f t="shared" si="5"/>
        <v>1718.261786</v>
      </c>
      <c r="AA368" s="12">
        <f t="shared" si="6"/>
        <v>3.620442026</v>
      </c>
      <c r="AB368" s="13">
        <f t="shared" si="7"/>
        <v>0.954589881</v>
      </c>
      <c r="AC368" s="8">
        <f t="shared" si="225"/>
        <v>348.0151573</v>
      </c>
      <c r="AD368" s="13">
        <f t="shared" si="226"/>
        <v>0.9667087701</v>
      </c>
      <c r="AE368" s="8">
        <f t="shared" si="227"/>
        <v>348.0151573</v>
      </c>
      <c r="AF368" s="73">
        <f t="shared" si="228"/>
        <v>70.42400761</v>
      </c>
      <c r="AG368" s="74" t="str">
        <f t="shared" si="229"/>
        <v>#REF!</v>
      </c>
      <c r="AH368" s="73">
        <f t="shared" si="230"/>
        <v>0</v>
      </c>
      <c r="AI368" s="73">
        <f t="shared" si="231"/>
        <v>0</v>
      </c>
      <c r="AJ368" s="75">
        <f t="shared" si="232"/>
        <v>1</v>
      </c>
      <c r="AK368" s="73">
        <f t="shared" si="233"/>
        <v>1.013446641</v>
      </c>
      <c r="AL368" s="73">
        <f t="shared" si="234"/>
        <v>1.199256567</v>
      </c>
      <c r="AM368" s="73">
        <f t="shared" si="235"/>
        <v>1.251730393</v>
      </c>
      <c r="AN368" s="75">
        <v>150.07</v>
      </c>
      <c r="AO368" s="76">
        <v>150.0</v>
      </c>
      <c r="AP368" s="73">
        <f t="shared" si="236"/>
        <v>150</v>
      </c>
      <c r="AQ368" s="29" t="str">
        <f t="shared" si="237"/>
        <v>#REF!</v>
      </c>
      <c r="AR368" s="77" t="str">
        <f t="shared" si="238"/>
        <v>#REF!</v>
      </c>
      <c r="AS368" s="73"/>
      <c r="AT368" s="39"/>
    </row>
    <row r="369" ht="15.75" customHeight="1">
      <c r="A369" s="16" t="s">
        <v>232</v>
      </c>
      <c r="B369" s="16" t="s">
        <v>233</v>
      </c>
      <c r="C369" s="16">
        <v>1984.0</v>
      </c>
      <c r="D369" s="16"/>
      <c r="E369" s="16">
        <v>1984.0</v>
      </c>
      <c r="F369" s="16" t="b">
        <v>0</v>
      </c>
      <c r="G369" s="16" t="b">
        <v>0</v>
      </c>
      <c r="H369" s="16" t="b">
        <v>1</v>
      </c>
      <c r="I369" s="16" t="b">
        <v>0</v>
      </c>
      <c r="J369" s="18">
        <v>246.0</v>
      </c>
      <c r="K369" s="16">
        <v>1.0</v>
      </c>
      <c r="L369" s="16"/>
      <c r="M369" s="16">
        <v>0.0</v>
      </c>
      <c r="N369" s="16">
        <v>110.0</v>
      </c>
      <c r="O369" s="16">
        <v>52.95</v>
      </c>
      <c r="P369" s="18">
        <v>92.0</v>
      </c>
      <c r="Q369" s="16">
        <v>290.2</v>
      </c>
      <c r="R369" s="16">
        <v>1.14</v>
      </c>
      <c r="S369" s="16">
        <v>0.965</v>
      </c>
      <c r="T369" s="16">
        <v>0.983333</v>
      </c>
      <c r="U369" s="19">
        <f t="shared" si="1"/>
        <v>0</v>
      </c>
      <c r="V369" s="19">
        <f t="shared" si="2"/>
        <v>49.08543029</v>
      </c>
      <c r="W369" s="20">
        <f t="shared" si="3"/>
        <v>1.950900569</v>
      </c>
      <c r="X369" s="17">
        <f t="shared" si="251"/>
        <v>103.3001851</v>
      </c>
      <c r="Y369" s="21">
        <f t="shared" si="4"/>
        <v>1.75</v>
      </c>
      <c r="Z369" s="21">
        <f t="shared" si="5"/>
        <v>284.0755091</v>
      </c>
      <c r="AA369" s="21">
        <f t="shared" si="6"/>
        <v>5.364976565</v>
      </c>
      <c r="AB369" s="22" t="str">
        <f t="shared" si="7"/>
        <v>#N/A</v>
      </c>
      <c r="AC369" s="8">
        <f t="shared" si="225"/>
        <v>100.0892378</v>
      </c>
      <c r="AD369" s="13" t="str">
        <f t="shared" si="226"/>
        <v>#N/A</v>
      </c>
      <c r="AE369" s="8">
        <f t="shared" si="227"/>
        <v>100.0892378</v>
      </c>
      <c r="AF369" s="73">
        <f t="shared" si="228"/>
        <v>14.10903448</v>
      </c>
      <c r="AG369" s="74" t="str">
        <f t="shared" si="229"/>
        <v>#REF!</v>
      </c>
      <c r="AH369" s="73">
        <f t="shared" si="230"/>
        <v>0</v>
      </c>
      <c r="AI369" s="73">
        <f t="shared" si="231"/>
        <v>0</v>
      </c>
      <c r="AJ369" s="75">
        <f t="shared" si="232"/>
        <v>1</v>
      </c>
      <c r="AK369" s="73">
        <f t="shared" si="233"/>
        <v>0.7833057376</v>
      </c>
      <c r="AL369" s="73">
        <f t="shared" si="234"/>
        <v>0.9349441645</v>
      </c>
      <c r="AM369" s="73">
        <f t="shared" si="235"/>
        <v>1.246064364</v>
      </c>
      <c r="AN369" s="75">
        <v>13.24</v>
      </c>
      <c r="AO369" s="76">
        <v>13.0</v>
      </c>
      <c r="AP369" s="73">
        <f t="shared" si="236"/>
        <v>13</v>
      </c>
      <c r="AQ369" s="29" t="str">
        <f t="shared" si="237"/>
        <v>#REF!</v>
      </c>
      <c r="AR369" s="77" t="str">
        <f t="shared" si="238"/>
        <v>#REF!</v>
      </c>
      <c r="AS369" s="73"/>
      <c r="AT369" s="39"/>
    </row>
    <row r="370" ht="15.75" customHeight="1">
      <c r="A370" s="7" t="s">
        <v>554</v>
      </c>
      <c r="B370" s="7" t="s">
        <v>555</v>
      </c>
      <c r="C370" s="7">
        <v>1985.0</v>
      </c>
      <c r="D370" s="7"/>
      <c r="E370" s="7">
        <v>1985.0</v>
      </c>
      <c r="F370" s="7" t="b">
        <v>1</v>
      </c>
      <c r="G370" s="7" t="b">
        <v>0</v>
      </c>
      <c r="H370" s="7" t="b">
        <v>1</v>
      </c>
      <c r="I370" s="7" t="b">
        <v>0</v>
      </c>
      <c r="J370" s="9">
        <v>290.0</v>
      </c>
      <c r="K370" s="9">
        <v>10.0</v>
      </c>
      <c r="L370" s="7">
        <v>750.0</v>
      </c>
      <c r="M370" s="7">
        <v>0.0</v>
      </c>
      <c r="N370" s="7">
        <v>1125.0</v>
      </c>
      <c r="O370" s="7">
        <v>833.56</v>
      </c>
      <c r="P370" s="9">
        <v>252.0</v>
      </c>
      <c r="Q370" s="7">
        <v>350.0</v>
      </c>
      <c r="R370" s="7">
        <v>16.28</v>
      </c>
      <c r="S370" s="7">
        <v>0.992254</v>
      </c>
      <c r="T370" s="7">
        <v>0.985135</v>
      </c>
      <c r="U370" s="10">
        <f t="shared" si="1"/>
        <v>750</v>
      </c>
      <c r="V370" s="10">
        <f t="shared" si="2"/>
        <v>75.55507947</v>
      </c>
      <c r="W370" s="11">
        <f t="shared" si="3"/>
        <v>0.7061958157</v>
      </c>
      <c r="X370" s="8">
        <f t="shared" si="251"/>
        <v>588.6565841</v>
      </c>
      <c r="Y370" s="12">
        <f t="shared" si="4"/>
        <v>4</v>
      </c>
      <c r="Z370" s="12">
        <f t="shared" si="5"/>
        <v>2943.282921</v>
      </c>
      <c r="AA370" s="12">
        <f t="shared" si="6"/>
        <v>3.530979078</v>
      </c>
      <c r="AB370" s="13">
        <f t="shared" si="7"/>
        <v>0.7848754455</v>
      </c>
      <c r="AC370" s="8">
        <f t="shared" si="225"/>
        <v>587.1873822</v>
      </c>
      <c r="AD370" s="13">
        <f t="shared" si="226"/>
        <v>0.7829165096</v>
      </c>
      <c r="AE370" s="8">
        <f t="shared" si="227"/>
        <v>587.1873822</v>
      </c>
      <c r="AF370" s="73">
        <f t="shared" si="228"/>
        <v>112.8540376</v>
      </c>
      <c r="AG370" s="74" t="str">
        <f t="shared" si="229"/>
        <v>#REF!</v>
      </c>
      <c r="AH370" s="73">
        <f t="shared" si="230"/>
        <v>0</v>
      </c>
      <c r="AI370" s="73">
        <f t="shared" si="231"/>
        <v>0.5535639833</v>
      </c>
      <c r="AJ370" s="75">
        <f t="shared" si="232"/>
        <v>1.041151428</v>
      </c>
      <c r="AK370" s="73">
        <f t="shared" si="233"/>
        <v>0.971822254</v>
      </c>
      <c r="AL370" s="73">
        <f t="shared" si="234"/>
        <v>1.74895593</v>
      </c>
      <c r="AM370" s="73">
        <f t="shared" si="235"/>
        <v>1.302767958</v>
      </c>
      <c r="AN370" s="75">
        <v>374.23</v>
      </c>
      <c r="AO370" s="76">
        <v>370.0</v>
      </c>
      <c r="AP370" s="73">
        <f t="shared" si="236"/>
        <v>370</v>
      </c>
      <c r="AQ370" s="29" t="str">
        <f t="shared" si="237"/>
        <v>#REF!</v>
      </c>
      <c r="AR370" s="77" t="str">
        <f t="shared" si="238"/>
        <v>#REF!</v>
      </c>
      <c r="AS370" s="73"/>
      <c r="AT370" s="39"/>
    </row>
    <row r="371" ht="15.75" customHeight="1">
      <c r="A371" s="7" t="s">
        <v>642</v>
      </c>
      <c r="B371" s="7" t="s">
        <v>643</v>
      </c>
      <c r="C371" s="7">
        <v>1985.0</v>
      </c>
      <c r="D371" s="7"/>
      <c r="E371" s="7">
        <v>1985.0</v>
      </c>
      <c r="F371" s="7" t="b">
        <v>1</v>
      </c>
      <c r="G371" s="7" t="b">
        <v>0</v>
      </c>
      <c r="H371" s="7" t="b">
        <v>1</v>
      </c>
      <c r="I371" s="7" t="b">
        <v>0</v>
      </c>
      <c r="J371" s="9">
        <v>1100.0</v>
      </c>
      <c r="K371" s="9">
        <v>2.0</v>
      </c>
      <c r="L371" s="7">
        <v>0.0</v>
      </c>
      <c r="M371" s="7">
        <v>600.0</v>
      </c>
      <c r="N371" s="7">
        <v>380.0</v>
      </c>
      <c r="O371" s="7">
        <v>78.4</v>
      </c>
      <c r="P371" s="9">
        <v>1.0</v>
      </c>
      <c r="Q371" s="7">
        <v>342.0</v>
      </c>
      <c r="R371" s="7">
        <v>0.7</v>
      </c>
      <c r="S371" s="7">
        <v>0.996541</v>
      </c>
      <c r="T371" s="7">
        <v>0.99321</v>
      </c>
      <c r="U371" s="10">
        <f t="shared" si="1"/>
        <v>600</v>
      </c>
      <c r="V371" s="10">
        <f t="shared" si="2"/>
        <v>21.03835549</v>
      </c>
      <c r="W371" s="11">
        <f t="shared" si="3"/>
        <v>3.03151473</v>
      </c>
      <c r="X371" s="8">
        <f t="shared" si="251"/>
        <v>237.6707548</v>
      </c>
      <c r="Y371" s="12">
        <f t="shared" si="4"/>
        <v>4</v>
      </c>
      <c r="Z371" s="12">
        <f t="shared" si="5"/>
        <v>1188.353774</v>
      </c>
      <c r="AA371" s="12">
        <f t="shared" si="6"/>
        <v>15.15757365</v>
      </c>
      <c r="AB371" s="13">
        <f t="shared" si="7"/>
        <v>0.3961179247</v>
      </c>
      <c r="AC371" s="8">
        <f t="shared" si="225"/>
        <v>239.9938644</v>
      </c>
      <c r="AD371" s="13">
        <f t="shared" si="226"/>
        <v>0.399989774</v>
      </c>
      <c r="AE371" s="8">
        <f t="shared" si="227"/>
        <v>239.9938644</v>
      </c>
      <c r="AF371" s="73">
        <f t="shared" si="228"/>
        <v>18.2178652</v>
      </c>
      <c r="AG371" s="74" t="str">
        <f t="shared" si="229"/>
        <v>#REF!</v>
      </c>
      <c r="AH371" s="73">
        <f t="shared" si="230"/>
        <v>0</v>
      </c>
      <c r="AI371" s="73">
        <f t="shared" si="231"/>
        <v>0.1941741551</v>
      </c>
      <c r="AJ371" s="75">
        <f t="shared" si="232"/>
        <v>1</v>
      </c>
      <c r="AK371" s="73">
        <f t="shared" si="233"/>
        <v>0.5128152139</v>
      </c>
      <c r="AL371" s="73">
        <f t="shared" si="234"/>
        <v>1.586387951</v>
      </c>
      <c r="AM371" s="73">
        <f t="shared" si="235"/>
        <v>1.682768315</v>
      </c>
      <c r="AN371" s="75">
        <v>53.19</v>
      </c>
      <c r="AO371" s="76">
        <v>53.0</v>
      </c>
      <c r="AP371" s="73">
        <f t="shared" si="236"/>
        <v>53</v>
      </c>
      <c r="AQ371" s="29" t="str">
        <f t="shared" si="237"/>
        <v>#REF!</v>
      </c>
      <c r="AR371" s="77" t="str">
        <f t="shared" si="238"/>
        <v>#REF!</v>
      </c>
      <c r="AS371" s="73"/>
      <c r="AT371" s="39"/>
    </row>
    <row r="372" ht="15.75" customHeight="1">
      <c r="A372" s="16" t="s">
        <v>644</v>
      </c>
      <c r="B372" s="16" t="s">
        <v>645</v>
      </c>
      <c r="C372" s="16">
        <v>1985.0</v>
      </c>
      <c r="D372" s="16"/>
      <c r="E372" s="16">
        <v>1985.0</v>
      </c>
      <c r="F372" s="16" t="b">
        <v>1</v>
      </c>
      <c r="G372" s="16" t="b">
        <v>0</v>
      </c>
      <c r="H372" s="16" t="b">
        <v>1</v>
      </c>
      <c r="I372" s="16" t="b">
        <v>0</v>
      </c>
      <c r="J372" s="18">
        <v>1100.0</v>
      </c>
      <c r="K372" s="18">
        <v>6.0</v>
      </c>
      <c r="L372" s="16">
        <v>120.0</v>
      </c>
      <c r="M372" s="16">
        <v>0.0</v>
      </c>
      <c r="N372" s="16">
        <v>40.0</v>
      </c>
      <c r="O372" s="16">
        <v>19.6</v>
      </c>
      <c r="P372" s="18">
        <v>200.0</v>
      </c>
      <c r="Q372" s="16">
        <v>344.0</v>
      </c>
      <c r="R372" s="16">
        <v>7.8</v>
      </c>
      <c r="S372" s="16">
        <v>0.997</v>
      </c>
      <c r="T372" s="16">
        <v>0.997</v>
      </c>
      <c r="U372" s="19">
        <f t="shared" si="1"/>
        <v>120</v>
      </c>
      <c r="V372" s="19">
        <f t="shared" si="2"/>
        <v>49.96609429</v>
      </c>
      <c r="W372" s="20">
        <f t="shared" si="3"/>
        <v>3.799165416</v>
      </c>
      <c r="X372" s="17">
        <f t="shared" si="251"/>
        <v>74.46364215</v>
      </c>
      <c r="Y372" s="21">
        <f t="shared" si="4"/>
        <v>4</v>
      </c>
      <c r="Z372" s="21">
        <f t="shared" si="5"/>
        <v>372.3182108</v>
      </c>
      <c r="AA372" s="21">
        <f t="shared" si="6"/>
        <v>18.99582708</v>
      </c>
      <c r="AB372" s="22">
        <f t="shared" si="7"/>
        <v>0.6205303513</v>
      </c>
      <c r="AC372" s="8">
        <f t="shared" si="225"/>
        <v>75.50680332</v>
      </c>
      <c r="AD372" s="13">
        <f t="shared" si="226"/>
        <v>0.629223361</v>
      </c>
      <c r="AE372" s="8">
        <f t="shared" si="227"/>
        <v>75.50680332</v>
      </c>
      <c r="AF372" s="73">
        <f t="shared" si="228"/>
        <v>7.699799116</v>
      </c>
      <c r="AG372" s="74" t="str">
        <f t="shared" si="229"/>
        <v>#REF!</v>
      </c>
      <c r="AH372" s="73">
        <f t="shared" si="230"/>
        <v>0</v>
      </c>
      <c r="AI372" s="73">
        <f t="shared" si="231"/>
        <v>0.4517593218</v>
      </c>
      <c r="AJ372" s="75">
        <f t="shared" si="232"/>
        <v>1</v>
      </c>
      <c r="AK372" s="73">
        <f t="shared" si="233"/>
        <v>0.7903013214</v>
      </c>
      <c r="AL372" s="73">
        <f t="shared" si="234"/>
        <v>1.625293069</v>
      </c>
      <c r="AM372" s="73">
        <f t="shared" si="235"/>
        <v>1.682768315</v>
      </c>
      <c r="AN372" s="75">
        <v>32.56</v>
      </c>
      <c r="AO372" s="76">
        <v>33.0</v>
      </c>
      <c r="AP372" s="73">
        <f t="shared" si="236"/>
        <v>33</v>
      </c>
      <c r="AQ372" s="29" t="str">
        <f t="shared" si="237"/>
        <v>#REF!</v>
      </c>
      <c r="AR372" s="77" t="str">
        <f t="shared" si="238"/>
        <v>#REF!</v>
      </c>
      <c r="AS372" s="73"/>
      <c r="AT372" s="39"/>
    </row>
    <row r="373" ht="15.75" customHeight="1">
      <c r="A373" s="16" t="s">
        <v>666</v>
      </c>
      <c r="B373" s="16" t="s">
        <v>660</v>
      </c>
      <c r="C373" s="16">
        <v>1985.0</v>
      </c>
      <c r="D373" s="16" t="b">
        <v>1</v>
      </c>
      <c r="E373" s="16">
        <v>1985.0</v>
      </c>
      <c r="F373" s="16" t="b">
        <v>1</v>
      </c>
      <c r="G373" s="16" t="b">
        <v>0</v>
      </c>
      <c r="H373" s="16" t="b">
        <v>1</v>
      </c>
      <c r="I373" s="16" t="b">
        <v>0</v>
      </c>
      <c r="J373" s="18">
        <v>550.0</v>
      </c>
      <c r="K373" s="18">
        <v>20.0</v>
      </c>
      <c r="L373" s="16">
        <v>500.0</v>
      </c>
      <c r="M373" s="16">
        <v>262.0</v>
      </c>
      <c r="N373" s="16">
        <v>141.0</v>
      </c>
      <c r="O373" s="16">
        <v>66.7</v>
      </c>
      <c r="P373" s="18">
        <v>191.0</v>
      </c>
      <c r="Q373" s="16">
        <v>440.0</v>
      </c>
      <c r="R373" s="16">
        <v>2.86</v>
      </c>
      <c r="S373" s="16">
        <v>0.99486</v>
      </c>
      <c r="T373" s="16">
        <v>0.99717</v>
      </c>
      <c r="U373" s="19">
        <f t="shared" si="1"/>
        <v>762</v>
      </c>
      <c r="V373" s="19">
        <f t="shared" si="2"/>
        <v>48.23763915</v>
      </c>
      <c r="W373" s="20">
        <f t="shared" si="3"/>
        <v>12.09109914</v>
      </c>
      <c r="X373" s="17">
        <f t="shared" ref="X373:X376" si="252">0.9*(0.00015*N373*Q373*R373+797)+0.1*(43.1*POWER(N373,0.549))</f>
        <v>806.4763124</v>
      </c>
      <c r="Y373" s="21">
        <f t="shared" si="4"/>
        <v>4</v>
      </c>
      <c r="Z373" s="21">
        <f t="shared" si="5"/>
        <v>4032.381562</v>
      </c>
      <c r="AA373" s="21">
        <f t="shared" si="6"/>
        <v>60.45549568</v>
      </c>
      <c r="AB373" s="22">
        <f t="shared" si="7"/>
        <v>1.058367864</v>
      </c>
      <c r="AC373" s="8">
        <f t="shared" si="225"/>
        <v>816.1899536</v>
      </c>
      <c r="AD373" s="13">
        <f t="shared" si="226"/>
        <v>1.071115425</v>
      </c>
      <c r="AE373" s="8">
        <f t="shared" si="227"/>
        <v>162.6313834</v>
      </c>
      <c r="AF373" s="73">
        <f t="shared" si="228"/>
        <v>16.34657754</v>
      </c>
      <c r="AG373" s="74" t="str">
        <f t="shared" si="229"/>
        <v>#REF!</v>
      </c>
      <c r="AH373" s="73">
        <f t="shared" si="230"/>
        <v>0</v>
      </c>
      <c r="AI373" s="73">
        <f t="shared" si="231"/>
        <v>0.6760795925</v>
      </c>
      <c r="AJ373" s="75">
        <f t="shared" si="232"/>
        <v>1</v>
      </c>
      <c r="AK373" s="73">
        <f t="shared" si="233"/>
        <v>0.7765117445</v>
      </c>
      <c r="AL373" s="73">
        <f t="shared" si="234"/>
        <v>5.668948711</v>
      </c>
      <c r="AM373" s="73">
        <f t="shared" si="235"/>
        <v>1.50163459</v>
      </c>
      <c r="AN373" s="75">
        <v>226.79</v>
      </c>
      <c r="AO373" s="76">
        <v>230.0</v>
      </c>
      <c r="AP373" s="73">
        <f t="shared" si="236"/>
        <v>230</v>
      </c>
      <c r="AQ373" s="29" t="str">
        <f t="shared" si="237"/>
        <v>#REF!</v>
      </c>
      <c r="AR373" s="77" t="str">
        <f t="shared" si="238"/>
        <v>#REF!</v>
      </c>
      <c r="AS373" s="73"/>
      <c r="AT373" s="39"/>
    </row>
    <row r="374" ht="15.75" customHeight="1">
      <c r="A374" s="7" t="s">
        <v>234</v>
      </c>
      <c r="B374" s="7" t="s">
        <v>235</v>
      </c>
      <c r="C374" s="7">
        <v>1986.0</v>
      </c>
      <c r="D374" s="7" t="b">
        <v>1</v>
      </c>
      <c r="E374" s="7">
        <v>1986.0</v>
      </c>
      <c r="F374" s="7" t="b">
        <v>1</v>
      </c>
      <c r="G374" s="7" t="b">
        <v>0</v>
      </c>
      <c r="H374" s="7" t="b">
        <v>1</v>
      </c>
      <c r="I374" s="7" t="b">
        <v>0</v>
      </c>
      <c r="J374" s="9">
        <v>370.0</v>
      </c>
      <c r="K374" s="9">
        <v>10.0</v>
      </c>
      <c r="L374" s="7">
        <v>2650.0</v>
      </c>
      <c r="M374" s="7">
        <v>0.0</v>
      </c>
      <c r="N374" s="7">
        <v>245.0</v>
      </c>
      <c r="O374" s="7">
        <v>102.9</v>
      </c>
      <c r="P374" s="9">
        <v>100.0</v>
      </c>
      <c r="Q374" s="7">
        <v>450.0</v>
      </c>
      <c r="R374" s="7">
        <v>3.65</v>
      </c>
      <c r="S374" s="7">
        <v>0.985</v>
      </c>
      <c r="T374" s="7">
        <v>0.985</v>
      </c>
      <c r="U374" s="10">
        <f t="shared" si="1"/>
        <v>2650</v>
      </c>
      <c r="V374" s="10">
        <f t="shared" si="2"/>
        <v>42.82808082</v>
      </c>
      <c r="W374" s="11">
        <f t="shared" si="3"/>
        <v>8.357240073</v>
      </c>
      <c r="X374" s="8">
        <f t="shared" si="252"/>
        <v>859.9600035</v>
      </c>
      <c r="Y374" s="12">
        <f t="shared" si="4"/>
        <v>4</v>
      </c>
      <c r="Z374" s="12">
        <f t="shared" si="5"/>
        <v>4299.800017</v>
      </c>
      <c r="AA374" s="12">
        <f t="shared" si="6"/>
        <v>41.78620036</v>
      </c>
      <c r="AB374" s="13">
        <f t="shared" si="7"/>
        <v>0.3245132089</v>
      </c>
      <c r="AC374" s="8">
        <f t="shared" si="225"/>
        <v>851.5538945</v>
      </c>
      <c r="AD374" s="13">
        <f t="shared" si="226"/>
        <v>0.3213410922</v>
      </c>
      <c r="AE374" s="8">
        <f t="shared" si="227"/>
        <v>229.73507</v>
      </c>
      <c r="AF374" s="73">
        <f t="shared" si="228"/>
        <v>21.97101731</v>
      </c>
      <c r="AG374" s="74" t="str">
        <f t="shared" si="229"/>
        <v>#REF!</v>
      </c>
      <c r="AH374" s="73">
        <f t="shared" si="230"/>
        <v>0</v>
      </c>
      <c r="AI374" s="73">
        <f t="shared" si="231"/>
        <v>0.5535639833</v>
      </c>
      <c r="AJ374" s="75">
        <f t="shared" si="232"/>
        <v>1</v>
      </c>
      <c r="AK374" s="73">
        <f t="shared" si="233"/>
        <v>0.7316768482</v>
      </c>
      <c r="AL374" s="73">
        <f t="shared" si="234"/>
        <v>6.5</v>
      </c>
      <c r="AM374" s="73">
        <f t="shared" si="235"/>
        <v>1.38238862</v>
      </c>
      <c r="AN374" s="75">
        <v>226.81</v>
      </c>
      <c r="AO374" s="76">
        <v>230.0</v>
      </c>
      <c r="AP374" s="73">
        <f t="shared" si="236"/>
        <v>230</v>
      </c>
      <c r="AQ374" s="29" t="str">
        <f t="shared" si="237"/>
        <v>#REF!</v>
      </c>
      <c r="AR374" s="77" t="str">
        <f t="shared" si="238"/>
        <v>#REF!</v>
      </c>
      <c r="AS374" s="73"/>
      <c r="AT374" s="39"/>
    </row>
    <row r="375" ht="15.75" customHeight="1">
      <c r="A375" s="16" t="s">
        <v>358</v>
      </c>
      <c r="B375" s="16" t="s">
        <v>355</v>
      </c>
      <c r="C375" s="16">
        <v>1986.0</v>
      </c>
      <c r="D375" s="16" t="b">
        <v>1</v>
      </c>
      <c r="E375" s="16">
        <v>1986.0</v>
      </c>
      <c r="F375" s="16" t="b">
        <v>1</v>
      </c>
      <c r="G375" s="16" t="b">
        <v>0</v>
      </c>
      <c r="H375" s="16" t="b">
        <v>1</v>
      </c>
      <c r="I375" s="16" t="b">
        <v>0</v>
      </c>
      <c r="J375" s="18">
        <v>500.0</v>
      </c>
      <c r="K375" s="18">
        <v>2.0</v>
      </c>
      <c r="L375" s="16">
        <v>9200.0</v>
      </c>
      <c r="M375" s="16">
        <v>1000.0</v>
      </c>
      <c r="N375" s="16">
        <v>9071.0</v>
      </c>
      <c r="O375" s="16">
        <v>8006.799</v>
      </c>
      <c r="P375" s="18">
        <v>320.0</v>
      </c>
      <c r="Q375" s="16">
        <v>430.0</v>
      </c>
      <c r="R375" s="16">
        <v>8.27</v>
      </c>
      <c r="S375" s="16">
        <v>0.9999</v>
      </c>
      <c r="T375" s="16">
        <v>0.9999</v>
      </c>
      <c r="U375" s="19">
        <f t="shared" si="1"/>
        <v>10200</v>
      </c>
      <c r="V375" s="19">
        <f t="shared" si="2"/>
        <v>90.00840845</v>
      </c>
      <c r="W375" s="20">
        <f t="shared" si="3"/>
        <v>0.7135930229</v>
      </c>
      <c r="X375" s="17">
        <f t="shared" si="252"/>
        <v>5713.595902</v>
      </c>
      <c r="Y375" s="21">
        <f t="shared" si="4"/>
        <v>4</v>
      </c>
      <c r="Z375" s="21">
        <f t="shared" si="5"/>
        <v>28567.97951</v>
      </c>
      <c r="AA375" s="21">
        <f t="shared" si="6"/>
        <v>3.567965115</v>
      </c>
      <c r="AB375" s="22">
        <f t="shared" si="7"/>
        <v>0.560156461</v>
      </c>
      <c r="AC375" s="8">
        <f t="shared" si="225"/>
        <v>5826.725158</v>
      </c>
      <c r="AD375" s="13">
        <f t="shared" si="226"/>
        <v>0.5712475645</v>
      </c>
      <c r="AE375" s="8">
        <f t="shared" si="227"/>
        <v>2230.782758</v>
      </c>
      <c r="AF375" s="73">
        <f t="shared" si="228"/>
        <v>871.3881583</v>
      </c>
      <c r="AG375" s="74" t="str">
        <f t="shared" si="229"/>
        <v>#REF!</v>
      </c>
      <c r="AH375" s="73">
        <f t="shared" si="230"/>
        <v>0</v>
      </c>
      <c r="AI375" s="73">
        <f t="shared" si="231"/>
        <v>0.1941741551</v>
      </c>
      <c r="AJ375" s="75">
        <f t="shared" si="232"/>
        <v>1.068394031</v>
      </c>
      <c r="AK375" s="73">
        <f t="shared" si="233"/>
        <v>1.060709718</v>
      </c>
      <c r="AL375" s="73">
        <f t="shared" si="234"/>
        <v>4.948970797</v>
      </c>
      <c r="AM375" s="73">
        <f t="shared" si="235"/>
        <v>1.474076339</v>
      </c>
      <c r="AN375" s="75">
        <v>12715.4</v>
      </c>
      <c r="AO375" s="76">
        <v>12500.0</v>
      </c>
      <c r="AP375" s="73">
        <f t="shared" si="236"/>
        <v>12500</v>
      </c>
      <c r="AQ375" s="29" t="str">
        <f t="shared" si="237"/>
        <v>#REF!</v>
      </c>
      <c r="AR375" s="77" t="str">
        <f t="shared" si="238"/>
        <v>#REF!</v>
      </c>
      <c r="AS375" s="73"/>
      <c r="AT375" s="39"/>
    </row>
    <row r="376" ht="15.75" customHeight="1">
      <c r="A376" s="7" t="s">
        <v>359</v>
      </c>
      <c r="B376" s="7" t="s">
        <v>355</v>
      </c>
      <c r="C376" s="7">
        <v>1986.0</v>
      </c>
      <c r="D376" s="7" t="b">
        <v>1</v>
      </c>
      <c r="E376" s="7">
        <v>1986.0</v>
      </c>
      <c r="F376" s="7" t="b">
        <v>1</v>
      </c>
      <c r="G376" s="7" t="b">
        <v>0</v>
      </c>
      <c r="H376" s="7" t="b">
        <v>0</v>
      </c>
      <c r="I376" s="7" t="b">
        <v>0</v>
      </c>
      <c r="J376" s="9">
        <v>500.0</v>
      </c>
      <c r="K376" s="9">
        <v>2.0</v>
      </c>
      <c r="L376" s="7">
        <v>9200.0</v>
      </c>
      <c r="M376" s="7">
        <v>1500.0</v>
      </c>
      <c r="N376" s="7">
        <v>9071.0</v>
      </c>
      <c r="O376" s="7">
        <v>7708.87</v>
      </c>
      <c r="P376" s="9">
        <v>344.5</v>
      </c>
      <c r="Q376" s="7">
        <v>414.0</v>
      </c>
      <c r="R376" s="7">
        <v>8.27</v>
      </c>
      <c r="S376" s="7">
        <v>0.9999</v>
      </c>
      <c r="T376" s="7">
        <v>0.9999</v>
      </c>
      <c r="U376" s="10">
        <f t="shared" si="1"/>
        <v>10700</v>
      </c>
      <c r="V376" s="10">
        <f t="shared" si="2"/>
        <v>86.65924043</v>
      </c>
      <c r="W376" s="11">
        <f t="shared" si="3"/>
        <v>0.7201520865</v>
      </c>
      <c r="X376" s="8">
        <f t="shared" si="252"/>
        <v>5551.558815</v>
      </c>
      <c r="Y376" s="12">
        <f t="shared" si="4"/>
        <v>4</v>
      </c>
      <c r="Z376" s="12">
        <f t="shared" si="5"/>
        <v>27757.79408</v>
      </c>
      <c r="AA376" s="12">
        <f t="shared" si="6"/>
        <v>3.600760433</v>
      </c>
      <c r="AB376" s="13">
        <f t="shared" si="7"/>
        <v>0.5188372724</v>
      </c>
      <c r="AC376" s="8">
        <f t="shared" si="225"/>
        <v>5661.479735</v>
      </c>
      <c r="AD376" s="13">
        <f t="shared" si="226"/>
        <v>0.5291102556</v>
      </c>
      <c r="AE376" s="8">
        <f t="shared" si="227"/>
        <v>2184.353116</v>
      </c>
      <c r="AF376" s="73">
        <f t="shared" si="228"/>
        <v>840.9161032</v>
      </c>
      <c r="AG376" s="74" t="str">
        <f t="shared" si="229"/>
        <v>#REF!</v>
      </c>
      <c r="AH376" s="73">
        <f t="shared" si="230"/>
        <v>0</v>
      </c>
      <c r="AI376" s="73">
        <f t="shared" si="231"/>
        <v>0.1941741551</v>
      </c>
      <c r="AJ376" s="75">
        <f t="shared" si="232"/>
        <v>1.199952228</v>
      </c>
      <c r="AK376" s="73">
        <f t="shared" si="233"/>
        <v>1.040788406</v>
      </c>
      <c r="AL376" s="73">
        <f t="shared" si="234"/>
        <v>3.991072304</v>
      </c>
      <c r="AM376" s="73">
        <f t="shared" si="235"/>
        <v>1.474076339</v>
      </c>
      <c r="AN376" s="75">
        <v>11016.01</v>
      </c>
      <c r="AO376" s="76">
        <v>11000.0</v>
      </c>
      <c r="AP376" s="73">
        <f t="shared" si="236"/>
        <v>11000</v>
      </c>
      <c r="AQ376" s="29" t="str">
        <f t="shared" si="237"/>
        <v>#REF!</v>
      </c>
      <c r="AR376" s="77" t="str">
        <f t="shared" si="238"/>
        <v>#REF!</v>
      </c>
      <c r="AS376" s="73"/>
      <c r="AT376" s="39"/>
    </row>
    <row r="377" ht="15.75" customHeight="1">
      <c r="A377" s="16" t="s">
        <v>499</v>
      </c>
      <c r="B377" s="16" t="s">
        <v>498</v>
      </c>
      <c r="C377" s="16">
        <v>1986.0</v>
      </c>
      <c r="D377" s="16"/>
      <c r="E377" s="16">
        <v>1986.0</v>
      </c>
      <c r="F377" s="16" t="b">
        <v>1</v>
      </c>
      <c r="G377" s="16" t="b">
        <v>0</v>
      </c>
      <c r="H377" s="16" t="b">
        <v>1</v>
      </c>
      <c r="I377" s="16" t="b">
        <v>0</v>
      </c>
      <c r="J377" s="18">
        <v>190.0</v>
      </c>
      <c r="K377" s="16">
        <v>1.0</v>
      </c>
      <c r="L377" s="16">
        <v>340.0</v>
      </c>
      <c r="M377" s="16">
        <v>15.0</v>
      </c>
      <c r="N377" s="16">
        <v>770.0</v>
      </c>
      <c r="O377" s="16">
        <v>836.5</v>
      </c>
      <c r="P377" s="18">
        <v>234.0</v>
      </c>
      <c r="Q377" s="16">
        <v>340.0</v>
      </c>
      <c r="R377" s="16">
        <v>16.32</v>
      </c>
      <c r="S377" s="16">
        <v>0.993966</v>
      </c>
      <c r="T377" s="16">
        <v>0.99386</v>
      </c>
      <c r="U377" s="19">
        <f t="shared" si="1"/>
        <v>355</v>
      </c>
      <c r="V377" s="19">
        <f t="shared" si="2"/>
        <v>110.778261</v>
      </c>
      <c r="W377" s="20">
        <f t="shared" si="3"/>
        <v>0.5547459844</v>
      </c>
      <c r="X377" s="17">
        <f t="shared" ref="X377:X380" si="253">0.2*(8.17*POWER(N377*R377,0.46))+0.8*(0.146*POWER(N377*Q377,0.639))</f>
        <v>464.045016</v>
      </c>
      <c r="Y377" s="21">
        <f t="shared" si="4"/>
        <v>4</v>
      </c>
      <c r="Z377" s="21">
        <f t="shared" si="5"/>
        <v>2320.22508</v>
      </c>
      <c r="AA377" s="21">
        <f t="shared" si="6"/>
        <v>2.773729922</v>
      </c>
      <c r="AB377" s="22">
        <f t="shared" si="7"/>
        <v>1.307169059</v>
      </c>
      <c r="AC377" s="8">
        <f t="shared" si="225"/>
        <v>467.6938246</v>
      </c>
      <c r="AD377" s="13">
        <f t="shared" si="226"/>
        <v>1.317447393</v>
      </c>
      <c r="AE377" s="8">
        <f t="shared" si="227"/>
        <v>467.6938246</v>
      </c>
      <c r="AF377" s="73">
        <f t="shared" si="228"/>
        <v>113.1940257</v>
      </c>
      <c r="AG377" s="74" t="str">
        <f t="shared" si="229"/>
        <v>#REF!</v>
      </c>
      <c r="AH377" s="73">
        <f t="shared" si="230"/>
        <v>0</v>
      </c>
      <c r="AI377" s="73">
        <f t="shared" si="231"/>
        <v>0</v>
      </c>
      <c r="AJ377" s="75">
        <f t="shared" si="232"/>
        <v>1.01328454</v>
      </c>
      <c r="AK377" s="73">
        <f t="shared" si="233"/>
        <v>1.176744774</v>
      </c>
      <c r="AL377" s="73">
        <f t="shared" si="234"/>
        <v>1.548592413</v>
      </c>
      <c r="AM377" s="73">
        <f t="shared" si="235"/>
        <v>1.152011174</v>
      </c>
      <c r="AN377" s="75">
        <v>270.73</v>
      </c>
      <c r="AO377" s="76">
        <v>270.0</v>
      </c>
      <c r="AP377" s="73">
        <f t="shared" si="236"/>
        <v>270</v>
      </c>
      <c r="AQ377" s="29" t="str">
        <f t="shared" si="237"/>
        <v>#REF!</v>
      </c>
      <c r="AR377" s="77" t="str">
        <f t="shared" si="238"/>
        <v>#REF!</v>
      </c>
      <c r="AS377" s="73"/>
      <c r="AT377" s="39"/>
    </row>
    <row r="378" ht="15.75" customHeight="1">
      <c r="A378" s="16" t="s">
        <v>502</v>
      </c>
      <c r="B378" s="16" t="s">
        <v>501</v>
      </c>
      <c r="C378" s="16">
        <v>1986.0</v>
      </c>
      <c r="D378" s="16"/>
      <c r="E378" s="16">
        <v>1986.0</v>
      </c>
      <c r="F378" s="16" t="b">
        <v>1</v>
      </c>
      <c r="G378" s="16" t="b">
        <v>0</v>
      </c>
      <c r="H378" s="16" t="b">
        <v>1</v>
      </c>
      <c r="I378" s="16" t="b">
        <v>0</v>
      </c>
      <c r="J378" s="18">
        <v>190.0</v>
      </c>
      <c r="K378" s="16">
        <v>1.0</v>
      </c>
      <c r="L378" s="16">
        <v>340.0</v>
      </c>
      <c r="M378" s="16">
        <v>15.0</v>
      </c>
      <c r="N378" s="16">
        <v>680.0</v>
      </c>
      <c r="O378" s="16">
        <v>805.52</v>
      </c>
      <c r="P378" s="18">
        <v>235.0</v>
      </c>
      <c r="Q378" s="16">
        <v>341.3</v>
      </c>
      <c r="R378" s="16">
        <v>16.32</v>
      </c>
      <c r="S378" s="16">
        <v>0.996957</v>
      </c>
      <c r="T378" s="16">
        <v>0.99693</v>
      </c>
      <c r="U378" s="19">
        <f t="shared" si="1"/>
        <v>355</v>
      </c>
      <c r="V378" s="19">
        <f t="shared" si="2"/>
        <v>120.7943826</v>
      </c>
      <c r="W378" s="20">
        <f t="shared" si="3"/>
        <v>0.5362823473</v>
      </c>
      <c r="X378" s="17">
        <f t="shared" si="253"/>
        <v>431.9861564</v>
      </c>
      <c r="Y378" s="21">
        <f t="shared" si="4"/>
        <v>4</v>
      </c>
      <c r="Z378" s="21">
        <f t="shared" si="5"/>
        <v>2159.930782</v>
      </c>
      <c r="AA378" s="21">
        <f t="shared" si="6"/>
        <v>2.681411737</v>
      </c>
      <c r="AB378" s="22">
        <f t="shared" si="7"/>
        <v>1.216862412</v>
      </c>
      <c r="AC378" s="8">
        <f t="shared" si="225"/>
        <v>437.9891838</v>
      </c>
      <c r="AD378" s="13">
        <f t="shared" si="226"/>
        <v>1.233772349</v>
      </c>
      <c r="AE378" s="8">
        <f t="shared" si="227"/>
        <v>437.9891838</v>
      </c>
      <c r="AF378" s="73">
        <f t="shared" si="228"/>
        <v>109.6065949</v>
      </c>
      <c r="AG378" s="74" t="str">
        <f t="shared" si="229"/>
        <v>#REF!</v>
      </c>
      <c r="AH378" s="73">
        <f t="shared" si="230"/>
        <v>0</v>
      </c>
      <c r="AI378" s="73">
        <f t="shared" si="231"/>
        <v>0</v>
      </c>
      <c r="AJ378" s="75">
        <f t="shared" si="232"/>
        <v>1.013502861</v>
      </c>
      <c r="AK378" s="73">
        <f t="shared" si="233"/>
        <v>1.228792001</v>
      </c>
      <c r="AL378" s="73">
        <f t="shared" si="234"/>
        <v>1.573034717</v>
      </c>
      <c r="AM378" s="73">
        <f t="shared" si="235"/>
        <v>1.152011174</v>
      </c>
      <c r="AN378" s="75">
        <v>301.45</v>
      </c>
      <c r="AO378" s="76">
        <v>300.0</v>
      </c>
      <c r="AP378" s="73">
        <f t="shared" si="236"/>
        <v>300</v>
      </c>
      <c r="AQ378" s="29" t="str">
        <f t="shared" si="237"/>
        <v>#REF!</v>
      </c>
      <c r="AR378" s="77" t="str">
        <f t="shared" si="238"/>
        <v>#REF!</v>
      </c>
      <c r="AS378" s="73"/>
      <c r="AT378" s="39"/>
    </row>
    <row r="379" ht="15.75" customHeight="1">
      <c r="A379" s="16" t="s">
        <v>505</v>
      </c>
      <c r="B379" s="16" t="s">
        <v>504</v>
      </c>
      <c r="C379" s="16">
        <v>1986.0</v>
      </c>
      <c r="D379" s="16"/>
      <c r="E379" s="16">
        <v>1986.0</v>
      </c>
      <c r="F379" s="16" t="b">
        <v>1</v>
      </c>
      <c r="G379" s="16" t="b">
        <v>0</v>
      </c>
      <c r="H379" s="16" t="b">
        <v>1</v>
      </c>
      <c r="I379" s="16" t="b">
        <v>0</v>
      </c>
      <c r="J379" s="18">
        <v>190.0</v>
      </c>
      <c r="K379" s="16">
        <v>1.0</v>
      </c>
      <c r="L379" s="16">
        <v>10.0</v>
      </c>
      <c r="M379" s="16">
        <v>0.0</v>
      </c>
      <c r="N379" s="16">
        <v>90.0</v>
      </c>
      <c r="O379" s="16">
        <v>30.98</v>
      </c>
      <c r="P379" s="18">
        <v>215.0</v>
      </c>
      <c r="Q379" s="16">
        <v>307.0</v>
      </c>
      <c r="R379" s="16">
        <v>5.3</v>
      </c>
      <c r="S379" s="16">
        <v>0.996957</v>
      </c>
      <c r="T379" s="16">
        <v>0.99693</v>
      </c>
      <c r="U379" s="19">
        <f t="shared" si="1"/>
        <v>10</v>
      </c>
      <c r="V379" s="19">
        <f t="shared" si="2"/>
        <v>35.10089798</v>
      </c>
      <c r="W379" s="20">
        <f t="shared" si="3"/>
        <v>3.49668914</v>
      </c>
      <c r="X379" s="17">
        <f t="shared" si="253"/>
        <v>108.3274296</v>
      </c>
      <c r="Y379" s="21">
        <f t="shared" si="4"/>
        <v>4</v>
      </c>
      <c r="Z379" s="21">
        <f t="shared" si="5"/>
        <v>541.6371478</v>
      </c>
      <c r="AA379" s="21">
        <f t="shared" si="6"/>
        <v>17.4834457</v>
      </c>
      <c r="AB379" s="22">
        <f t="shared" si="7"/>
        <v>10.83274296</v>
      </c>
      <c r="AC379" s="8">
        <f t="shared" si="225"/>
        <v>109.8327846</v>
      </c>
      <c r="AD379" s="13">
        <f t="shared" si="226"/>
        <v>10.98327846</v>
      </c>
      <c r="AE379" s="8">
        <f t="shared" si="227"/>
        <v>109.8327846</v>
      </c>
      <c r="AF379" s="73">
        <f t="shared" si="228"/>
        <v>10.06439442</v>
      </c>
      <c r="AG379" s="74" t="str">
        <f t="shared" si="229"/>
        <v>#REF!</v>
      </c>
      <c r="AH379" s="73">
        <f t="shared" si="230"/>
        <v>0</v>
      </c>
      <c r="AI379" s="73">
        <f t="shared" si="231"/>
        <v>0</v>
      </c>
      <c r="AJ379" s="75">
        <f t="shared" si="232"/>
        <v>1.022674172</v>
      </c>
      <c r="AK379" s="73">
        <f t="shared" si="233"/>
        <v>0.662390538</v>
      </c>
      <c r="AL379" s="73">
        <f t="shared" si="234"/>
        <v>1.066405396</v>
      </c>
      <c r="AM379" s="73">
        <f t="shared" si="235"/>
        <v>1.152011174</v>
      </c>
      <c r="AN379" s="75">
        <v>14.12</v>
      </c>
      <c r="AO379" s="76">
        <v>14.0</v>
      </c>
      <c r="AP379" s="73">
        <f t="shared" si="236"/>
        <v>14</v>
      </c>
      <c r="AQ379" s="29" t="str">
        <f t="shared" si="237"/>
        <v>#REF!</v>
      </c>
      <c r="AR379" s="77" t="str">
        <f t="shared" si="238"/>
        <v>#REF!</v>
      </c>
      <c r="AS379" s="73"/>
      <c r="AT379" s="39"/>
    </row>
    <row r="380" ht="15.75" customHeight="1">
      <c r="A380" s="16" t="s">
        <v>512</v>
      </c>
      <c r="B380" s="16" t="s">
        <v>513</v>
      </c>
      <c r="C380" s="16">
        <v>1986.0</v>
      </c>
      <c r="D380" s="16"/>
      <c r="E380" s="16">
        <v>1986.0</v>
      </c>
      <c r="F380" s="16" t="b">
        <v>1</v>
      </c>
      <c r="G380" s="16" t="b">
        <v>0</v>
      </c>
      <c r="H380" s="16" t="b">
        <v>1</v>
      </c>
      <c r="I380" s="16" t="b">
        <v>0</v>
      </c>
      <c r="J380" s="18">
        <v>79.0</v>
      </c>
      <c r="K380" s="16">
        <v>1.0</v>
      </c>
      <c r="L380" s="16"/>
      <c r="M380" s="16">
        <v>0.0</v>
      </c>
      <c r="N380" s="16">
        <v>853.0</v>
      </c>
      <c r="O380" s="16">
        <v>896.3</v>
      </c>
      <c r="P380" s="18">
        <v>280.4</v>
      </c>
      <c r="Q380" s="16">
        <v>313.6</v>
      </c>
      <c r="R380" s="16">
        <v>26.97</v>
      </c>
      <c r="S380" s="16">
        <v>0.993966</v>
      </c>
      <c r="T380" s="16">
        <v>0.99386</v>
      </c>
      <c r="U380" s="19">
        <f t="shared" si="1"/>
        <v>0</v>
      </c>
      <c r="V380" s="19">
        <f t="shared" si="2"/>
        <v>107.1479061</v>
      </c>
      <c r="W380" s="20">
        <f t="shared" si="3"/>
        <v>0.5678982494</v>
      </c>
      <c r="X380" s="17">
        <f t="shared" si="253"/>
        <v>509.007201</v>
      </c>
      <c r="Y380" s="21">
        <f t="shared" si="4"/>
        <v>4</v>
      </c>
      <c r="Z380" s="21">
        <f t="shared" si="5"/>
        <v>2545.036005</v>
      </c>
      <c r="AA380" s="21">
        <f t="shared" si="6"/>
        <v>2.839491247</v>
      </c>
      <c r="AB380" s="22" t="str">
        <f t="shared" si="7"/>
        <v>#N/A</v>
      </c>
      <c r="AC380" s="8">
        <f t="shared" si="225"/>
        <v>513.0095494</v>
      </c>
      <c r="AD380" s="13" t="str">
        <f t="shared" si="226"/>
        <v>#N/A</v>
      </c>
      <c r="AE380" s="8">
        <f t="shared" si="227"/>
        <v>513.0095494</v>
      </c>
      <c r="AF380" s="73">
        <f t="shared" si="228"/>
        <v>120.089609</v>
      </c>
      <c r="AG380" s="74" t="str">
        <f t="shared" si="229"/>
        <v>#REF!</v>
      </c>
      <c r="AH380" s="73">
        <f t="shared" si="230"/>
        <v>0</v>
      </c>
      <c r="AI380" s="73">
        <f t="shared" si="231"/>
        <v>0</v>
      </c>
      <c r="AJ380" s="75">
        <f t="shared" si="232"/>
        <v>1.317213025</v>
      </c>
      <c r="AK380" s="73">
        <f t="shared" si="233"/>
        <v>1.157302392</v>
      </c>
      <c r="AL380" s="73">
        <f t="shared" si="234"/>
        <v>1.142811113</v>
      </c>
      <c r="AM380" s="73">
        <f t="shared" si="235"/>
        <v>0.7808935945</v>
      </c>
      <c r="AN380" s="75">
        <v>185.1</v>
      </c>
      <c r="AO380" s="76">
        <v>190.0</v>
      </c>
      <c r="AP380" s="73">
        <f t="shared" si="236"/>
        <v>190</v>
      </c>
      <c r="AQ380" s="29" t="str">
        <f t="shared" si="237"/>
        <v>#REF!</v>
      </c>
      <c r="AR380" s="77" t="str">
        <f t="shared" si="238"/>
        <v>#REF!</v>
      </c>
      <c r="AS380" s="73"/>
      <c r="AT380" s="39"/>
    </row>
    <row r="381" ht="15.75" customHeight="1">
      <c r="A381" s="7" t="s">
        <v>514</v>
      </c>
      <c r="B381" s="7" t="s">
        <v>515</v>
      </c>
      <c r="C381" s="7">
        <v>1986.0</v>
      </c>
      <c r="D381" s="7" t="b">
        <v>1</v>
      </c>
      <c r="E381" s="7">
        <v>1986.0</v>
      </c>
      <c r="F381" s="7" t="b">
        <v>1</v>
      </c>
      <c r="G381" s="7" t="b">
        <v>0</v>
      </c>
      <c r="H381" s="7" t="b">
        <v>1</v>
      </c>
      <c r="I381" s="7" t="b">
        <v>0</v>
      </c>
      <c r="J381" s="9">
        <v>3600.0</v>
      </c>
      <c r="K381" s="9">
        <v>10.0</v>
      </c>
      <c r="L381" s="7">
        <v>433.0</v>
      </c>
      <c r="M381" s="7">
        <v>0.0</v>
      </c>
      <c r="N381" s="7">
        <v>2000.0</v>
      </c>
      <c r="O381" s="7">
        <v>35.3</v>
      </c>
      <c r="P381" s="9">
        <v>561.0</v>
      </c>
      <c r="Q381" s="7">
        <v>910.0</v>
      </c>
      <c r="R381" s="7">
        <v>4.0</v>
      </c>
      <c r="S381" s="7">
        <v>1.0</v>
      </c>
      <c r="T381" s="7">
        <v>1.0</v>
      </c>
      <c r="U381" s="10">
        <f t="shared" si="1"/>
        <v>433</v>
      </c>
      <c r="V381" s="10">
        <f t="shared" si="2"/>
        <v>1.799799111</v>
      </c>
      <c r="W381" s="11">
        <f t="shared" si="3"/>
        <v>56.08590307</v>
      </c>
      <c r="X381" s="8">
        <f>0.9*(0.00015*N381*Q381*R381+797)+0.1*(43.1*POWER(N381,0.549))</f>
        <v>1979.832378</v>
      </c>
      <c r="Y381" s="12">
        <f t="shared" si="4"/>
        <v>4</v>
      </c>
      <c r="Z381" s="12">
        <f t="shared" si="5"/>
        <v>9899.161892</v>
      </c>
      <c r="AA381" s="12">
        <f t="shared" si="6"/>
        <v>280.4295153</v>
      </c>
      <c r="AB381" s="13">
        <f t="shared" si="7"/>
        <v>4.572361151</v>
      </c>
      <c r="AC381" s="8">
        <f t="shared" si="225"/>
        <v>2019.429026</v>
      </c>
      <c r="AD381" s="13">
        <f t="shared" si="226"/>
        <v>4.663808374</v>
      </c>
      <c r="AE381" s="8">
        <f t="shared" si="227"/>
        <v>1295.92685</v>
      </c>
      <c r="AF381" s="73">
        <f t="shared" si="228"/>
        <v>10.89436692</v>
      </c>
      <c r="AG381" s="74" t="str">
        <f t="shared" si="229"/>
        <v>#REF!</v>
      </c>
      <c r="AH381" s="73">
        <f t="shared" si="230"/>
        <v>0</v>
      </c>
      <c r="AI381" s="73">
        <f t="shared" si="231"/>
        <v>0.5535639833</v>
      </c>
      <c r="AJ381" s="75">
        <f t="shared" si="232"/>
        <v>1</v>
      </c>
      <c r="AK381" s="73">
        <f t="shared" si="233"/>
        <v>0.2</v>
      </c>
      <c r="AL381" s="73">
        <f t="shared" si="234"/>
        <v>61.84959025</v>
      </c>
      <c r="AM381" s="73">
        <f t="shared" si="235"/>
        <v>1.926089075</v>
      </c>
      <c r="AN381" s="75">
        <v>1889.58</v>
      </c>
      <c r="AO381" s="76">
        <v>1900.0</v>
      </c>
      <c r="AP381" s="73">
        <f t="shared" si="236"/>
        <v>1900</v>
      </c>
      <c r="AQ381" s="29" t="str">
        <f t="shared" si="237"/>
        <v>#REF!</v>
      </c>
      <c r="AR381" s="77" t="str">
        <f t="shared" si="238"/>
        <v>#REF!</v>
      </c>
      <c r="AS381" s="73"/>
      <c r="AT381" s="39"/>
    </row>
    <row r="382" ht="15.75" customHeight="1">
      <c r="A382" s="7" t="s">
        <v>599</v>
      </c>
      <c r="B382" s="7" t="s">
        <v>596</v>
      </c>
      <c r="C382" s="7">
        <v>1986.0</v>
      </c>
      <c r="D382" s="7"/>
      <c r="E382" s="7">
        <v>1986.0</v>
      </c>
      <c r="F382" s="7" t="b">
        <v>1</v>
      </c>
      <c r="G382" s="7" t="b">
        <v>0</v>
      </c>
      <c r="H382" s="7" t="b">
        <v>0</v>
      </c>
      <c r="I382" s="7" t="b">
        <v>0</v>
      </c>
      <c r="J382" s="9">
        <v>148.0</v>
      </c>
      <c r="K382" s="7">
        <v>1.0</v>
      </c>
      <c r="L382" s="7">
        <v>515.0</v>
      </c>
      <c r="M382" s="7">
        <v>100.0</v>
      </c>
      <c r="N382" s="7">
        <v>1080.0</v>
      </c>
      <c r="O382" s="7">
        <v>1748.0</v>
      </c>
      <c r="P382" s="9">
        <v>285.0</v>
      </c>
      <c r="Q382" s="7">
        <v>316.0</v>
      </c>
      <c r="R382" s="7">
        <v>14.71</v>
      </c>
      <c r="S382" s="7">
        <v>0.999679</v>
      </c>
      <c r="T382" s="7">
        <v>0.999679</v>
      </c>
      <c r="U382" s="10">
        <f t="shared" si="1"/>
        <v>615</v>
      </c>
      <c r="V382" s="10">
        <f t="shared" si="2"/>
        <v>165.042957</v>
      </c>
      <c r="W382" s="11">
        <f t="shared" si="3"/>
        <v>0.3093998924</v>
      </c>
      <c r="X382" s="8">
        <f t="shared" ref="X382:X386" si="254">0.2*(8.17*POWER(N382*R382,0.46))+0.8*(0.146*POWER(N382*Q382,0.639))</f>
        <v>540.831012</v>
      </c>
      <c r="Y382" s="12">
        <f t="shared" si="4"/>
        <v>4</v>
      </c>
      <c r="Z382" s="12">
        <f t="shared" si="5"/>
        <v>2704.15506</v>
      </c>
      <c r="AA382" s="12">
        <f t="shared" si="6"/>
        <v>1.546999462</v>
      </c>
      <c r="AB382" s="13">
        <f t="shared" si="7"/>
        <v>0.8794000195</v>
      </c>
      <c r="AC382" s="8">
        <f t="shared" si="225"/>
        <v>551.3004744</v>
      </c>
      <c r="AD382" s="13">
        <f t="shared" si="226"/>
        <v>0.8964235357</v>
      </c>
      <c r="AE382" s="8">
        <f t="shared" si="227"/>
        <v>551.3004744</v>
      </c>
      <c r="AF382" s="73">
        <f t="shared" si="228"/>
        <v>215.518684</v>
      </c>
      <c r="AG382" s="74" t="str">
        <f t="shared" si="229"/>
        <v>#REF!</v>
      </c>
      <c r="AH382" s="73">
        <f t="shared" si="230"/>
        <v>0</v>
      </c>
      <c r="AI382" s="73">
        <f t="shared" si="231"/>
        <v>0</v>
      </c>
      <c r="AJ382" s="75">
        <f t="shared" si="232"/>
        <v>1.333125919</v>
      </c>
      <c r="AK382" s="73">
        <f t="shared" si="233"/>
        <v>1.436327596</v>
      </c>
      <c r="AL382" s="73">
        <f t="shared" si="234"/>
        <v>1.173066849</v>
      </c>
      <c r="AM382" s="73">
        <f t="shared" si="235"/>
        <v>1.054841267</v>
      </c>
      <c r="AN382" s="75">
        <v>708.7</v>
      </c>
      <c r="AO382" s="76">
        <v>710.0</v>
      </c>
      <c r="AP382" s="73">
        <f t="shared" si="236"/>
        <v>710</v>
      </c>
      <c r="AQ382" s="29" t="str">
        <f t="shared" si="237"/>
        <v>#REF!</v>
      </c>
      <c r="AR382" s="77" t="str">
        <f t="shared" si="238"/>
        <v>#REF!</v>
      </c>
      <c r="AS382" s="73"/>
      <c r="AT382" s="39"/>
    </row>
    <row r="383" ht="15.75" customHeight="1">
      <c r="A383" s="7" t="s">
        <v>1039</v>
      </c>
      <c r="B383" s="7" t="s">
        <v>605</v>
      </c>
      <c r="C383" s="7">
        <v>1986.0</v>
      </c>
      <c r="D383" s="7"/>
      <c r="E383" s="7">
        <v>1986.0</v>
      </c>
      <c r="F383" s="7" t="b">
        <v>1</v>
      </c>
      <c r="G383" s="7" t="b">
        <v>0</v>
      </c>
      <c r="H383" s="7" t="b">
        <v>1</v>
      </c>
      <c r="I383" s="7" t="b">
        <v>0</v>
      </c>
      <c r="J383" s="9">
        <v>225.0</v>
      </c>
      <c r="K383" s="7">
        <v>1.0</v>
      </c>
      <c r="L383" s="7">
        <v>525.0</v>
      </c>
      <c r="M383" s="7">
        <v>100.0</v>
      </c>
      <c r="N383" s="7">
        <v>1450.0</v>
      </c>
      <c r="O383" s="7">
        <v>1834.0</v>
      </c>
      <c r="P383" s="9">
        <v>240.0</v>
      </c>
      <c r="Q383" s="7">
        <v>327.8</v>
      </c>
      <c r="R383" s="7">
        <v>14.71</v>
      </c>
      <c r="S383" s="7">
        <v>0.999679</v>
      </c>
      <c r="T383" s="7">
        <v>0.999679</v>
      </c>
      <c r="U383" s="10">
        <f t="shared" si="1"/>
        <v>625</v>
      </c>
      <c r="V383" s="10">
        <f t="shared" si="2"/>
        <v>128.9765193</v>
      </c>
      <c r="W383" s="11">
        <f t="shared" si="3"/>
        <v>0.3575007749</v>
      </c>
      <c r="X383" s="8">
        <f t="shared" si="254"/>
        <v>655.6564212</v>
      </c>
      <c r="Y383" s="12">
        <f t="shared" si="4"/>
        <v>4</v>
      </c>
      <c r="Z383" s="12">
        <f t="shared" si="5"/>
        <v>3278.282106</v>
      </c>
      <c r="AA383" s="12">
        <f t="shared" si="6"/>
        <v>1.787503874</v>
      </c>
      <c r="AB383" s="13">
        <f t="shared" si="7"/>
        <v>1.049050274</v>
      </c>
      <c r="AC383" s="8">
        <f t="shared" si="225"/>
        <v>668.3486857</v>
      </c>
      <c r="AD383" s="13">
        <f t="shared" si="226"/>
        <v>1.069357897</v>
      </c>
      <c r="AE383" s="8">
        <f t="shared" si="227"/>
        <v>668.3486857</v>
      </c>
      <c r="AF383" s="73">
        <f t="shared" si="228"/>
        <v>224.9559521</v>
      </c>
      <c r="AG383" s="74" t="str">
        <f t="shared" si="229"/>
        <v>#REF!</v>
      </c>
      <c r="AH383" s="73">
        <f t="shared" si="230"/>
        <v>0</v>
      </c>
      <c r="AI383" s="73">
        <f t="shared" si="231"/>
        <v>0</v>
      </c>
      <c r="AJ383" s="75">
        <f t="shared" si="232"/>
        <v>1.054268324</v>
      </c>
      <c r="AK383" s="73">
        <f t="shared" si="233"/>
        <v>1.269726935</v>
      </c>
      <c r="AL383" s="73">
        <f t="shared" si="234"/>
        <v>1.340570527</v>
      </c>
      <c r="AM383" s="73">
        <f t="shared" si="235"/>
        <v>1.214285721</v>
      </c>
      <c r="AN383" s="75">
        <v>716.96</v>
      </c>
      <c r="AO383" s="76">
        <v>720.0</v>
      </c>
      <c r="AP383" s="73">
        <f t="shared" si="236"/>
        <v>720</v>
      </c>
      <c r="AQ383" s="29" t="str">
        <f t="shared" si="237"/>
        <v>#REF!</v>
      </c>
      <c r="AR383" s="77" t="str">
        <f t="shared" si="238"/>
        <v>#REF!</v>
      </c>
      <c r="AS383" s="73"/>
      <c r="AT383" s="39"/>
    </row>
    <row r="384" ht="15.75" customHeight="1">
      <c r="A384" s="16" t="s">
        <v>616</v>
      </c>
      <c r="B384" s="16" t="s">
        <v>614</v>
      </c>
      <c r="C384" s="16">
        <v>1986.0</v>
      </c>
      <c r="D384" s="16"/>
      <c r="E384" s="16">
        <v>1986.0</v>
      </c>
      <c r="F384" s="16" t="b">
        <v>1</v>
      </c>
      <c r="G384" s="16" t="b">
        <v>0</v>
      </c>
      <c r="H384" s="16" t="b">
        <v>0</v>
      </c>
      <c r="I384" s="16" t="b">
        <v>0</v>
      </c>
      <c r="J384" s="18">
        <v>130.0</v>
      </c>
      <c r="K384" s="16">
        <v>1.0</v>
      </c>
      <c r="L384" s="16">
        <v>445.0</v>
      </c>
      <c r="M384" s="16">
        <v>20.0</v>
      </c>
      <c r="N384" s="16">
        <v>885.0</v>
      </c>
      <c r="O384" s="16">
        <v>1237.6</v>
      </c>
      <c r="P384" s="18">
        <v>295.8</v>
      </c>
      <c r="Q384" s="16">
        <v>318.7</v>
      </c>
      <c r="R384" s="16">
        <v>22.6</v>
      </c>
      <c r="S384" s="16">
        <v>0.998571</v>
      </c>
      <c r="T384" s="16">
        <v>0.996926</v>
      </c>
      <c r="U384" s="19">
        <f t="shared" si="1"/>
        <v>465</v>
      </c>
      <c r="V384" s="19">
        <f t="shared" si="2"/>
        <v>142.5989584</v>
      </c>
      <c r="W384" s="20">
        <f t="shared" si="3"/>
        <v>0.4124752521</v>
      </c>
      <c r="X384" s="17">
        <f t="shared" si="254"/>
        <v>510.479372</v>
      </c>
      <c r="Y384" s="21">
        <f t="shared" si="4"/>
        <v>4</v>
      </c>
      <c r="Z384" s="21">
        <f t="shared" si="5"/>
        <v>2552.39686</v>
      </c>
      <c r="AA384" s="21">
        <f t="shared" si="6"/>
        <v>2.06237626</v>
      </c>
      <c r="AB384" s="22">
        <f t="shared" si="7"/>
        <v>1.097805101</v>
      </c>
      <c r="AC384" s="8">
        <f t="shared" si="225"/>
        <v>518.3925132</v>
      </c>
      <c r="AD384" s="13">
        <f t="shared" si="226"/>
        <v>1.114822609</v>
      </c>
      <c r="AE384" s="8">
        <f t="shared" si="227"/>
        <v>518.3925132</v>
      </c>
      <c r="AF384" s="73">
        <f t="shared" si="228"/>
        <v>158.8528473</v>
      </c>
      <c r="AG384" s="74" t="str">
        <f t="shared" si="229"/>
        <v>#REF!</v>
      </c>
      <c r="AH384" s="73">
        <f t="shared" si="230"/>
        <v>0</v>
      </c>
      <c r="AI384" s="73">
        <f t="shared" si="231"/>
        <v>0</v>
      </c>
      <c r="AJ384" s="75">
        <f t="shared" si="232"/>
        <v>1.388789049</v>
      </c>
      <c r="AK384" s="73">
        <f t="shared" si="233"/>
        <v>1.335098116</v>
      </c>
      <c r="AL384" s="73">
        <f t="shared" si="234"/>
        <v>1.208632528</v>
      </c>
      <c r="AM384" s="73">
        <f t="shared" si="235"/>
        <v>1.001856123</v>
      </c>
      <c r="AN384" s="75">
        <v>434.61</v>
      </c>
      <c r="AO384" s="76">
        <v>430.0</v>
      </c>
      <c r="AP384" s="73">
        <f t="shared" si="236"/>
        <v>430</v>
      </c>
      <c r="AQ384" s="29" t="str">
        <f t="shared" si="237"/>
        <v>#REF!</v>
      </c>
      <c r="AR384" s="77" t="str">
        <f t="shared" si="238"/>
        <v>#REF!</v>
      </c>
      <c r="AS384" s="73"/>
      <c r="AT384" s="39"/>
    </row>
    <row r="385" ht="15.75" customHeight="1">
      <c r="A385" s="16" t="s">
        <v>658</v>
      </c>
      <c r="B385" s="16" t="s">
        <v>657</v>
      </c>
      <c r="C385" s="16">
        <v>1986.0</v>
      </c>
      <c r="D385" s="16"/>
      <c r="E385" s="16">
        <v>1986.0</v>
      </c>
      <c r="F385" s="16" t="b">
        <v>1</v>
      </c>
      <c r="G385" s="16" t="b">
        <v>0</v>
      </c>
      <c r="H385" s="16" t="b">
        <v>1</v>
      </c>
      <c r="I385" s="16" t="b">
        <v>0</v>
      </c>
      <c r="J385" s="18">
        <v>700.0</v>
      </c>
      <c r="K385" s="18">
        <v>50.0</v>
      </c>
      <c r="L385" s="16">
        <v>50.0</v>
      </c>
      <c r="M385" s="16">
        <v>5.0</v>
      </c>
      <c r="N385" s="16">
        <v>196.0</v>
      </c>
      <c r="O385" s="16">
        <v>20.47</v>
      </c>
      <c r="P385" s="18">
        <v>109.0</v>
      </c>
      <c r="Q385" s="16">
        <v>320.0</v>
      </c>
      <c r="R385" s="16">
        <v>4.1</v>
      </c>
      <c r="S385" s="16">
        <v>0.999354</v>
      </c>
      <c r="T385" s="16">
        <v>0.99375</v>
      </c>
      <c r="U385" s="19">
        <f t="shared" si="1"/>
        <v>55</v>
      </c>
      <c r="V385" s="19">
        <f t="shared" si="2"/>
        <v>10.64979123</v>
      </c>
      <c r="W385" s="20">
        <f t="shared" si="3"/>
        <v>8.367025394</v>
      </c>
      <c r="X385" s="17">
        <f t="shared" si="254"/>
        <v>171.2730098</v>
      </c>
      <c r="Y385" s="21">
        <f t="shared" si="4"/>
        <v>4</v>
      </c>
      <c r="Z385" s="21">
        <f t="shared" si="5"/>
        <v>856.3650491</v>
      </c>
      <c r="AA385" s="21">
        <f t="shared" si="6"/>
        <v>41.83512697</v>
      </c>
      <c r="AB385" s="22">
        <f t="shared" si="7"/>
        <v>3.114054724</v>
      </c>
      <c r="AC385" s="8">
        <f t="shared" si="225"/>
        <v>173.5180628</v>
      </c>
      <c r="AD385" s="13">
        <f t="shared" si="226"/>
        <v>3.15487387</v>
      </c>
      <c r="AE385" s="8">
        <f t="shared" si="227"/>
        <v>173.5180628</v>
      </c>
      <c r="AF385" s="73">
        <f t="shared" si="228"/>
        <v>7.892795294</v>
      </c>
      <c r="AG385" s="74" t="str">
        <f t="shared" si="229"/>
        <v>#REF!</v>
      </c>
      <c r="AH385" s="73">
        <f t="shared" si="230"/>
        <v>0</v>
      </c>
      <c r="AI385" s="73">
        <f t="shared" si="231"/>
        <v>0.8140424221</v>
      </c>
      <c r="AJ385" s="75">
        <f t="shared" si="232"/>
        <v>1</v>
      </c>
      <c r="AK385" s="73">
        <f t="shared" si="233"/>
        <v>0.3648594119</v>
      </c>
      <c r="AL385" s="73">
        <f t="shared" si="234"/>
        <v>1.226334095</v>
      </c>
      <c r="AM385" s="73">
        <f t="shared" si="235"/>
        <v>1.568389731</v>
      </c>
      <c r="AN385" s="75">
        <v>21.88</v>
      </c>
      <c r="AO385" s="76">
        <v>22.0</v>
      </c>
      <c r="AP385" s="73">
        <f t="shared" si="236"/>
        <v>22</v>
      </c>
      <c r="AQ385" s="29" t="str">
        <f t="shared" si="237"/>
        <v>#REF!</v>
      </c>
      <c r="AR385" s="77" t="str">
        <f t="shared" si="238"/>
        <v>#REF!</v>
      </c>
      <c r="AS385" s="73"/>
      <c r="AT385" s="39"/>
    </row>
    <row r="386" ht="15.75" customHeight="1">
      <c r="A386" s="7" t="s">
        <v>65</v>
      </c>
      <c r="B386" s="7" t="s">
        <v>54</v>
      </c>
      <c r="C386" s="7">
        <v>1987.0</v>
      </c>
      <c r="D386" s="7"/>
      <c r="E386" s="7">
        <v>1987.0</v>
      </c>
      <c r="F386" s="7" t="b">
        <v>1</v>
      </c>
      <c r="G386" s="7" t="b">
        <v>0</v>
      </c>
      <c r="H386" s="7" t="b">
        <v>1</v>
      </c>
      <c r="I386" s="7" t="b">
        <v>0</v>
      </c>
      <c r="J386" s="9">
        <v>1200.0</v>
      </c>
      <c r="K386" s="9">
        <v>15.0</v>
      </c>
      <c r="L386" s="7">
        <v>150.0</v>
      </c>
      <c r="M386" s="7">
        <v>150.0</v>
      </c>
      <c r="N386" s="7">
        <v>155.26</v>
      </c>
      <c r="O386" s="7">
        <v>71.1</v>
      </c>
      <c r="P386" s="9">
        <v>33.0</v>
      </c>
      <c r="Q386" s="7">
        <v>324.0</v>
      </c>
      <c r="R386" s="7">
        <v>3.34</v>
      </c>
      <c r="S386" s="7">
        <v>0.9977</v>
      </c>
      <c r="T386" s="7">
        <v>0.9978</v>
      </c>
      <c r="U386" s="10">
        <f t="shared" si="1"/>
        <v>300</v>
      </c>
      <c r="V386" s="10">
        <f t="shared" si="2"/>
        <v>46.69703886</v>
      </c>
      <c r="W386" s="11">
        <f t="shared" si="3"/>
        <v>2.066760955</v>
      </c>
      <c r="X386" s="8">
        <f t="shared" si="254"/>
        <v>146.9467039</v>
      </c>
      <c r="Y386" s="12">
        <f t="shared" si="4"/>
        <v>4</v>
      </c>
      <c r="Z386" s="12">
        <f t="shared" si="5"/>
        <v>734.7335196</v>
      </c>
      <c r="AA386" s="12">
        <f t="shared" si="6"/>
        <v>10.33380478</v>
      </c>
      <c r="AB386" s="13">
        <f t="shared" si="7"/>
        <v>0.4898223464</v>
      </c>
      <c r="AC386" s="8">
        <f t="shared" si="225"/>
        <v>149.2251214</v>
      </c>
      <c r="AD386" s="13">
        <f t="shared" si="226"/>
        <v>0.4974170713</v>
      </c>
      <c r="AE386" s="8">
        <f t="shared" si="227"/>
        <v>149.2251214</v>
      </c>
      <c r="AF386" s="73">
        <f t="shared" si="228"/>
        <v>17.05762365</v>
      </c>
      <c r="AG386" s="74" t="str">
        <f t="shared" si="229"/>
        <v>#REF!</v>
      </c>
      <c r="AH386" s="73">
        <f t="shared" si="230"/>
        <v>0</v>
      </c>
      <c r="AI386" s="73">
        <f t="shared" si="231"/>
        <v>0.6272838613</v>
      </c>
      <c r="AJ386" s="75">
        <f t="shared" si="232"/>
        <v>1</v>
      </c>
      <c r="AK386" s="73">
        <f t="shared" si="233"/>
        <v>0.7640111162</v>
      </c>
      <c r="AL386" s="73">
        <f t="shared" si="234"/>
        <v>1.28317822</v>
      </c>
      <c r="AM386" s="73">
        <f t="shared" si="235"/>
        <v>1.70328585</v>
      </c>
      <c r="AN386" s="75">
        <v>61.71</v>
      </c>
      <c r="AO386" s="76">
        <v>62.0</v>
      </c>
      <c r="AP386" s="73">
        <f t="shared" si="236"/>
        <v>62</v>
      </c>
      <c r="AQ386" s="29" t="str">
        <f t="shared" si="237"/>
        <v>#REF!</v>
      </c>
      <c r="AR386" s="77" t="str">
        <f t="shared" si="238"/>
        <v>#REF!</v>
      </c>
      <c r="AS386" s="73"/>
      <c r="AT386" s="39"/>
    </row>
    <row r="387" ht="15.75" customHeight="1">
      <c r="A387" s="16" t="s">
        <v>452</v>
      </c>
      <c r="B387" s="16" t="s">
        <v>453</v>
      </c>
      <c r="C387" s="16">
        <v>1987.0</v>
      </c>
      <c r="D387" s="16" t="b">
        <v>1</v>
      </c>
      <c r="E387" s="16">
        <v>1987.0</v>
      </c>
      <c r="F387" s="16" t="b">
        <v>1</v>
      </c>
      <c r="G387" s="16" t="b">
        <v>0</v>
      </c>
      <c r="H387" s="16" t="b">
        <v>0</v>
      </c>
      <c r="I387" s="16" t="b">
        <v>0</v>
      </c>
      <c r="J387" s="18">
        <v>600.0</v>
      </c>
      <c r="K387" s="16">
        <v>1.0</v>
      </c>
      <c r="L387" s="16">
        <v>5000.0</v>
      </c>
      <c r="M387" s="16">
        <v>0.0</v>
      </c>
      <c r="N387" s="16">
        <v>3449.0</v>
      </c>
      <c r="O387" s="16">
        <v>1961.0</v>
      </c>
      <c r="P387" s="18">
        <v>353.2</v>
      </c>
      <c r="Q387" s="16">
        <v>454.5</v>
      </c>
      <c r="R387" s="16">
        <v>21.87</v>
      </c>
      <c r="S387" s="16">
        <v>0.983333</v>
      </c>
      <c r="T387" s="16">
        <v>0.983333</v>
      </c>
      <c r="U387" s="19">
        <f t="shared" si="1"/>
        <v>5000</v>
      </c>
      <c r="V387" s="19">
        <f t="shared" si="2"/>
        <v>57.97806575</v>
      </c>
      <c r="W387" s="20">
        <f t="shared" si="3"/>
        <v>2.918286409</v>
      </c>
      <c r="X387" s="17">
        <f>0.9*(0.00015*N387*Q387*R387+797)+0.1*(43.1*POWER(N387,0.549))</f>
        <v>5722.759648</v>
      </c>
      <c r="Y387" s="21">
        <f t="shared" si="4"/>
        <v>4</v>
      </c>
      <c r="Z387" s="21">
        <f t="shared" si="5"/>
        <v>28613.79824</v>
      </c>
      <c r="AA387" s="21">
        <f t="shared" si="6"/>
        <v>14.59143204</v>
      </c>
      <c r="AB387" s="22">
        <f t="shared" si="7"/>
        <v>1.14455193</v>
      </c>
      <c r="AC387" s="8">
        <f t="shared" si="225"/>
        <v>5648.04209</v>
      </c>
      <c r="AD387" s="13">
        <f t="shared" si="226"/>
        <v>1.129608418</v>
      </c>
      <c r="AE387" s="8">
        <f t="shared" si="227"/>
        <v>1330.926556</v>
      </c>
      <c r="AF387" s="73">
        <f t="shared" si="228"/>
        <v>238.8450291</v>
      </c>
      <c r="AG387" s="74" t="str">
        <f t="shared" si="229"/>
        <v>#REF!</v>
      </c>
      <c r="AH387" s="73">
        <f t="shared" si="230"/>
        <v>0</v>
      </c>
      <c r="AI387" s="73">
        <f t="shared" si="231"/>
        <v>0</v>
      </c>
      <c r="AJ387" s="75">
        <f t="shared" si="232"/>
        <v>1.112225591</v>
      </c>
      <c r="AK387" s="73">
        <f t="shared" si="233"/>
        <v>0.8513083002</v>
      </c>
      <c r="AL387" s="73">
        <f t="shared" si="234"/>
        <v>6.914796119</v>
      </c>
      <c r="AM387" s="73">
        <f t="shared" si="235"/>
        <v>1.526203901</v>
      </c>
      <c r="AN387" s="75">
        <v>2528.86</v>
      </c>
      <c r="AO387" s="76">
        <v>2500.0</v>
      </c>
      <c r="AP387" s="73">
        <f t="shared" si="236"/>
        <v>2500</v>
      </c>
      <c r="AQ387" s="29" t="str">
        <f t="shared" si="237"/>
        <v>#REF!</v>
      </c>
      <c r="AR387" s="77" t="str">
        <f t="shared" si="238"/>
        <v>#REF!</v>
      </c>
      <c r="AS387" s="73"/>
      <c r="AT387" s="39"/>
    </row>
    <row r="388" ht="15.75" customHeight="1">
      <c r="A388" s="16" t="s">
        <v>558</v>
      </c>
      <c r="B388" s="16" t="s">
        <v>559</v>
      </c>
      <c r="C388" s="16">
        <v>1987.0</v>
      </c>
      <c r="D388" s="16"/>
      <c r="E388" s="16">
        <v>1987.0</v>
      </c>
      <c r="F388" s="16" t="b">
        <v>1</v>
      </c>
      <c r="G388" s="16" t="b">
        <v>0</v>
      </c>
      <c r="H388" s="16" t="b">
        <v>0</v>
      </c>
      <c r="I388" s="16" t="b">
        <v>0</v>
      </c>
      <c r="J388" s="18">
        <v>150.0</v>
      </c>
      <c r="K388" s="16">
        <v>1.0</v>
      </c>
      <c r="L388" s="16">
        <v>2004.0</v>
      </c>
      <c r="M388" s="16">
        <v>0.0</v>
      </c>
      <c r="N388" s="16">
        <v>9750.0</v>
      </c>
      <c r="O388" s="16">
        <v>7904.0</v>
      </c>
      <c r="P388" s="18">
        <v>309.3</v>
      </c>
      <c r="Q388" s="16">
        <v>337.1</v>
      </c>
      <c r="R388" s="16">
        <v>24.52</v>
      </c>
      <c r="S388" s="16">
        <v>0.983333</v>
      </c>
      <c r="T388" s="16">
        <v>0.983333</v>
      </c>
      <c r="U388" s="19">
        <f t="shared" si="1"/>
        <v>2004</v>
      </c>
      <c r="V388" s="19">
        <f t="shared" si="2"/>
        <v>82.66499409</v>
      </c>
      <c r="W388" s="20">
        <f t="shared" si="3"/>
        <v>0.2772712551</v>
      </c>
      <c r="X388" s="17">
        <f t="shared" ref="X388:X390" si="255">0.2*(8.17*POWER(N388*R388,0.46))+0.8*(0.146*POWER(N388*Q388,0.639))</f>
        <v>2191.552001</v>
      </c>
      <c r="Y388" s="21">
        <f t="shared" si="4"/>
        <v>4</v>
      </c>
      <c r="Z388" s="21">
        <f t="shared" si="5"/>
        <v>10957.76</v>
      </c>
      <c r="AA388" s="21">
        <f t="shared" si="6"/>
        <v>1.386356276</v>
      </c>
      <c r="AB388" s="22">
        <f t="shared" si="7"/>
        <v>1.093588823</v>
      </c>
      <c r="AC388" s="8">
        <f t="shared" si="225"/>
        <v>2162.938635</v>
      </c>
      <c r="AD388" s="13">
        <f t="shared" si="226"/>
        <v>1.079310696</v>
      </c>
      <c r="AE388" s="8">
        <f t="shared" si="227"/>
        <v>2162.938635</v>
      </c>
      <c r="AF388" s="73">
        <f t="shared" si="228"/>
        <v>860.8789122</v>
      </c>
      <c r="AG388" s="74" t="str">
        <f t="shared" si="229"/>
        <v>#REF!</v>
      </c>
      <c r="AH388" s="73">
        <f t="shared" si="230"/>
        <v>0</v>
      </c>
      <c r="AI388" s="73">
        <f t="shared" si="231"/>
        <v>0</v>
      </c>
      <c r="AJ388" s="75">
        <f t="shared" si="232"/>
        <v>1.365935508</v>
      </c>
      <c r="AK388" s="73">
        <f t="shared" si="233"/>
        <v>1.016519762</v>
      </c>
      <c r="AL388" s="73">
        <f t="shared" si="234"/>
        <v>1.495704458</v>
      </c>
      <c r="AM388" s="73">
        <f t="shared" si="235"/>
        <v>1.060224449</v>
      </c>
      <c r="AN388" s="75">
        <v>1832.16</v>
      </c>
      <c r="AO388" s="76">
        <v>1800.0</v>
      </c>
      <c r="AP388" s="73">
        <f t="shared" si="236"/>
        <v>1800</v>
      </c>
      <c r="AQ388" s="29" t="str">
        <f t="shared" si="237"/>
        <v>#REF!</v>
      </c>
      <c r="AR388" s="77" t="str">
        <f t="shared" si="238"/>
        <v>#REF!</v>
      </c>
      <c r="AS388" s="73"/>
      <c r="AT388" s="39"/>
    </row>
    <row r="389" ht="15.75" customHeight="1">
      <c r="A389" s="16" t="s">
        <v>1041</v>
      </c>
      <c r="B389" s="16" t="s">
        <v>93</v>
      </c>
      <c r="C389" s="16">
        <v>1988.0</v>
      </c>
      <c r="D389" s="16"/>
      <c r="E389" s="16">
        <v>1988.0</v>
      </c>
      <c r="F389" s="16" t="b">
        <v>1</v>
      </c>
      <c r="G389" s="16" t="b">
        <v>0</v>
      </c>
      <c r="H389" s="16" t="b">
        <v>1</v>
      </c>
      <c r="I389" s="16" t="b">
        <v>0</v>
      </c>
      <c r="J389" s="18">
        <v>1250.0</v>
      </c>
      <c r="K389" s="18">
        <v>15.0</v>
      </c>
      <c r="L389" s="16">
        <v>400.0</v>
      </c>
      <c r="M389" s="16">
        <v>0.0</v>
      </c>
      <c r="N389" s="16">
        <v>58.0</v>
      </c>
      <c r="O389" s="16">
        <v>16.7</v>
      </c>
      <c r="P389" s="18">
        <v>1.0</v>
      </c>
      <c r="Q389" s="16">
        <v>328.0</v>
      </c>
      <c r="R389" s="16">
        <v>2.41</v>
      </c>
      <c r="S389" s="16">
        <v>0.999414</v>
      </c>
      <c r="T389" s="16">
        <v>0.999123</v>
      </c>
      <c r="U389" s="19">
        <f t="shared" si="1"/>
        <v>400</v>
      </c>
      <c r="V389" s="19">
        <f t="shared" si="2"/>
        <v>29.36079432</v>
      </c>
      <c r="W389" s="20">
        <f t="shared" si="3"/>
        <v>4.744279688</v>
      </c>
      <c r="X389" s="17">
        <f t="shared" si="255"/>
        <v>79.22947079</v>
      </c>
      <c r="Y389" s="21">
        <f t="shared" si="4"/>
        <v>4</v>
      </c>
      <c r="Z389" s="21">
        <f t="shared" si="5"/>
        <v>396.1473539</v>
      </c>
      <c r="AA389" s="21">
        <f t="shared" si="6"/>
        <v>23.72139844</v>
      </c>
      <c r="AB389" s="22">
        <f t="shared" si="7"/>
        <v>0.198073677</v>
      </c>
      <c r="AC389" s="8">
        <f t="shared" si="225"/>
        <v>80.6981882</v>
      </c>
      <c r="AD389" s="13">
        <f t="shared" si="226"/>
        <v>0.2017454705</v>
      </c>
      <c r="AE389" s="8">
        <f t="shared" si="227"/>
        <v>80.6981882</v>
      </c>
      <c r="AF389" s="73">
        <f t="shared" si="228"/>
        <v>7.036039749</v>
      </c>
      <c r="AG389" s="74" t="str">
        <f t="shared" si="229"/>
        <v>#REF!</v>
      </c>
      <c r="AH389" s="73">
        <f t="shared" si="230"/>
        <v>0</v>
      </c>
      <c r="AI389" s="73">
        <f t="shared" si="231"/>
        <v>0.6272838613</v>
      </c>
      <c r="AJ389" s="75">
        <f t="shared" si="232"/>
        <v>1</v>
      </c>
      <c r="AK389" s="73">
        <f t="shared" si="233"/>
        <v>0.6058134441</v>
      </c>
      <c r="AL389" s="73">
        <f t="shared" si="234"/>
        <v>1.343684653</v>
      </c>
      <c r="AM389" s="73">
        <f t="shared" si="235"/>
        <v>1.712752992</v>
      </c>
      <c r="AN389" s="75">
        <v>27.57</v>
      </c>
      <c r="AO389" s="76">
        <v>28.0</v>
      </c>
      <c r="AP389" s="73">
        <f t="shared" si="236"/>
        <v>28</v>
      </c>
      <c r="AQ389" s="29" t="str">
        <f t="shared" si="237"/>
        <v>#REF!</v>
      </c>
      <c r="AR389" s="77" t="str">
        <f t="shared" si="238"/>
        <v>#REF!</v>
      </c>
      <c r="AS389" s="73"/>
      <c r="AT389" s="39"/>
    </row>
    <row r="390" ht="15.75" customHeight="1">
      <c r="A390" s="7" t="s">
        <v>1040</v>
      </c>
      <c r="B390" s="7" t="s">
        <v>93</v>
      </c>
      <c r="C390" s="7">
        <v>1988.0</v>
      </c>
      <c r="D390" s="7"/>
      <c r="E390" s="7">
        <v>1988.0</v>
      </c>
      <c r="F390" s="7" t="b">
        <v>1</v>
      </c>
      <c r="G390" s="7" t="b">
        <v>0</v>
      </c>
      <c r="H390" s="7" t="b">
        <v>1</v>
      </c>
      <c r="I390" s="7" t="b">
        <v>0</v>
      </c>
      <c r="J390" s="48">
        <v>1250.0</v>
      </c>
      <c r="K390" s="9">
        <v>500.0</v>
      </c>
      <c r="L390" s="7">
        <v>400.0</v>
      </c>
      <c r="M390" s="7">
        <v>250.0</v>
      </c>
      <c r="N390" s="7">
        <v>146.0</v>
      </c>
      <c r="O390" s="7">
        <v>26.7</v>
      </c>
      <c r="P390" s="9">
        <v>1.0</v>
      </c>
      <c r="Q390" s="7">
        <v>334.0</v>
      </c>
      <c r="R390" s="7">
        <v>2.41</v>
      </c>
      <c r="S390" s="7">
        <v>0.999814</v>
      </c>
      <c r="T390" s="7">
        <v>0.999442</v>
      </c>
      <c r="U390" s="10">
        <f t="shared" si="1"/>
        <v>650</v>
      </c>
      <c r="V390" s="10">
        <f t="shared" si="2"/>
        <v>18.6482348</v>
      </c>
      <c r="W390" s="11">
        <f t="shared" si="3"/>
        <v>5.239356436</v>
      </c>
      <c r="X390" s="8">
        <f t="shared" si="255"/>
        <v>139.8908168</v>
      </c>
      <c r="Y390" s="12">
        <f t="shared" si="4"/>
        <v>4</v>
      </c>
      <c r="Z390" s="12">
        <f t="shared" si="5"/>
        <v>699.4540842</v>
      </c>
      <c r="AA390" s="12">
        <f t="shared" si="6"/>
        <v>26.19678218</v>
      </c>
      <c r="AB390" s="13">
        <f t="shared" si="7"/>
        <v>0.2152166413</v>
      </c>
      <c r="AC390" s="8">
        <f t="shared" si="225"/>
        <v>142.5845689</v>
      </c>
      <c r="AD390" s="13">
        <f t="shared" si="226"/>
        <v>0.2193608753</v>
      </c>
      <c r="AE390" s="8">
        <f t="shared" si="227"/>
        <v>142.5845689</v>
      </c>
      <c r="AF390" s="73">
        <f t="shared" si="228"/>
        <v>9.210452793</v>
      </c>
      <c r="AG390" s="74" t="str">
        <f t="shared" si="229"/>
        <v>#REF!</v>
      </c>
      <c r="AH390" s="73">
        <f t="shared" si="230"/>
        <v>0</v>
      </c>
      <c r="AI390" s="73">
        <f t="shared" si="231"/>
        <v>1.067190028</v>
      </c>
      <c r="AJ390" s="75">
        <f t="shared" si="232"/>
        <v>1</v>
      </c>
      <c r="AK390" s="73">
        <f t="shared" si="233"/>
        <v>0.4828073477</v>
      </c>
      <c r="AL390" s="73">
        <f t="shared" si="234"/>
        <v>1.441597272</v>
      </c>
      <c r="AM390" s="73">
        <f t="shared" si="235"/>
        <v>1.712752992</v>
      </c>
      <c r="AN390" s="75">
        <v>46.32</v>
      </c>
      <c r="AO390" s="76">
        <v>46.0</v>
      </c>
      <c r="AP390" s="73">
        <f t="shared" si="236"/>
        <v>46</v>
      </c>
      <c r="AQ390" s="29" t="str">
        <f t="shared" si="237"/>
        <v>#REF!</v>
      </c>
      <c r="AR390" s="77" t="str">
        <f t="shared" si="238"/>
        <v>#REF!</v>
      </c>
      <c r="AS390" s="73"/>
      <c r="AT390" s="39"/>
    </row>
    <row r="391" ht="15.75" customHeight="1">
      <c r="A391" s="16" t="s">
        <v>172</v>
      </c>
      <c r="B391" s="16" t="s">
        <v>168</v>
      </c>
      <c r="C391" s="16">
        <v>1988.0</v>
      </c>
      <c r="D391" s="16" t="b">
        <v>1</v>
      </c>
      <c r="E391" s="16">
        <v>1988.0</v>
      </c>
      <c r="F391" s="16" t="b">
        <v>1</v>
      </c>
      <c r="G391" s="16" t="b">
        <v>0</v>
      </c>
      <c r="H391" s="16" t="b">
        <v>0</v>
      </c>
      <c r="I391" s="16" t="b">
        <v>0</v>
      </c>
      <c r="J391" s="18">
        <v>500.0</v>
      </c>
      <c r="K391" s="18">
        <v>2.0</v>
      </c>
      <c r="L391" s="16">
        <v>4200.0</v>
      </c>
      <c r="M391" s="16">
        <v>600.0</v>
      </c>
      <c r="N391" s="16">
        <v>1732.96</v>
      </c>
      <c r="O391" s="16">
        <v>1403.81</v>
      </c>
      <c r="P391" s="18">
        <v>352.0</v>
      </c>
      <c r="Q391" s="16">
        <v>452.0</v>
      </c>
      <c r="R391" s="16">
        <v>16.0</v>
      </c>
      <c r="S391" s="16">
        <v>0.97</v>
      </c>
      <c r="T391" s="16">
        <v>0.988</v>
      </c>
      <c r="U391" s="19">
        <f t="shared" si="1"/>
        <v>4800</v>
      </c>
      <c r="V391" s="19">
        <f t="shared" si="2"/>
        <v>82.6036269</v>
      </c>
      <c r="W391" s="20">
        <f t="shared" si="3"/>
        <v>1.900392475</v>
      </c>
      <c r="X391" s="17">
        <f t="shared" ref="X391:X394" si="256">0.9*(0.00015*N391*Q391*R391+797)+0.1*(43.1*POWER(N391,0.549))</f>
        <v>2667.78996</v>
      </c>
      <c r="Y391" s="21">
        <f t="shared" si="4"/>
        <v>4</v>
      </c>
      <c r="Z391" s="21">
        <f t="shared" si="5"/>
        <v>13338.9498</v>
      </c>
      <c r="AA391" s="21">
        <f t="shared" si="6"/>
        <v>9.501962374</v>
      </c>
      <c r="AB391" s="22">
        <f t="shared" si="7"/>
        <v>0.555789575</v>
      </c>
      <c r="AC391" s="8">
        <f t="shared" si="225"/>
        <v>2610.058985</v>
      </c>
      <c r="AD391" s="13">
        <f t="shared" si="226"/>
        <v>0.5437622886</v>
      </c>
      <c r="AE391" s="8">
        <f t="shared" si="227"/>
        <v>843.8564122</v>
      </c>
      <c r="AF391" s="73">
        <f t="shared" si="228"/>
        <v>177.4463665</v>
      </c>
      <c r="AG391" s="74" t="str">
        <f t="shared" si="229"/>
        <v>#REF!</v>
      </c>
      <c r="AH391" s="73">
        <f t="shared" si="230"/>
        <v>0</v>
      </c>
      <c r="AI391" s="73">
        <f t="shared" si="231"/>
        <v>0.1941741551</v>
      </c>
      <c r="AJ391" s="75">
        <f t="shared" si="232"/>
        <v>1.114595916</v>
      </c>
      <c r="AK391" s="73">
        <f t="shared" si="233"/>
        <v>1.01614238</v>
      </c>
      <c r="AL391" s="73">
        <f t="shared" si="234"/>
        <v>6.681038936</v>
      </c>
      <c r="AM391" s="73">
        <f t="shared" si="235"/>
        <v>1.474076339</v>
      </c>
      <c r="AN391" s="75">
        <v>1944.66</v>
      </c>
      <c r="AO391" s="76">
        <v>1900.0</v>
      </c>
      <c r="AP391" s="73">
        <f t="shared" si="236"/>
        <v>1900</v>
      </c>
      <c r="AQ391" s="29" t="str">
        <f t="shared" si="237"/>
        <v>#REF!</v>
      </c>
      <c r="AR391" s="77" t="str">
        <f t="shared" si="238"/>
        <v>#REF!</v>
      </c>
      <c r="AS391" s="73"/>
      <c r="AT391" s="39"/>
    </row>
    <row r="392" ht="15.75" customHeight="1">
      <c r="A392" s="7" t="s">
        <v>175</v>
      </c>
      <c r="B392" s="7" t="s">
        <v>168</v>
      </c>
      <c r="C392" s="7">
        <v>1988.0</v>
      </c>
      <c r="D392" s="7" t="b">
        <v>1</v>
      </c>
      <c r="E392" s="7">
        <v>1988.0</v>
      </c>
      <c r="F392" s="7" t="b">
        <v>1</v>
      </c>
      <c r="G392" s="7" t="b">
        <v>0</v>
      </c>
      <c r="H392" s="7" t="b">
        <v>1</v>
      </c>
      <c r="I392" s="7" t="b">
        <v>0</v>
      </c>
      <c r="J392" s="9">
        <v>500.0</v>
      </c>
      <c r="K392" s="9">
        <v>5.0</v>
      </c>
      <c r="L392" s="7">
        <v>4200.0</v>
      </c>
      <c r="M392" s="7">
        <v>500.0</v>
      </c>
      <c r="N392" s="7">
        <v>1780.0</v>
      </c>
      <c r="O392" s="7">
        <v>1400.7</v>
      </c>
      <c r="P392" s="9">
        <v>340.0</v>
      </c>
      <c r="Q392" s="7">
        <v>458.0</v>
      </c>
      <c r="R392" s="7">
        <v>16.0</v>
      </c>
      <c r="S392" s="7">
        <v>0.99</v>
      </c>
      <c r="T392" s="7">
        <v>0.99</v>
      </c>
      <c r="U392" s="10">
        <f t="shared" si="1"/>
        <v>4700</v>
      </c>
      <c r="V392" s="10">
        <f t="shared" si="2"/>
        <v>80.24249974</v>
      </c>
      <c r="W392" s="11">
        <f t="shared" si="3"/>
        <v>1.956603689</v>
      </c>
      <c r="X392" s="8">
        <f t="shared" si="256"/>
        <v>2740.614787</v>
      </c>
      <c r="Y392" s="12">
        <f t="shared" si="4"/>
        <v>4</v>
      </c>
      <c r="Z392" s="12">
        <f t="shared" si="5"/>
        <v>13703.07394</v>
      </c>
      <c r="AA392" s="12">
        <f t="shared" si="6"/>
        <v>9.783018446</v>
      </c>
      <c r="AB392" s="13">
        <f t="shared" si="7"/>
        <v>0.5831095292</v>
      </c>
      <c r="AC392" s="8">
        <f t="shared" si="225"/>
        <v>2740.888849</v>
      </c>
      <c r="AD392" s="13">
        <f t="shared" si="226"/>
        <v>0.5831678402</v>
      </c>
      <c r="AE392" s="8">
        <f t="shared" si="227"/>
        <v>882.4877422</v>
      </c>
      <c r="AF392" s="73">
        <f t="shared" si="228"/>
        <v>177.0998487</v>
      </c>
      <c r="AG392" s="74" t="str">
        <f t="shared" si="229"/>
        <v>#REF!</v>
      </c>
      <c r="AH392" s="73">
        <f t="shared" si="230"/>
        <v>0</v>
      </c>
      <c r="AI392" s="73">
        <f t="shared" si="231"/>
        <v>0.4128305045</v>
      </c>
      <c r="AJ392" s="75">
        <f t="shared" si="232"/>
        <v>1.066178564</v>
      </c>
      <c r="AK392" s="73">
        <f t="shared" si="233"/>
        <v>1.001514477</v>
      </c>
      <c r="AL392" s="73">
        <f t="shared" si="234"/>
        <v>7.256537844</v>
      </c>
      <c r="AM392" s="73">
        <f t="shared" si="235"/>
        <v>1.474076339</v>
      </c>
      <c r="AN392" s="75">
        <v>2669.67</v>
      </c>
      <c r="AO392" s="76">
        <v>2700.0</v>
      </c>
      <c r="AP392" s="73">
        <f t="shared" si="236"/>
        <v>2700</v>
      </c>
      <c r="AQ392" s="29" t="str">
        <f t="shared" si="237"/>
        <v>#REF!</v>
      </c>
      <c r="AR392" s="77" t="str">
        <f t="shared" si="238"/>
        <v>#REF!</v>
      </c>
      <c r="AS392" s="73"/>
      <c r="AT392" s="39"/>
    </row>
    <row r="393" ht="15.75" customHeight="1">
      <c r="A393" s="16" t="s">
        <v>173</v>
      </c>
      <c r="B393" s="16" t="s">
        <v>168</v>
      </c>
      <c r="C393" s="16">
        <v>1988.0</v>
      </c>
      <c r="D393" s="16" t="b">
        <v>1</v>
      </c>
      <c r="E393" s="16">
        <v>1988.0</v>
      </c>
      <c r="F393" s="16" t="b">
        <v>1</v>
      </c>
      <c r="G393" s="16" t="b">
        <v>0</v>
      </c>
      <c r="H393" s="16" t="b">
        <v>1</v>
      </c>
      <c r="I393" s="16" t="b">
        <v>0</v>
      </c>
      <c r="J393" s="18">
        <v>500.0</v>
      </c>
      <c r="K393" s="18">
        <v>5.0</v>
      </c>
      <c r="L393" s="16">
        <v>4200.0</v>
      </c>
      <c r="M393" s="16">
        <v>800.0</v>
      </c>
      <c r="N393" s="16">
        <v>1780.0</v>
      </c>
      <c r="O393" s="16">
        <v>1422.44</v>
      </c>
      <c r="P393" s="18">
        <v>340.0</v>
      </c>
      <c r="Q393" s="16">
        <v>458.0</v>
      </c>
      <c r="R393" s="16">
        <v>16.0</v>
      </c>
      <c r="S393" s="16">
        <v>0.99</v>
      </c>
      <c r="T393" s="16">
        <v>0.988</v>
      </c>
      <c r="U393" s="19">
        <f t="shared" si="1"/>
        <v>5000</v>
      </c>
      <c r="V393" s="19">
        <f t="shared" si="2"/>
        <v>81.48792841</v>
      </c>
      <c r="W393" s="20">
        <f t="shared" si="3"/>
        <v>1.926699746</v>
      </c>
      <c r="X393" s="17">
        <f t="shared" si="256"/>
        <v>2740.614787</v>
      </c>
      <c r="Y393" s="21">
        <f t="shared" si="4"/>
        <v>4</v>
      </c>
      <c r="Z393" s="21">
        <f t="shared" si="5"/>
        <v>13703.07394</v>
      </c>
      <c r="AA393" s="21">
        <f t="shared" si="6"/>
        <v>9.633498732</v>
      </c>
      <c r="AB393" s="22">
        <f t="shared" si="7"/>
        <v>0.5481229575</v>
      </c>
      <c r="AC393" s="8">
        <f t="shared" si="225"/>
        <v>2735.462432</v>
      </c>
      <c r="AD393" s="13">
        <f t="shared" si="226"/>
        <v>0.5470924863</v>
      </c>
      <c r="AE393" s="8">
        <f t="shared" si="227"/>
        <v>880.7405912</v>
      </c>
      <c r="AF393" s="73">
        <f t="shared" si="228"/>
        <v>179.5210911</v>
      </c>
      <c r="AG393" s="74" t="str">
        <f t="shared" si="229"/>
        <v>#REF!</v>
      </c>
      <c r="AH393" s="73">
        <f t="shared" si="230"/>
        <v>0</v>
      </c>
      <c r="AI393" s="73">
        <f t="shared" si="231"/>
        <v>0.4128305045</v>
      </c>
      <c r="AJ393" s="75">
        <f t="shared" si="232"/>
        <v>1.066178564</v>
      </c>
      <c r="AK393" s="73">
        <f t="shared" si="233"/>
        <v>1.009256709</v>
      </c>
      <c r="AL393" s="73">
        <f t="shared" si="234"/>
        <v>7.256537844</v>
      </c>
      <c r="AM393" s="73">
        <f t="shared" si="235"/>
        <v>1.474076339</v>
      </c>
      <c r="AN393" s="75">
        <v>2659.63</v>
      </c>
      <c r="AO393" s="76">
        <v>2700.0</v>
      </c>
      <c r="AP393" s="73">
        <f t="shared" si="236"/>
        <v>2700</v>
      </c>
      <c r="AQ393" s="29" t="str">
        <f t="shared" si="237"/>
        <v>#REF!</v>
      </c>
      <c r="AR393" s="77" t="str">
        <f t="shared" si="238"/>
        <v>#REF!</v>
      </c>
      <c r="AS393" s="73"/>
      <c r="AT393" s="39"/>
    </row>
    <row r="394" ht="15.75" customHeight="1">
      <c r="A394" s="7" t="s">
        <v>174</v>
      </c>
      <c r="B394" s="7" t="s">
        <v>168</v>
      </c>
      <c r="C394" s="7">
        <v>1988.0</v>
      </c>
      <c r="D394" s="7" t="b">
        <v>1</v>
      </c>
      <c r="E394" s="7">
        <v>1988.0</v>
      </c>
      <c r="F394" s="7" t="b">
        <v>1</v>
      </c>
      <c r="G394" s="7" t="b">
        <v>0</v>
      </c>
      <c r="H394" s="7" t="b">
        <v>0</v>
      </c>
      <c r="I394" s="7" t="b">
        <v>0</v>
      </c>
      <c r="J394" s="9">
        <v>500.0</v>
      </c>
      <c r="K394" s="9">
        <v>2.0</v>
      </c>
      <c r="L394" s="7">
        <v>4200.0</v>
      </c>
      <c r="M394" s="7">
        <v>300.0</v>
      </c>
      <c r="N394" s="7">
        <v>1732.96</v>
      </c>
      <c r="O394" s="7">
        <v>1382.35</v>
      </c>
      <c r="P394" s="9">
        <v>352.0</v>
      </c>
      <c r="Q394" s="7">
        <v>452.0</v>
      </c>
      <c r="R394" s="7">
        <v>16.0</v>
      </c>
      <c r="S394" s="7">
        <v>0.99</v>
      </c>
      <c r="T394" s="7">
        <v>0.99</v>
      </c>
      <c r="U394" s="10">
        <f t="shared" si="1"/>
        <v>4500</v>
      </c>
      <c r="V394" s="10">
        <f t="shared" si="2"/>
        <v>81.34086782</v>
      </c>
      <c r="W394" s="11">
        <f t="shared" si="3"/>
        <v>1.929894716</v>
      </c>
      <c r="X394" s="8">
        <f t="shared" si="256"/>
        <v>2667.78996</v>
      </c>
      <c r="Y394" s="12">
        <f t="shared" si="4"/>
        <v>4</v>
      </c>
      <c r="Z394" s="12">
        <f t="shared" si="5"/>
        <v>13338.9498</v>
      </c>
      <c r="AA394" s="12">
        <f t="shared" si="6"/>
        <v>9.649473578</v>
      </c>
      <c r="AB394" s="13">
        <f t="shared" si="7"/>
        <v>0.5928422134</v>
      </c>
      <c r="AC394" s="8">
        <f t="shared" si="225"/>
        <v>2668.056739</v>
      </c>
      <c r="AD394" s="13">
        <f t="shared" si="226"/>
        <v>0.5929014976</v>
      </c>
      <c r="AE394" s="8">
        <f t="shared" si="227"/>
        <v>862.6076269</v>
      </c>
      <c r="AF394" s="73">
        <f t="shared" si="228"/>
        <v>175.0542568</v>
      </c>
      <c r="AG394" s="74" t="str">
        <f t="shared" si="229"/>
        <v>#REF!</v>
      </c>
      <c r="AH394" s="73">
        <f t="shared" si="230"/>
        <v>0</v>
      </c>
      <c r="AI394" s="73">
        <f t="shared" si="231"/>
        <v>0.1941741551</v>
      </c>
      <c r="AJ394" s="75">
        <f t="shared" si="232"/>
        <v>1.114595916</v>
      </c>
      <c r="AK394" s="73">
        <f t="shared" si="233"/>
        <v>1.008345599</v>
      </c>
      <c r="AL394" s="73">
        <f t="shared" si="234"/>
        <v>6.681038936</v>
      </c>
      <c r="AM394" s="73">
        <f t="shared" si="235"/>
        <v>1.474076339</v>
      </c>
      <c r="AN394" s="75">
        <v>2317.04</v>
      </c>
      <c r="AO394" s="76">
        <v>2300.0</v>
      </c>
      <c r="AP394" s="73">
        <f t="shared" si="236"/>
        <v>2300</v>
      </c>
      <c r="AQ394" s="29" t="str">
        <f t="shared" si="237"/>
        <v>#REF!</v>
      </c>
      <c r="AR394" s="77" t="str">
        <f t="shared" si="238"/>
        <v>#REF!</v>
      </c>
      <c r="AS394" s="73"/>
      <c r="AT394" s="39"/>
    </row>
    <row r="395" ht="15.75" customHeight="1">
      <c r="A395" s="7" t="s">
        <v>560</v>
      </c>
      <c r="B395" s="7" t="s">
        <v>559</v>
      </c>
      <c r="C395" s="7">
        <v>1988.0</v>
      </c>
      <c r="D395" s="7"/>
      <c r="E395" s="7">
        <v>1988.0</v>
      </c>
      <c r="F395" s="7" t="b">
        <v>1</v>
      </c>
      <c r="G395" s="7" t="b">
        <v>0</v>
      </c>
      <c r="H395" s="7" t="b">
        <v>0</v>
      </c>
      <c r="I395" s="7" t="b">
        <v>0</v>
      </c>
      <c r="J395" s="9">
        <v>150.0</v>
      </c>
      <c r="K395" s="7">
        <v>1.0</v>
      </c>
      <c r="L395" s="7">
        <v>2004.0</v>
      </c>
      <c r="M395" s="7">
        <v>0.0</v>
      </c>
      <c r="N395" s="7">
        <v>9500.0</v>
      </c>
      <c r="O395" s="7">
        <v>7904.0</v>
      </c>
      <c r="P395" s="9">
        <v>309.3</v>
      </c>
      <c r="Q395" s="7">
        <v>337.2</v>
      </c>
      <c r="R395" s="7">
        <v>24.52</v>
      </c>
      <c r="S395" s="7">
        <v>0.985135</v>
      </c>
      <c r="T395" s="7">
        <v>0.985135</v>
      </c>
      <c r="U395" s="10">
        <f t="shared" si="1"/>
        <v>2004</v>
      </c>
      <c r="V395" s="10">
        <f t="shared" si="2"/>
        <v>84.84038867</v>
      </c>
      <c r="W395" s="11">
        <f t="shared" si="3"/>
        <v>0.2730295287</v>
      </c>
      <c r="X395" s="8">
        <f>0.2*(8.17*POWER(N395*R395,0.46))+0.8*(0.146*POWER(N395*Q395,0.639))</f>
        <v>2158.025395</v>
      </c>
      <c r="Y395" s="12">
        <f t="shared" si="4"/>
        <v>4</v>
      </c>
      <c r="Z395" s="12">
        <f t="shared" si="5"/>
        <v>10790.12697</v>
      </c>
      <c r="AA395" s="12">
        <f t="shared" si="6"/>
        <v>1.365147643</v>
      </c>
      <c r="AB395" s="13">
        <f t="shared" si="7"/>
        <v>1.076858979</v>
      </c>
      <c r="AC395" s="8">
        <f t="shared" si="225"/>
        <v>2137.504663</v>
      </c>
      <c r="AD395" s="13">
        <f t="shared" si="226"/>
        <v>1.066619093</v>
      </c>
      <c r="AE395" s="8">
        <f t="shared" si="227"/>
        <v>2137.504663</v>
      </c>
      <c r="AF395" s="73">
        <f t="shared" si="228"/>
        <v>860.8789122</v>
      </c>
      <c r="AG395" s="74" t="str">
        <f t="shared" si="229"/>
        <v>#REF!</v>
      </c>
      <c r="AH395" s="73">
        <f t="shared" si="230"/>
        <v>0</v>
      </c>
      <c r="AI395" s="73">
        <f t="shared" si="231"/>
        <v>0</v>
      </c>
      <c r="AJ395" s="75">
        <f t="shared" si="232"/>
        <v>1.365355701</v>
      </c>
      <c r="AK395" s="73">
        <f t="shared" si="233"/>
        <v>1.029808166</v>
      </c>
      <c r="AL395" s="73">
        <f t="shared" si="234"/>
        <v>1.497491164</v>
      </c>
      <c r="AM395" s="73">
        <f t="shared" si="235"/>
        <v>1.060224449</v>
      </c>
      <c r="AN395" s="75">
        <v>1890.41</v>
      </c>
      <c r="AO395" s="76">
        <v>1900.0</v>
      </c>
      <c r="AP395" s="73">
        <f t="shared" si="236"/>
        <v>1900</v>
      </c>
      <c r="AQ395" s="29" t="str">
        <f t="shared" si="237"/>
        <v>#REF!</v>
      </c>
      <c r="AR395" s="77" t="str">
        <f t="shared" si="238"/>
        <v>#REF!</v>
      </c>
      <c r="AS395" s="73"/>
      <c r="AT395" s="39"/>
    </row>
    <row r="396" ht="15.75" customHeight="1">
      <c r="A396" s="16" t="s">
        <v>758</v>
      </c>
      <c r="B396" s="16" t="s">
        <v>752</v>
      </c>
      <c r="C396" s="16">
        <v>1988.0</v>
      </c>
      <c r="D396" s="16" t="b">
        <v>1</v>
      </c>
      <c r="E396" s="16">
        <v>1988.0</v>
      </c>
      <c r="F396" s="16" t="b">
        <v>1</v>
      </c>
      <c r="G396" s="16" t="b">
        <v>0</v>
      </c>
      <c r="H396" s="16" t="b">
        <v>0</v>
      </c>
      <c r="I396" s="16" t="b">
        <v>0</v>
      </c>
      <c r="J396" s="18">
        <v>480.0</v>
      </c>
      <c r="K396" s="16">
        <v>1.0</v>
      </c>
      <c r="L396" s="16">
        <v>6077.0</v>
      </c>
      <c r="M396" s="16">
        <v>0.0</v>
      </c>
      <c r="N396" s="16">
        <v>3527.0</v>
      </c>
      <c r="O396" s="16">
        <v>2173.6</v>
      </c>
      <c r="P396" s="18">
        <v>361.5</v>
      </c>
      <c r="Q396" s="16">
        <v>453.5</v>
      </c>
      <c r="R396" s="16">
        <v>21.55</v>
      </c>
      <c r="S396" s="16">
        <v>0.996053</v>
      </c>
      <c r="T396" s="16">
        <v>0.999211</v>
      </c>
      <c r="U396" s="19">
        <f t="shared" si="1"/>
        <v>6077</v>
      </c>
      <c r="V396" s="19">
        <f t="shared" si="2"/>
        <v>62.84250508</v>
      </c>
      <c r="W396" s="20">
        <f t="shared" si="3"/>
        <v>2.646566142</v>
      </c>
      <c r="X396" s="17">
        <f t="shared" ref="X396:X399" si="257">0.9*(0.00015*N396*Q396*R396+797)+0.1*(43.1*POWER(N396,0.549))</f>
        <v>5752.576167</v>
      </c>
      <c r="Y396" s="21">
        <f t="shared" si="4"/>
        <v>4</v>
      </c>
      <c r="Z396" s="21">
        <f t="shared" si="5"/>
        <v>28762.88083</v>
      </c>
      <c r="AA396" s="21">
        <f t="shared" si="6"/>
        <v>13.23283071</v>
      </c>
      <c r="AB396" s="22">
        <f t="shared" si="7"/>
        <v>0.9466144754</v>
      </c>
      <c r="AC396" s="8">
        <f t="shared" si="225"/>
        <v>5840.401404</v>
      </c>
      <c r="AD396" s="13">
        <f t="shared" si="226"/>
        <v>0.9610665467</v>
      </c>
      <c r="AE396" s="8">
        <f t="shared" si="227"/>
        <v>1384.12516</v>
      </c>
      <c r="AF396" s="73">
        <f t="shared" si="228"/>
        <v>261.9815085</v>
      </c>
      <c r="AG396" s="74" t="str">
        <f t="shared" si="229"/>
        <v>#REF!</v>
      </c>
      <c r="AH396" s="73">
        <f t="shared" si="230"/>
        <v>0</v>
      </c>
      <c r="AI396" s="73">
        <f t="shared" si="231"/>
        <v>0</v>
      </c>
      <c r="AJ396" s="75">
        <f t="shared" si="232"/>
        <v>1.142191269</v>
      </c>
      <c r="AK396" s="73">
        <f t="shared" si="233"/>
        <v>0.8863020441</v>
      </c>
      <c r="AL396" s="73">
        <f t="shared" si="234"/>
        <v>6.820281601</v>
      </c>
      <c r="AM396" s="73">
        <f t="shared" si="235"/>
        <v>1.462062459</v>
      </c>
      <c r="AN396" s="75">
        <v>3847.83</v>
      </c>
      <c r="AO396" s="76">
        <v>3800.0</v>
      </c>
      <c r="AP396" s="73">
        <f t="shared" si="236"/>
        <v>3800</v>
      </c>
      <c r="AQ396" s="29" t="str">
        <f t="shared" si="237"/>
        <v>#REF!</v>
      </c>
      <c r="AR396" s="77" t="str">
        <f t="shared" si="238"/>
        <v>#REF!</v>
      </c>
      <c r="AS396" s="73"/>
      <c r="AT396" s="39"/>
    </row>
    <row r="397" ht="15.75" customHeight="1">
      <c r="A397" s="7" t="s">
        <v>1042</v>
      </c>
      <c r="B397" s="7" t="s">
        <v>752</v>
      </c>
      <c r="C397" s="7">
        <v>1988.0</v>
      </c>
      <c r="D397" s="7" t="b">
        <v>1</v>
      </c>
      <c r="E397" s="7">
        <v>1988.0</v>
      </c>
      <c r="F397" s="7" t="b">
        <v>1</v>
      </c>
      <c r="G397" s="7" t="b">
        <v>0</v>
      </c>
      <c r="H397" s="7" t="b">
        <v>0</v>
      </c>
      <c r="I397" s="7" t="b">
        <v>0</v>
      </c>
      <c r="J397" s="9">
        <v>480.0</v>
      </c>
      <c r="K397" s="9">
        <v>3.0</v>
      </c>
      <c r="L397" s="7">
        <v>6077.0</v>
      </c>
      <c r="M397" s="7">
        <v>0.0</v>
      </c>
      <c r="N397" s="7">
        <v>4400.0</v>
      </c>
      <c r="O397" s="7">
        <v>2215.8</v>
      </c>
      <c r="P397" s="9">
        <v>340.0</v>
      </c>
      <c r="Q397" s="7">
        <v>462.3</v>
      </c>
      <c r="R397" s="7">
        <v>21.55</v>
      </c>
      <c r="S397" s="7">
        <v>0.996053</v>
      </c>
      <c r="T397" s="7">
        <v>0.999211</v>
      </c>
      <c r="U397" s="10">
        <f t="shared" si="1"/>
        <v>6077</v>
      </c>
      <c r="V397" s="10">
        <f t="shared" si="2"/>
        <v>51.35198132</v>
      </c>
      <c r="W397" s="11">
        <f t="shared" si="3"/>
        <v>3.189059151</v>
      </c>
      <c r="X397" s="8">
        <f t="shared" si="257"/>
        <v>7066.317266</v>
      </c>
      <c r="Y397" s="12">
        <f t="shared" si="4"/>
        <v>4</v>
      </c>
      <c r="Z397" s="12">
        <f t="shared" si="5"/>
        <v>35331.58633</v>
      </c>
      <c r="AA397" s="12">
        <f t="shared" si="6"/>
        <v>15.94529575</v>
      </c>
      <c r="AB397" s="13">
        <f t="shared" si="7"/>
        <v>1.162796983</v>
      </c>
      <c r="AC397" s="8">
        <f t="shared" si="225"/>
        <v>7174.199538</v>
      </c>
      <c r="AD397" s="13">
        <f t="shared" si="226"/>
        <v>1.180549537</v>
      </c>
      <c r="AE397" s="8">
        <f t="shared" si="227"/>
        <v>1596.728189</v>
      </c>
      <c r="AF397" s="73">
        <f t="shared" si="228"/>
        <v>266.5584186</v>
      </c>
      <c r="AG397" s="74" t="str">
        <f t="shared" si="229"/>
        <v>#REF!</v>
      </c>
      <c r="AH397" s="73">
        <f t="shared" si="230"/>
        <v>0</v>
      </c>
      <c r="AI397" s="73">
        <f t="shared" si="231"/>
        <v>0.2958876574</v>
      </c>
      <c r="AJ397" s="75">
        <f t="shared" si="232"/>
        <v>1.058032898</v>
      </c>
      <c r="AK397" s="73">
        <f t="shared" si="233"/>
        <v>0.8011864742</v>
      </c>
      <c r="AL397" s="73">
        <f t="shared" si="234"/>
        <v>8.119746529</v>
      </c>
      <c r="AM397" s="73">
        <f t="shared" si="235"/>
        <v>1.462062459</v>
      </c>
      <c r="AN397" s="75">
        <v>4799.99</v>
      </c>
      <c r="AO397" s="76">
        <v>4800.0</v>
      </c>
      <c r="AP397" s="73">
        <f t="shared" si="236"/>
        <v>4800</v>
      </c>
      <c r="AQ397" s="29" t="str">
        <f t="shared" si="237"/>
        <v>#REF!</v>
      </c>
      <c r="AR397" s="77" t="str">
        <f t="shared" si="238"/>
        <v>#REF!</v>
      </c>
      <c r="AS397" s="73"/>
      <c r="AT397" s="39"/>
    </row>
    <row r="398" ht="15.75" customHeight="1">
      <c r="A398" s="16" t="s">
        <v>1043</v>
      </c>
      <c r="B398" s="16" t="s">
        <v>752</v>
      </c>
      <c r="C398" s="16">
        <v>1988.0</v>
      </c>
      <c r="D398" s="16" t="b">
        <v>1</v>
      </c>
      <c r="E398" s="16">
        <v>1988.0</v>
      </c>
      <c r="F398" s="16" t="b">
        <v>1</v>
      </c>
      <c r="G398" s="16" t="b">
        <v>0</v>
      </c>
      <c r="H398" s="16" t="b">
        <v>0</v>
      </c>
      <c r="I398" s="16" t="b">
        <v>0</v>
      </c>
      <c r="J398" s="18">
        <v>480.0</v>
      </c>
      <c r="K398" s="16">
        <v>1.0</v>
      </c>
      <c r="L398" s="16">
        <v>6077.0</v>
      </c>
      <c r="M398" s="16">
        <v>0.0</v>
      </c>
      <c r="N398" s="16">
        <v>3372.0</v>
      </c>
      <c r="O398" s="16">
        <v>2124.7</v>
      </c>
      <c r="P398" s="18">
        <v>404.1</v>
      </c>
      <c r="Q398" s="16">
        <v>443.3</v>
      </c>
      <c r="R398" s="16">
        <v>21.55</v>
      </c>
      <c r="S398" s="16">
        <v>0.996053</v>
      </c>
      <c r="T398" s="16">
        <v>0.999211</v>
      </c>
      <c r="U398" s="19">
        <f t="shared" si="1"/>
        <v>6077</v>
      </c>
      <c r="V398" s="19">
        <f t="shared" si="2"/>
        <v>64.25240307</v>
      </c>
      <c r="W398" s="20">
        <f t="shared" si="3"/>
        <v>2.559753074</v>
      </c>
      <c r="X398" s="17">
        <f t="shared" si="257"/>
        <v>5438.707357</v>
      </c>
      <c r="Y398" s="21">
        <f t="shared" si="4"/>
        <v>4</v>
      </c>
      <c r="Z398" s="21">
        <f t="shared" si="5"/>
        <v>27193.53678</v>
      </c>
      <c r="AA398" s="21">
        <f t="shared" si="6"/>
        <v>12.79876537</v>
      </c>
      <c r="AB398" s="22">
        <f t="shared" si="7"/>
        <v>0.8949658313</v>
      </c>
      <c r="AC398" s="8">
        <f t="shared" si="225"/>
        <v>5521.740723</v>
      </c>
      <c r="AD398" s="13">
        <f t="shared" si="226"/>
        <v>0.9086293768</v>
      </c>
      <c r="AE398" s="8">
        <f t="shared" si="227"/>
        <v>1331.913588</v>
      </c>
      <c r="AF398" s="73">
        <f t="shared" si="228"/>
        <v>256.6717171</v>
      </c>
      <c r="AG398" s="74" t="str">
        <f t="shared" si="229"/>
        <v>#REF!</v>
      </c>
      <c r="AH398" s="73">
        <f t="shared" si="230"/>
        <v>0</v>
      </c>
      <c r="AI398" s="73">
        <f t="shared" si="231"/>
        <v>0</v>
      </c>
      <c r="AJ398" s="75">
        <f t="shared" si="232"/>
        <v>1.353307013</v>
      </c>
      <c r="AK398" s="73">
        <f t="shared" si="233"/>
        <v>0.8961891755</v>
      </c>
      <c r="AL398" s="73">
        <f t="shared" si="234"/>
        <v>5.930108465</v>
      </c>
      <c r="AM398" s="73">
        <f t="shared" si="235"/>
        <v>1.462062459</v>
      </c>
      <c r="AN398" s="75">
        <v>3904.02</v>
      </c>
      <c r="AO398" s="76">
        <v>3900.0</v>
      </c>
      <c r="AP398" s="73">
        <f t="shared" si="236"/>
        <v>3900</v>
      </c>
      <c r="AQ398" s="29" t="str">
        <f t="shared" si="237"/>
        <v>#REF!</v>
      </c>
      <c r="AR398" s="77" t="str">
        <f t="shared" si="238"/>
        <v>#REF!</v>
      </c>
      <c r="AS398" s="73"/>
      <c r="AT398" s="39"/>
    </row>
    <row r="399" ht="15.75" customHeight="1">
      <c r="A399" s="7" t="s">
        <v>1044</v>
      </c>
      <c r="B399" s="7" t="s">
        <v>752</v>
      </c>
      <c r="C399" s="7">
        <v>1988.0</v>
      </c>
      <c r="D399" s="7" t="b">
        <v>1</v>
      </c>
      <c r="E399" s="7">
        <v>1988.0</v>
      </c>
      <c r="F399" s="7" t="b">
        <v>1</v>
      </c>
      <c r="G399" s="7" t="b">
        <v>0</v>
      </c>
      <c r="H399" s="7" t="b">
        <v>0</v>
      </c>
      <c r="I399" s="7" t="b">
        <v>0</v>
      </c>
      <c r="J399" s="9">
        <v>480.0</v>
      </c>
      <c r="K399" s="7">
        <v>1.0</v>
      </c>
      <c r="L399" s="7">
        <v>6077.0</v>
      </c>
      <c r="M399" s="7">
        <v>0.0</v>
      </c>
      <c r="N399" s="7">
        <v>3440.0</v>
      </c>
      <c r="O399" s="7">
        <v>2148.7</v>
      </c>
      <c r="P399" s="9">
        <v>387.2</v>
      </c>
      <c r="Q399" s="7">
        <v>448.3</v>
      </c>
      <c r="R399" s="7">
        <v>21.55</v>
      </c>
      <c r="S399" s="7">
        <v>0.996053</v>
      </c>
      <c r="T399" s="7">
        <v>0.999211</v>
      </c>
      <c r="U399" s="10">
        <f t="shared" si="1"/>
        <v>6077</v>
      </c>
      <c r="V399" s="10">
        <f t="shared" si="2"/>
        <v>63.69372734</v>
      </c>
      <c r="W399" s="11">
        <f t="shared" si="3"/>
        <v>2.597175509</v>
      </c>
      <c r="X399" s="8">
        <f t="shared" si="257"/>
        <v>5580.551016</v>
      </c>
      <c r="Y399" s="12">
        <f t="shared" si="4"/>
        <v>4</v>
      </c>
      <c r="Z399" s="12">
        <f t="shared" si="5"/>
        <v>27902.75508</v>
      </c>
      <c r="AA399" s="12">
        <f t="shared" si="6"/>
        <v>12.98587755</v>
      </c>
      <c r="AB399" s="13">
        <f t="shared" si="7"/>
        <v>0.9183068976</v>
      </c>
      <c r="AC399" s="8">
        <f t="shared" si="225"/>
        <v>5665.749926</v>
      </c>
      <c r="AD399" s="13">
        <f t="shared" si="226"/>
        <v>0.9323267938</v>
      </c>
      <c r="AE399" s="8">
        <f t="shared" si="227"/>
        <v>1355.603331</v>
      </c>
      <c r="AF399" s="73">
        <f t="shared" si="228"/>
        <v>259.2785955</v>
      </c>
      <c r="AG399" s="74" t="str">
        <f t="shared" si="229"/>
        <v>#REF!</v>
      </c>
      <c r="AH399" s="73">
        <f t="shared" si="230"/>
        <v>0</v>
      </c>
      <c r="AI399" s="73">
        <f t="shared" si="231"/>
        <v>0</v>
      </c>
      <c r="AJ399" s="75">
        <f t="shared" si="232"/>
        <v>1.257435268</v>
      </c>
      <c r="AK399" s="73">
        <f t="shared" si="233"/>
        <v>0.8922844791</v>
      </c>
      <c r="AL399" s="73">
        <f t="shared" si="234"/>
        <v>6.350161918</v>
      </c>
      <c r="AM399" s="73">
        <f t="shared" si="235"/>
        <v>1.462062459</v>
      </c>
      <c r="AN399" s="75">
        <v>3915.76</v>
      </c>
      <c r="AO399" s="76">
        <v>3900.0</v>
      </c>
      <c r="AP399" s="73">
        <f t="shared" si="236"/>
        <v>3900</v>
      </c>
      <c r="AQ399" s="29" t="str">
        <f t="shared" si="237"/>
        <v>#REF!</v>
      </c>
      <c r="AR399" s="77" t="str">
        <f t="shared" si="238"/>
        <v>#REF!</v>
      </c>
      <c r="AS399" s="73"/>
      <c r="AT399" s="39"/>
    </row>
    <row r="400" ht="15.75" customHeight="1">
      <c r="A400" s="7" t="s">
        <v>81</v>
      </c>
      <c r="B400" s="7" t="s">
        <v>76</v>
      </c>
      <c r="C400" s="7">
        <v>1989.0</v>
      </c>
      <c r="D400" s="7"/>
      <c r="E400" s="7">
        <v>1989.0</v>
      </c>
      <c r="F400" s="7" t="b">
        <v>0</v>
      </c>
      <c r="G400" s="7" t="b">
        <v>0</v>
      </c>
      <c r="H400" s="7" t="b">
        <v>1</v>
      </c>
      <c r="I400" s="7" t="b">
        <v>0</v>
      </c>
      <c r="J400" s="9">
        <v>450.0</v>
      </c>
      <c r="K400" s="9">
        <v>999.0</v>
      </c>
      <c r="L400" s="7">
        <v>200.0</v>
      </c>
      <c r="M400" s="7">
        <v>100.0</v>
      </c>
      <c r="N400" s="7">
        <v>100.0</v>
      </c>
      <c r="O400" s="7">
        <v>43.7</v>
      </c>
      <c r="P400" s="9">
        <v>1.0</v>
      </c>
      <c r="Q400" s="7">
        <v>319.2</v>
      </c>
      <c r="R400" s="7">
        <v>0.88</v>
      </c>
      <c r="S400" s="7">
        <v>0.999414</v>
      </c>
      <c r="T400" s="7">
        <v>0.999123</v>
      </c>
      <c r="U400" s="10">
        <f t="shared" si="1"/>
        <v>300</v>
      </c>
      <c r="V400" s="10">
        <f t="shared" si="2"/>
        <v>44.56159838</v>
      </c>
      <c r="W400" s="11">
        <f t="shared" si="3"/>
        <v>2.311880388</v>
      </c>
      <c r="X400" s="8">
        <f t="shared" ref="X400:X402" si="258">0.2*(8.17*POWER(N400*R400,0.46))+0.8*(0.146*POWER(N400*Q400,0.639))</f>
        <v>101.029173</v>
      </c>
      <c r="Y400" s="12">
        <f t="shared" si="4"/>
        <v>1.75</v>
      </c>
      <c r="Z400" s="12">
        <f t="shared" si="5"/>
        <v>277.8302257</v>
      </c>
      <c r="AA400" s="12">
        <f t="shared" si="6"/>
        <v>6.357671068</v>
      </c>
      <c r="AB400" s="13">
        <f t="shared" si="7"/>
        <v>0.3367639099</v>
      </c>
      <c r="AC400" s="8">
        <f t="shared" si="225"/>
        <v>102.9020027</v>
      </c>
      <c r="AD400" s="13">
        <f t="shared" si="226"/>
        <v>0.3430066756</v>
      </c>
      <c r="AE400" s="8">
        <f t="shared" si="227"/>
        <v>102.9020027</v>
      </c>
      <c r="AF400" s="73">
        <f t="shared" si="228"/>
        <v>12.14508765</v>
      </c>
      <c r="AG400" s="74" t="str">
        <f t="shared" si="229"/>
        <v>#REF!</v>
      </c>
      <c r="AH400" s="73">
        <f t="shared" si="230"/>
        <v>0</v>
      </c>
      <c r="AI400" s="73">
        <f t="shared" si="231"/>
        <v>1.123141633</v>
      </c>
      <c r="AJ400" s="75">
        <f t="shared" si="232"/>
        <v>1</v>
      </c>
      <c r="AK400" s="73">
        <f t="shared" si="233"/>
        <v>0.7463377116</v>
      </c>
      <c r="AL400" s="73">
        <f t="shared" si="234"/>
        <v>1.215396296</v>
      </c>
      <c r="AM400" s="73">
        <f t="shared" si="235"/>
        <v>1.442806746</v>
      </c>
      <c r="AN400" s="75">
        <v>46.28</v>
      </c>
      <c r="AO400" s="76">
        <v>46.0</v>
      </c>
      <c r="AP400" s="73">
        <f t="shared" si="236"/>
        <v>46</v>
      </c>
      <c r="AQ400" s="29" t="str">
        <f t="shared" si="237"/>
        <v>#REF!</v>
      </c>
      <c r="AR400" s="77" t="str">
        <f t="shared" si="238"/>
        <v>#REF!</v>
      </c>
      <c r="AS400" s="73"/>
      <c r="AT400" s="39"/>
    </row>
    <row r="401" ht="15.75" customHeight="1">
      <c r="A401" s="7" t="s">
        <v>166</v>
      </c>
      <c r="B401" s="7" t="s">
        <v>158</v>
      </c>
      <c r="C401" s="7">
        <v>1989.0</v>
      </c>
      <c r="D401" s="7"/>
      <c r="E401" s="7">
        <v>1989.0</v>
      </c>
      <c r="F401" s="7" t="b">
        <v>1</v>
      </c>
      <c r="G401" s="7" t="b">
        <v>0</v>
      </c>
      <c r="H401" s="7" t="b">
        <v>0</v>
      </c>
      <c r="I401" s="7" t="b">
        <v>0</v>
      </c>
      <c r="J401" s="9">
        <v>265.0</v>
      </c>
      <c r="K401" s="7">
        <v>1.0</v>
      </c>
      <c r="L401" s="7">
        <v>250.0</v>
      </c>
      <c r="M401" s="7">
        <v>50.0</v>
      </c>
      <c r="N401" s="7">
        <v>1147.0</v>
      </c>
      <c r="O401" s="7">
        <v>1054.23</v>
      </c>
      <c r="P401" s="9">
        <v>255.0</v>
      </c>
      <c r="Q401" s="7">
        <v>302.0</v>
      </c>
      <c r="R401" s="7">
        <v>4.85</v>
      </c>
      <c r="S401" s="7">
        <v>0.998944</v>
      </c>
      <c r="T401" s="7">
        <v>0.998944</v>
      </c>
      <c r="U401" s="10">
        <f t="shared" si="1"/>
        <v>300</v>
      </c>
      <c r="V401" s="10">
        <f t="shared" si="2"/>
        <v>93.7240994</v>
      </c>
      <c r="W401" s="11">
        <f t="shared" si="3"/>
        <v>0.4658422265</v>
      </c>
      <c r="X401" s="8">
        <f t="shared" si="258"/>
        <v>491.1048504</v>
      </c>
      <c r="Y401" s="12">
        <f t="shared" si="4"/>
        <v>4</v>
      </c>
      <c r="Z401" s="12">
        <f t="shared" si="5"/>
        <v>2455.524252</v>
      </c>
      <c r="AA401" s="12">
        <f t="shared" si="6"/>
        <v>2.329211132</v>
      </c>
      <c r="AB401" s="13">
        <f t="shared" si="7"/>
        <v>1.637016168</v>
      </c>
      <c r="AC401" s="8">
        <f t="shared" si="225"/>
        <v>499.8902817</v>
      </c>
      <c r="AD401" s="13">
        <f t="shared" si="226"/>
        <v>1.666300939</v>
      </c>
      <c r="AE401" s="8">
        <f t="shared" si="227"/>
        <v>499.8902817</v>
      </c>
      <c r="AF401" s="73">
        <f t="shared" si="228"/>
        <v>138.1389559</v>
      </c>
      <c r="AG401" s="74" t="str">
        <f t="shared" si="229"/>
        <v>#REF!</v>
      </c>
      <c r="AH401" s="73">
        <f t="shared" si="230"/>
        <v>0</v>
      </c>
      <c r="AI401" s="73">
        <f t="shared" si="231"/>
        <v>0</v>
      </c>
      <c r="AJ401" s="75">
        <f t="shared" si="232"/>
        <v>1.221664659</v>
      </c>
      <c r="AK401" s="73">
        <f t="shared" si="233"/>
        <v>1.082382207</v>
      </c>
      <c r="AL401" s="73">
        <f t="shared" si="234"/>
        <v>1.016338664</v>
      </c>
      <c r="AM401" s="73">
        <f t="shared" si="235"/>
        <v>1.272002616</v>
      </c>
      <c r="AN401" s="75">
        <v>334.0</v>
      </c>
      <c r="AO401" s="76">
        <v>330.0</v>
      </c>
      <c r="AP401" s="73">
        <f t="shared" si="236"/>
        <v>330</v>
      </c>
      <c r="AQ401" s="29" t="str">
        <f t="shared" si="237"/>
        <v>#REF!</v>
      </c>
      <c r="AR401" s="77" t="str">
        <f t="shared" si="238"/>
        <v>#REF!</v>
      </c>
      <c r="AS401" s="73"/>
      <c r="AT401" s="39"/>
    </row>
    <row r="402" ht="15.75" customHeight="1">
      <c r="A402" s="16" t="s">
        <v>426</v>
      </c>
      <c r="B402" s="16" t="s">
        <v>427</v>
      </c>
      <c r="C402" s="16">
        <v>1990.0</v>
      </c>
      <c r="D402" s="16"/>
      <c r="E402" s="16">
        <v>1990.0</v>
      </c>
      <c r="F402" s="16" t="b">
        <v>0</v>
      </c>
      <c r="G402" s="16" t="b">
        <v>0</v>
      </c>
      <c r="H402" s="16" t="b">
        <v>1</v>
      </c>
      <c r="I402" s="16" t="b">
        <v>0</v>
      </c>
      <c r="J402" s="18">
        <v>27000.0</v>
      </c>
      <c r="K402" s="18">
        <v>150.0</v>
      </c>
      <c r="L402" s="16">
        <v>60.0</v>
      </c>
      <c r="M402" s="16">
        <v>0.0</v>
      </c>
      <c r="N402" s="16">
        <v>4.53</v>
      </c>
      <c r="O402" s="16">
        <v>0.89</v>
      </c>
      <c r="P402" s="18">
        <v>1.0</v>
      </c>
      <c r="Q402" s="16">
        <v>305.0</v>
      </c>
      <c r="R402" s="16">
        <v>0.71</v>
      </c>
      <c r="S402" s="16">
        <v>0.999814</v>
      </c>
      <c r="T402" s="16">
        <v>0.999442</v>
      </c>
      <c r="U402" s="19">
        <f t="shared" si="1"/>
        <v>60</v>
      </c>
      <c r="V402" s="19">
        <f t="shared" si="2"/>
        <v>20.03415953</v>
      </c>
      <c r="W402" s="20">
        <f t="shared" si="3"/>
        <v>16.47035605</v>
      </c>
      <c r="X402" s="17">
        <f t="shared" si="258"/>
        <v>14.65861689</v>
      </c>
      <c r="Y402" s="21">
        <f t="shared" si="4"/>
        <v>1.75</v>
      </c>
      <c r="Z402" s="21">
        <f t="shared" si="5"/>
        <v>40.31119644</v>
      </c>
      <c r="AA402" s="21">
        <f t="shared" si="6"/>
        <v>45.29347914</v>
      </c>
      <c r="AB402" s="22">
        <f t="shared" si="7"/>
        <v>0.2443102814</v>
      </c>
      <c r="AC402" s="8">
        <f t="shared" si="225"/>
        <v>14.94088473</v>
      </c>
      <c r="AD402" s="13">
        <f t="shared" si="226"/>
        <v>0.2490147456</v>
      </c>
      <c r="AE402" s="8">
        <f t="shared" si="227"/>
        <v>14.94088473</v>
      </c>
      <c r="AF402" s="73">
        <f t="shared" si="228"/>
        <v>2.231380273</v>
      </c>
      <c r="AG402" s="74" t="str">
        <f t="shared" si="229"/>
        <v>#REF!</v>
      </c>
      <c r="AH402" s="73">
        <f t="shared" si="230"/>
        <v>0</v>
      </c>
      <c r="AI402" s="73">
        <f t="shared" si="231"/>
        <v>0.9493533426</v>
      </c>
      <c r="AJ402" s="75">
        <f t="shared" si="232"/>
        <v>1</v>
      </c>
      <c r="AK402" s="73">
        <f t="shared" si="233"/>
        <v>0.500426812</v>
      </c>
      <c r="AL402" s="73">
        <f t="shared" si="234"/>
        <v>1.045405091</v>
      </c>
      <c r="AM402" s="73">
        <f t="shared" si="235"/>
        <v>2.200895552</v>
      </c>
      <c r="AN402" s="75">
        <v>9.91</v>
      </c>
      <c r="AO402" s="76">
        <v>9.9</v>
      </c>
      <c r="AP402" s="73">
        <f t="shared" si="236"/>
        <v>9.9</v>
      </c>
      <c r="AQ402" s="29" t="str">
        <f t="shared" si="237"/>
        <v>#REF!</v>
      </c>
      <c r="AR402" s="77" t="str">
        <f t="shared" si="238"/>
        <v>#REF!</v>
      </c>
      <c r="AS402" s="73"/>
      <c r="AT402" s="39"/>
    </row>
    <row r="403" ht="15.75" customHeight="1">
      <c r="A403" s="7" t="s">
        <v>180</v>
      </c>
      <c r="B403" s="7" t="s">
        <v>177</v>
      </c>
      <c r="C403" s="7">
        <v>1990.0</v>
      </c>
      <c r="D403" s="7" t="b">
        <v>1</v>
      </c>
      <c r="E403" s="7">
        <v>1990.0</v>
      </c>
      <c r="F403" s="7" t="b">
        <v>1</v>
      </c>
      <c r="G403" s="7" t="b">
        <v>0</v>
      </c>
      <c r="H403" s="7" t="b">
        <v>1</v>
      </c>
      <c r="I403" s="7" t="b">
        <v>0</v>
      </c>
      <c r="J403" s="9">
        <v>980.0</v>
      </c>
      <c r="K403" s="7">
        <v>1.0</v>
      </c>
      <c r="L403" s="7">
        <v>500.0</v>
      </c>
      <c r="M403" s="7">
        <v>115.0</v>
      </c>
      <c r="N403" s="7">
        <v>165.0</v>
      </c>
      <c r="O403" s="7">
        <v>64.8</v>
      </c>
      <c r="P403" s="9">
        <v>193.0</v>
      </c>
      <c r="Q403" s="7">
        <v>445.6</v>
      </c>
      <c r="R403" s="7">
        <v>3.66</v>
      </c>
      <c r="S403" s="7">
        <v>0.998</v>
      </c>
      <c r="T403" s="7">
        <v>0.997973</v>
      </c>
      <c r="U403" s="10">
        <f t="shared" si="1"/>
        <v>615</v>
      </c>
      <c r="V403" s="10">
        <f t="shared" si="2"/>
        <v>40.04703661</v>
      </c>
      <c r="W403" s="11">
        <f t="shared" si="3"/>
        <v>12.72730322</v>
      </c>
      <c r="X403" s="8">
        <f>0.9*(0.00015*N403*Q403*R403+797)+0.1*(43.1*POWER(N403,0.549))</f>
        <v>824.7292488</v>
      </c>
      <c r="Y403" s="12">
        <f t="shared" si="4"/>
        <v>4</v>
      </c>
      <c r="Z403" s="12">
        <f t="shared" si="5"/>
        <v>4123.646244</v>
      </c>
      <c r="AA403" s="12">
        <f t="shared" si="6"/>
        <v>63.63651611</v>
      </c>
      <c r="AB403" s="13">
        <f t="shared" si="7"/>
        <v>1.341023169</v>
      </c>
      <c r="AC403" s="8">
        <f t="shared" si="225"/>
        <v>837.9059925</v>
      </c>
      <c r="AD403" s="13">
        <f t="shared" si="226"/>
        <v>1.362448768</v>
      </c>
      <c r="AE403" s="8">
        <f t="shared" si="227"/>
        <v>184.3254508</v>
      </c>
      <c r="AF403" s="73">
        <f t="shared" si="228"/>
        <v>16.03652245</v>
      </c>
      <c r="AG403" s="74" t="str">
        <f t="shared" si="229"/>
        <v>#REF!</v>
      </c>
      <c r="AH403" s="73">
        <f t="shared" si="230"/>
        <v>0</v>
      </c>
      <c r="AI403" s="73">
        <f t="shared" si="231"/>
        <v>0</v>
      </c>
      <c r="AJ403" s="75">
        <f t="shared" si="232"/>
        <v>1</v>
      </c>
      <c r="AK403" s="73">
        <f t="shared" si="233"/>
        <v>0.7075224079</v>
      </c>
      <c r="AL403" s="73">
        <f t="shared" si="234"/>
        <v>6.119587746</v>
      </c>
      <c r="AM403" s="73">
        <f t="shared" si="235"/>
        <v>1.654802929</v>
      </c>
      <c r="AN403" s="75">
        <v>190.39</v>
      </c>
      <c r="AO403" s="76">
        <v>190.0</v>
      </c>
      <c r="AP403" s="73">
        <f t="shared" si="236"/>
        <v>190</v>
      </c>
      <c r="AQ403" s="29" t="str">
        <f t="shared" si="237"/>
        <v>#REF!</v>
      </c>
      <c r="AR403" s="77" t="str">
        <f t="shared" si="238"/>
        <v>#REF!</v>
      </c>
      <c r="AS403" s="73"/>
      <c r="AT403" s="39"/>
    </row>
    <row r="404" ht="15.75" customHeight="1">
      <c r="A404" s="7" t="s">
        <v>264</v>
      </c>
      <c r="B404" s="7" t="s">
        <v>262</v>
      </c>
      <c r="C404" s="7">
        <v>1990.0</v>
      </c>
      <c r="D404" s="7"/>
      <c r="E404" s="7">
        <v>1990.0</v>
      </c>
      <c r="F404" s="7" t="b">
        <v>1</v>
      </c>
      <c r="G404" s="7" t="b">
        <v>0</v>
      </c>
      <c r="H404" s="7" t="b">
        <v>0</v>
      </c>
      <c r="I404" s="7" t="b">
        <v>0</v>
      </c>
      <c r="J404" s="9">
        <v>400.0</v>
      </c>
      <c r="K404" s="7">
        <v>1.0</v>
      </c>
      <c r="L404" s="7">
        <v>15.0</v>
      </c>
      <c r="M404" s="7">
        <v>-5.0</v>
      </c>
      <c r="N404" s="7">
        <v>19.05</v>
      </c>
      <c r="O404" s="7">
        <v>2.976</v>
      </c>
      <c r="P404" s="9">
        <v>190.5</v>
      </c>
      <c r="Q404" s="7">
        <v>247.0</v>
      </c>
      <c r="R404" s="7">
        <v>1.77</v>
      </c>
      <c r="S404" s="7">
        <v>0.995</v>
      </c>
      <c r="T404" s="7">
        <v>0.998</v>
      </c>
      <c r="U404" s="10">
        <f t="shared" si="1"/>
        <v>10</v>
      </c>
      <c r="V404" s="10">
        <f t="shared" si="2"/>
        <v>15.93005481</v>
      </c>
      <c r="W404" s="11">
        <f t="shared" si="3"/>
        <v>11.49133684</v>
      </c>
      <c r="X404" s="8">
        <f t="shared" ref="X404:X406" si="259">0.2*(8.17*POWER(N404*R404,0.46))+0.8*(0.146*POWER(N404*Q404,0.639))</f>
        <v>34.19821844</v>
      </c>
      <c r="Y404" s="12">
        <f t="shared" si="4"/>
        <v>4</v>
      </c>
      <c r="Z404" s="12">
        <f t="shared" si="5"/>
        <v>170.9910922</v>
      </c>
      <c r="AA404" s="12">
        <f t="shared" si="6"/>
        <v>57.45668421</v>
      </c>
      <c r="AB404" s="13">
        <f t="shared" si="7"/>
        <v>3.419821844</v>
      </c>
      <c r="AC404" s="8">
        <f t="shared" si="225"/>
        <v>34.64313726</v>
      </c>
      <c r="AD404" s="13">
        <f t="shared" si="226"/>
        <v>3.464313726</v>
      </c>
      <c r="AE404" s="8">
        <f t="shared" si="227"/>
        <v>34.64313726</v>
      </c>
      <c r="AF404" s="73">
        <f t="shared" si="228"/>
        <v>2.923642333</v>
      </c>
      <c r="AG404" s="74" t="str">
        <f t="shared" si="229"/>
        <v>#REF!</v>
      </c>
      <c r="AH404" s="73">
        <f t="shared" si="230"/>
        <v>0</v>
      </c>
      <c r="AI404" s="73">
        <f t="shared" si="231"/>
        <v>0</v>
      </c>
      <c r="AJ404" s="75">
        <f t="shared" si="232"/>
        <v>1.103905298</v>
      </c>
      <c r="AK404" s="73">
        <f t="shared" si="233"/>
        <v>0.4462350111</v>
      </c>
      <c r="AL404" s="73">
        <f t="shared" si="234"/>
        <v>0.6950309787</v>
      </c>
      <c r="AM404" s="73">
        <f t="shared" si="235"/>
        <v>1.406821143</v>
      </c>
      <c r="AN404" s="75">
        <v>2.94</v>
      </c>
      <c r="AO404" s="76">
        <v>2.9</v>
      </c>
      <c r="AP404" s="73">
        <f t="shared" si="236"/>
        <v>2.9</v>
      </c>
      <c r="AQ404" s="29" t="str">
        <f t="shared" si="237"/>
        <v>#REF!</v>
      </c>
      <c r="AR404" s="77" t="str">
        <f t="shared" si="238"/>
        <v>#REF!</v>
      </c>
      <c r="AS404" s="73"/>
      <c r="AT404" s="39"/>
    </row>
    <row r="405" ht="15.75" customHeight="1">
      <c r="A405" s="16" t="s">
        <v>272</v>
      </c>
      <c r="B405" s="16" t="s">
        <v>266</v>
      </c>
      <c r="C405" s="16">
        <v>1990.0</v>
      </c>
      <c r="D405" s="16"/>
      <c r="E405" s="16">
        <v>1990.0</v>
      </c>
      <c r="F405" s="16" t="b">
        <v>1</v>
      </c>
      <c r="G405" s="16" t="b">
        <v>0</v>
      </c>
      <c r="H405" s="16" t="b">
        <v>0</v>
      </c>
      <c r="I405" s="16" t="b">
        <v>0</v>
      </c>
      <c r="J405" s="18">
        <v>350.0</v>
      </c>
      <c r="K405" s="16">
        <v>1.0</v>
      </c>
      <c r="L405" s="16">
        <v>275.0</v>
      </c>
      <c r="M405" s="16">
        <v>10.0</v>
      </c>
      <c r="N405" s="16">
        <v>460.0</v>
      </c>
      <c r="O405" s="16">
        <v>386.4</v>
      </c>
      <c r="P405" s="18">
        <v>220.4</v>
      </c>
      <c r="Q405" s="16">
        <v>316.0</v>
      </c>
      <c r="R405" s="16">
        <v>5.07</v>
      </c>
      <c r="S405" s="16">
        <v>0.999211</v>
      </c>
      <c r="T405" s="16">
        <v>0.999211</v>
      </c>
      <c r="U405" s="19">
        <f t="shared" si="1"/>
        <v>285</v>
      </c>
      <c r="V405" s="19">
        <f t="shared" si="2"/>
        <v>85.65616164</v>
      </c>
      <c r="W405" s="20">
        <f t="shared" si="3"/>
        <v>0.7512187892</v>
      </c>
      <c r="X405" s="17">
        <f t="shared" si="259"/>
        <v>290.2709402</v>
      </c>
      <c r="Y405" s="21">
        <f t="shared" si="4"/>
        <v>4</v>
      </c>
      <c r="Z405" s="21">
        <f t="shared" si="5"/>
        <v>1451.354701</v>
      </c>
      <c r="AA405" s="21">
        <f t="shared" si="6"/>
        <v>3.756093946</v>
      </c>
      <c r="AB405" s="22">
        <f t="shared" si="7"/>
        <v>1.018494527</v>
      </c>
      <c r="AC405" s="8">
        <f t="shared" si="225"/>
        <v>295.6184921</v>
      </c>
      <c r="AD405" s="13">
        <f t="shared" si="226"/>
        <v>1.037257867</v>
      </c>
      <c r="AE405" s="8">
        <f t="shared" si="227"/>
        <v>295.6184921</v>
      </c>
      <c r="AF405" s="73">
        <f t="shared" si="228"/>
        <v>59.59372514</v>
      </c>
      <c r="AG405" s="74" t="str">
        <f t="shared" si="229"/>
        <v>#REF!</v>
      </c>
      <c r="AH405" s="73">
        <f t="shared" si="230"/>
        <v>0</v>
      </c>
      <c r="AI405" s="73">
        <f t="shared" si="231"/>
        <v>0</v>
      </c>
      <c r="AJ405" s="75">
        <f t="shared" si="232"/>
        <v>1.02030743</v>
      </c>
      <c r="AK405" s="73">
        <f t="shared" si="233"/>
        <v>1.034747322</v>
      </c>
      <c r="AL405" s="73">
        <f t="shared" si="234"/>
        <v>1.173066849</v>
      </c>
      <c r="AM405" s="73">
        <f t="shared" si="235"/>
        <v>1.364668672</v>
      </c>
      <c r="AN405" s="75">
        <v>148.1</v>
      </c>
      <c r="AO405" s="76">
        <v>150.0</v>
      </c>
      <c r="AP405" s="73">
        <f t="shared" si="236"/>
        <v>150</v>
      </c>
      <c r="AQ405" s="29" t="str">
        <f t="shared" si="237"/>
        <v>#REF!</v>
      </c>
      <c r="AR405" s="77" t="str">
        <f t="shared" si="238"/>
        <v>#REF!</v>
      </c>
      <c r="AS405" s="73"/>
      <c r="AT405" s="39"/>
    </row>
    <row r="406" ht="15.75" customHeight="1">
      <c r="A406" s="7" t="s">
        <v>337</v>
      </c>
      <c r="B406" s="7" t="s">
        <v>330</v>
      </c>
      <c r="C406" s="7">
        <v>1990.0</v>
      </c>
      <c r="D406" s="7"/>
      <c r="E406" s="7">
        <v>1990.0</v>
      </c>
      <c r="F406" s="7" t="b">
        <v>1</v>
      </c>
      <c r="G406" s="7" t="b">
        <v>0</v>
      </c>
      <c r="H406" s="7" t="b">
        <v>0</v>
      </c>
      <c r="I406" s="7" t="b">
        <v>0</v>
      </c>
      <c r="J406" s="9">
        <v>170.0</v>
      </c>
      <c r="K406" s="7">
        <v>1.0</v>
      </c>
      <c r="L406" s="7">
        <v>300.0</v>
      </c>
      <c r="M406" s="7">
        <v>8.0</v>
      </c>
      <c r="N406" s="7">
        <v>1513.2</v>
      </c>
      <c r="O406" s="7">
        <v>1067.5</v>
      </c>
      <c r="P406" s="9">
        <v>265.0</v>
      </c>
      <c r="Q406" s="7">
        <v>295.0</v>
      </c>
      <c r="R406" s="7">
        <v>4.95</v>
      </c>
      <c r="S406" s="7">
        <v>0.999211</v>
      </c>
      <c r="T406" s="7">
        <v>0.999211</v>
      </c>
      <c r="U406" s="10">
        <f t="shared" si="1"/>
        <v>308</v>
      </c>
      <c r="V406" s="10">
        <f t="shared" si="2"/>
        <v>71.93676012</v>
      </c>
      <c r="W406" s="11">
        <f t="shared" si="3"/>
        <v>0.538623752</v>
      </c>
      <c r="X406" s="8">
        <f t="shared" si="259"/>
        <v>574.9808553</v>
      </c>
      <c r="Y406" s="12">
        <f t="shared" si="4"/>
        <v>4</v>
      </c>
      <c r="Z406" s="12">
        <f t="shared" si="5"/>
        <v>2874.904276</v>
      </c>
      <c r="AA406" s="12">
        <f t="shared" si="6"/>
        <v>2.69311876</v>
      </c>
      <c r="AB406" s="13">
        <f t="shared" si="7"/>
        <v>1.866820959</v>
      </c>
      <c r="AC406" s="8">
        <f t="shared" si="225"/>
        <v>585.5735105</v>
      </c>
      <c r="AD406" s="13">
        <f t="shared" si="226"/>
        <v>1.901212697</v>
      </c>
      <c r="AE406" s="8">
        <f t="shared" si="227"/>
        <v>585.5735105</v>
      </c>
      <c r="AF406" s="73">
        <f t="shared" si="228"/>
        <v>139.6460452</v>
      </c>
      <c r="AG406" s="74" t="str">
        <f t="shared" si="229"/>
        <v>#REF!</v>
      </c>
      <c r="AH406" s="73">
        <f t="shared" si="230"/>
        <v>0</v>
      </c>
      <c r="AI406" s="73">
        <f t="shared" si="231"/>
        <v>0</v>
      </c>
      <c r="AJ406" s="75">
        <f t="shared" si="232"/>
        <v>1.325730177</v>
      </c>
      <c r="AK406" s="73">
        <f t="shared" si="233"/>
        <v>0.9482665773</v>
      </c>
      <c r="AL406" s="73">
        <f t="shared" si="234"/>
        <v>0.9662616258</v>
      </c>
      <c r="AM406" s="73">
        <f t="shared" si="235"/>
        <v>1.109525922</v>
      </c>
      <c r="AN406" s="75">
        <v>289.15</v>
      </c>
      <c r="AO406" s="76">
        <v>290.0</v>
      </c>
      <c r="AP406" s="73">
        <f t="shared" si="236"/>
        <v>290</v>
      </c>
      <c r="AQ406" s="29" t="str">
        <f t="shared" si="237"/>
        <v>#REF!</v>
      </c>
      <c r="AR406" s="77" t="str">
        <f t="shared" si="238"/>
        <v>#REF!</v>
      </c>
      <c r="AS406" s="73"/>
      <c r="AT406" s="39"/>
    </row>
    <row r="407" ht="15.75" customHeight="1">
      <c r="A407" s="7" t="s">
        <v>697</v>
      </c>
      <c r="B407" s="7" t="s">
        <v>698</v>
      </c>
      <c r="C407" s="7">
        <v>1991.0</v>
      </c>
      <c r="D407" s="7" t="b">
        <v>1</v>
      </c>
      <c r="E407" s="7">
        <v>1991.0</v>
      </c>
      <c r="F407" s="7" t="b">
        <v>1</v>
      </c>
      <c r="G407" s="7" t="b">
        <v>0</v>
      </c>
      <c r="H407" s="7" t="b">
        <v>1</v>
      </c>
      <c r="I407" s="7" t="b">
        <v>0</v>
      </c>
      <c r="J407" s="9">
        <v>36000.0</v>
      </c>
      <c r="K407" s="9">
        <v>300.0</v>
      </c>
      <c r="L407" s="7"/>
      <c r="M407" s="7">
        <v>0.0</v>
      </c>
      <c r="N407" s="7">
        <v>155.1</v>
      </c>
      <c r="O407" s="7">
        <v>66.7</v>
      </c>
      <c r="P407" s="9">
        <v>235.0</v>
      </c>
      <c r="Q407" s="7">
        <v>463.0</v>
      </c>
      <c r="R407" s="7">
        <v>10.61</v>
      </c>
      <c r="S407" s="7">
        <v>0.99486</v>
      </c>
      <c r="T407" s="7">
        <v>0.99717</v>
      </c>
      <c r="U407" s="10">
        <f t="shared" si="1"/>
        <v>0</v>
      </c>
      <c r="V407" s="10">
        <f t="shared" si="2"/>
        <v>43.85239923</v>
      </c>
      <c r="W407" s="11">
        <f t="shared" si="3"/>
        <v>13.32661536</v>
      </c>
      <c r="X407" s="8">
        <f t="shared" ref="X407:X411" si="260">0.9*(0.00015*N407*Q407*R407+797)+0.1*(43.1*POWER(N407,0.549))</f>
        <v>888.8852446</v>
      </c>
      <c r="Y407" s="12">
        <f t="shared" si="4"/>
        <v>4</v>
      </c>
      <c r="Z407" s="12">
        <f t="shared" si="5"/>
        <v>4444.426223</v>
      </c>
      <c r="AA407" s="12">
        <f t="shared" si="6"/>
        <v>66.63307681</v>
      </c>
      <c r="AB407" s="13" t="str">
        <f t="shared" si="7"/>
        <v>#N/A</v>
      </c>
      <c r="AC407" s="8">
        <f t="shared" si="225"/>
        <v>899.591464</v>
      </c>
      <c r="AD407" s="13" t="str">
        <f t="shared" si="226"/>
        <v>#N/A</v>
      </c>
      <c r="AE407" s="8">
        <f t="shared" si="227"/>
        <v>199.7661685</v>
      </c>
      <c r="AF407" s="73">
        <f t="shared" si="228"/>
        <v>16.34657754</v>
      </c>
      <c r="AG407" s="74" t="str">
        <f t="shared" si="229"/>
        <v>#REF!</v>
      </c>
      <c r="AH407" s="73">
        <f t="shared" si="230"/>
        <v>0</v>
      </c>
      <c r="AI407" s="73">
        <f t="shared" si="231"/>
        <v>1.020634242</v>
      </c>
      <c r="AJ407" s="75">
        <f t="shared" si="232"/>
        <v>1</v>
      </c>
      <c r="AK407" s="73">
        <f t="shared" si="233"/>
        <v>0.7403748985</v>
      </c>
      <c r="AL407" s="73">
        <f t="shared" si="234"/>
        <v>8.254341601</v>
      </c>
      <c r="AM407" s="73">
        <f t="shared" si="235"/>
        <v>2.229658402</v>
      </c>
      <c r="AN407" s="75">
        <v>521.37</v>
      </c>
      <c r="AO407" s="76">
        <v>520.0</v>
      </c>
      <c r="AP407" s="73">
        <f t="shared" si="236"/>
        <v>520</v>
      </c>
      <c r="AQ407" s="29" t="str">
        <f t="shared" si="237"/>
        <v>#REF!</v>
      </c>
      <c r="AR407" s="77" t="str">
        <f t="shared" si="238"/>
        <v>#REF!</v>
      </c>
      <c r="AS407" s="73"/>
      <c r="AT407" s="39"/>
    </row>
    <row r="408" ht="15.75" customHeight="1">
      <c r="A408" s="7" t="s">
        <v>454</v>
      </c>
      <c r="B408" s="7" t="s">
        <v>453</v>
      </c>
      <c r="C408" s="7">
        <v>1992.0</v>
      </c>
      <c r="D408" s="7" t="b">
        <v>1</v>
      </c>
      <c r="E408" s="7">
        <v>1992.0</v>
      </c>
      <c r="F408" s="7" t="b">
        <v>1</v>
      </c>
      <c r="G408" s="7" t="b">
        <v>0</v>
      </c>
      <c r="H408" s="7" t="b">
        <v>0</v>
      </c>
      <c r="I408" s="7" t="b">
        <v>0</v>
      </c>
      <c r="J408" s="9">
        <v>600.0</v>
      </c>
      <c r="K408" s="7">
        <v>1.0</v>
      </c>
      <c r="L408" s="7">
        <v>5000.0</v>
      </c>
      <c r="M408" s="7"/>
      <c r="N408" s="7">
        <v>3449.0</v>
      </c>
      <c r="O408" s="7">
        <v>1961.7</v>
      </c>
      <c r="P408" s="9">
        <v>359.1</v>
      </c>
      <c r="Q408" s="7">
        <v>454.6</v>
      </c>
      <c r="R408" s="7">
        <v>21.45</v>
      </c>
      <c r="S408" s="7">
        <v>0.995</v>
      </c>
      <c r="T408" s="7">
        <v>0.995</v>
      </c>
      <c r="U408" s="10">
        <f t="shared" si="1"/>
        <v>5000</v>
      </c>
      <c r="V408" s="10">
        <f t="shared" si="2"/>
        <v>57.99876165</v>
      </c>
      <c r="W408" s="11">
        <f t="shared" si="3"/>
        <v>2.872445911</v>
      </c>
      <c r="X408" s="8">
        <f t="shared" si="260"/>
        <v>5634.877144</v>
      </c>
      <c r="Y408" s="12">
        <f t="shared" si="4"/>
        <v>4</v>
      </c>
      <c r="Z408" s="12">
        <f t="shared" si="5"/>
        <v>28174.38572</v>
      </c>
      <c r="AA408" s="12">
        <f t="shared" si="6"/>
        <v>14.36222956</v>
      </c>
      <c r="AB408" s="13">
        <f t="shared" si="7"/>
        <v>1.126975429</v>
      </c>
      <c r="AC408" s="8">
        <f t="shared" si="225"/>
        <v>5691.366788</v>
      </c>
      <c r="AD408" s="13">
        <f t="shared" si="226"/>
        <v>1.138273358</v>
      </c>
      <c r="AE408" s="8">
        <f t="shared" si="227"/>
        <v>1359.634659</v>
      </c>
      <c r="AF408" s="73">
        <f t="shared" si="228"/>
        <v>238.9214348</v>
      </c>
      <c r="AG408" s="74" t="str">
        <f t="shared" si="229"/>
        <v>#REF!</v>
      </c>
      <c r="AH408" s="73">
        <f t="shared" si="230"/>
        <v>0</v>
      </c>
      <c r="AI408" s="73">
        <f t="shared" si="231"/>
        <v>0</v>
      </c>
      <c r="AJ408" s="75">
        <f t="shared" si="232"/>
        <v>1.131128824</v>
      </c>
      <c r="AK408" s="73">
        <f t="shared" si="233"/>
        <v>0.8514602284</v>
      </c>
      <c r="AL408" s="73">
        <f t="shared" si="234"/>
        <v>6.92432271</v>
      </c>
      <c r="AM408" s="73">
        <f t="shared" si="235"/>
        <v>1.526203901</v>
      </c>
      <c r="AN408" s="75">
        <v>3189.4</v>
      </c>
      <c r="AO408" s="76">
        <v>3200.0</v>
      </c>
      <c r="AP408" s="73">
        <f t="shared" si="236"/>
        <v>3200</v>
      </c>
      <c r="AQ408" s="29" t="str">
        <f t="shared" si="237"/>
        <v>#REF!</v>
      </c>
      <c r="AR408" s="77" t="str">
        <f t="shared" si="238"/>
        <v>#REF!</v>
      </c>
      <c r="AS408" s="73"/>
      <c r="AT408" s="39"/>
    </row>
    <row r="409" ht="15.75" customHeight="1">
      <c r="A409" s="7" t="s">
        <v>667</v>
      </c>
      <c r="B409" s="7" t="s">
        <v>660</v>
      </c>
      <c r="C409" s="7">
        <v>1992.0</v>
      </c>
      <c r="D409" s="7" t="b">
        <v>1</v>
      </c>
      <c r="E409" s="7">
        <v>1992.0</v>
      </c>
      <c r="F409" s="7" t="b">
        <v>1</v>
      </c>
      <c r="G409" s="7" t="b">
        <v>0</v>
      </c>
      <c r="H409" s="7" t="b">
        <v>1</v>
      </c>
      <c r="I409" s="7" t="b">
        <v>0</v>
      </c>
      <c r="J409" s="9">
        <v>406.0</v>
      </c>
      <c r="K409" s="9">
        <v>20.0</v>
      </c>
      <c r="L409" s="7">
        <v>500.0</v>
      </c>
      <c r="M409" s="7">
        <v>1000.0</v>
      </c>
      <c r="N409" s="7">
        <v>143.0</v>
      </c>
      <c r="O409" s="7">
        <v>91.2</v>
      </c>
      <c r="P409" s="9">
        <v>243.0</v>
      </c>
      <c r="Q409" s="7">
        <v>446.4</v>
      </c>
      <c r="R409" s="7">
        <v>3.98</v>
      </c>
      <c r="S409" s="7">
        <v>0.999296</v>
      </c>
      <c r="T409" s="7">
        <v>0.998598</v>
      </c>
      <c r="U409" s="10">
        <f t="shared" si="1"/>
        <v>1500</v>
      </c>
      <c r="V409" s="10">
        <f t="shared" si="2"/>
        <v>65.0336492</v>
      </c>
      <c r="W409" s="11">
        <f t="shared" si="3"/>
        <v>8.961925571</v>
      </c>
      <c r="X409" s="8">
        <f t="shared" si="260"/>
        <v>817.3276121</v>
      </c>
      <c r="Y409" s="12">
        <f t="shared" si="4"/>
        <v>4</v>
      </c>
      <c r="Z409" s="12">
        <f t="shared" si="5"/>
        <v>4086.63806</v>
      </c>
      <c r="AA409" s="12">
        <f t="shared" si="6"/>
        <v>44.80962785</v>
      </c>
      <c r="AB409" s="13">
        <f t="shared" si="7"/>
        <v>0.5448850747</v>
      </c>
      <c r="AC409" s="8">
        <f t="shared" si="225"/>
        <v>831.9536791</v>
      </c>
      <c r="AD409" s="13">
        <f t="shared" si="226"/>
        <v>0.554635786</v>
      </c>
      <c r="AE409" s="8">
        <f t="shared" si="227"/>
        <v>170.6094015</v>
      </c>
      <c r="AF409" s="73">
        <f t="shared" si="228"/>
        <v>20.20255993</v>
      </c>
      <c r="AG409" s="74" t="str">
        <f t="shared" si="229"/>
        <v>#REF!</v>
      </c>
      <c r="AH409" s="73">
        <f t="shared" si="230"/>
        <v>0</v>
      </c>
      <c r="AI409" s="73">
        <f t="shared" si="231"/>
        <v>0.6760795925</v>
      </c>
      <c r="AJ409" s="75">
        <f t="shared" si="232"/>
        <v>1</v>
      </c>
      <c r="AK409" s="73">
        <f t="shared" si="233"/>
        <v>0.9016211039</v>
      </c>
      <c r="AL409" s="73">
        <f t="shared" si="234"/>
        <v>6.186975335</v>
      </c>
      <c r="AM409" s="73">
        <f t="shared" si="235"/>
        <v>1.411431057</v>
      </c>
      <c r="AN409" s="75">
        <v>327.62</v>
      </c>
      <c r="AO409" s="76">
        <v>330.0</v>
      </c>
      <c r="AP409" s="73">
        <f t="shared" si="236"/>
        <v>330</v>
      </c>
      <c r="AQ409" s="29" t="str">
        <f t="shared" si="237"/>
        <v>#REF!</v>
      </c>
      <c r="AR409" s="77" t="str">
        <f t="shared" si="238"/>
        <v>#REF!</v>
      </c>
      <c r="AS409" s="73"/>
      <c r="AT409" s="39"/>
    </row>
    <row r="410" ht="15.75" customHeight="1">
      <c r="A410" s="16" t="s">
        <v>668</v>
      </c>
      <c r="B410" s="16" t="s">
        <v>660</v>
      </c>
      <c r="C410" s="16">
        <v>1992.0</v>
      </c>
      <c r="D410" s="16" t="b">
        <v>1</v>
      </c>
      <c r="E410" s="16">
        <v>1992.0</v>
      </c>
      <c r="F410" s="16" t="b">
        <v>1</v>
      </c>
      <c r="G410" s="16" t="b">
        <v>0</v>
      </c>
      <c r="H410" s="16" t="b">
        <v>1</v>
      </c>
      <c r="I410" s="16" t="b">
        <v>0</v>
      </c>
      <c r="J410" s="18">
        <v>402.0</v>
      </c>
      <c r="K410" s="18">
        <v>20.0</v>
      </c>
      <c r="L410" s="16">
        <v>500.0</v>
      </c>
      <c r="M410" s="16">
        <v>1600.0</v>
      </c>
      <c r="N410" s="16">
        <v>168.0</v>
      </c>
      <c r="O410" s="16">
        <v>92.5</v>
      </c>
      <c r="P410" s="18">
        <v>207.0</v>
      </c>
      <c r="Q410" s="16">
        <v>448.9</v>
      </c>
      <c r="R410" s="16">
        <v>3.98</v>
      </c>
      <c r="S410" s="16">
        <v>0.999296</v>
      </c>
      <c r="T410" s="16">
        <v>0.998598</v>
      </c>
      <c r="U410" s="19">
        <f t="shared" si="1"/>
        <v>2100</v>
      </c>
      <c r="V410" s="19">
        <f t="shared" si="2"/>
        <v>56.14508894</v>
      </c>
      <c r="W410" s="20">
        <f t="shared" si="3"/>
        <v>8.968956329</v>
      </c>
      <c r="X410" s="17">
        <f t="shared" si="260"/>
        <v>829.6284605</v>
      </c>
      <c r="Y410" s="21">
        <f t="shared" si="4"/>
        <v>4</v>
      </c>
      <c r="Z410" s="21">
        <f t="shared" si="5"/>
        <v>4148.142302</v>
      </c>
      <c r="AA410" s="21">
        <f t="shared" si="6"/>
        <v>44.84478165</v>
      </c>
      <c r="AB410" s="22">
        <f t="shared" si="7"/>
        <v>0.3950611716</v>
      </c>
      <c r="AC410" s="8">
        <f t="shared" si="225"/>
        <v>844.474651</v>
      </c>
      <c r="AD410" s="13">
        <f t="shared" si="226"/>
        <v>0.4021307862</v>
      </c>
      <c r="AE410" s="8">
        <f t="shared" si="227"/>
        <v>188.6945615</v>
      </c>
      <c r="AF410" s="73">
        <f t="shared" si="228"/>
        <v>20.40103771</v>
      </c>
      <c r="AG410" s="74" t="str">
        <f t="shared" si="229"/>
        <v>#REF!</v>
      </c>
      <c r="AH410" s="73">
        <f t="shared" si="230"/>
        <v>0</v>
      </c>
      <c r="AI410" s="73">
        <f t="shared" si="231"/>
        <v>0.6760795925</v>
      </c>
      <c r="AJ410" s="75">
        <f t="shared" si="232"/>
        <v>1</v>
      </c>
      <c r="AK410" s="73">
        <f t="shared" si="233"/>
        <v>0.8377431658</v>
      </c>
      <c r="AL410" s="73">
        <f t="shared" si="234"/>
        <v>6.402627937</v>
      </c>
      <c r="AM410" s="73">
        <f t="shared" si="235"/>
        <v>1.408367408</v>
      </c>
      <c r="AN410" s="75">
        <v>333.16</v>
      </c>
      <c r="AO410" s="76">
        <v>330.0</v>
      </c>
      <c r="AP410" s="73">
        <f t="shared" si="236"/>
        <v>330</v>
      </c>
      <c r="AQ410" s="29" t="str">
        <f t="shared" si="237"/>
        <v>#REF!</v>
      </c>
      <c r="AR410" s="77" t="str">
        <f t="shared" si="238"/>
        <v>#REF!</v>
      </c>
      <c r="AS410" s="73"/>
      <c r="AT410" s="39"/>
    </row>
    <row r="411" ht="15.75" customHeight="1">
      <c r="A411" s="16" t="s">
        <v>240</v>
      </c>
      <c r="B411" s="16" t="s">
        <v>241</v>
      </c>
      <c r="C411" s="16">
        <v>1993.0</v>
      </c>
      <c r="D411" s="16" t="b">
        <v>1</v>
      </c>
      <c r="E411" s="16">
        <v>1993.0</v>
      </c>
      <c r="F411" s="16" t="b">
        <v>1</v>
      </c>
      <c r="G411" s="16" t="b">
        <v>0</v>
      </c>
      <c r="H411" s="16" t="b">
        <v>0</v>
      </c>
      <c r="I411" s="16" t="b">
        <v>0</v>
      </c>
      <c r="J411" s="18">
        <v>350.0</v>
      </c>
      <c r="K411" s="16">
        <v>1.0</v>
      </c>
      <c r="L411" s="16">
        <v>3500.0</v>
      </c>
      <c r="M411" s="16">
        <v>0.0</v>
      </c>
      <c r="N411" s="16">
        <v>1720.0</v>
      </c>
      <c r="O411" s="16">
        <v>1096.1</v>
      </c>
      <c r="P411" s="18">
        <v>339.0</v>
      </c>
      <c r="Q411" s="16">
        <v>446.5</v>
      </c>
      <c r="R411" s="16">
        <v>12.7</v>
      </c>
      <c r="S411" s="16">
        <v>0.95625</v>
      </c>
      <c r="T411" s="16">
        <v>0.95625</v>
      </c>
      <c r="U411" s="19">
        <f t="shared" si="1"/>
        <v>3500</v>
      </c>
      <c r="V411" s="19">
        <f t="shared" si="2"/>
        <v>64.98319406</v>
      </c>
      <c r="W411" s="20">
        <f t="shared" si="3"/>
        <v>2.090598272</v>
      </c>
      <c r="X411" s="17">
        <f t="shared" si="260"/>
        <v>2291.504766</v>
      </c>
      <c r="Y411" s="21">
        <f t="shared" si="4"/>
        <v>4</v>
      </c>
      <c r="Z411" s="21">
        <f t="shared" si="5"/>
        <v>11457.52383</v>
      </c>
      <c r="AA411" s="21">
        <f t="shared" si="6"/>
        <v>10.45299136</v>
      </c>
      <c r="AB411" s="22">
        <f t="shared" si="7"/>
        <v>0.6547156474</v>
      </c>
      <c r="AC411" s="8">
        <f t="shared" si="225"/>
        <v>2141.214278</v>
      </c>
      <c r="AD411" s="13">
        <f t="shared" si="226"/>
        <v>0.6117755079</v>
      </c>
      <c r="AE411" s="8">
        <f t="shared" si="227"/>
        <v>780.4173945</v>
      </c>
      <c r="AF411" s="73">
        <f t="shared" si="228"/>
        <v>142.8896293</v>
      </c>
      <c r="AG411" s="74" t="str">
        <f t="shared" si="229"/>
        <v>#REF!</v>
      </c>
      <c r="AH411" s="73">
        <f t="shared" si="230"/>
        <v>0</v>
      </c>
      <c r="AI411" s="73">
        <f t="shared" si="231"/>
        <v>0</v>
      </c>
      <c r="AJ411" s="75">
        <f t="shared" si="232"/>
        <v>1.08753434</v>
      </c>
      <c r="AK411" s="73">
        <f t="shared" si="233"/>
        <v>0.9012712831</v>
      </c>
      <c r="AL411" s="73">
        <f t="shared" si="234"/>
        <v>6.195453405</v>
      </c>
      <c r="AM411" s="73">
        <f t="shared" si="235"/>
        <v>1.364668672</v>
      </c>
      <c r="AN411" s="75">
        <v>808.62</v>
      </c>
      <c r="AO411" s="76">
        <v>810.0</v>
      </c>
      <c r="AP411" s="73">
        <f t="shared" si="236"/>
        <v>810</v>
      </c>
      <c r="AQ411" s="29" t="str">
        <f t="shared" si="237"/>
        <v>#REF!</v>
      </c>
      <c r="AR411" s="77" t="str">
        <f t="shared" si="238"/>
        <v>#REF!</v>
      </c>
      <c r="AS411" s="73"/>
      <c r="AT411" s="39"/>
    </row>
    <row r="412" ht="15.75" customHeight="1">
      <c r="A412" s="16" t="s">
        <v>477</v>
      </c>
      <c r="B412" s="16" t="s">
        <v>474</v>
      </c>
      <c r="C412" s="16">
        <v>1993.0</v>
      </c>
      <c r="D412" s="16"/>
      <c r="E412" s="16">
        <v>1993.0</v>
      </c>
      <c r="F412" s="16" t="b">
        <v>1</v>
      </c>
      <c r="G412" s="16" t="b">
        <v>0</v>
      </c>
      <c r="H412" s="16" t="b">
        <v>1</v>
      </c>
      <c r="I412" s="16" t="b">
        <v>0</v>
      </c>
      <c r="J412" s="18">
        <v>238.0</v>
      </c>
      <c r="K412" s="16">
        <v>1.0</v>
      </c>
      <c r="L412" s="16">
        <v>300.0</v>
      </c>
      <c r="M412" s="16">
        <v>45.0</v>
      </c>
      <c r="N412" s="16">
        <v>566.0</v>
      </c>
      <c r="O412" s="16">
        <v>626.0</v>
      </c>
      <c r="P412" s="18">
        <v>256.0</v>
      </c>
      <c r="Q412" s="16">
        <v>341.5</v>
      </c>
      <c r="R412" s="16">
        <v>14.7</v>
      </c>
      <c r="S412" s="16">
        <v>0.999762</v>
      </c>
      <c r="T412" s="16">
        <v>0.999128</v>
      </c>
      <c r="U412" s="19">
        <f t="shared" si="1"/>
        <v>345</v>
      </c>
      <c r="V412" s="19">
        <f t="shared" si="2"/>
        <v>112.7813335</v>
      </c>
      <c r="W412" s="20">
        <f t="shared" si="3"/>
        <v>0.6113402562</v>
      </c>
      <c r="X412" s="17">
        <f t="shared" ref="X412:X415" si="261">0.2*(8.17*POWER(N412*R412,0.46))+0.8*(0.146*POWER(N412*Q412,0.639))</f>
        <v>382.6990004</v>
      </c>
      <c r="Y412" s="21">
        <f t="shared" si="4"/>
        <v>4</v>
      </c>
      <c r="Z412" s="21">
        <f t="shared" si="5"/>
        <v>1913.495002</v>
      </c>
      <c r="AA412" s="21">
        <f t="shared" si="6"/>
        <v>3.056701281</v>
      </c>
      <c r="AB412" s="22">
        <f t="shared" si="7"/>
        <v>1.109272465</v>
      </c>
      <c r="AC412" s="8">
        <f t="shared" si="225"/>
        <v>389.9282639</v>
      </c>
      <c r="AD412" s="13">
        <f t="shared" si="226"/>
        <v>1.130226852</v>
      </c>
      <c r="AE412" s="8">
        <f t="shared" si="227"/>
        <v>389.9282639</v>
      </c>
      <c r="AF412" s="73">
        <f t="shared" si="228"/>
        <v>88.57759911</v>
      </c>
      <c r="AG412" s="74" t="str">
        <f t="shared" si="229"/>
        <v>#REF!</v>
      </c>
      <c r="AH412" s="73">
        <f t="shared" si="230"/>
        <v>0</v>
      </c>
      <c r="AI412" s="73">
        <f t="shared" si="231"/>
        <v>0</v>
      </c>
      <c r="AJ412" s="75">
        <f t="shared" si="232"/>
        <v>1.075139269</v>
      </c>
      <c r="AK412" s="73">
        <f t="shared" si="233"/>
        <v>1.187335954</v>
      </c>
      <c r="AL412" s="73">
        <f t="shared" si="234"/>
        <v>1.576836128</v>
      </c>
      <c r="AM412" s="73">
        <f t="shared" si="235"/>
        <v>1.234376008</v>
      </c>
      <c r="AN412" s="75">
        <v>304.81</v>
      </c>
      <c r="AO412" s="76">
        <v>300.0</v>
      </c>
      <c r="AP412" s="73">
        <f t="shared" si="236"/>
        <v>300</v>
      </c>
      <c r="AQ412" s="29" t="str">
        <f t="shared" si="237"/>
        <v>#REF!</v>
      </c>
      <c r="AR412" s="77" t="str">
        <f t="shared" si="238"/>
        <v>#REF!</v>
      </c>
      <c r="AS412" s="73"/>
      <c r="AT412" s="39"/>
    </row>
    <row r="413" ht="15.75" customHeight="1">
      <c r="A413" s="16" t="s">
        <v>482</v>
      </c>
      <c r="B413" s="16" t="s">
        <v>479</v>
      </c>
      <c r="C413" s="16">
        <v>1993.0</v>
      </c>
      <c r="D413" s="16"/>
      <c r="E413" s="16">
        <v>1993.0</v>
      </c>
      <c r="F413" s="16" t="b">
        <v>1</v>
      </c>
      <c r="G413" s="16" t="b">
        <v>0</v>
      </c>
      <c r="H413" s="16" t="b">
        <v>1</v>
      </c>
      <c r="I413" s="16" t="b">
        <v>0</v>
      </c>
      <c r="J413" s="18">
        <v>250.0</v>
      </c>
      <c r="K413" s="16">
        <v>1.0</v>
      </c>
      <c r="L413" s="16">
        <v>300.0</v>
      </c>
      <c r="M413" s="16">
        <v>20.0</v>
      </c>
      <c r="N413" s="16">
        <f>550+90</f>
        <v>640</v>
      </c>
      <c r="O413" s="16">
        <f>607.2+30.98</f>
        <v>638.18</v>
      </c>
      <c r="P413" s="18">
        <v>240.0</v>
      </c>
      <c r="Q413" s="16">
        <v>325.3</v>
      </c>
      <c r="R413" s="16">
        <v>14.71</v>
      </c>
      <c r="S413" s="16">
        <v>0.998951</v>
      </c>
      <c r="T413" s="16">
        <v>0.997552</v>
      </c>
      <c r="U413" s="19">
        <f t="shared" si="1"/>
        <v>320</v>
      </c>
      <c r="V413" s="19">
        <f t="shared" si="2"/>
        <v>101.6816392</v>
      </c>
      <c r="W413" s="20">
        <f t="shared" si="3"/>
        <v>0.6304273446</v>
      </c>
      <c r="X413" s="17">
        <f t="shared" si="261"/>
        <v>402.3261228</v>
      </c>
      <c r="Y413" s="21">
        <f t="shared" si="4"/>
        <v>4</v>
      </c>
      <c r="Z413" s="21">
        <f t="shared" si="5"/>
        <v>2011.630614</v>
      </c>
      <c r="AA413" s="21">
        <f t="shared" si="6"/>
        <v>3.152136723</v>
      </c>
      <c r="AB413" s="22">
        <f t="shared" si="7"/>
        <v>1.257269134</v>
      </c>
      <c r="AC413" s="8">
        <f t="shared" si="225"/>
        <v>408.9667439</v>
      </c>
      <c r="AD413" s="13">
        <f t="shared" si="226"/>
        <v>1.278021075</v>
      </c>
      <c r="AE413" s="8">
        <f t="shared" si="227"/>
        <v>408.9667439</v>
      </c>
      <c r="AF413" s="73">
        <f t="shared" si="228"/>
        <v>90.01921791</v>
      </c>
      <c r="AG413" s="74" t="str">
        <f t="shared" si="229"/>
        <v>#REF!</v>
      </c>
      <c r="AH413" s="73">
        <f t="shared" si="230"/>
        <v>0</v>
      </c>
      <c r="AI413" s="73">
        <f t="shared" si="231"/>
        <v>0</v>
      </c>
      <c r="AJ413" s="75">
        <f t="shared" si="232"/>
        <v>1.060738521</v>
      </c>
      <c r="AK413" s="73">
        <f t="shared" si="233"/>
        <v>1.127395445</v>
      </c>
      <c r="AL413" s="73">
        <f t="shared" si="234"/>
        <v>1.302435654</v>
      </c>
      <c r="AM413" s="73">
        <f t="shared" si="235"/>
        <v>1.251730393</v>
      </c>
      <c r="AN413" s="75">
        <v>226.03</v>
      </c>
      <c r="AO413" s="76">
        <v>230.0</v>
      </c>
      <c r="AP413" s="73">
        <f t="shared" si="236"/>
        <v>230</v>
      </c>
      <c r="AQ413" s="29" t="str">
        <f t="shared" si="237"/>
        <v>#REF!</v>
      </c>
      <c r="AR413" s="77" t="str">
        <f t="shared" si="238"/>
        <v>#REF!</v>
      </c>
      <c r="AS413" s="73"/>
      <c r="AT413" s="39"/>
    </row>
    <row r="414" ht="15.75" customHeight="1">
      <c r="A414" s="16" t="s">
        <v>487</v>
      </c>
      <c r="B414" s="16" t="s">
        <v>484</v>
      </c>
      <c r="C414" s="16">
        <v>1993.0</v>
      </c>
      <c r="D414" s="16"/>
      <c r="E414" s="16">
        <v>1993.0</v>
      </c>
      <c r="F414" s="16" t="b">
        <v>1</v>
      </c>
      <c r="G414" s="16" t="b">
        <v>0</v>
      </c>
      <c r="H414" s="16" t="b">
        <v>1</v>
      </c>
      <c r="I414" s="16" t="b">
        <v>0</v>
      </c>
      <c r="J414" s="18">
        <v>250.0</v>
      </c>
      <c r="K414" s="16">
        <v>1.0</v>
      </c>
      <c r="L414" s="16">
        <v>260.0</v>
      </c>
      <c r="M414" s="16">
        <v>20.0</v>
      </c>
      <c r="N414" s="16">
        <v>550.0</v>
      </c>
      <c r="O414" s="16">
        <v>607.2</v>
      </c>
      <c r="P414" s="18">
        <v>242.0</v>
      </c>
      <c r="Q414" s="16">
        <v>327.0</v>
      </c>
      <c r="R414" s="16">
        <v>14.71</v>
      </c>
      <c r="S414" s="16">
        <v>0.999474</v>
      </c>
      <c r="T414" s="16">
        <v>0.998772</v>
      </c>
      <c r="U414" s="19">
        <f t="shared" si="1"/>
        <v>280</v>
      </c>
      <c r="V414" s="19">
        <f t="shared" si="2"/>
        <v>112.5766696</v>
      </c>
      <c r="W414" s="20">
        <f t="shared" si="3"/>
        <v>0.6074137137</v>
      </c>
      <c r="X414" s="17">
        <f t="shared" si="261"/>
        <v>368.821607</v>
      </c>
      <c r="Y414" s="21">
        <f t="shared" si="4"/>
        <v>4</v>
      </c>
      <c r="Z414" s="21">
        <f t="shared" si="5"/>
        <v>1844.108035</v>
      </c>
      <c r="AA414" s="21">
        <f t="shared" si="6"/>
        <v>3.037068569</v>
      </c>
      <c r="AB414" s="22">
        <f t="shared" si="7"/>
        <v>1.317220025</v>
      </c>
      <c r="AC414" s="8">
        <f t="shared" si="225"/>
        <v>375.5513642</v>
      </c>
      <c r="AD414" s="13">
        <f t="shared" si="226"/>
        <v>1.341254872</v>
      </c>
      <c r="AE414" s="8">
        <f t="shared" si="227"/>
        <v>375.5513642</v>
      </c>
      <c r="AF414" s="73">
        <f t="shared" si="228"/>
        <v>86.34754528</v>
      </c>
      <c r="AG414" s="74" t="str">
        <f t="shared" si="229"/>
        <v>#REF!</v>
      </c>
      <c r="AH414" s="73">
        <f t="shared" si="230"/>
        <v>0</v>
      </c>
      <c r="AI414" s="73">
        <f t="shared" si="231"/>
        <v>0</v>
      </c>
      <c r="AJ414" s="75">
        <f t="shared" si="232"/>
        <v>1.063429438</v>
      </c>
      <c r="AK414" s="73">
        <f t="shared" si="233"/>
        <v>1.186258138</v>
      </c>
      <c r="AL414" s="73">
        <f t="shared" si="234"/>
        <v>1.328208337</v>
      </c>
      <c r="AM414" s="73">
        <f t="shared" si="235"/>
        <v>1.251730393</v>
      </c>
      <c r="AN414" s="75">
        <v>242.44</v>
      </c>
      <c r="AO414" s="76">
        <v>240.0</v>
      </c>
      <c r="AP414" s="73">
        <f t="shared" si="236"/>
        <v>240</v>
      </c>
      <c r="AQ414" s="29" t="str">
        <f t="shared" si="237"/>
        <v>#REF!</v>
      </c>
      <c r="AR414" s="77" t="str">
        <f t="shared" si="238"/>
        <v>#REF!</v>
      </c>
      <c r="AS414" s="73"/>
      <c r="AT414" s="39"/>
    </row>
    <row r="415" ht="15.75" customHeight="1">
      <c r="A415" s="16" t="s">
        <v>600</v>
      </c>
      <c r="B415" s="16" t="s">
        <v>596</v>
      </c>
      <c r="C415" s="16">
        <v>1993.0</v>
      </c>
      <c r="D415" s="16"/>
      <c r="E415" s="16">
        <v>1993.0</v>
      </c>
      <c r="F415" s="16" t="b">
        <v>1</v>
      </c>
      <c r="G415" s="16" t="b">
        <v>0</v>
      </c>
      <c r="H415" s="16" t="b">
        <v>0</v>
      </c>
      <c r="I415" s="16" t="b">
        <v>0</v>
      </c>
      <c r="J415" s="18">
        <v>129.0</v>
      </c>
      <c r="K415" s="16">
        <v>1.0</v>
      </c>
      <c r="L415" s="16">
        <v>515.0</v>
      </c>
      <c r="M415" s="16">
        <v>200.0</v>
      </c>
      <c r="N415" s="16">
        <v>1070.0</v>
      </c>
      <c r="O415" s="16">
        <v>1746.0</v>
      </c>
      <c r="P415" s="18">
        <v>287.0</v>
      </c>
      <c r="Q415" s="16">
        <v>316.0</v>
      </c>
      <c r="R415" s="16">
        <v>15.69</v>
      </c>
      <c r="S415" s="16">
        <v>0.999289</v>
      </c>
      <c r="T415" s="16">
        <v>0.999289</v>
      </c>
      <c r="U415" s="19">
        <f t="shared" si="1"/>
        <v>715</v>
      </c>
      <c r="V415" s="19">
        <f t="shared" si="2"/>
        <v>166.3948133</v>
      </c>
      <c r="W415" s="20">
        <f t="shared" si="3"/>
        <v>0.3104532388</v>
      </c>
      <c r="X415" s="17">
        <f t="shared" si="261"/>
        <v>542.051355</v>
      </c>
      <c r="Y415" s="21">
        <f t="shared" si="4"/>
        <v>4</v>
      </c>
      <c r="Z415" s="21">
        <f t="shared" si="5"/>
        <v>2710.256775</v>
      </c>
      <c r="AA415" s="21">
        <f t="shared" si="6"/>
        <v>1.552266194</v>
      </c>
      <c r="AB415" s="22">
        <f t="shared" si="7"/>
        <v>0.7581137832</v>
      </c>
      <c r="AC415" s="8">
        <f t="shared" si="225"/>
        <v>552.1218591</v>
      </c>
      <c r="AD415" s="13">
        <f t="shared" si="226"/>
        <v>0.7721984044</v>
      </c>
      <c r="AE415" s="8">
        <f t="shared" si="227"/>
        <v>552.1218591</v>
      </c>
      <c r="AF415" s="73">
        <f t="shared" si="228"/>
        <v>215.2988871</v>
      </c>
      <c r="AG415" s="74" t="str">
        <f t="shared" si="229"/>
        <v>#REF!</v>
      </c>
      <c r="AH415" s="73">
        <f t="shared" si="230"/>
        <v>0</v>
      </c>
      <c r="AI415" s="73">
        <f t="shared" si="231"/>
        <v>0</v>
      </c>
      <c r="AJ415" s="75">
        <f t="shared" si="232"/>
        <v>1.346285084</v>
      </c>
      <c r="AK415" s="73">
        <f t="shared" si="233"/>
        <v>1.442198033</v>
      </c>
      <c r="AL415" s="73">
        <f t="shared" si="234"/>
        <v>1.173066849</v>
      </c>
      <c r="AM415" s="73">
        <f t="shared" si="235"/>
        <v>0.9986442551</v>
      </c>
      <c r="AN415" s="75">
        <v>612.3</v>
      </c>
      <c r="AO415" s="76">
        <v>610.0</v>
      </c>
      <c r="AP415" s="73">
        <f t="shared" si="236"/>
        <v>610</v>
      </c>
      <c r="AQ415" s="29" t="str">
        <f t="shared" si="237"/>
        <v>#REF!</v>
      </c>
      <c r="AR415" s="77" t="str">
        <f t="shared" si="238"/>
        <v>#REF!</v>
      </c>
      <c r="AS415" s="73"/>
      <c r="AT415" s="39"/>
    </row>
    <row r="416" ht="15.75" customHeight="1">
      <c r="A416" s="7" t="s">
        <v>670</v>
      </c>
      <c r="B416" s="7" t="s">
        <v>660</v>
      </c>
      <c r="C416" s="7">
        <v>1993.0</v>
      </c>
      <c r="D416" s="7" t="b">
        <v>1</v>
      </c>
      <c r="E416" s="7">
        <v>1993.0</v>
      </c>
      <c r="F416" s="7" t="b">
        <v>1</v>
      </c>
      <c r="G416" s="7" t="b">
        <v>0</v>
      </c>
      <c r="H416" s="7" t="b">
        <v>1</v>
      </c>
      <c r="I416" s="7" t="b">
        <v>1</v>
      </c>
      <c r="J416" s="9">
        <v>430.0</v>
      </c>
      <c r="K416" s="9">
        <v>20.0</v>
      </c>
      <c r="L416" s="7">
        <v>500.0</v>
      </c>
      <c r="M416" s="7">
        <v>600.0</v>
      </c>
      <c r="N416" s="7">
        <v>143.0</v>
      </c>
      <c r="O416" s="7">
        <v>64.75</v>
      </c>
      <c r="P416" s="9">
        <v>341.0</v>
      </c>
      <c r="Q416" s="7">
        <v>368.0</v>
      </c>
      <c r="R416" s="7">
        <v>3.91</v>
      </c>
      <c r="S416" s="7">
        <v>0.996667</v>
      </c>
      <c r="T416" s="7">
        <v>0.992222</v>
      </c>
      <c r="U416" s="10">
        <f t="shared" si="1"/>
        <v>1100</v>
      </c>
      <c r="V416" s="10">
        <f t="shared" si="2"/>
        <v>46.17246475</v>
      </c>
      <c r="W416" s="11">
        <f t="shared" si="3"/>
        <v>12.52210869</v>
      </c>
      <c r="X416" s="8">
        <f t="shared" ref="X416:X418" si="262">0.9*(0.00015*N416*Q416*R416+797)+0.1*(43.1*POWER(N416,0.549))</f>
        <v>810.8065375</v>
      </c>
      <c r="Y416" s="12">
        <f t="shared" si="4"/>
        <v>4</v>
      </c>
      <c r="Z416" s="12">
        <f t="shared" si="5"/>
        <v>4054.032687</v>
      </c>
      <c r="AA416" s="12">
        <f t="shared" si="6"/>
        <v>62.61054344</v>
      </c>
      <c r="AB416" s="13">
        <f t="shared" si="7"/>
        <v>0.7370968523</v>
      </c>
      <c r="AC416" s="8">
        <f t="shared" si="225"/>
        <v>1227.052224</v>
      </c>
      <c r="AD416" s="13">
        <f t="shared" si="226"/>
        <v>1.115502022</v>
      </c>
      <c r="AE416" s="8">
        <f t="shared" si="227"/>
        <v>229.148842</v>
      </c>
      <c r="AF416" s="73">
        <f t="shared" si="228"/>
        <v>16.02833733</v>
      </c>
      <c r="AG416" s="74" t="str">
        <f t="shared" si="229"/>
        <v>#REF!</v>
      </c>
      <c r="AH416" s="73">
        <f t="shared" si="230"/>
        <v>2</v>
      </c>
      <c r="AI416" s="73">
        <f t="shared" si="231"/>
        <v>0.6760795925</v>
      </c>
      <c r="AJ416" s="75">
        <f t="shared" si="232"/>
        <v>1.385498429</v>
      </c>
      <c r="AK416" s="73">
        <f t="shared" si="233"/>
        <v>0.7597077131</v>
      </c>
      <c r="AL416" s="73">
        <f t="shared" si="234"/>
        <v>2.190228695</v>
      </c>
      <c r="AM416" s="73">
        <f t="shared" si="235"/>
        <v>1.429047311</v>
      </c>
      <c r="AN416" s="75">
        <v>181.66</v>
      </c>
      <c r="AO416" s="76">
        <v>180.0</v>
      </c>
      <c r="AP416" s="73">
        <f t="shared" si="236"/>
        <v>180</v>
      </c>
      <c r="AQ416" s="29" t="str">
        <f t="shared" si="237"/>
        <v>#REF!</v>
      </c>
      <c r="AR416" s="77" t="str">
        <f t="shared" si="238"/>
        <v>#REF!</v>
      </c>
      <c r="AS416" s="73"/>
      <c r="AT416" s="39"/>
    </row>
    <row r="417" ht="15.75" customHeight="1">
      <c r="A417" s="16" t="s">
        <v>669</v>
      </c>
      <c r="B417" s="16" t="s">
        <v>660</v>
      </c>
      <c r="C417" s="16">
        <v>1993.0</v>
      </c>
      <c r="D417" s="16" t="b">
        <v>1</v>
      </c>
      <c r="E417" s="16">
        <v>1993.0</v>
      </c>
      <c r="F417" s="16" t="b">
        <v>1</v>
      </c>
      <c r="G417" s="16" t="b">
        <v>0</v>
      </c>
      <c r="H417" s="16" t="b">
        <v>1</v>
      </c>
      <c r="I417" s="16" t="b">
        <v>0</v>
      </c>
      <c r="J417" s="18">
        <v>740.0</v>
      </c>
      <c r="K417" s="18">
        <v>20.0</v>
      </c>
      <c r="L417" s="16">
        <v>500.0</v>
      </c>
      <c r="M417" s="16">
        <v>1800.0</v>
      </c>
      <c r="N417" s="16">
        <v>167.0</v>
      </c>
      <c r="O417" s="16">
        <v>99.2</v>
      </c>
      <c r="P417" s="18">
        <v>216.0</v>
      </c>
      <c r="Q417" s="16">
        <v>450.5</v>
      </c>
      <c r="R417" s="16">
        <v>4.2</v>
      </c>
      <c r="S417" s="16">
        <v>0.998485</v>
      </c>
      <c r="T417" s="16">
        <v>0.997</v>
      </c>
      <c r="U417" s="19">
        <f t="shared" si="1"/>
        <v>2300</v>
      </c>
      <c r="V417" s="19">
        <f t="shared" si="2"/>
        <v>60.57236409</v>
      </c>
      <c r="W417" s="20">
        <f t="shared" si="3"/>
        <v>8.382361837</v>
      </c>
      <c r="X417" s="17">
        <f t="shared" si="262"/>
        <v>831.5302942</v>
      </c>
      <c r="Y417" s="21">
        <f t="shared" si="4"/>
        <v>4</v>
      </c>
      <c r="Z417" s="21">
        <f t="shared" si="5"/>
        <v>4157.651471</v>
      </c>
      <c r="AA417" s="21">
        <f t="shared" si="6"/>
        <v>41.91180919</v>
      </c>
      <c r="AB417" s="22">
        <f t="shared" si="7"/>
        <v>0.3615349105</v>
      </c>
      <c r="AC417" s="8">
        <f t="shared" si="225"/>
        <v>844.4103202</v>
      </c>
      <c r="AD417" s="13">
        <f t="shared" si="226"/>
        <v>0.3671349218</v>
      </c>
      <c r="AE417" s="8">
        <f t="shared" si="227"/>
        <v>188.7454867</v>
      </c>
      <c r="AF417" s="73">
        <f t="shared" si="228"/>
        <v>21.41594787</v>
      </c>
      <c r="AG417" s="74" t="str">
        <f t="shared" si="229"/>
        <v>#REF!</v>
      </c>
      <c r="AH417" s="73">
        <f t="shared" si="230"/>
        <v>0</v>
      </c>
      <c r="AI417" s="73">
        <f t="shared" si="231"/>
        <v>0.6760795925</v>
      </c>
      <c r="AJ417" s="75">
        <f t="shared" si="232"/>
        <v>1</v>
      </c>
      <c r="AK417" s="73">
        <f t="shared" si="233"/>
        <v>0.8701462815</v>
      </c>
      <c r="AL417" s="73">
        <f t="shared" si="234"/>
        <v>6.544772205</v>
      </c>
      <c r="AM417" s="73">
        <f t="shared" si="235"/>
        <v>1.583187446</v>
      </c>
      <c r="AN417" s="75">
        <v>375.33</v>
      </c>
      <c r="AO417" s="76">
        <v>380.0</v>
      </c>
      <c r="AP417" s="73">
        <f t="shared" si="236"/>
        <v>380</v>
      </c>
      <c r="AQ417" s="29" t="str">
        <f t="shared" si="237"/>
        <v>#REF!</v>
      </c>
      <c r="AR417" s="77" t="str">
        <f t="shared" si="238"/>
        <v>#REF!</v>
      </c>
      <c r="AS417" s="73"/>
      <c r="AT417" s="39"/>
    </row>
    <row r="418" ht="15.75" customHeight="1">
      <c r="A418" s="16" t="s">
        <v>699</v>
      </c>
      <c r="B418" s="16" t="s">
        <v>698</v>
      </c>
      <c r="C418" s="16">
        <v>1993.0</v>
      </c>
      <c r="D418" s="16" t="b">
        <v>1</v>
      </c>
      <c r="E418" s="16">
        <v>1993.0</v>
      </c>
      <c r="F418" s="16" t="b">
        <v>1</v>
      </c>
      <c r="G418" s="16" t="b">
        <v>0</v>
      </c>
      <c r="H418" s="16" t="b">
        <v>1</v>
      </c>
      <c r="I418" s="16" t="b">
        <v>0</v>
      </c>
      <c r="J418" s="18">
        <v>36000.0</v>
      </c>
      <c r="K418" s="18">
        <v>300.0</v>
      </c>
      <c r="L418" s="16"/>
      <c r="M418" s="16">
        <v>100.0</v>
      </c>
      <c r="N418" s="16">
        <v>209.1</v>
      </c>
      <c r="O418" s="16">
        <v>66.7</v>
      </c>
      <c r="P418" s="18">
        <v>21.0</v>
      </c>
      <c r="Q418" s="16">
        <v>481.0</v>
      </c>
      <c r="R418" s="16">
        <v>10.61</v>
      </c>
      <c r="S418" s="16">
        <v>0.99486</v>
      </c>
      <c r="T418" s="16">
        <v>0.99717</v>
      </c>
      <c r="U418" s="19">
        <f t="shared" si="1"/>
        <v>100</v>
      </c>
      <c r="V418" s="19">
        <f t="shared" si="2"/>
        <v>32.52753286</v>
      </c>
      <c r="W418" s="20">
        <f t="shared" si="3"/>
        <v>14.12798704</v>
      </c>
      <c r="X418" s="17">
        <f t="shared" si="262"/>
        <v>942.3367355</v>
      </c>
      <c r="Y418" s="21">
        <f t="shared" si="4"/>
        <v>4</v>
      </c>
      <c r="Z418" s="21">
        <f t="shared" si="5"/>
        <v>4711.683678</v>
      </c>
      <c r="AA418" s="21">
        <f t="shared" si="6"/>
        <v>70.6399352</v>
      </c>
      <c r="AB418" s="22">
        <f t="shared" si="7"/>
        <v>9.423367355</v>
      </c>
      <c r="AC418" s="8">
        <f t="shared" si="225"/>
        <v>953.6867539</v>
      </c>
      <c r="AD418" s="13">
        <f t="shared" si="226"/>
        <v>9.536867539</v>
      </c>
      <c r="AE418" s="8">
        <f t="shared" si="227"/>
        <v>243.1155022</v>
      </c>
      <c r="AF418" s="73">
        <f t="shared" si="228"/>
        <v>16.34657754</v>
      </c>
      <c r="AG418" s="74" t="str">
        <f t="shared" si="229"/>
        <v>#REF!</v>
      </c>
      <c r="AH418" s="73">
        <f t="shared" si="230"/>
        <v>0</v>
      </c>
      <c r="AI418" s="73">
        <f t="shared" si="231"/>
        <v>1.020634242</v>
      </c>
      <c r="AJ418" s="75">
        <f t="shared" si="232"/>
        <v>1</v>
      </c>
      <c r="AK418" s="73">
        <f t="shared" si="233"/>
        <v>0.6376473639</v>
      </c>
      <c r="AL418" s="73">
        <f t="shared" si="234"/>
        <v>10.4509758</v>
      </c>
      <c r="AM418" s="73">
        <f t="shared" si="235"/>
        <v>2.229658402</v>
      </c>
      <c r="AN418" s="75">
        <v>626.85</v>
      </c>
      <c r="AO418" s="76">
        <v>630.0</v>
      </c>
      <c r="AP418" s="73">
        <f t="shared" si="236"/>
        <v>630</v>
      </c>
      <c r="AQ418" s="29" t="str">
        <f t="shared" si="237"/>
        <v>#REF!</v>
      </c>
      <c r="AR418" s="77" t="str">
        <f t="shared" si="238"/>
        <v>#REF!</v>
      </c>
      <c r="AS418" s="73"/>
      <c r="AT418" s="39"/>
    </row>
    <row r="419" ht="15.75" customHeight="1">
      <c r="A419" s="7" t="s">
        <v>801</v>
      </c>
      <c r="B419" s="7" t="s">
        <v>802</v>
      </c>
      <c r="C419" s="7">
        <v>1993.0</v>
      </c>
      <c r="D419" s="7"/>
      <c r="E419" s="7">
        <v>1993.0</v>
      </c>
      <c r="F419" s="7" t="b">
        <v>1</v>
      </c>
      <c r="G419" s="7" t="b">
        <v>0</v>
      </c>
      <c r="H419" s="7" t="b">
        <v>0</v>
      </c>
      <c r="I419" s="7" t="b">
        <v>0</v>
      </c>
      <c r="J419" s="9">
        <v>154.0</v>
      </c>
      <c r="K419" s="7">
        <v>1.0</v>
      </c>
      <c r="L419" s="7">
        <v>500.0</v>
      </c>
      <c r="M419" s="7">
        <v>0.0</v>
      </c>
      <c r="N419" s="7">
        <v>876.0</v>
      </c>
      <c r="O419" s="7">
        <v>680.5</v>
      </c>
      <c r="P419" s="9">
        <v>247.9</v>
      </c>
      <c r="Q419" s="7">
        <v>280.9</v>
      </c>
      <c r="R419" s="7">
        <v>5.44</v>
      </c>
      <c r="S419" s="7">
        <v>0.98</v>
      </c>
      <c r="T419" s="7">
        <v>0.985</v>
      </c>
      <c r="U419" s="10">
        <f t="shared" si="1"/>
        <v>500</v>
      </c>
      <c r="V419" s="10">
        <f t="shared" si="2"/>
        <v>79.21425581</v>
      </c>
      <c r="W419" s="11">
        <f t="shared" si="3"/>
        <v>0.5962062835</v>
      </c>
      <c r="X419" s="8">
        <f>0.2*(8.17*POWER(N419*R419,0.46))+0.8*(0.146*POWER(N419*Q419,0.639))</f>
        <v>405.7183759</v>
      </c>
      <c r="Y419" s="12">
        <f t="shared" si="4"/>
        <v>4</v>
      </c>
      <c r="Z419" s="12">
        <f t="shared" si="5"/>
        <v>2028.59188</v>
      </c>
      <c r="AA419" s="12">
        <f t="shared" si="6"/>
        <v>2.981031417</v>
      </c>
      <c r="AB419" s="13">
        <f t="shared" si="7"/>
        <v>0.8114367518</v>
      </c>
      <c r="AC419" s="8">
        <f t="shared" si="225"/>
        <v>399.7543158</v>
      </c>
      <c r="AD419" s="13">
        <f t="shared" si="226"/>
        <v>0.7995086316</v>
      </c>
      <c r="AE419" s="8">
        <f t="shared" si="227"/>
        <v>399.7543158</v>
      </c>
      <c r="AF419" s="73">
        <f t="shared" si="228"/>
        <v>95.00987128</v>
      </c>
      <c r="AG419" s="74" t="str">
        <f t="shared" si="229"/>
        <v>#REF!</v>
      </c>
      <c r="AH419" s="73">
        <f t="shared" si="230"/>
        <v>0</v>
      </c>
      <c r="AI419" s="73">
        <f t="shared" si="231"/>
        <v>0</v>
      </c>
      <c r="AJ419" s="75">
        <f t="shared" si="232"/>
        <v>1.293909067</v>
      </c>
      <c r="AK419" s="73">
        <f t="shared" si="233"/>
        <v>0.9950769808</v>
      </c>
      <c r="AL419" s="73">
        <f t="shared" si="234"/>
        <v>0.8771257832</v>
      </c>
      <c r="AM419" s="73">
        <f t="shared" si="235"/>
        <v>1.0707244</v>
      </c>
      <c r="AN419" s="75">
        <v>106.27</v>
      </c>
      <c r="AO419" s="76">
        <v>105.0</v>
      </c>
      <c r="AP419" s="73">
        <f t="shared" si="236"/>
        <v>105</v>
      </c>
      <c r="AQ419" s="29" t="str">
        <f t="shared" si="237"/>
        <v>#REF!</v>
      </c>
      <c r="AR419" s="77" t="str">
        <f t="shared" si="238"/>
        <v>#REF!</v>
      </c>
      <c r="AS419" s="73"/>
      <c r="AT419" s="39"/>
    </row>
    <row r="420" ht="15.75" customHeight="1">
      <c r="A420" s="16" t="s">
        <v>236</v>
      </c>
      <c r="B420" s="16" t="s">
        <v>235</v>
      </c>
      <c r="C420" s="16">
        <v>1994.0</v>
      </c>
      <c r="D420" s="16" t="b">
        <v>1</v>
      </c>
      <c r="E420" s="16">
        <v>1994.0</v>
      </c>
      <c r="F420" s="16" t="b">
        <v>1</v>
      </c>
      <c r="G420" s="16" t="b">
        <v>0</v>
      </c>
      <c r="H420" s="16" t="b">
        <v>1</v>
      </c>
      <c r="I420" s="16" t="b">
        <v>0</v>
      </c>
      <c r="J420" s="18">
        <v>609.0</v>
      </c>
      <c r="K420" s="18">
        <v>10.0</v>
      </c>
      <c r="L420" s="16">
        <v>2650.0</v>
      </c>
      <c r="M420" s="16">
        <v>500.0</v>
      </c>
      <c r="N420" s="16">
        <v>248.0</v>
      </c>
      <c r="O420" s="16">
        <v>121.5</v>
      </c>
      <c r="P420" s="18">
        <v>138.0</v>
      </c>
      <c r="Q420" s="16">
        <v>452.0</v>
      </c>
      <c r="R420" s="16">
        <v>3.98</v>
      </c>
      <c r="S420" s="16">
        <v>0.9875</v>
      </c>
      <c r="T420" s="16">
        <v>0.98</v>
      </c>
      <c r="U420" s="19">
        <f t="shared" si="1"/>
        <v>3150</v>
      </c>
      <c r="V420" s="19">
        <f t="shared" si="2"/>
        <v>49.95787077</v>
      </c>
      <c r="W420" s="20">
        <f t="shared" si="3"/>
        <v>7.131322549</v>
      </c>
      <c r="X420" s="17">
        <f>0.9*(0.00015*N420*Q420*R420+797)+0.1*(43.1*POWER(N420,0.549))</f>
        <v>866.4556897</v>
      </c>
      <c r="Y420" s="21">
        <f t="shared" si="4"/>
        <v>4</v>
      </c>
      <c r="Z420" s="21">
        <f t="shared" si="5"/>
        <v>4332.278448</v>
      </c>
      <c r="AA420" s="21">
        <f t="shared" si="6"/>
        <v>35.65661274</v>
      </c>
      <c r="AB420" s="22">
        <f t="shared" si="7"/>
        <v>0.2750652983</v>
      </c>
      <c r="AC420" s="8">
        <f t="shared" si="225"/>
        <v>855.8416075</v>
      </c>
      <c r="AD420" s="13">
        <f t="shared" si="226"/>
        <v>0.2716957484</v>
      </c>
      <c r="AE420" s="8">
        <f t="shared" si="227"/>
        <v>232.9217167</v>
      </c>
      <c r="AF420" s="73">
        <f t="shared" si="228"/>
        <v>24.71087523</v>
      </c>
      <c r="AG420" s="74" t="str">
        <f t="shared" si="229"/>
        <v>#REF!</v>
      </c>
      <c r="AH420" s="73">
        <f t="shared" si="230"/>
        <v>0</v>
      </c>
      <c r="AI420" s="73">
        <f t="shared" si="231"/>
        <v>0.5535639833</v>
      </c>
      <c r="AJ420" s="75">
        <f t="shared" si="232"/>
        <v>1</v>
      </c>
      <c r="AK420" s="73">
        <f t="shared" si="233"/>
        <v>0.7902362841</v>
      </c>
      <c r="AL420" s="73">
        <f t="shared" si="234"/>
        <v>6.681038936</v>
      </c>
      <c r="AM420" s="73">
        <f t="shared" si="235"/>
        <v>1.530352573</v>
      </c>
      <c r="AN420" s="75">
        <v>276.95</v>
      </c>
      <c r="AO420" s="76">
        <v>280.0</v>
      </c>
      <c r="AP420" s="73">
        <f t="shared" si="236"/>
        <v>280</v>
      </c>
      <c r="AQ420" s="29" t="str">
        <f t="shared" si="237"/>
        <v>#REF!</v>
      </c>
      <c r="AR420" s="77" t="str">
        <f t="shared" si="238"/>
        <v>#REF!</v>
      </c>
      <c r="AS420" s="73"/>
      <c r="AT420" s="39"/>
    </row>
    <row r="421" ht="15.75" customHeight="1">
      <c r="A421" s="16" t="s">
        <v>556</v>
      </c>
      <c r="B421" s="16" t="s">
        <v>555</v>
      </c>
      <c r="C421" s="16">
        <v>1994.0</v>
      </c>
      <c r="D421" s="16"/>
      <c r="E421" s="16">
        <v>1994.0</v>
      </c>
      <c r="F421" s="16" t="b">
        <v>1</v>
      </c>
      <c r="G421" s="16" t="b">
        <v>0</v>
      </c>
      <c r="H421" s="16" t="b">
        <v>1</v>
      </c>
      <c r="I421" s="16" t="b">
        <v>0</v>
      </c>
      <c r="J421" s="18">
        <v>290.0</v>
      </c>
      <c r="K421" s="16">
        <v>1.0</v>
      </c>
      <c r="L421" s="16">
        <v>750.0</v>
      </c>
      <c r="M421" s="16">
        <v>0.0</v>
      </c>
      <c r="N421" s="16">
        <f>1125*0.96</f>
        <v>1080</v>
      </c>
      <c r="O421" s="16">
        <v>853.18</v>
      </c>
      <c r="P421" s="18">
        <v>304.4</v>
      </c>
      <c r="Q421" s="16">
        <v>330.0</v>
      </c>
      <c r="R421" s="16">
        <v>17.63</v>
      </c>
      <c r="S421" s="16">
        <v>0.998295</v>
      </c>
      <c r="T421" s="16">
        <v>0.992222</v>
      </c>
      <c r="U421" s="19">
        <f t="shared" si="1"/>
        <v>750</v>
      </c>
      <c r="V421" s="19">
        <f t="shared" si="2"/>
        <v>80.55569223</v>
      </c>
      <c r="W421" s="20">
        <f t="shared" si="3"/>
        <v>0.6613407269</v>
      </c>
      <c r="X421" s="17">
        <f>0.2*(8.17*POWER(N421*R421,0.46))+0.8*(0.146*POWER(N421*Q421,0.639))</f>
        <v>564.2426814</v>
      </c>
      <c r="Y421" s="21">
        <f t="shared" si="4"/>
        <v>4</v>
      </c>
      <c r="Z421" s="21">
        <f t="shared" si="5"/>
        <v>2821.213407</v>
      </c>
      <c r="AA421" s="21">
        <f t="shared" si="6"/>
        <v>3.306703634</v>
      </c>
      <c r="AB421" s="22">
        <f t="shared" si="7"/>
        <v>0.7523235752</v>
      </c>
      <c r="AC421" s="8">
        <f t="shared" si="225"/>
        <v>570.1843044</v>
      </c>
      <c r="AD421" s="13">
        <f t="shared" si="226"/>
        <v>0.7602457391</v>
      </c>
      <c r="AE421" s="8">
        <f t="shared" si="227"/>
        <v>570.1843044</v>
      </c>
      <c r="AF421" s="73">
        <f t="shared" si="228"/>
        <v>115.1211662</v>
      </c>
      <c r="AG421" s="74" t="str">
        <f t="shared" si="229"/>
        <v>#REF!</v>
      </c>
      <c r="AH421" s="73">
        <f t="shared" si="230"/>
        <v>0</v>
      </c>
      <c r="AI421" s="73">
        <f t="shared" si="231"/>
        <v>0</v>
      </c>
      <c r="AJ421" s="75">
        <f t="shared" si="232"/>
        <v>1.376412433</v>
      </c>
      <c r="AK421" s="73">
        <f t="shared" si="233"/>
        <v>1.003467066</v>
      </c>
      <c r="AL421" s="73">
        <f t="shared" si="234"/>
        <v>1.375349642</v>
      </c>
      <c r="AM421" s="73">
        <f t="shared" si="235"/>
        <v>1.302767958</v>
      </c>
      <c r="AN421" s="75">
        <v>341.02</v>
      </c>
      <c r="AO421" s="76">
        <v>340.0</v>
      </c>
      <c r="AP421" s="73">
        <f t="shared" si="236"/>
        <v>340</v>
      </c>
      <c r="AQ421" s="29" t="str">
        <f t="shared" si="237"/>
        <v>#REF!</v>
      </c>
      <c r="AR421" s="77" t="str">
        <f t="shared" si="238"/>
        <v>#REF!</v>
      </c>
      <c r="AS421" s="73"/>
      <c r="AT421" s="39"/>
    </row>
    <row r="422" ht="15.75" customHeight="1">
      <c r="A422" s="7" t="s">
        <v>627</v>
      </c>
      <c r="B422" s="7" t="s">
        <v>626</v>
      </c>
      <c r="C422" s="7">
        <v>1994.0</v>
      </c>
      <c r="D422" s="7" t="b">
        <v>1</v>
      </c>
      <c r="E422" s="7">
        <v>1994.0</v>
      </c>
      <c r="F422" s="7" t="b">
        <v>1</v>
      </c>
      <c r="G422" s="7" t="b">
        <v>0</v>
      </c>
      <c r="H422" s="7" t="b">
        <v>1</v>
      </c>
      <c r="I422" s="7" t="b">
        <v>0</v>
      </c>
      <c r="J422" s="9">
        <v>800.0</v>
      </c>
      <c r="K422" s="9">
        <v>4.0</v>
      </c>
      <c r="L422" s="7">
        <v>700.0</v>
      </c>
      <c r="M422" s="7">
        <v>0.0</v>
      </c>
      <c r="N422" s="7">
        <v>874.0</v>
      </c>
      <c r="O422" s="7">
        <v>432.0</v>
      </c>
      <c r="P422" s="9">
        <v>276.0</v>
      </c>
      <c r="Q422" s="7">
        <v>461.0</v>
      </c>
      <c r="R422" s="7">
        <v>11.5</v>
      </c>
      <c r="S422" s="7">
        <v>0.989286</v>
      </c>
      <c r="T422" s="7">
        <v>0.978571</v>
      </c>
      <c r="U422" s="10">
        <f t="shared" si="1"/>
        <v>700</v>
      </c>
      <c r="V422" s="10">
        <f t="shared" si="2"/>
        <v>50.40244882</v>
      </c>
      <c r="W422" s="11">
        <f t="shared" si="3"/>
        <v>3.519428109</v>
      </c>
      <c r="X422" s="8">
        <f>0.9*(0.00015*N422*Q422*R422+797)+0.1*(43.1*POWER(N422,0.549))</f>
        <v>1520.392943</v>
      </c>
      <c r="Y422" s="12">
        <f t="shared" si="4"/>
        <v>4</v>
      </c>
      <c r="Z422" s="12">
        <f t="shared" si="5"/>
        <v>7601.964716</v>
      </c>
      <c r="AA422" s="12">
        <f t="shared" si="6"/>
        <v>17.59714055</v>
      </c>
      <c r="AB422" s="13">
        <f t="shared" si="7"/>
        <v>2.171989919</v>
      </c>
      <c r="AC422" s="8">
        <f t="shared" si="225"/>
        <v>1502.279879</v>
      </c>
      <c r="AD422" s="13">
        <f t="shared" si="226"/>
        <v>2.146114113</v>
      </c>
      <c r="AE422" s="8">
        <f t="shared" si="227"/>
        <v>552.4830679</v>
      </c>
      <c r="AF422" s="73">
        <f t="shared" si="228"/>
        <v>65.22147533</v>
      </c>
      <c r="AG422" s="74" t="str">
        <f t="shared" si="229"/>
        <v>#REF!</v>
      </c>
      <c r="AH422" s="73">
        <f t="shared" si="230"/>
        <v>0</v>
      </c>
      <c r="AI422" s="73">
        <f t="shared" si="231"/>
        <v>0.3632125751</v>
      </c>
      <c r="AJ422" s="75">
        <f t="shared" si="232"/>
        <v>1</v>
      </c>
      <c r="AK422" s="73">
        <f t="shared" si="233"/>
        <v>0.7937446758</v>
      </c>
      <c r="AL422" s="73">
        <f t="shared" si="234"/>
        <v>7.804200703</v>
      </c>
      <c r="AM422" s="73">
        <f t="shared" si="235"/>
        <v>1.603590751</v>
      </c>
      <c r="AN422" s="75">
        <v>825.78</v>
      </c>
      <c r="AO422" s="76">
        <v>830.0</v>
      </c>
      <c r="AP422" s="73">
        <f t="shared" si="236"/>
        <v>830</v>
      </c>
      <c r="AQ422" s="29" t="str">
        <f t="shared" si="237"/>
        <v>#REF!</v>
      </c>
      <c r="AR422" s="77" t="str">
        <f t="shared" si="238"/>
        <v>#REF!</v>
      </c>
      <c r="AS422" s="73"/>
      <c r="AT422" s="39"/>
    </row>
    <row r="423" ht="15.75" customHeight="1">
      <c r="A423" s="16" t="s">
        <v>1045</v>
      </c>
      <c r="B423" s="16" t="s">
        <v>93</v>
      </c>
      <c r="C423" s="16">
        <v>1995.0</v>
      </c>
      <c r="D423" s="16"/>
      <c r="E423" s="16">
        <v>1995.0</v>
      </c>
      <c r="F423" s="16" t="b">
        <v>1</v>
      </c>
      <c r="G423" s="16" t="b">
        <v>0</v>
      </c>
      <c r="H423" s="16" t="b">
        <v>1</v>
      </c>
      <c r="I423" s="16" t="b">
        <v>0</v>
      </c>
      <c r="J423" s="48">
        <v>1250.0</v>
      </c>
      <c r="K423" s="18">
        <v>16.0</v>
      </c>
      <c r="L423" s="16">
        <v>400.0</v>
      </c>
      <c r="M423" s="16">
        <v>100.0</v>
      </c>
      <c r="N423" s="16">
        <v>47.0</v>
      </c>
      <c r="O423" s="16">
        <v>16.7</v>
      </c>
      <c r="P423" s="18">
        <v>1.0</v>
      </c>
      <c r="Q423" s="16">
        <v>343.0</v>
      </c>
      <c r="R423" s="16">
        <v>9.86</v>
      </c>
      <c r="S423" s="16">
        <v>0.999414</v>
      </c>
      <c r="T423" s="16">
        <v>0.999123</v>
      </c>
      <c r="U423" s="19">
        <f t="shared" si="1"/>
        <v>500</v>
      </c>
      <c r="V423" s="19">
        <f t="shared" si="2"/>
        <v>36.23246959</v>
      </c>
      <c r="W423" s="20">
        <f t="shared" si="3"/>
        <v>5.061614669</v>
      </c>
      <c r="X423" s="17">
        <f>0.2*(8.17*POWER(N423*R423,0.46))+0.8*(0.146*POWER(N423*Q423,0.639))</f>
        <v>84.52896498</v>
      </c>
      <c r="Y423" s="21">
        <f t="shared" si="4"/>
        <v>4</v>
      </c>
      <c r="Z423" s="21">
        <f t="shared" si="5"/>
        <v>422.6448249</v>
      </c>
      <c r="AA423" s="21">
        <f t="shared" si="6"/>
        <v>25.30807335</v>
      </c>
      <c r="AB423" s="22">
        <f t="shared" si="7"/>
        <v>0.16905793</v>
      </c>
      <c r="AC423" s="8">
        <f t="shared" si="225"/>
        <v>86.09592184</v>
      </c>
      <c r="AD423" s="13">
        <f t="shared" si="226"/>
        <v>0.1721918437</v>
      </c>
      <c r="AE423" s="8">
        <f t="shared" si="227"/>
        <v>86.09592184</v>
      </c>
      <c r="AF423" s="73">
        <f t="shared" si="228"/>
        <v>7.036039749</v>
      </c>
      <c r="AG423" s="74" t="str">
        <f t="shared" si="229"/>
        <v>#REF!</v>
      </c>
      <c r="AH423" s="73">
        <f t="shared" si="230"/>
        <v>0</v>
      </c>
      <c r="AI423" s="73">
        <f t="shared" si="231"/>
        <v>0.6384762338</v>
      </c>
      <c r="AJ423" s="75">
        <f t="shared" si="232"/>
        <v>1</v>
      </c>
      <c r="AK423" s="73">
        <f t="shared" si="233"/>
        <v>0.6729828154</v>
      </c>
      <c r="AL423" s="73">
        <f t="shared" si="234"/>
        <v>1.605700065</v>
      </c>
      <c r="AM423" s="73">
        <f t="shared" si="235"/>
        <v>1.712752992</v>
      </c>
      <c r="AN423" s="75">
        <v>32.5</v>
      </c>
      <c r="AO423" s="76">
        <v>32.0</v>
      </c>
      <c r="AP423" s="73">
        <f t="shared" si="236"/>
        <v>32</v>
      </c>
      <c r="AQ423" s="29" t="str">
        <f t="shared" si="237"/>
        <v>#REF!</v>
      </c>
      <c r="AR423" s="77" t="str">
        <f t="shared" si="238"/>
        <v>#REF!</v>
      </c>
      <c r="AS423" s="73"/>
      <c r="AT423" s="39"/>
    </row>
    <row r="424" ht="15.75" customHeight="1">
      <c r="A424" s="16" t="s">
        <v>277</v>
      </c>
      <c r="B424" s="16" t="s">
        <v>274</v>
      </c>
      <c r="C424" s="16">
        <v>1995.0</v>
      </c>
      <c r="D424" s="16" t="b">
        <v>1</v>
      </c>
      <c r="E424" s="16">
        <v>1995.0</v>
      </c>
      <c r="F424" s="16" t="b">
        <v>1</v>
      </c>
      <c r="G424" s="16" t="b">
        <v>0</v>
      </c>
      <c r="H424" s="16" t="b">
        <v>0</v>
      </c>
      <c r="I424" s="16" t="b">
        <v>0</v>
      </c>
      <c r="J424" s="18">
        <v>500.0</v>
      </c>
      <c r="K424" s="16">
        <v>1.0</v>
      </c>
      <c r="L424" s="16">
        <v>4300.0</v>
      </c>
      <c r="M424" s="16">
        <v>1200.0</v>
      </c>
      <c r="N424" s="16">
        <v>1632.9</v>
      </c>
      <c r="O424" s="16">
        <v>1619.2</v>
      </c>
      <c r="P424" s="18">
        <v>393.0</v>
      </c>
      <c r="Q424" s="16">
        <v>463.0</v>
      </c>
      <c r="R424" s="16">
        <v>22.75</v>
      </c>
      <c r="S424" s="16">
        <v>0.9995</v>
      </c>
      <c r="T424" s="16">
        <v>0.9995</v>
      </c>
      <c r="U424" s="19">
        <f t="shared" si="1"/>
        <v>5500</v>
      </c>
      <c r="V424" s="19">
        <f t="shared" si="2"/>
        <v>101.116081</v>
      </c>
      <c r="W424" s="20">
        <f t="shared" si="3"/>
        <v>2.031574729</v>
      </c>
      <c r="X424" s="17">
        <f>0.9*(0.00015*N424*Q424*R424+797)+0.1*(43.1*POWER(N424,0.549))</f>
        <v>3289.525801</v>
      </c>
      <c r="Y424" s="21">
        <f t="shared" si="4"/>
        <v>4</v>
      </c>
      <c r="Z424" s="21">
        <f t="shared" si="5"/>
        <v>16447.62901</v>
      </c>
      <c r="AA424" s="21">
        <f t="shared" si="6"/>
        <v>10.15787364</v>
      </c>
      <c r="AB424" s="22">
        <f t="shared" si="7"/>
        <v>0.5980956002</v>
      </c>
      <c r="AC424" s="8">
        <f t="shared" si="225"/>
        <v>3352.027614</v>
      </c>
      <c r="AD424" s="13">
        <f t="shared" si="226"/>
        <v>0.6094595661</v>
      </c>
      <c r="AE424" s="8">
        <f t="shared" si="227"/>
        <v>889.879074</v>
      </c>
      <c r="AF424" s="73">
        <f t="shared" si="228"/>
        <v>201.3317453</v>
      </c>
      <c r="AG424" s="74" t="str">
        <f t="shared" si="229"/>
        <v>#REF!</v>
      </c>
      <c r="AH424" s="73">
        <f t="shared" si="230"/>
        <v>0</v>
      </c>
      <c r="AI424" s="73">
        <f t="shared" si="231"/>
        <v>0</v>
      </c>
      <c r="AJ424" s="75">
        <f t="shared" si="232"/>
        <v>1.229722084</v>
      </c>
      <c r="AK424" s="73">
        <f t="shared" si="233"/>
        <v>1.12425576</v>
      </c>
      <c r="AL424" s="73">
        <f t="shared" si="234"/>
        <v>8.254341601</v>
      </c>
      <c r="AM424" s="73">
        <f t="shared" si="235"/>
        <v>1.474076339</v>
      </c>
      <c r="AN424" s="75">
        <v>4778.3</v>
      </c>
      <c r="AO424" s="76">
        <v>4800.0</v>
      </c>
      <c r="AP424" s="73">
        <f t="shared" si="236"/>
        <v>4800</v>
      </c>
      <c r="AQ424" s="29" t="str">
        <f t="shared" si="237"/>
        <v>#REF!</v>
      </c>
      <c r="AR424" s="77" t="str">
        <f t="shared" si="238"/>
        <v>#REF!</v>
      </c>
      <c r="AS424" s="73"/>
      <c r="AT424" s="39"/>
    </row>
    <row r="425" ht="15.75" customHeight="1">
      <c r="A425" s="7" t="s">
        <v>636</v>
      </c>
      <c r="B425" s="7" t="s">
        <v>630</v>
      </c>
      <c r="C425" s="7">
        <v>1995.0</v>
      </c>
      <c r="D425" s="7"/>
      <c r="E425" s="7">
        <v>1995.0</v>
      </c>
      <c r="F425" s="7" t="b">
        <v>1</v>
      </c>
      <c r="G425" s="7" t="b">
        <v>0</v>
      </c>
      <c r="H425" s="7" t="b">
        <v>1</v>
      </c>
      <c r="I425" s="7" t="b">
        <v>0</v>
      </c>
      <c r="J425" s="9">
        <v>680.0</v>
      </c>
      <c r="K425" s="9">
        <v>5.0</v>
      </c>
      <c r="L425" s="7">
        <v>400.0</v>
      </c>
      <c r="M425" s="7">
        <v>130.0</v>
      </c>
      <c r="N425" s="7">
        <v>230.0</v>
      </c>
      <c r="O425" s="7">
        <v>86.3</v>
      </c>
      <c r="P425" s="9">
        <v>157.0</v>
      </c>
      <c r="Q425" s="7">
        <v>361.0</v>
      </c>
      <c r="R425" s="7">
        <v>7.94</v>
      </c>
      <c r="S425" s="7">
        <v>0.99321</v>
      </c>
      <c r="T425" s="7">
        <v>0.99625</v>
      </c>
      <c r="U425" s="10">
        <f t="shared" si="1"/>
        <v>530</v>
      </c>
      <c r="V425" s="10">
        <f t="shared" si="2"/>
        <v>38.26152562</v>
      </c>
      <c r="W425" s="11">
        <f t="shared" si="3"/>
        <v>2.48205731</v>
      </c>
      <c r="X425" s="8">
        <f t="shared" ref="X425:X426" si="263">0.2*(8.17*POWER(N425*R425,0.46))+0.8*(0.146*POWER(N425*Q425,0.639))</f>
        <v>214.2015458</v>
      </c>
      <c r="Y425" s="12">
        <f t="shared" si="4"/>
        <v>4</v>
      </c>
      <c r="Z425" s="12">
        <f t="shared" si="5"/>
        <v>1071.007729</v>
      </c>
      <c r="AA425" s="12">
        <f t="shared" si="6"/>
        <v>12.41028655</v>
      </c>
      <c r="AB425" s="13">
        <f t="shared" si="7"/>
        <v>0.40415386</v>
      </c>
      <c r="AC425" s="8">
        <f t="shared" si="225"/>
        <v>216.2333465</v>
      </c>
      <c r="AD425" s="13">
        <f t="shared" si="226"/>
        <v>0.4079874463</v>
      </c>
      <c r="AE425" s="8">
        <f t="shared" si="227"/>
        <v>216.2333465</v>
      </c>
      <c r="AF425" s="73">
        <f t="shared" si="228"/>
        <v>19.44956821</v>
      </c>
      <c r="AG425" s="74" t="str">
        <f t="shared" si="229"/>
        <v>#REF!</v>
      </c>
      <c r="AH425" s="73">
        <f t="shared" si="230"/>
        <v>0</v>
      </c>
      <c r="AI425" s="73">
        <f t="shared" si="231"/>
        <v>0.4128305045</v>
      </c>
      <c r="AJ425" s="75">
        <f t="shared" si="232"/>
        <v>1</v>
      </c>
      <c r="AK425" s="73">
        <f t="shared" si="233"/>
        <v>0.6915700039</v>
      </c>
      <c r="AL425" s="73">
        <f t="shared" si="234"/>
        <v>2.005113376</v>
      </c>
      <c r="AM425" s="73">
        <f t="shared" si="235"/>
        <v>1.56058536</v>
      </c>
      <c r="AN425" s="75">
        <v>75.04</v>
      </c>
      <c r="AO425" s="76">
        <v>75.0</v>
      </c>
      <c r="AP425" s="73">
        <f t="shared" si="236"/>
        <v>75</v>
      </c>
      <c r="AQ425" s="29" t="str">
        <f t="shared" si="237"/>
        <v>#REF!</v>
      </c>
      <c r="AR425" s="77" t="str">
        <f t="shared" si="238"/>
        <v>#REF!</v>
      </c>
      <c r="AS425" s="73"/>
      <c r="AT425" s="39"/>
    </row>
    <row r="426" ht="15.75" customHeight="1">
      <c r="A426" s="7" t="s">
        <v>774</v>
      </c>
      <c r="B426" s="7" t="s">
        <v>775</v>
      </c>
      <c r="C426" s="7">
        <v>1995.0</v>
      </c>
      <c r="D426" s="7"/>
      <c r="E426" s="7">
        <v>1995.0</v>
      </c>
      <c r="F426" s="7" t="b">
        <v>1</v>
      </c>
      <c r="G426" s="7" t="b">
        <v>0</v>
      </c>
      <c r="H426" s="7" t="b">
        <v>0</v>
      </c>
      <c r="I426" s="7" t="b">
        <v>0</v>
      </c>
      <c r="J426" s="9">
        <v>300.0</v>
      </c>
      <c r="K426" s="9">
        <v>4.0</v>
      </c>
      <c r="L426" s="7">
        <v>2200.0</v>
      </c>
      <c r="M426" s="7">
        <v>0.0</v>
      </c>
      <c r="N426" s="7">
        <v>3062.0</v>
      </c>
      <c r="O426" s="7">
        <v>3275.0</v>
      </c>
      <c r="P426" s="9">
        <v>264.3</v>
      </c>
      <c r="Q426" s="7">
        <v>316.0</v>
      </c>
      <c r="R426" s="7">
        <v>8.79</v>
      </c>
      <c r="S426" s="7">
        <v>0.99995</v>
      </c>
      <c r="T426" s="7">
        <v>0.99995</v>
      </c>
      <c r="U426" s="10">
        <f t="shared" si="1"/>
        <v>2200</v>
      </c>
      <c r="V426" s="10">
        <f t="shared" si="2"/>
        <v>109.0650094</v>
      </c>
      <c r="W426" s="11">
        <f t="shared" si="3"/>
        <v>0.2927106772</v>
      </c>
      <c r="X426" s="8">
        <f t="shared" si="263"/>
        <v>958.6274677</v>
      </c>
      <c r="Y426" s="12">
        <f t="shared" si="4"/>
        <v>4</v>
      </c>
      <c r="Z426" s="12">
        <f t="shared" si="5"/>
        <v>4793.137339</v>
      </c>
      <c r="AA426" s="12">
        <f t="shared" si="6"/>
        <v>1.463553386</v>
      </c>
      <c r="AB426" s="13">
        <f t="shared" si="7"/>
        <v>0.4357397581</v>
      </c>
      <c r="AC426" s="8">
        <f t="shared" si="225"/>
        <v>977.7041567</v>
      </c>
      <c r="AD426" s="13">
        <f t="shared" si="226"/>
        <v>0.4444109803</v>
      </c>
      <c r="AE426" s="8">
        <f t="shared" si="227"/>
        <v>977.7041567</v>
      </c>
      <c r="AF426" s="73">
        <f t="shared" si="228"/>
        <v>380.1168588</v>
      </c>
      <c r="AG426" s="74" t="str">
        <f t="shared" si="229"/>
        <v>#REF!</v>
      </c>
      <c r="AH426" s="73">
        <f t="shared" si="230"/>
        <v>0</v>
      </c>
      <c r="AI426" s="73">
        <f t="shared" si="231"/>
        <v>0.3632125751</v>
      </c>
      <c r="AJ426" s="75">
        <f t="shared" si="232"/>
        <v>1.207433003</v>
      </c>
      <c r="AK426" s="73">
        <f t="shared" si="233"/>
        <v>1.167609788</v>
      </c>
      <c r="AL426" s="73">
        <f t="shared" si="234"/>
        <v>1.173066849</v>
      </c>
      <c r="AM426" s="73">
        <f t="shared" si="235"/>
        <v>1.314152039</v>
      </c>
      <c r="AN426" s="75">
        <v>1395.54</v>
      </c>
      <c r="AO426" s="76">
        <v>1400.0</v>
      </c>
      <c r="AP426" s="73">
        <f t="shared" si="236"/>
        <v>1400</v>
      </c>
      <c r="AQ426" s="29" t="str">
        <f t="shared" si="237"/>
        <v>#REF!</v>
      </c>
      <c r="AR426" s="77" t="str">
        <f t="shared" si="238"/>
        <v>#REF!</v>
      </c>
      <c r="AS426" s="73"/>
      <c r="AT426" s="39"/>
    </row>
    <row r="427" ht="15.75" customHeight="1">
      <c r="A427" s="7" t="s">
        <v>779</v>
      </c>
      <c r="B427" s="7" t="s">
        <v>779</v>
      </c>
      <c r="C427" s="7">
        <v>1995.0</v>
      </c>
      <c r="D427" s="7" t="b">
        <v>1</v>
      </c>
      <c r="E427" s="7">
        <v>1995.0</v>
      </c>
      <c r="F427" s="7" t="b">
        <v>1</v>
      </c>
      <c r="G427" s="7" t="b">
        <v>0</v>
      </c>
      <c r="H427" s="7" t="b">
        <v>0</v>
      </c>
      <c r="I427" s="7" t="b">
        <v>0</v>
      </c>
      <c r="J427" s="9">
        <v>480.0</v>
      </c>
      <c r="K427" s="7">
        <v>1.0</v>
      </c>
      <c r="L427" s="7">
        <v>5500.0</v>
      </c>
      <c r="M427" s="7">
        <v>0.0</v>
      </c>
      <c r="N427" s="7">
        <v>4524.0</v>
      </c>
      <c r="O427" s="7">
        <v>2891.3</v>
      </c>
      <c r="P427" s="9">
        <v>364.5</v>
      </c>
      <c r="Q427" s="7">
        <v>428.5</v>
      </c>
      <c r="R427" s="7">
        <v>15.51</v>
      </c>
      <c r="S427" s="7">
        <v>0.992</v>
      </c>
      <c r="T427" s="7">
        <v>0.9995</v>
      </c>
      <c r="U427" s="10">
        <f t="shared" si="1"/>
        <v>5500</v>
      </c>
      <c r="V427" s="10">
        <f t="shared" si="2"/>
        <v>65.17032445</v>
      </c>
      <c r="W427" s="11">
        <f t="shared" si="3"/>
        <v>1.803404529</v>
      </c>
      <c r="X427" s="8">
        <f>0.9*(0.00015*N427*Q427*R427+797)+0.1*(43.1*POWER(N427,0.549))</f>
        <v>5214.183516</v>
      </c>
      <c r="Y427" s="12">
        <f t="shared" si="4"/>
        <v>4</v>
      </c>
      <c r="Z427" s="12">
        <f t="shared" si="5"/>
        <v>26070.91758</v>
      </c>
      <c r="AA427" s="12">
        <f t="shared" si="6"/>
        <v>9.017022647</v>
      </c>
      <c r="AB427" s="13">
        <f t="shared" si="7"/>
        <v>0.9480333665</v>
      </c>
      <c r="AC427" s="8">
        <f t="shared" si="225"/>
        <v>5274.167483</v>
      </c>
      <c r="AD427" s="13">
        <f t="shared" si="226"/>
        <v>0.9589395423</v>
      </c>
      <c r="AE427" s="8">
        <f t="shared" si="227"/>
        <v>1510.751787</v>
      </c>
      <c r="AF427" s="73">
        <f t="shared" si="228"/>
        <v>339.2376603</v>
      </c>
      <c r="AG427" s="74" t="str">
        <f t="shared" si="229"/>
        <v>#REF!</v>
      </c>
      <c r="AH427" s="73">
        <f t="shared" si="230"/>
        <v>0</v>
      </c>
      <c r="AI427" s="73">
        <f t="shared" si="231"/>
        <v>0</v>
      </c>
      <c r="AJ427" s="75">
        <f t="shared" si="232"/>
        <v>1.233069334</v>
      </c>
      <c r="AK427" s="73">
        <f t="shared" si="233"/>
        <v>0.9025680338</v>
      </c>
      <c r="AL427" s="73">
        <f t="shared" si="234"/>
        <v>4.849589712</v>
      </c>
      <c r="AM427" s="73">
        <f t="shared" si="235"/>
        <v>1.462062459</v>
      </c>
      <c r="AN427" s="75">
        <v>3413.1</v>
      </c>
      <c r="AO427" s="76">
        <v>3400.0</v>
      </c>
      <c r="AP427" s="73">
        <f t="shared" si="236"/>
        <v>3400</v>
      </c>
      <c r="AQ427" s="29" t="str">
        <f t="shared" si="237"/>
        <v>#REF!</v>
      </c>
      <c r="AR427" s="77" t="str">
        <f t="shared" si="238"/>
        <v>#REF!</v>
      </c>
      <c r="AS427" s="73"/>
      <c r="AT427" s="39"/>
    </row>
    <row r="428" ht="15.75" customHeight="1">
      <c r="A428" s="16" t="s">
        <v>833</v>
      </c>
      <c r="B428" s="16" t="s">
        <v>833</v>
      </c>
      <c r="C428" s="16">
        <v>1995.0</v>
      </c>
      <c r="D428" s="16"/>
      <c r="E428" s="16">
        <v>1995.0</v>
      </c>
      <c r="F428" s="16" t="b">
        <v>1</v>
      </c>
      <c r="G428" s="16" t="b">
        <v>0</v>
      </c>
      <c r="H428" s="16" t="b">
        <v>1</v>
      </c>
      <c r="I428" s="16" t="b">
        <v>0</v>
      </c>
      <c r="J428" s="18">
        <v>3600.0</v>
      </c>
      <c r="K428" s="18">
        <v>10.0</v>
      </c>
      <c r="L428" s="16">
        <v>600.0</v>
      </c>
      <c r="M428" s="16">
        <v>0.0</v>
      </c>
      <c r="N428" s="16">
        <v>52.0</v>
      </c>
      <c r="O428" s="16">
        <v>16.7</v>
      </c>
      <c r="P428" s="18">
        <v>89.0</v>
      </c>
      <c r="Q428" s="16">
        <v>343.0</v>
      </c>
      <c r="R428" s="16">
        <v>10.34</v>
      </c>
      <c r="S428" s="16">
        <v>0.9995</v>
      </c>
      <c r="T428" s="16">
        <v>0.9995</v>
      </c>
      <c r="U428" s="19">
        <f t="shared" si="1"/>
        <v>600</v>
      </c>
      <c r="V428" s="19">
        <f t="shared" si="2"/>
        <v>32.74857828</v>
      </c>
      <c r="W428" s="20">
        <f t="shared" si="3"/>
        <v>5.406027563</v>
      </c>
      <c r="X428" s="17">
        <f t="shared" ref="X428:X433" si="264">0.2*(8.17*POWER(N428*R428,0.46))+0.8*(0.146*POWER(N428*Q428,0.639))</f>
        <v>90.2806603</v>
      </c>
      <c r="Y428" s="21">
        <f t="shared" si="4"/>
        <v>4</v>
      </c>
      <c r="Z428" s="21">
        <f t="shared" si="5"/>
        <v>451.4033015</v>
      </c>
      <c r="AA428" s="21">
        <f t="shared" si="6"/>
        <v>27.03013781</v>
      </c>
      <c r="AB428" s="22">
        <f t="shared" si="7"/>
        <v>0.1504677672</v>
      </c>
      <c r="AC428" s="8">
        <f t="shared" si="225"/>
        <v>91.99601541</v>
      </c>
      <c r="AD428" s="13">
        <f t="shared" si="226"/>
        <v>0.1533266924</v>
      </c>
      <c r="AE428" s="8">
        <f t="shared" si="227"/>
        <v>91.99601541</v>
      </c>
      <c r="AF428" s="73">
        <f t="shared" si="228"/>
        <v>7.036039749</v>
      </c>
      <c r="AG428" s="74" t="str">
        <f t="shared" si="229"/>
        <v>#REF!</v>
      </c>
      <c r="AH428" s="73">
        <f t="shared" si="230"/>
        <v>0</v>
      </c>
      <c r="AI428" s="73">
        <f t="shared" si="231"/>
        <v>0.5535639833</v>
      </c>
      <c r="AJ428" s="75">
        <f t="shared" si="232"/>
        <v>1</v>
      </c>
      <c r="AK428" s="73">
        <f t="shared" si="233"/>
        <v>0.6398103067</v>
      </c>
      <c r="AL428" s="73">
        <f t="shared" si="234"/>
        <v>1.605700065</v>
      </c>
      <c r="AM428" s="73">
        <f t="shared" si="235"/>
        <v>1.926089075</v>
      </c>
      <c r="AN428" s="75">
        <v>35.64</v>
      </c>
      <c r="AO428" s="76">
        <v>36.0</v>
      </c>
      <c r="AP428" s="73">
        <f t="shared" si="236"/>
        <v>36</v>
      </c>
      <c r="AQ428" s="29" t="str">
        <f t="shared" si="237"/>
        <v>#REF!</v>
      </c>
      <c r="AR428" s="77" t="str">
        <f t="shared" si="238"/>
        <v>#REF!</v>
      </c>
      <c r="AS428" s="73"/>
      <c r="AT428" s="39"/>
    </row>
    <row r="429" ht="15.75" customHeight="1">
      <c r="A429" s="7" t="s">
        <v>51</v>
      </c>
      <c r="B429" s="7" t="s">
        <v>51</v>
      </c>
      <c r="C429" s="7">
        <v>1996.0</v>
      </c>
      <c r="D429" s="7"/>
      <c r="E429" s="7">
        <v>1996.0</v>
      </c>
      <c r="F429" s="7" t="b">
        <v>0</v>
      </c>
      <c r="G429" s="7" t="b">
        <v>0</v>
      </c>
      <c r="H429" s="7" t="b">
        <v>1</v>
      </c>
      <c r="I429" s="7" t="b">
        <v>0</v>
      </c>
      <c r="J429" s="9">
        <v>1110.0</v>
      </c>
      <c r="K429" s="9">
        <v>20.0</v>
      </c>
      <c r="L429" s="7"/>
      <c r="M429" s="7">
        <v>0.0</v>
      </c>
      <c r="N429" s="7">
        <v>111.0</v>
      </c>
      <c r="O429" s="7">
        <v>27.8</v>
      </c>
      <c r="P429" s="9">
        <v>113.0</v>
      </c>
      <c r="Q429" s="7">
        <v>306.0</v>
      </c>
      <c r="R429" s="7">
        <v>1.1</v>
      </c>
      <c r="S429" s="7">
        <v>0.997581</v>
      </c>
      <c r="T429" s="7">
        <v>0.989063</v>
      </c>
      <c r="U429" s="10">
        <f t="shared" si="1"/>
        <v>0</v>
      </c>
      <c r="V429" s="10">
        <f t="shared" si="2"/>
        <v>25.53883841</v>
      </c>
      <c r="W429" s="11">
        <f t="shared" si="3"/>
        <v>3.837599044</v>
      </c>
      <c r="X429" s="8">
        <f t="shared" si="264"/>
        <v>106.6852534</v>
      </c>
      <c r="Y429" s="12">
        <f t="shared" si="4"/>
        <v>1.75</v>
      </c>
      <c r="Z429" s="12">
        <f t="shared" si="5"/>
        <v>293.3844469</v>
      </c>
      <c r="AA429" s="12">
        <f t="shared" si="6"/>
        <v>10.55339737</v>
      </c>
      <c r="AB429" s="13" t="str">
        <f t="shared" si="7"/>
        <v>#N/A</v>
      </c>
      <c r="AC429" s="8">
        <f t="shared" si="225"/>
        <v>107.3968928</v>
      </c>
      <c r="AD429" s="13" t="str">
        <f t="shared" si="226"/>
        <v>#N/A</v>
      </c>
      <c r="AE429" s="8">
        <f t="shared" si="227"/>
        <v>107.3968928</v>
      </c>
      <c r="AF429" s="73">
        <f t="shared" si="228"/>
        <v>8.722424088</v>
      </c>
      <c r="AG429" s="74" t="str">
        <f t="shared" si="229"/>
        <v>#REF!</v>
      </c>
      <c r="AH429" s="73">
        <f t="shared" si="230"/>
        <v>0</v>
      </c>
      <c r="AI429" s="73">
        <f t="shared" si="231"/>
        <v>0.6760795925</v>
      </c>
      <c r="AJ429" s="75">
        <f t="shared" si="232"/>
        <v>1</v>
      </c>
      <c r="AK429" s="73">
        <f t="shared" si="233"/>
        <v>0.5650092744</v>
      </c>
      <c r="AL429" s="73">
        <f t="shared" si="234"/>
        <v>1.055765151</v>
      </c>
      <c r="AM429" s="73">
        <f t="shared" si="235"/>
        <v>1.684923985</v>
      </c>
      <c r="AN429" s="75">
        <v>19.45</v>
      </c>
      <c r="AO429" s="76">
        <v>19.0</v>
      </c>
      <c r="AP429" s="73">
        <f t="shared" si="236"/>
        <v>19</v>
      </c>
      <c r="AQ429" s="29" t="str">
        <f t="shared" si="237"/>
        <v>#REF!</v>
      </c>
      <c r="AR429" s="77" t="str">
        <f t="shared" si="238"/>
        <v>#REF!</v>
      </c>
      <c r="AS429" s="73"/>
      <c r="AT429" s="39"/>
    </row>
    <row r="430" ht="15.75" customHeight="1">
      <c r="A430" s="16" t="s">
        <v>249</v>
      </c>
      <c r="B430" s="16" t="s">
        <v>247</v>
      </c>
      <c r="C430" s="16">
        <v>1996.0</v>
      </c>
      <c r="D430" s="16"/>
      <c r="E430" s="16">
        <v>1996.0</v>
      </c>
      <c r="F430" s="16" t="b">
        <v>0</v>
      </c>
      <c r="G430" s="16" t="b">
        <v>0</v>
      </c>
      <c r="H430" s="16" t="b">
        <v>1</v>
      </c>
      <c r="I430" s="16" t="b">
        <v>0</v>
      </c>
      <c r="J430" s="18">
        <v>2520.0</v>
      </c>
      <c r="K430" s="18">
        <v>70.0</v>
      </c>
      <c r="L430" s="16">
        <v>100.0</v>
      </c>
      <c r="M430" s="16">
        <v>0.0</v>
      </c>
      <c r="N430" s="16">
        <v>5.0</v>
      </c>
      <c r="O430" s="16">
        <v>0.42</v>
      </c>
      <c r="P430" s="18">
        <v>1.0</v>
      </c>
      <c r="Q430" s="16">
        <v>319.5</v>
      </c>
      <c r="R430" s="16">
        <v>1.03</v>
      </c>
      <c r="S430" s="16">
        <v>0.999348</v>
      </c>
      <c r="T430" s="16">
        <v>0.996809</v>
      </c>
      <c r="U430" s="19">
        <f t="shared" si="1"/>
        <v>100</v>
      </c>
      <c r="V430" s="19">
        <f t="shared" si="2"/>
        <v>8.565616164</v>
      </c>
      <c r="W430" s="20">
        <f t="shared" si="3"/>
        <v>39.25654866</v>
      </c>
      <c r="X430" s="17">
        <f t="shared" si="264"/>
        <v>16.48775044</v>
      </c>
      <c r="Y430" s="21">
        <f t="shared" si="4"/>
        <v>1.75</v>
      </c>
      <c r="Z430" s="21">
        <f t="shared" si="5"/>
        <v>45.3413137</v>
      </c>
      <c r="AA430" s="21">
        <f t="shared" si="6"/>
        <v>107.9555088</v>
      </c>
      <c r="AB430" s="22">
        <f t="shared" si="7"/>
        <v>0.1648775044</v>
      </c>
      <c r="AC430" s="8">
        <f t="shared" si="225"/>
        <v>16.75417732</v>
      </c>
      <c r="AD430" s="13">
        <f t="shared" si="226"/>
        <v>0.1675417732</v>
      </c>
      <c r="AE430" s="8">
        <f t="shared" si="227"/>
        <v>16.75417732</v>
      </c>
      <c r="AF430" s="73">
        <f t="shared" si="228"/>
        <v>1.981482354</v>
      </c>
      <c r="AG430" s="74" t="str">
        <f t="shared" si="229"/>
        <v>#REF!</v>
      </c>
      <c r="AH430" s="73">
        <f t="shared" si="230"/>
        <v>0</v>
      </c>
      <c r="AI430" s="73">
        <f t="shared" si="231"/>
        <v>0.8586846262</v>
      </c>
      <c r="AJ430" s="75">
        <f t="shared" si="232"/>
        <v>1</v>
      </c>
      <c r="AK430" s="73">
        <f t="shared" si="233"/>
        <v>0.327215834</v>
      </c>
      <c r="AL430" s="73">
        <f t="shared" si="234"/>
        <v>1.219481258</v>
      </c>
      <c r="AM430" s="73">
        <f t="shared" si="235"/>
        <v>1.860604154</v>
      </c>
      <c r="AN430" s="75">
        <v>6.5</v>
      </c>
      <c r="AO430" s="76">
        <v>6.5</v>
      </c>
      <c r="AP430" s="73">
        <f t="shared" si="236"/>
        <v>6.5</v>
      </c>
      <c r="AQ430" s="29" t="str">
        <f t="shared" si="237"/>
        <v>#REF!</v>
      </c>
      <c r="AR430" s="77" t="str">
        <f t="shared" si="238"/>
        <v>#REF!</v>
      </c>
      <c r="AS430" s="73"/>
      <c r="AT430" s="39"/>
    </row>
    <row r="431" ht="15.75" customHeight="1">
      <c r="A431" s="7" t="s">
        <v>248</v>
      </c>
      <c r="B431" s="7" t="s">
        <v>247</v>
      </c>
      <c r="C431" s="7">
        <v>1996.0</v>
      </c>
      <c r="D431" s="7"/>
      <c r="E431" s="7">
        <v>1996.0</v>
      </c>
      <c r="F431" s="7" t="b">
        <v>0</v>
      </c>
      <c r="G431" s="7" t="b">
        <v>0</v>
      </c>
      <c r="H431" s="7" t="b">
        <v>1</v>
      </c>
      <c r="I431" s="7" t="b">
        <v>0</v>
      </c>
      <c r="J431" s="9">
        <v>5800.0</v>
      </c>
      <c r="K431" s="9">
        <v>117.0</v>
      </c>
      <c r="L431" s="7">
        <v>100.0</v>
      </c>
      <c r="M431" s="7">
        <v>0.0</v>
      </c>
      <c r="N431" s="7">
        <v>4.3</v>
      </c>
      <c r="O431" s="7">
        <v>0.458</v>
      </c>
      <c r="P431" s="9">
        <v>1.0</v>
      </c>
      <c r="Q431" s="7">
        <v>324.0</v>
      </c>
      <c r="R431" s="7">
        <v>1.13</v>
      </c>
      <c r="S431" s="7">
        <v>0.999348</v>
      </c>
      <c r="T431" s="7">
        <v>0.996809</v>
      </c>
      <c r="U431" s="10">
        <f t="shared" si="1"/>
        <v>100</v>
      </c>
      <c r="V431" s="10">
        <f t="shared" si="2"/>
        <v>10.86116335</v>
      </c>
      <c r="W431" s="11">
        <f t="shared" si="3"/>
        <v>33.42007084</v>
      </c>
      <c r="X431" s="8">
        <f t="shared" si="264"/>
        <v>15.30639244</v>
      </c>
      <c r="Y431" s="12">
        <f t="shared" si="4"/>
        <v>1.75</v>
      </c>
      <c r="Z431" s="12">
        <f t="shared" si="5"/>
        <v>42.09257922</v>
      </c>
      <c r="AA431" s="12">
        <f t="shared" si="6"/>
        <v>91.9051948</v>
      </c>
      <c r="AB431" s="13">
        <f t="shared" si="7"/>
        <v>0.1530639244</v>
      </c>
      <c r="AC431" s="8">
        <f t="shared" si="225"/>
        <v>15.55372967</v>
      </c>
      <c r="AD431" s="13">
        <f t="shared" si="226"/>
        <v>0.1555372967</v>
      </c>
      <c r="AE431" s="8">
        <f t="shared" si="227"/>
        <v>15.55372967</v>
      </c>
      <c r="AF431" s="73">
        <f t="shared" si="228"/>
        <v>2.006247305</v>
      </c>
      <c r="AG431" s="74" t="str">
        <f t="shared" si="229"/>
        <v>#REF!</v>
      </c>
      <c r="AH431" s="73">
        <f t="shared" si="230"/>
        <v>0</v>
      </c>
      <c r="AI431" s="73">
        <f t="shared" si="231"/>
        <v>0.9212991947</v>
      </c>
      <c r="AJ431" s="75">
        <f t="shared" si="232"/>
        <v>1</v>
      </c>
      <c r="AK431" s="73">
        <f t="shared" si="233"/>
        <v>0.3684624023</v>
      </c>
      <c r="AL431" s="73">
        <f t="shared" si="234"/>
        <v>1.28317822</v>
      </c>
      <c r="AM431" s="73">
        <f t="shared" si="235"/>
        <v>2.004680829</v>
      </c>
      <c r="AN431" s="75">
        <v>7.82</v>
      </c>
      <c r="AO431" s="76">
        <v>7.8</v>
      </c>
      <c r="AP431" s="73">
        <f t="shared" si="236"/>
        <v>7.8</v>
      </c>
      <c r="AQ431" s="29" t="str">
        <f t="shared" si="237"/>
        <v>#REF!</v>
      </c>
      <c r="AR431" s="77" t="str">
        <f t="shared" si="238"/>
        <v>#REF!</v>
      </c>
      <c r="AS431" s="73"/>
      <c r="AT431" s="39"/>
    </row>
    <row r="432" ht="15.75" customHeight="1">
      <c r="A432" s="16" t="s">
        <v>246</v>
      </c>
      <c r="B432" s="16" t="s">
        <v>247</v>
      </c>
      <c r="C432" s="16">
        <v>1996.0</v>
      </c>
      <c r="D432" s="16"/>
      <c r="E432" s="16">
        <v>1996.0</v>
      </c>
      <c r="F432" s="16" t="b">
        <v>0</v>
      </c>
      <c r="G432" s="16" t="b">
        <v>0</v>
      </c>
      <c r="H432" s="16" t="b">
        <v>1</v>
      </c>
      <c r="I432" s="16" t="b">
        <v>0</v>
      </c>
      <c r="J432" s="18">
        <v>6600.0</v>
      </c>
      <c r="K432" s="18">
        <v>75.0</v>
      </c>
      <c r="L432" s="16">
        <v>100.0</v>
      </c>
      <c r="M432" s="16">
        <v>0.0</v>
      </c>
      <c r="N432" s="16">
        <v>4.5</v>
      </c>
      <c r="O432" s="16">
        <v>0.635</v>
      </c>
      <c r="P432" s="18">
        <v>1.0</v>
      </c>
      <c r="Q432" s="16">
        <v>317.0</v>
      </c>
      <c r="R432" s="16">
        <v>1.2</v>
      </c>
      <c r="S432" s="16">
        <v>0.999362</v>
      </c>
      <c r="T432" s="16">
        <v>0.996875</v>
      </c>
      <c r="U432" s="19">
        <f t="shared" si="1"/>
        <v>100</v>
      </c>
      <c r="V432" s="19">
        <f t="shared" si="2"/>
        <v>14.38932874</v>
      </c>
      <c r="W432" s="20">
        <f t="shared" si="3"/>
        <v>24.6551092</v>
      </c>
      <c r="X432" s="17">
        <f t="shared" si="264"/>
        <v>15.65599434</v>
      </c>
      <c r="Y432" s="21">
        <f t="shared" si="4"/>
        <v>1.75</v>
      </c>
      <c r="Z432" s="21">
        <f t="shared" si="5"/>
        <v>43.05398444</v>
      </c>
      <c r="AA432" s="21">
        <f t="shared" si="6"/>
        <v>67.8015503</v>
      </c>
      <c r="AB432" s="22">
        <f t="shared" si="7"/>
        <v>0.1565599434</v>
      </c>
      <c r="AC432" s="8">
        <f t="shared" si="225"/>
        <v>15.91023194</v>
      </c>
      <c r="AD432" s="13">
        <f t="shared" si="226"/>
        <v>0.1591023194</v>
      </c>
      <c r="AE432" s="8">
        <f t="shared" si="227"/>
        <v>15.91023194</v>
      </c>
      <c r="AF432" s="73">
        <f t="shared" si="228"/>
        <v>2.108246009</v>
      </c>
      <c r="AG432" s="74" t="str">
        <f t="shared" si="229"/>
        <v>#REF!</v>
      </c>
      <c r="AH432" s="73">
        <f t="shared" si="230"/>
        <v>0</v>
      </c>
      <c r="AI432" s="73">
        <f t="shared" si="231"/>
        <v>0.8674730905</v>
      </c>
      <c r="AJ432" s="75">
        <f t="shared" si="232"/>
        <v>1</v>
      </c>
      <c r="AK432" s="73">
        <f t="shared" si="233"/>
        <v>0.4241068371</v>
      </c>
      <c r="AL432" s="73">
        <f t="shared" si="234"/>
        <v>1.18605089</v>
      </c>
      <c r="AM432" s="73">
        <f t="shared" si="235"/>
        <v>2.02434839</v>
      </c>
      <c r="AN432" s="75">
        <v>7.69</v>
      </c>
      <c r="AO432" s="76">
        <v>7.7</v>
      </c>
      <c r="AP432" s="73">
        <f t="shared" si="236"/>
        <v>7.7</v>
      </c>
      <c r="AQ432" s="29" t="str">
        <f t="shared" si="237"/>
        <v>#REF!</v>
      </c>
      <c r="AR432" s="77" t="str">
        <f t="shared" si="238"/>
        <v>#REF!</v>
      </c>
      <c r="AS432" s="73"/>
      <c r="AT432" s="39"/>
    </row>
    <row r="433" ht="15.75" customHeight="1">
      <c r="A433" s="16" t="s">
        <v>773</v>
      </c>
      <c r="B433" s="16" t="s">
        <v>773</v>
      </c>
      <c r="C433" s="16">
        <v>1996.0</v>
      </c>
      <c r="D433" s="16"/>
      <c r="E433" s="16">
        <v>1996.0</v>
      </c>
      <c r="F433" s="16" t="b">
        <v>1</v>
      </c>
      <c r="G433" s="16" t="b">
        <v>0</v>
      </c>
      <c r="H433" s="16" t="b">
        <v>0</v>
      </c>
      <c r="I433" s="16" t="b">
        <v>0</v>
      </c>
      <c r="J433" s="18">
        <v>315.0</v>
      </c>
      <c r="K433" s="16">
        <v>1.0</v>
      </c>
      <c r="L433" s="16">
        <v>1800.0</v>
      </c>
      <c r="M433" s="16">
        <v>0.0</v>
      </c>
      <c r="N433" s="16">
        <v>10958.0</v>
      </c>
      <c r="O433" s="16">
        <v>8896.4</v>
      </c>
      <c r="P433" s="18">
        <v>289.0</v>
      </c>
      <c r="Q433" s="16">
        <v>316.0</v>
      </c>
      <c r="R433" s="16">
        <v>13.79</v>
      </c>
      <c r="S433" s="16">
        <v>0.9971</v>
      </c>
      <c r="T433" s="16">
        <v>0.9971</v>
      </c>
      <c r="U433" s="19">
        <f t="shared" si="1"/>
        <v>1800</v>
      </c>
      <c r="V433" s="19">
        <f t="shared" si="2"/>
        <v>82.78703496</v>
      </c>
      <c r="W433" s="20">
        <f t="shared" si="3"/>
        <v>0.2424260042</v>
      </c>
      <c r="X433" s="17">
        <f t="shared" si="264"/>
        <v>2156.718704</v>
      </c>
      <c r="Y433" s="21">
        <f t="shared" si="4"/>
        <v>4</v>
      </c>
      <c r="Z433" s="21">
        <f t="shared" si="5"/>
        <v>10783.59352</v>
      </c>
      <c r="AA433" s="21">
        <f t="shared" si="6"/>
        <v>1.212130021</v>
      </c>
      <c r="AB433" s="22">
        <f t="shared" si="7"/>
        <v>1.198177058</v>
      </c>
      <c r="AC433" s="8">
        <f t="shared" si="225"/>
        <v>2187.362248</v>
      </c>
      <c r="AD433" s="13">
        <f t="shared" si="226"/>
        <v>1.215201249</v>
      </c>
      <c r="AE433" s="8">
        <f t="shared" si="227"/>
        <v>2187.362248</v>
      </c>
      <c r="AF433" s="73">
        <f t="shared" si="228"/>
        <v>962.1263722</v>
      </c>
      <c r="AG433" s="74" t="str">
        <f t="shared" si="229"/>
        <v>#REF!</v>
      </c>
      <c r="AH433" s="73">
        <f t="shared" si="230"/>
        <v>0</v>
      </c>
      <c r="AI433" s="73">
        <f t="shared" si="231"/>
        <v>0</v>
      </c>
      <c r="AJ433" s="75">
        <f t="shared" si="232"/>
        <v>1.359613097</v>
      </c>
      <c r="AK433" s="73">
        <f t="shared" si="233"/>
        <v>1.017269845</v>
      </c>
      <c r="AL433" s="73">
        <f t="shared" si="234"/>
        <v>1.173066849</v>
      </c>
      <c r="AM433" s="73">
        <f t="shared" si="235"/>
        <v>1.330360566</v>
      </c>
      <c r="AN433" s="75">
        <v>2601.67</v>
      </c>
      <c r="AO433" s="76">
        <v>2600.0</v>
      </c>
      <c r="AP433" s="73">
        <f t="shared" si="236"/>
        <v>2600</v>
      </c>
      <c r="AQ433" s="29" t="str">
        <f t="shared" si="237"/>
        <v>#REF!</v>
      </c>
      <c r="AR433" s="77" t="str">
        <f t="shared" si="238"/>
        <v>#REF!</v>
      </c>
      <c r="AS433" s="73"/>
      <c r="AT433" s="39"/>
    </row>
    <row r="434" ht="15.75" customHeight="1">
      <c r="A434" s="16" t="s">
        <v>817</v>
      </c>
      <c r="B434" s="16" t="s">
        <v>817</v>
      </c>
      <c r="C434" s="16">
        <v>1996.0</v>
      </c>
      <c r="D434" s="16" t="b">
        <v>1</v>
      </c>
      <c r="E434" s="16">
        <v>1996.0</v>
      </c>
      <c r="F434" s="16" t="b">
        <v>1</v>
      </c>
      <c r="G434" s="16" t="b">
        <v>0</v>
      </c>
      <c r="H434" s="16" t="b">
        <v>0</v>
      </c>
      <c r="I434" s="16" t="b">
        <v>0</v>
      </c>
      <c r="J434" s="18">
        <v>580.0</v>
      </c>
      <c r="K434" s="16">
        <v>1.0</v>
      </c>
      <c r="L434" s="16">
        <v>1600.0</v>
      </c>
      <c r="M434" s="16">
        <v>0.0</v>
      </c>
      <c r="N434" s="16">
        <v>1296.0</v>
      </c>
      <c r="O434" s="16">
        <v>1145.0</v>
      </c>
      <c r="P434" s="18">
        <v>315.0</v>
      </c>
      <c r="Q434" s="16">
        <v>431.5</v>
      </c>
      <c r="R434" s="16">
        <v>11.0</v>
      </c>
      <c r="S434" s="16">
        <v>0.986538</v>
      </c>
      <c r="T434" s="16">
        <v>0.986538</v>
      </c>
      <c r="U434" s="19">
        <f t="shared" si="1"/>
        <v>1600</v>
      </c>
      <c r="V434" s="19">
        <f t="shared" si="2"/>
        <v>90.09066824</v>
      </c>
      <c r="W434" s="20">
        <f t="shared" si="3"/>
        <v>1.54427179</v>
      </c>
      <c r="X434" s="17">
        <f>0.9*(0.00015*N434*Q434*R434+797)+0.1*(43.1*POWER(N434,0.549))</f>
        <v>1768.1912</v>
      </c>
      <c r="Y434" s="21">
        <f t="shared" si="4"/>
        <v>4</v>
      </c>
      <c r="Z434" s="21">
        <f t="shared" si="5"/>
        <v>8840.956</v>
      </c>
      <c r="AA434" s="21">
        <f t="shared" si="6"/>
        <v>7.721358952</v>
      </c>
      <c r="AB434" s="22">
        <f t="shared" si="7"/>
        <v>1.1051195</v>
      </c>
      <c r="AC434" s="8">
        <f t="shared" si="225"/>
        <v>1756.268685</v>
      </c>
      <c r="AD434" s="13">
        <f t="shared" si="226"/>
        <v>1.097667928</v>
      </c>
      <c r="AE434" s="8">
        <f t="shared" si="227"/>
        <v>678.2002502</v>
      </c>
      <c r="AF434" s="73">
        <f t="shared" si="228"/>
        <v>148.4216393</v>
      </c>
      <c r="AG434" s="74" t="str">
        <f t="shared" si="229"/>
        <v>#REF!</v>
      </c>
      <c r="AH434" s="73">
        <f t="shared" si="230"/>
        <v>0</v>
      </c>
      <c r="AI434" s="73">
        <f t="shared" si="231"/>
        <v>0</v>
      </c>
      <c r="AJ434" s="75">
        <f t="shared" si="232"/>
        <v>1.051869602</v>
      </c>
      <c r="AK434" s="73">
        <f t="shared" si="233"/>
        <v>1.061194305</v>
      </c>
      <c r="AL434" s="73">
        <f t="shared" si="234"/>
        <v>5.05050675</v>
      </c>
      <c r="AM434" s="73">
        <f t="shared" si="235"/>
        <v>1.516697193</v>
      </c>
      <c r="AN434" s="75">
        <v>1193.61</v>
      </c>
      <c r="AO434" s="76">
        <v>1200.0</v>
      </c>
      <c r="AP434" s="73">
        <f t="shared" si="236"/>
        <v>1200</v>
      </c>
      <c r="AQ434" s="29" t="str">
        <f t="shared" si="237"/>
        <v>#REF!</v>
      </c>
      <c r="AR434" s="77" t="str">
        <f t="shared" si="238"/>
        <v>#REF!</v>
      </c>
      <c r="AS434" s="73"/>
      <c r="AT434" s="39"/>
    </row>
    <row r="435" ht="15.75" customHeight="1">
      <c r="A435" s="7" t="s">
        <v>1046</v>
      </c>
      <c r="B435" s="7" t="s">
        <v>93</v>
      </c>
      <c r="C435" s="7">
        <v>1997.0</v>
      </c>
      <c r="D435" s="7" t="b">
        <v>1</v>
      </c>
      <c r="E435" s="7">
        <v>1997.0</v>
      </c>
      <c r="F435" s="7" t="b">
        <v>1</v>
      </c>
      <c r="G435" s="7" t="b">
        <v>0</v>
      </c>
      <c r="H435" s="7" t="b">
        <v>1</v>
      </c>
      <c r="I435" s="7" t="b">
        <v>0</v>
      </c>
      <c r="J435" s="48">
        <v>1250.0</v>
      </c>
      <c r="K435" s="9">
        <v>500.0</v>
      </c>
      <c r="L435" s="7">
        <v>400.0</v>
      </c>
      <c r="M435" s="7">
        <v>250.0</v>
      </c>
      <c r="N435" s="7">
        <v>40.0</v>
      </c>
      <c r="O435" s="7">
        <v>13.3</v>
      </c>
      <c r="P435" s="9">
        <v>1.0</v>
      </c>
      <c r="Q435" s="7">
        <v>483.0</v>
      </c>
      <c r="R435" s="7">
        <v>13.78</v>
      </c>
      <c r="S435" s="7">
        <v>0.999414</v>
      </c>
      <c r="T435" s="7">
        <v>0.999123</v>
      </c>
      <c r="U435" s="10">
        <f t="shared" si="1"/>
        <v>650</v>
      </c>
      <c r="V435" s="10">
        <f t="shared" si="2"/>
        <v>33.90556398</v>
      </c>
      <c r="W435" s="11">
        <f t="shared" si="3"/>
        <v>24.73684211</v>
      </c>
      <c r="X435" s="8">
        <v>329.0</v>
      </c>
      <c r="Y435" s="12">
        <f t="shared" si="4"/>
        <v>4</v>
      </c>
      <c r="Z435" s="12">
        <f t="shared" si="5"/>
        <v>1645</v>
      </c>
      <c r="AA435" s="12">
        <f t="shared" si="6"/>
        <v>123.6842105</v>
      </c>
      <c r="AB435" s="13">
        <f t="shared" si="7"/>
        <v>0.5061538462</v>
      </c>
      <c r="AC435" s="8">
        <f t="shared" si="225"/>
        <v>335.0988421</v>
      </c>
      <c r="AD435" s="13">
        <f t="shared" si="226"/>
        <v>0.5155366801</v>
      </c>
      <c r="AE435" s="8">
        <f t="shared" si="227"/>
        <v>95.54469153</v>
      </c>
      <c r="AF435" s="73">
        <f t="shared" si="228"/>
        <v>6.207811223</v>
      </c>
      <c r="AG435" s="74" t="str">
        <f t="shared" si="229"/>
        <v>#REF!</v>
      </c>
      <c r="AH435" s="73">
        <f t="shared" si="230"/>
        <v>0</v>
      </c>
      <c r="AI435" s="73">
        <f t="shared" si="231"/>
        <v>1.067190028</v>
      </c>
      <c r="AJ435" s="75">
        <f t="shared" si="232"/>
        <v>1</v>
      </c>
      <c r="AK435" s="73">
        <f t="shared" si="233"/>
        <v>0.651014247</v>
      </c>
      <c r="AL435" s="73">
        <f t="shared" si="234"/>
        <v>10.65110709</v>
      </c>
      <c r="AM435" s="73">
        <f t="shared" si="235"/>
        <v>1.712752992</v>
      </c>
      <c r="AN435" s="75">
        <v>220.5</v>
      </c>
      <c r="AO435" s="76">
        <v>220.0</v>
      </c>
      <c r="AP435" s="73">
        <f t="shared" si="236"/>
        <v>220</v>
      </c>
      <c r="AQ435" s="29" t="str">
        <f t="shared" si="237"/>
        <v>#REF!</v>
      </c>
      <c r="AR435" s="77" t="str">
        <f t="shared" si="238"/>
        <v>#REF!</v>
      </c>
      <c r="AS435" s="73"/>
      <c r="AT435" s="39"/>
    </row>
    <row r="436" ht="15.75" customHeight="1">
      <c r="A436" s="16" t="s">
        <v>561</v>
      </c>
      <c r="B436" s="16" t="s">
        <v>559</v>
      </c>
      <c r="C436" s="16">
        <v>1997.0</v>
      </c>
      <c r="D436" s="16"/>
      <c r="E436" s="16">
        <v>1997.0</v>
      </c>
      <c r="F436" s="16" t="b">
        <v>1</v>
      </c>
      <c r="G436" s="16" t="b">
        <v>0</v>
      </c>
      <c r="H436" s="16" t="b">
        <v>0</v>
      </c>
      <c r="I436" s="16" t="b">
        <v>0</v>
      </c>
      <c r="J436" s="18">
        <v>150.0</v>
      </c>
      <c r="K436" s="16">
        <v>1.0</v>
      </c>
      <c r="L436" s="16">
        <v>2004.0</v>
      </c>
      <c r="M436" s="16">
        <v>0.0</v>
      </c>
      <c r="N436" s="16">
        <v>9750.0</v>
      </c>
      <c r="O436" s="16">
        <v>8316.0</v>
      </c>
      <c r="P436" s="18">
        <v>310.9</v>
      </c>
      <c r="Q436" s="16">
        <v>337.4</v>
      </c>
      <c r="R436" s="16">
        <v>25.69</v>
      </c>
      <c r="S436" s="16">
        <v>0.996939</v>
      </c>
      <c r="T436" s="16">
        <v>0.996939</v>
      </c>
      <c r="U436" s="19">
        <f t="shared" si="1"/>
        <v>2004</v>
      </c>
      <c r="V436" s="19">
        <f t="shared" si="2"/>
        <v>86.97394874</v>
      </c>
      <c r="W436" s="20">
        <f t="shared" si="3"/>
        <v>0.2649197251</v>
      </c>
      <c r="X436" s="17">
        <f>0.2*(8.17*POWER(N436*R436,0.46))+0.8*(0.146*POWER(N436*Q436,0.639))</f>
        <v>2203.072434</v>
      </c>
      <c r="Y436" s="21">
        <f t="shared" si="4"/>
        <v>4</v>
      </c>
      <c r="Z436" s="21">
        <f t="shared" si="5"/>
        <v>11015.36217</v>
      </c>
      <c r="AA436" s="21">
        <f t="shared" si="6"/>
        <v>1.324598626</v>
      </c>
      <c r="AB436" s="22">
        <f t="shared" si="7"/>
        <v>1.099337542</v>
      </c>
      <c r="AC436" s="8">
        <f t="shared" si="225"/>
        <v>2233.667316</v>
      </c>
      <c r="AD436" s="13">
        <f t="shared" si="226"/>
        <v>1.114604449</v>
      </c>
      <c r="AE436" s="8">
        <f t="shared" si="227"/>
        <v>2233.667316</v>
      </c>
      <c r="AF436" s="73">
        <f t="shared" si="228"/>
        <v>902.9673909</v>
      </c>
      <c r="AG436" s="74" t="str">
        <f t="shared" si="229"/>
        <v>#REF!</v>
      </c>
      <c r="AH436" s="73">
        <f t="shared" si="230"/>
        <v>0</v>
      </c>
      <c r="AI436" s="73">
        <f t="shared" si="231"/>
        <v>0</v>
      </c>
      <c r="AJ436" s="75">
        <f t="shared" si="232"/>
        <v>1.37433588</v>
      </c>
      <c r="AK436" s="73">
        <f t="shared" si="233"/>
        <v>1.042676536</v>
      </c>
      <c r="AL436" s="73">
        <f t="shared" si="234"/>
        <v>1.501072427</v>
      </c>
      <c r="AM436" s="73">
        <f t="shared" si="235"/>
        <v>1.060224449</v>
      </c>
      <c r="AN436" s="75">
        <v>2513.79</v>
      </c>
      <c r="AO436" s="76">
        <v>2500.0</v>
      </c>
      <c r="AP436" s="73">
        <f t="shared" si="236"/>
        <v>2500</v>
      </c>
      <c r="AQ436" s="29" t="str">
        <f t="shared" si="237"/>
        <v>#REF!</v>
      </c>
      <c r="AR436" s="77" t="str">
        <f t="shared" si="238"/>
        <v>#REF!</v>
      </c>
      <c r="AS436" s="73"/>
      <c r="AT436" s="39"/>
    </row>
    <row r="437" ht="15.75" customHeight="1">
      <c r="A437" s="16" t="s">
        <v>762</v>
      </c>
      <c r="B437" s="16" t="s">
        <v>752</v>
      </c>
      <c r="C437" s="16">
        <v>1997.0</v>
      </c>
      <c r="D437" s="16" t="b">
        <v>1</v>
      </c>
      <c r="E437" s="16">
        <v>1997.0</v>
      </c>
      <c r="F437" s="16" t="b">
        <v>1</v>
      </c>
      <c r="G437" s="16" t="b">
        <v>0</v>
      </c>
      <c r="H437" s="16" t="b">
        <v>0</v>
      </c>
      <c r="I437" s="16" t="b">
        <v>0</v>
      </c>
      <c r="J437" s="18">
        <v>480.0</v>
      </c>
      <c r="K437" s="16">
        <v>1.0</v>
      </c>
      <c r="L437" s="16">
        <v>6077.0</v>
      </c>
      <c r="M437" s="16">
        <v>0.0</v>
      </c>
      <c r="N437" s="16">
        <v>3753.0</v>
      </c>
      <c r="O437" s="16">
        <v>2278.1</v>
      </c>
      <c r="P437" s="18">
        <v>366.3</v>
      </c>
      <c r="Q437" s="16">
        <v>452.3</v>
      </c>
      <c r="R437" s="16">
        <v>20.74</v>
      </c>
      <c r="S437" s="16">
        <v>0.996939</v>
      </c>
      <c r="T437" s="16">
        <v>0.992857</v>
      </c>
      <c r="U437" s="19">
        <f t="shared" si="1"/>
        <v>6077</v>
      </c>
      <c r="V437" s="19">
        <f t="shared" si="2"/>
        <v>61.8975619</v>
      </c>
      <c r="W437" s="20">
        <f t="shared" si="3"/>
        <v>2.57463424</v>
      </c>
      <c r="X437" s="17">
        <f t="shared" ref="X437:X444" si="265">0.9*(0.00015*N437*Q437*R437+797)+0.1*(43.1*POWER(N437,0.549))</f>
        <v>5865.274263</v>
      </c>
      <c r="Y437" s="21">
        <f t="shared" si="4"/>
        <v>4</v>
      </c>
      <c r="Z437" s="21">
        <f t="shared" si="5"/>
        <v>29326.37132</v>
      </c>
      <c r="AA437" s="21">
        <f t="shared" si="6"/>
        <v>12.8731712</v>
      </c>
      <c r="AB437" s="22">
        <f t="shared" si="7"/>
        <v>0.965159497</v>
      </c>
      <c r="AC437" s="8">
        <f t="shared" si="225"/>
        <v>5922.858732</v>
      </c>
      <c r="AD437" s="13">
        <f t="shared" si="226"/>
        <v>0.9746353024</v>
      </c>
      <c r="AE437" s="8">
        <f t="shared" si="227"/>
        <v>1421.964763</v>
      </c>
      <c r="AF437" s="73">
        <f t="shared" si="228"/>
        <v>273.3065321</v>
      </c>
      <c r="AG437" s="74" t="str">
        <f t="shared" si="229"/>
        <v>#REF!</v>
      </c>
      <c r="AH437" s="73">
        <f t="shared" si="230"/>
        <v>0</v>
      </c>
      <c r="AI437" s="73">
        <f t="shared" si="231"/>
        <v>0</v>
      </c>
      <c r="AJ437" s="75">
        <f t="shared" si="232"/>
        <v>1.16243878</v>
      </c>
      <c r="AK437" s="73">
        <f t="shared" si="233"/>
        <v>0.8796132808</v>
      </c>
      <c r="AL437" s="73">
        <f t="shared" si="234"/>
        <v>6.708647288</v>
      </c>
      <c r="AM437" s="73">
        <f t="shared" si="235"/>
        <v>1.462062459</v>
      </c>
      <c r="AN437" s="75">
        <v>3400.3</v>
      </c>
      <c r="AO437" s="76">
        <v>3400.0</v>
      </c>
      <c r="AP437" s="73">
        <f t="shared" si="236"/>
        <v>3400</v>
      </c>
      <c r="AQ437" s="29" t="str">
        <f t="shared" si="237"/>
        <v>#REF!</v>
      </c>
      <c r="AR437" s="77" t="str">
        <f t="shared" si="238"/>
        <v>#REF!</v>
      </c>
      <c r="AS437" s="73"/>
      <c r="AT437" s="39"/>
    </row>
    <row r="438" ht="15.75" customHeight="1">
      <c r="A438" s="7" t="s">
        <v>1047</v>
      </c>
      <c r="B438" s="7" t="s">
        <v>752</v>
      </c>
      <c r="C438" s="7">
        <v>1997.0</v>
      </c>
      <c r="D438" s="7" t="b">
        <v>1</v>
      </c>
      <c r="E438" s="7">
        <v>1997.0</v>
      </c>
      <c r="F438" s="7" t="b">
        <v>1</v>
      </c>
      <c r="G438" s="7" t="b">
        <v>0</v>
      </c>
      <c r="H438" s="7" t="b">
        <v>0</v>
      </c>
      <c r="I438" s="7" t="b">
        <v>0</v>
      </c>
      <c r="J438" s="9">
        <v>480.0</v>
      </c>
      <c r="K438" s="9">
        <v>3.0</v>
      </c>
      <c r="L438" s="7">
        <v>6077.0</v>
      </c>
      <c r="M438" s="7">
        <v>0.0</v>
      </c>
      <c r="N438" s="7">
        <v>4686.0</v>
      </c>
      <c r="O438" s="7">
        <v>2321.9</v>
      </c>
      <c r="P438" s="9">
        <v>345.0</v>
      </c>
      <c r="Q438" s="7">
        <v>461.0</v>
      </c>
      <c r="R438" s="7">
        <v>20.74</v>
      </c>
      <c r="S438" s="7">
        <v>0.996939</v>
      </c>
      <c r="T438" s="7">
        <v>0.992857</v>
      </c>
      <c r="U438" s="10">
        <f t="shared" si="1"/>
        <v>6077</v>
      </c>
      <c r="V438" s="10">
        <f t="shared" si="2"/>
        <v>50.52665531</v>
      </c>
      <c r="W438" s="11">
        <f t="shared" si="3"/>
        <v>3.106161751</v>
      </c>
      <c r="X438" s="8">
        <f t="shared" si="265"/>
        <v>7212.19697</v>
      </c>
      <c r="Y438" s="12">
        <f t="shared" si="4"/>
        <v>4</v>
      </c>
      <c r="Z438" s="12">
        <f t="shared" si="5"/>
        <v>36060.98485</v>
      </c>
      <c r="AA438" s="12">
        <f t="shared" si="6"/>
        <v>15.53080876</v>
      </c>
      <c r="AB438" s="13">
        <f t="shared" si="7"/>
        <v>1.1868022</v>
      </c>
      <c r="AC438" s="8">
        <f t="shared" si="225"/>
        <v>7283.005345</v>
      </c>
      <c r="AD438" s="13">
        <f t="shared" si="226"/>
        <v>1.198454064</v>
      </c>
      <c r="AE438" s="8">
        <f t="shared" si="227"/>
        <v>1641.472899</v>
      </c>
      <c r="AF438" s="73">
        <f t="shared" si="228"/>
        <v>278.0447034</v>
      </c>
      <c r="AG438" s="74" t="str">
        <f t="shared" si="229"/>
        <v>#REF!</v>
      </c>
      <c r="AH438" s="73">
        <f t="shared" si="230"/>
        <v>0</v>
      </c>
      <c r="AI438" s="73">
        <f t="shared" si="231"/>
        <v>0.2958876574</v>
      </c>
      <c r="AJ438" s="75">
        <f t="shared" si="232"/>
        <v>1.0735594</v>
      </c>
      <c r="AK438" s="73">
        <f t="shared" si="233"/>
        <v>0.7947220844</v>
      </c>
      <c r="AL438" s="73">
        <f t="shared" si="234"/>
        <v>7.804200703</v>
      </c>
      <c r="AM438" s="73">
        <f t="shared" si="235"/>
        <v>1.462062459</v>
      </c>
      <c r="AN438" s="75">
        <v>4133.67</v>
      </c>
      <c r="AO438" s="76">
        <v>4100.0</v>
      </c>
      <c r="AP438" s="73">
        <f t="shared" si="236"/>
        <v>4100</v>
      </c>
      <c r="AQ438" s="29" t="str">
        <f t="shared" si="237"/>
        <v>#REF!</v>
      </c>
      <c r="AR438" s="77" t="str">
        <f t="shared" si="238"/>
        <v>#REF!</v>
      </c>
      <c r="AS438" s="73"/>
      <c r="AT438" s="39"/>
    </row>
    <row r="439" ht="15.75" customHeight="1">
      <c r="A439" s="16" t="s">
        <v>1048</v>
      </c>
      <c r="B439" s="16" t="s">
        <v>752</v>
      </c>
      <c r="C439" s="16">
        <v>1997.0</v>
      </c>
      <c r="D439" s="16" t="b">
        <v>1</v>
      </c>
      <c r="E439" s="16">
        <v>1997.0</v>
      </c>
      <c r="F439" s="16" t="b">
        <v>1</v>
      </c>
      <c r="G439" s="16" t="b">
        <v>0</v>
      </c>
      <c r="H439" s="16" t="b">
        <v>0</v>
      </c>
      <c r="I439" s="16" t="b">
        <v>0</v>
      </c>
      <c r="J439" s="23">
        <v>480.0</v>
      </c>
      <c r="K439" s="16">
        <v>1.0</v>
      </c>
      <c r="L439" s="16">
        <v>6077.0</v>
      </c>
      <c r="M439" s="16">
        <v>0.0</v>
      </c>
      <c r="N439" s="16">
        <v>3589.0</v>
      </c>
      <c r="O439" s="16">
        <v>2227.2</v>
      </c>
      <c r="P439" s="18">
        <v>409.5</v>
      </c>
      <c r="Q439" s="16">
        <v>442.2</v>
      </c>
      <c r="R439" s="16">
        <v>20.74</v>
      </c>
      <c r="S439" s="16">
        <v>0.996939</v>
      </c>
      <c r="T439" s="16">
        <v>0.992857</v>
      </c>
      <c r="U439" s="19">
        <f t="shared" si="1"/>
        <v>6077</v>
      </c>
      <c r="V439" s="19">
        <f t="shared" si="2"/>
        <v>63.2797978</v>
      </c>
      <c r="W439" s="20">
        <f t="shared" si="3"/>
        <v>2.490353758</v>
      </c>
      <c r="X439" s="17">
        <f t="shared" si="265"/>
        <v>5546.51589</v>
      </c>
      <c r="Y439" s="21">
        <f t="shared" si="4"/>
        <v>4</v>
      </c>
      <c r="Z439" s="21">
        <f t="shared" si="5"/>
        <v>27732.57945</v>
      </c>
      <c r="AA439" s="21">
        <f t="shared" si="6"/>
        <v>12.45176879</v>
      </c>
      <c r="AB439" s="22">
        <f t="shared" si="7"/>
        <v>0.9127062515</v>
      </c>
      <c r="AC439" s="8">
        <f t="shared" si="225"/>
        <v>5600.970833</v>
      </c>
      <c r="AD439" s="13">
        <f t="shared" si="226"/>
        <v>0.921667078</v>
      </c>
      <c r="AE439" s="8">
        <f t="shared" si="227"/>
        <v>1368.514745</v>
      </c>
      <c r="AF439" s="73">
        <f t="shared" si="228"/>
        <v>267.794001</v>
      </c>
      <c r="AG439" s="74" t="str">
        <f t="shared" si="229"/>
        <v>#REF!</v>
      </c>
      <c r="AH439" s="73">
        <f t="shared" si="230"/>
        <v>0</v>
      </c>
      <c r="AI439" s="73">
        <f t="shared" si="231"/>
        <v>0</v>
      </c>
      <c r="AJ439" s="75">
        <f t="shared" si="232"/>
        <v>1.384243692</v>
      </c>
      <c r="AK439" s="73">
        <f t="shared" si="233"/>
        <v>0.8893803868</v>
      </c>
      <c r="AL439" s="73">
        <f t="shared" si="234"/>
        <v>5.84167704</v>
      </c>
      <c r="AM439" s="73">
        <f t="shared" si="235"/>
        <v>1.462062459</v>
      </c>
      <c r="AN439" s="75">
        <v>3472.67</v>
      </c>
      <c r="AO439" s="76">
        <v>3500.0</v>
      </c>
      <c r="AP439" s="73">
        <f t="shared" si="236"/>
        <v>3500</v>
      </c>
      <c r="AQ439" s="29" t="str">
        <f t="shared" si="237"/>
        <v>#REF!</v>
      </c>
      <c r="AR439" s="77" t="str">
        <f t="shared" si="238"/>
        <v>#REF!</v>
      </c>
      <c r="AS439" s="73"/>
      <c r="AT439" s="39"/>
    </row>
    <row r="440" ht="15.75" customHeight="1">
      <c r="A440" s="7" t="s">
        <v>1049</v>
      </c>
      <c r="B440" s="7" t="s">
        <v>752</v>
      </c>
      <c r="C440" s="7">
        <v>1997.0</v>
      </c>
      <c r="D440" s="7" t="b">
        <v>1</v>
      </c>
      <c r="E440" s="7">
        <v>1997.0</v>
      </c>
      <c r="F440" s="7" t="b">
        <v>1</v>
      </c>
      <c r="G440" s="7" t="b">
        <v>0</v>
      </c>
      <c r="H440" s="7" t="b">
        <v>0</v>
      </c>
      <c r="I440" s="7" t="b">
        <v>0</v>
      </c>
      <c r="J440" s="7">
        <v>480.0</v>
      </c>
      <c r="K440" s="7">
        <v>1.0</v>
      </c>
      <c r="L440" s="7">
        <v>6077.0</v>
      </c>
      <c r="M440" s="7">
        <v>0.0</v>
      </c>
      <c r="N440" s="7">
        <v>3664.0</v>
      </c>
      <c r="O440" s="7">
        <v>2251.9</v>
      </c>
      <c r="P440" s="9">
        <v>394.3</v>
      </c>
      <c r="Q440" s="7">
        <v>447.1</v>
      </c>
      <c r="R440" s="7">
        <v>20.74</v>
      </c>
      <c r="S440" s="7">
        <v>0.996939</v>
      </c>
      <c r="T440" s="7">
        <v>0.992857</v>
      </c>
      <c r="U440" s="10">
        <f t="shared" si="1"/>
        <v>6077</v>
      </c>
      <c r="V440" s="10">
        <f t="shared" si="2"/>
        <v>62.67191412</v>
      </c>
      <c r="W440" s="11">
        <f t="shared" si="3"/>
        <v>2.528551999</v>
      </c>
      <c r="X440" s="8">
        <f t="shared" si="265"/>
        <v>5694.046247</v>
      </c>
      <c r="Y440" s="12">
        <f t="shared" si="4"/>
        <v>4</v>
      </c>
      <c r="Z440" s="12">
        <f t="shared" si="5"/>
        <v>28470.23124</v>
      </c>
      <c r="AA440" s="12">
        <f t="shared" si="6"/>
        <v>12.64276</v>
      </c>
      <c r="AB440" s="13">
        <f t="shared" si="7"/>
        <v>0.9369830915</v>
      </c>
      <c r="AC440" s="8">
        <f t="shared" si="225"/>
        <v>5749.949623</v>
      </c>
      <c r="AD440" s="13">
        <f t="shared" si="226"/>
        <v>0.9461822647</v>
      </c>
      <c r="AE440" s="8">
        <f t="shared" si="227"/>
        <v>1393.385805</v>
      </c>
      <c r="AF440" s="73">
        <f t="shared" si="228"/>
        <v>270.4698986</v>
      </c>
      <c r="AG440" s="74" t="str">
        <f t="shared" si="229"/>
        <v>#REF!</v>
      </c>
      <c r="AH440" s="73">
        <f t="shared" si="230"/>
        <v>0</v>
      </c>
      <c r="AI440" s="73">
        <f t="shared" si="231"/>
        <v>0</v>
      </c>
      <c r="AJ440" s="75">
        <f t="shared" si="232"/>
        <v>1.292691739</v>
      </c>
      <c r="AK440" s="73">
        <f t="shared" si="233"/>
        <v>0.8850982581</v>
      </c>
      <c r="AL440" s="73">
        <f t="shared" si="234"/>
        <v>6.246578596</v>
      </c>
      <c r="AM440" s="73">
        <f t="shared" si="235"/>
        <v>1.462062459</v>
      </c>
      <c r="AN440" s="75">
        <v>3494.49</v>
      </c>
      <c r="AO440" s="76">
        <v>3500.0</v>
      </c>
      <c r="AP440" s="73">
        <f t="shared" si="236"/>
        <v>3500</v>
      </c>
      <c r="AQ440" s="29" t="str">
        <f t="shared" si="237"/>
        <v>#REF!</v>
      </c>
      <c r="AR440" s="77" t="str">
        <f t="shared" si="238"/>
        <v>#REF!</v>
      </c>
      <c r="AS440" s="73"/>
      <c r="AT440" s="39"/>
    </row>
    <row r="441" ht="15.75" customHeight="1">
      <c r="A441" s="16" t="s">
        <v>455</v>
      </c>
      <c r="B441" s="16" t="s">
        <v>453</v>
      </c>
      <c r="C441" s="16">
        <v>1998.0</v>
      </c>
      <c r="D441" s="16" t="b">
        <v>1</v>
      </c>
      <c r="E441" s="16">
        <v>1998.0</v>
      </c>
      <c r="F441" s="16" t="b">
        <v>1</v>
      </c>
      <c r="G441" s="16" t="b">
        <v>0</v>
      </c>
      <c r="H441" s="16" t="b">
        <v>0</v>
      </c>
      <c r="I441" s="16" t="b">
        <v>0</v>
      </c>
      <c r="J441" s="18">
        <v>600.0</v>
      </c>
      <c r="K441" s="16">
        <v>1.0</v>
      </c>
      <c r="L441" s="16">
        <v>5000.0</v>
      </c>
      <c r="M441" s="16"/>
      <c r="N441" s="16">
        <v>3449.0</v>
      </c>
      <c r="O441" s="16">
        <v>2313.0</v>
      </c>
      <c r="P441" s="18">
        <v>359.1</v>
      </c>
      <c r="Q441" s="16">
        <v>460.7</v>
      </c>
      <c r="R441" s="16">
        <v>22.06</v>
      </c>
      <c r="S441" s="16">
        <v>0.997872</v>
      </c>
      <c r="T441" s="16">
        <v>0.997872</v>
      </c>
      <c r="U441" s="19">
        <f t="shared" si="1"/>
        <v>5000</v>
      </c>
      <c r="V441" s="19">
        <f t="shared" si="2"/>
        <v>68.38514334</v>
      </c>
      <c r="W441" s="20">
        <f t="shared" si="3"/>
        <v>2.519088165</v>
      </c>
      <c r="X441" s="17">
        <f t="shared" si="265"/>
        <v>5826.650926</v>
      </c>
      <c r="Y441" s="21">
        <f t="shared" si="4"/>
        <v>4</v>
      </c>
      <c r="Z441" s="21">
        <f t="shared" si="5"/>
        <v>29133.25463</v>
      </c>
      <c r="AA441" s="21">
        <f t="shared" si="6"/>
        <v>12.59544083</v>
      </c>
      <c r="AB441" s="22">
        <f t="shared" si="7"/>
        <v>1.165330185</v>
      </c>
      <c r="AC441" s="8">
        <f t="shared" si="225"/>
        <v>5918.412103</v>
      </c>
      <c r="AD441" s="13">
        <f t="shared" si="226"/>
        <v>1.183682421</v>
      </c>
      <c r="AE441" s="8">
        <f t="shared" si="227"/>
        <v>1380.311962</v>
      </c>
      <c r="AF441" s="73">
        <f t="shared" si="228"/>
        <v>277.0823233</v>
      </c>
      <c r="AG441" s="74" t="str">
        <f t="shared" si="229"/>
        <v>#REF!</v>
      </c>
      <c r="AH441" s="73">
        <f t="shared" si="230"/>
        <v>0</v>
      </c>
      <c r="AI441" s="73">
        <f t="shared" si="231"/>
        <v>0</v>
      </c>
      <c r="AJ441" s="75">
        <f t="shared" si="232"/>
        <v>1.115617794</v>
      </c>
      <c r="AK441" s="73">
        <f t="shared" si="233"/>
        <v>0.9245616755</v>
      </c>
      <c r="AL441" s="73">
        <f t="shared" si="234"/>
        <v>7.699337276</v>
      </c>
      <c r="AM441" s="73">
        <f t="shared" si="235"/>
        <v>1.526203901</v>
      </c>
      <c r="AN441" s="75">
        <v>4531.24</v>
      </c>
      <c r="AO441" s="76">
        <v>4500.0</v>
      </c>
      <c r="AP441" s="73">
        <f t="shared" si="236"/>
        <v>4500</v>
      </c>
      <c r="AQ441" s="29" t="str">
        <f t="shared" si="237"/>
        <v>#REF!</v>
      </c>
      <c r="AR441" s="77" t="str">
        <f t="shared" si="238"/>
        <v>#REF!</v>
      </c>
      <c r="AS441" s="73"/>
      <c r="AT441" s="39"/>
    </row>
    <row r="442" ht="15.75" customHeight="1">
      <c r="A442" s="16" t="s">
        <v>1050</v>
      </c>
      <c r="B442" s="16" t="s">
        <v>1051</v>
      </c>
      <c r="C442" s="16">
        <v>1998.0</v>
      </c>
      <c r="D442" s="16" t="b">
        <v>1</v>
      </c>
      <c r="E442" s="16">
        <v>1998.0</v>
      </c>
      <c r="F442" s="16" t="b">
        <v>1</v>
      </c>
      <c r="G442" s="16" t="b">
        <v>0</v>
      </c>
      <c r="H442" s="16" t="b">
        <v>1</v>
      </c>
      <c r="I442" s="16" t="b">
        <v>0</v>
      </c>
      <c r="J442" s="18">
        <v>3600.0</v>
      </c>
      <c r="K442" s="18">
        <v>60.0</v>
      </c>
      <c r="L442" s="16"/>
      <c r="M442" s="16"/>
      <c r="N442" s="16">
        <v>7000.0</v>
      </c>
      <c r="O442" s="16">
        <v>392.27</v>
      </c>
      <c r="P442" s="18">
        <v>444.0</v>
      </c>
      <c r="Q442" s="16">
        <v>925.0</v>
      </c>
      <c r="R442" s="16">
        <v>4.8</v>
      </c>
      <c r="S442" s="16">
        <v>1.0</v>
      </c>
      <c r="T442" s="16">
        <v>1.0</v>
      </c>
      <c r="U442" s="19">
        <f t="shared" si="1"/>
        <v>0</v>
      </c>
      <c r="V442" s="19">
        <f t="shared" si="2"/>
        <v>5.714343967</v>
      </c>
      <c r="W442" s="20">
        <f t="shared" si="3"/>
        <v>13.94336234</v>
      </c>
      <c r="X442" s="17">
        <f t="shared" si="265"/>
        <v>5469.562745</v>
      </c>
      <c r="Y442" s="21">
        <f t="shared" si="4"/>
        <v>4</v>
      </c>
      <c r="Z442" s="21">
        <f t="shared" si="5"/>
        <v>27347.81373</v>
      </c>
      <c r="AA442" s="21">
        <f t="shared" si="6"/>
        <v>69.7168117</v>
      </c>
      <c r="AB442" s="22" t="str">
        <f t="shared" si="7"/>
        <v>#N/A</v>
      </c>
      <c r="AC442" s="8">
        <f t="shared" si="225"/>
        <v>5578.954</v>
      </c>
      <c r="AD442" s="13" t="str">
        <f t="shared" si="226"/>
        <v>#N/A</v>
      </c>
      <c r="AE442" s="8">
        <f t="shared" si="227"/>
        <v>2883.150578</v>
      </c>
      <c r="AF442" s="73">
        <f t="shared" si="228"/>
        <v>60.32193292</v>
      </c>
      <c r="AG442" s="74" t="str">
        <f t="shared" si="229"/>
        <v>#REF!</v>
      </c>
      <c r="AH442" s="73">
        <f t="shared" si="230"/>
        <v>0</v>
      </c>
      <c r="AI442" s="73">
        <f t="shared" si="231"/>
        <v>0.8386048453</v>
      </c>
      <c r="AJ442" s="75">
        <f t="shared" si="232"/>
        <v>1</v>
      </c>
      <c r="AK442" s="73">
        <f t="shared" si="233"/>
        <v>0.2672626042</v>
      </c>
      <c r="AL442" s="73">
        <f t="shared" si="234"/>
        <v>64.49976355</v>
      </c>
      <c r="AM442" s="73">
        <f t="shared" si="235"/>
        <v>1.926089075</v>
      </c>
      <c r="AN442" s="75">
        <v>12091.2</v>
      </c>
      <c r="AO442" s="76">
        <v>12000.0</v>
      </c>
      <c r="AP442" s="73">
        <f t="shared" si="236"/>
        <v>12000</v>
      </c>
      <c r="AQ442" s="29" t="str">
        <f t="shared" si="237"/>
        <v>#REF!</v>
      </c>
      <c r="AR442" s="77" t="str">
        <f t="shared" si="238"/>
        <v>#REF!</v>
      </c>
      <c r="AS442" s="73"/>
      <c r="AT442" s="39"/>
    </row>
    <row r="443" ht="15.75" customHeight="1">
      <c r="A443" s="7" t="s">
        <v>671</v>
      </c>
      <c r="B443" s="7" t="s">
        <v>660</v>
      </c>
      <c r="C443" s="7">
        <v>1998.0</v>
      </c>
      <c r="D443" s="7" t="b">
        <v>1</v>
      </c>
      <c r="E443" s="7">
        <v>1998.0</v>
      </c>
      <c r="F443" s="7" t="b">
        <v>1</v>
      </c>
      <c r="G443" s="7" t="b">
        <v>0</v>
      </c>
      <c r="H443" s="7" t="b">
        <v>1</v>
      </c>
      <c r="I443" s="7" t="b">
        <v>0</v>
      </c>
      <c r="J443" s="9">
        <v>1130.0</v>
      </c>
      <c r="K443" s="9">
        <v>15.0</v>
      </c>
      <c r="L443" s="7">
        <v>500.0</v>
      </c>
      <c r="M443" s="7">
        <v>2800.0</v>
      </c>
      <c r="N443" s="7">
        <v>277.0</v>
      </c>
      <c r="O443" s="7">
        <v>110.1</v>
      </c>
      <c r="P443" s="9">
        <v>1.0</v>
      </c>
      <c r="Q443" s="7">
        <v>465.5</v>
      </c>
      <c r="R443" s="7">
        <v>4.44</v>
      </c>
      <c r="S443" s="7">
        <v>0.996067</v>
      </c>
      <c r="T443" s="7">
        <v>0.996667</v>
      </c>
      <c r="U443" s="10">
        <f t="shared" si="1"/>
        <v>3300</v>
      </c>
      <c r="V443" s="10">
        <f t="shared" si="2"/>
        <v>40.53095838</v>
      </c>
      <c r="W443" s="11">
        <f t="shared" si="3"/>
        <v>8.075218183</v>
      </c>
      <c r="X443" s="8">
        <f t="shared" si="265"/>
        <v>889.081522</v>
      </c>
      <c r="Y443" s="12">
        <f t="shared" si="4"/>
        <v>4</v>
      </c>
      <c r="Z443" s="12">
        <f t="shared" si="5"/>
        <v>4445.40761</v>
      </c>
      <c r="AA443" s="12">
        <f t="shared" si="6"/>
        <v>40.37609092</v>
      </c>
      <c r="AB443" s="13">
        <f t="shared" si="7"/>
        <v>0.269418643</v>
      </c>
      <c r="AC443" s="8">
        <f t="shared" si="225"/>
        <v>900.4147408</v>
      </c>
      <c r="AD443" s="13">
        <f t="shared" si="226"/>
        <v>0.2728529518</v>
      </c>
      <c r="AE443" s="8">
        <f t="shared" si="227"/>
        <v>261.6769935</v>
      </c>
      <c r="AF443" s="73">
        <f t="shared" si="228"/>
        <v>23.04108274</v>
      </c>
      <c r="AG443" s="74" t="str">
        <f t="shared" si="229"/>
        <v>#REF!</v>
      </c>
      <c r="AH443" s="73">
        <f t="shared" si="230"/>
        <v>0</v>
      </c>
      <c r="AI443" s="73">
        <f t="shared" si="231"/>
        <v>0.6272838613</v>
      </c>
      <c r="AJ443" s="75">
        <f t="shared" si="232"/>
        <v>1</v>
      </c>
      <c r="AK443" s="73">
        <f t="shared" si="233"/>
        <v>0.7117843633</v>
      </c>
      <c r="AL443" s="73">
        <f t="shared" si="234"/>
        <v>8.657977</v>
      </c>
      <c r="AM443" s="73">
        <f t="shared" si="235"/>
        <v>1.689162817</v>
      </c>
      <c r="AN443" s="75">
        <v>479.03</v>
      </c>
      <c r="AO443" s="76">
        <v>480.0</v>
      </c>
      <c r="AP443" s="73">
        <f t="shared" si="236"/>
        <v>480</v>
      </c>
      <c r="AQ443" s="29" t="str">
        <f t="shared" si="237"/>
        <v>#REF!</v>
      </c>
      <c r="AR443" s="77" t="str">
        <f t="shared" si="238"/>
        <v>#REF!</v>
      </c>
      <c r="AS443" s="73"/>
      <c r="AT443" s="39"/>
    </row>
    <row r="444" ht="15.75" customHeight="1">
      <c r="A444" s="7" t="s">
        <v>700</v>
      </c>
      <c r="B444" s="7" t="s">
        <v>698</v>
      </c>
      <c r="C444" s="7">
        <v>1998.0</v>
      </c>
      <c r="D444" s="7" t="b">
        <v>1</v>
      </c>
      <c r="E444" s="7">
        <v>1998.0</v>
      </c>
      <c r="F444" s="7" t="b">
        <v>1</v>
      </c>
      <c r="G444" s="7" t="b">
        <v>0</v>
      </c>
      <c r="H444" s="7" t="b">
        <v>1</v>
      </c>
      <c r="I444" s="7" t="b">
        <v>0</v>
      </c>
      <c r="J444" s="9">
        <v>72000.0</v>
      </c>
      <c r="K444" s="9">
        <v>300.0</v>
      </c>
      <c r="L444" s="7"/>
      <c r="M444" s="7">
        <v>300.0</v>
      </c>
      <c r="N444" s="7">
        <v>184.6</v>
      </c>
      <c r="O444" s="7">
        <v>66.7</v>
      </c>
      <c r="P444" s="9">
        <v>1.0</v>
      </c>
      <c r="Q444" s="7">
        <v>492.0</v>
      </c>
      <c r="R444" s="7">
        <v>14.15</v>
      </c>
      <c r="S444" s="7">
        <v>0.99486</v>
      </c>
      <c r="T444" s="7">
        <v>0.99717</v>
      </c>
      <c r="U444" s="10">
        <f t="shared" si="1"/>
        <v>300</v>
      </c>
      <c r="V444" s="10">
        <f t="shared" si="2"/>
        <v>36.84456728</v>
      </c>
      <c r="W444" s="11">
        <f t="shared" si="3"/>
        <v>14.48898547</v>
      </c>
      <c r="X444" s="8">
        <f t="shared" si="265"/>
        <v>966.415331</v>
      </c>
      <c r="Y444" s="12">
        <f t="shared" si="4"/>
        <v>4</v>
      </c>
      <c r="Z444" s="12">
        <f t="shared" si="5"/>
        <v>4832.076655</v>
      </c>
      <c r="AA444" s="12">
        <f t="shared" si="6"/>
        <v>72.44492736</v>
      </c>
      <c r="AB444" s="13">
        <f t="shared" si="7"/>
        <v>3.221384437</v>
      </c>
      <c r="AC444" s="8">
        <f t="shared" si="225"/>
        <v>978.0553651</v>
      </c>
      <c r="AD444" s="13">
        <f t="shared" si="226"/>
        <v>3.26018455</v>
      </c>
      <c r="AE444" s="8">
        <f t="shared" si="227"/>
        <v>235.850015</v>
      </c>
      <c r="AF444" s="73">
        <f t="shared" si="228"/>
        <v>16.34657754</v>
      </c>
      <c r="AG444" s="74" t="str">
        <f t="shared" si="229"/>
        <v>#REF!</v>
      </c>
      <c r="AH444" s="73">
        <f t="shared" si="230"/>
        <v>0</v>
      </c>
      <c r="AI444" s="73">
        <f t="shared" si="231"/>
        <v>1.020634242</v>
      </c>
      <c r="AJ444" s="75">
        <f t="shared" si="232"/>
        <v>1</v>
      </c>
      <c r="AK444" s="73">
        <f t="shared" si="233"/>
        <v>0.678643567</v>
      </c>
      <c r="AL444" s="73">
        <f t="shared" si="234"/>
        <v>11.51678122</v>
      </c>
      <c r="AM444" s="73">
        <f t="shared" si="235"/>
        <v>2.290732205</v>
      </c>
      <c r="AN444" s="75">
        <v>698.62</v>
      </c>
      <c r="AO444" s="76">
        <v>700.0</v>
      </c>
      <c r="AP444" s="73">
        <f t="shared" si="236"/>
        <v>700</v>
      </c>
      <c r="AQ444" s="29" t="str">
        <f t="shared" si="237"/>
        <v>#REF!</v>
      </c>
      <c r="AR444" s="77" t="str">
        <f t="shared" si="238"/>
        <v>#REF!</v>
      </c>
      <c r="AS444" s="73"/>
      <c r="AT444" s="39"/>
    </row>
    <row r="445" ht="15.75" customHeight="1">
      <c r="A445" s="16" t="s">
        <v>1052</v>
      </c>
      <c r="B445" s="16" t="s">
        <v>605</v>
      </c>
      <c r="C445" s="16">
        <v>1999.0</v>
      </c>
      <c r="D445" s="16"/>
      <c r="E445" s="16">
        <v>1999.0</v>
      </c>
      <c r="F445" s="16" t="b">
        <v>1</v>
      </c>
      <c r="G445" s="16" t="b">
        <v>0</v>
      </c>
      <c r="H445" s="16" t="b">
        <v>1</v>
      </c>
      <c r="I445" s="16" t="b">
        <v>0</v>
      </c>
      <c r="J445" s="18">
        <v>225.0</v>
      </c>
      <c r="K445" s="16">
        <v>1.0</v>
      </c>
      <c r="L445" s="16">
        <v>525.0</v>
      </c>
      <c r="M445" s="16">
        <v>200.0</v>
      </c>
      <c r="N445" s="16">
        <v>1436.0</v>
      </c>
      <c r="O445" s="16">
        <v>1834.0</v>
      </c>
      <c r="P445" s="18">
        <v>243.0</v>
      </c>
      <c r="Q445" s="16">
        <v>327.8</v>
      </c>
      <c r="R445" s="16">
        <v>15.69</v>
      </c>
      <c r="S445" s="16">
        <v>0.999289</v>
      </c>
      <c r="T445" s="16">
        <v>0.999289</v>
      </c>
      <c r="U445" s="19">
        <f t="shared" si="1"/>
        <v>725</v>
      </c>
      <c r="V445" s="19">
        <f t="shared" si="2"/>
        <v>130.2339505</v>
      </c>
      <c r="W445" s="20">
        <f t="shared" si="3"/>
        <v>0.358060273</v>
      </c>
      <c r="X445" s="17">
        <f t="shared" ref="X445:X446" si="266">0.2*(8.17*POWER(N445*R445,0.46))+0.8*(0.146*POWER(N445*Q445,0.639))</f>
        <v>656.6825407</v>
      </c>
      <c r="Y445" s="21">
        <f t="shared" si="4"/>
        <v>4</v>
      </c>
      <c r="Z445" s="21">
        <f t="shared" si="5"/>
        <v>3283.412704</v>
      </c>
      <c r="AA445" s="21">
        <f t="shared" si="6"/>
        <v>1.790301365</v>
      </c>
      <c r="AB445" s="22">
        <f t="shared" si="7"/>
        <v>0.9057690217</v>
      </c>
      <c r="AC445" s="8">
        <f t="shared" si="225"/>
        <v>668.8827209</v>
      </c>
      <c r="AD445" s="13">
        <f t="shared" si="226"/>
        <v>0.9225968565</v>
      </c>
      <c r="AE445" s="8">
        <f t="shared" si="227"/>
        <v>668.8827209</v>
      </c>
      <c r="AF445" s="73">
        <f t="shared" si="228"/>
        <v>224.9559521</v>
      </c>
      <c r="AG445" s="74" t="str">
        <f t="shared" si="229"/>
        <v>#REF!</v>
      </c>
      <c r="AH445" s="73">
        <f t="shared" si="230"/>
        <v>0</v>
      </c>
      <c r="AI445" s="73">
        <f t="shared" si="231"/>
        <v>0</v>
      </c>
      <c r="AJ445" s="75">
        <f t="shared" si="232"/>
        <v>1.064914141</v>
      </c>
      <c r="AK445" s="73">
        <f t="shared" si="233"/>
        <v>1.275901399</v>
      </c>
      <c r="AL445" s="73">
        <f t="shared" si="234"/>
        <v>1.340570527</v>
      </c>
      <c r="AM445" s="73">
        <f t="shared" si="235"/>
        <v>1.214285721</v>
      </c>
      <c r="AN445" s="75">
        <v>633.47</v>
      </c>
      <c r="AO445" s="76">
        <v>630.0</v>
      </c>
      <c r="AP445" s="73">
        <f t="shared" si="236"/>
        <v>630</v>
      </c>
      <c r="AQ445" s="29" t="str">
        <f t="shared" si="237"/>
        <v>#REF!</v>
      </c>
      <c r="AR445" s="77" t="str">
        <f t="shared" si="238"/>
        <v>#REF!</v>
      </c>
      <c r="AS445" s="73"/>
      <c r="AT445" s="39"/>
    </row>
    <row r="446" ht="15.75" customHeight="1">
      <c r="A446" s="16" t="s">
        <v>743</v>
      </c>
      <c r="B446" s="16" t="s">
        <v>744</v>
      </c>
      <c r="C446" s="16">
        <v>1999.0</v>
      </c>
      <c r="D446" s="16"/>
      <c r="E446" s="16">
        <v>1999.0</v>
      </c>
      <c r="F446" s="16" t="b">
        <v>1</v>
      </c>
      <c r="G446" s="16" t="b">
        <v>0</v>
      </c>
      <c r="H446" s="16" t="b">
        <v>1</v>
      </c>
      <c r="I446" s="16" t="b">
        <v>0</v>
      </c>
      <c r="J446" s="18">
        <v>3200.0</v>
      </c>
      <c r="K446" s="18">
        <v>8.0</v>
      </c>
      <c r="L446" s="16">
        <v>500.0</v>
      </c>
      <c r="M446" s="16">
        <v>0.0</v>
      </c>
      <c r="N446" s="16">
        <v>95.0</v>
      </c>
      <c r="O446" s="16">
        <v>19.61</v>
      </c>
      <c r="P446" s="18">
        <v>216.0</v>
      </c>
      <c r="Q446" s="16">
        <v>328.0</v>
      </c>
      <c r="R446" s="16">
        <v>9.8</v>
      </c>
      <c r="S446" s="16">
        <v>0.999109</v>
      </c>
      <c r="T446" s="16">
        <v>0.990594</v>
      </c>
      <c r="U446" s="19">
        <f t="shared" si="1"/>
        <v>500</v>
      </c>
      <c r="V446" s="19">
        <f t="shared" si="2"/>
        <v>21.04908935</v>
      </c>
      <c r="W446" s="20">
        <f t="shared" si="3"/>
        <v>6.363852148</v>
      </c>
      <c r="X446" s="17">
        <f t="shared" si="266"/>
        <v>124.7951406</v>
      </c>
      <c r="Y446" s="21">
        <f t="shared" si="4"/>
        <v>4</v>
      </c>
      <c r="Z446" s="21">
        <f t="shared" si="5"/>
        <v>623.9757031</v>
      </c>
      <c r="AA446" s="21">
        <f t="shared" si="6"/>
        <v>31.81926074</v>
      </c>
      <c r="AB446" s="22">
        <f t="shared" si="7"/>
        <v>0.2495902813</v>
      </c>
      <c r="AC446" s="8">
        <f t="shared" si="225"/>
        <v>126.0070738</v>
      </c>
      <c r="AD446" s="13">
        <f t="shared" si="226"/>
        <v>0.2520141475</v>
      </c>
      <c r="AE446" s="8">
        <f t="shared" si="227"/>
        <v>126.0070738</v>
      </c>
      <c r="AF446" s="73">
        <f t="shared" si="228"/>
        <v>7.702032264</v>
      </c>
      <c r="AG446" s="74" t="str">
        <f t="shared" si="229"/>
        <v>#REF!</v>
      </c>
      <c r="AH446" s="73">
        <f t="shared" si="230"/>
        <v>0</v>
      </c>
      <c r="AI446" s="73">
        <f t="shared" si="231"/>
        <v>0.5103690669</v>
      </c>
      <c r="AJ446" s="75">
        <f t="shared" si="232"/>
        <v>1</v>
      </c>
      <c r="AK446" s="73">
        <f t="shared" si="233"/>
        <v>0.5129460174</v>
      </c>
      <c r="AL446" s="73">
        <f t="shared" si="234"/>
        <v>1.343684653</v>
      </c>
      <c r="AM446" s="73">
        <f t="shared" si="235"/>
        <v>1.905132255</v>
      </c>
      <c r="AN446" s="75">
        <v>22.99</v>
      </c>
      <c r="AO446" s="76">
        <v>23.0</v>
      </c>
      <c r="AP446" s="73">
        <f t="shared" si="236"/>
        <v>23</v>
      </c>
      <c r="AQ446" s="29" t="str">
        <f t="shared" si="237"/>
        <v>#REF!</v>
      </c>
      <c r="AR446" s="77" t="str">
        <f t="shared" si="238"/>
        <v>#REF!</v>
      </c>
      <c r="AS446" s="73"/>
      <c r="AT446" s="39"/>
    </row>
    <row r="447" ht="15.75" customHeight="1">
      <c r="A447" s="7" t="s">
        <v>842</v>
      </c>
      <c r="B447" s="7" t="s">
        <v>843</v>
      </c>
      <c r="C447" s="7">
        <v>1999.0</v>
      </c>
      <c r="D447" s="7" t="b">
        <v>1</v>
      </c>
      <c r="E447" s="7">
        <v>1999.0</v>
      </c>
      <c r="F447" s="7" t="b">
        <v>1</v>
      </c>
      <c r="G447" s="7" t="b">
        <v>0</v>
      </c>
      <c r="H447" s="7" t="b">
        <v>0</v>
      </c>
      <c r="I447" s="7" t="b">
        <v>0</v>
      </c>
      <c r="J447" s="7"/>
      <c r="K447" s="7">
        <v>1.0</v>
      </c>
      <c r="L447" s="7"/>
      <c r="M447" s="7">
        <v>0.0</v>
      </c>
      <c r="N447" s="7">
        <v>3500.0</v>
      </c>
      <c r="O447" s="7">
        <v>1169.3</v>
      </c>
      <c r="P447" s="9">
        <v>339.0</v>
      </c>
      <c r="Q447" s="7">
        <v>436.0</v>
      </c>
      <c r="R447" s="7">
        <v>5.91</v>
      </c>
      <c r="S447" s="9">
        <v>1.0</v>
      </c>
      <c r="T447" s="9">
        <v>1.0</v>
      </c>
      <c r="U447" s="10">
        <f t="shared" si="1"/>
        <v>0</v>
      </c>
      <c r="V447" s="10">
        <f t="shared" si="2"/>
        <v>34.06726184</v>
      </c>
      <c r="W447" s="11">
        <f t="shared" si="3"/>
        <v>1.979952019</v>
      </c>
      <c r="X447" s="8">
        <f t="shared" ref="X447:X449" si="267">0.9*(0.00015*N447*Q447*R447+797)+0.1*(43.1*POWER(N447,0.549))</f>
        <v>2315.157895</v>
      </c>
      <c r="Y447" s="12">
        <f t="shared" si="4"/>
        <v>4</v>
      </c>
      <c r="Z447" s="12">
        <f t="shared" si="5"/>
        <v>11575.78948</v>
      </c>
      <c r="AA447" s="12">
        <f t="shared" si="6"/>
        <v>9.899760093</v>
      </c>
      <c r="AB447" s="13" t="str">
        <f t="shared" si="7"/>
        <v>#N/A</v>
      </c>
      <c r="AC447" s="8">
        <f t="shared" si="225"/>
        <v>2361.461053</v>
      </c>
      <c r="AD447" s="13" t="str">
        <f t="shared" si="226"/>
        <v>#N/A</v>
      </c>
      <c r="AE447" s="8">
        <f t="shared" si="227"/>
        <v>1226.047117</v>
      </c>
      <c r="AF447" s="73">
        <f t="shared" si="228"/>
        <v>151.164458</v>
      </c>
      <c r="AG447" s="74" t="str">
        <f t="shared" si="229"/>
        <v>#REF!</v>
      </c>
      <c r="AH447" s="73">
        <f t="shared" si="230"/>
        <v>0</v>
      </c>
      <c r="AI447" s="73">
        <f t="shared" si="231"/>
        <v>0</v>
      </c>
      <c r="AJ447" s="75">
        <f t="shared" si="232"/>
        <v>1.11280854</v>
      </c>
      <c r="AK447" s="73">
        <f t="shared" si="233"/>
        <v>0.6525647654</v>
      </c>
      <c r="AL447" s="73">
        <f t="shared" si="234"/>
        <v>5.368527035</v>
      </c>
      <c r="AM447" s="73">
        <f t="shared" si="235"/>
        <v>1</v>
      </c>
      <c r="AN447" s="75">
        <v>1140.16</v>
      </c>
      <c r="AO447" s="76">
        <v>1150.0</v>
      </c>
      <c r="AP447" s="73">
        <f t="shared" si="236"/>
        <v>1150</v>
      </c>
      <c r="AQ447" s="29" t="str">
        <f t="shared" si="237"/>
        <v>#REF!</v>
      </c>
      <c r="AR447" s="77" t="str">
        <f t="shared" si="238"/>
        <v>#REF!</v>
      </c>
      <c r="AS447" s="73"/>
      <c r="AT447" s="39"/>
    </row>
    <row r="448" ht="15.75" customHeight="1">
      <c r="A448" s="16" t="s">
        <v>672</v>
      </c>
      <c r="B448" s="16" t="s">
        <v>660</v>
      </c>
      <c r="C448" s="16">
        <v>2000.0</v>
      </c>
      <c r="D448" s="16" t="b">
        <v>1</v>
      </c>
      <c r="E448" s="16">
        <v>2000.0</v>
      </c>
      <c r="F448" s="16" t="b">
        <v>1</v>
      </c>
      <c r="G448" s="16" t="b">
        <v>0</v>
      </c>
      <c r="H448" s="16" t="b">
        <v>1</v>
      </c>
      <c r="I448" s="16" t="b">
        <v>0</v>
      </c>
      <c r="J448" s="18">
        <v>850.0</v>
      </c>
      <c r="K448" s="18">
        <v>20.0</v>
      </c>
      <c r="L448" s="16">
        <v>500.0</v>
      </c>
      <c r="M448" s="16">
        <v>1200.0</v>
      </c>
      <c r="N448" s="16">
        <v>142.0</v>
      </c>
      <c r="O448" s="16">
        <v>97.9</v>
      </c>
      <c r="P448" s="18">
        <v>249.0</v>
      </c>
      <c r="Q448" s="16">
        <v>446.4</v>
      </c>
      <c r="R448" s="16">
        <v>4.2</v>
      </c>
      <c r="S448" s="16">
        <v>0.998485</v>
      </c>
      <c r="T448" s="16">
        <v>0.997</v>
      </c>
      <c r="U448" s="19">
        <f t="shared" si="1"/>
        <v>1700</v>
      </c>
      <c r="V448" s="19">
        <f t="shared" si="2"/>
        <v>70.30296969</v>
      </c>
      <c r="W448" s="20">
        <f t="shared" si="3"/>
        <v>8.362795356</v>
      </c>
      <c r="X448" s="17">
        <f t="shared" si="267"/>
        <v>818.7176654</v>
      </c>
      <c r="Y448" s="21">
        <f t="shared" si="4"/>
        <v>4</v>
      </c>
      <c r="Z448" s="21">
        <f t="shared" si="5"/>
        <v>4093.588327</v>
      </c>
      <c r="AA448" s="21">
        <f t="shared" si="6"/>
        <v>41.81397678</v>
      </c>
      <c r="AB448" s="22">
        <f t="shared" si="7"/>
        <v>0.4815986267</v>
      </c>
      <c r="AC448" s="8">
        <f t="shared" si="225"/>
        <v>831.3992295</v>
      </c>
      <c r="AD448" s="13">
        <f t="shared" si="226"/>
        <v>0.4890583703</v>
      </c>
      <c r="AE448" s="8">
        <f t="shared" si="227"/>
        <v>170.2502607</v>
      </c>
      <c r="AF448" s="73">
        <f t="shared" si="228"/>
        <v>21.22003682</v>
      </c>
      <c r="AG448" s="74" t="str">
        <f t="shared" si="229"/>
        <v>#REF!</v>
      </c>
      <c r="AH448" s="73">
        <f t="shared" si="230"/>
        <v>0</v>
      </c>
      <c r="AI448" s="73">
        <f t="shared" si="231"/>
        <v>0.6760795925</v>
      </c>
      <c r="AJ448" s="75">
        <f t="shared" si="232"/>
        <v>1</v>
      </c>
      <c r="AK448" s="73">
        <f t="shared" si="233"/>
        <v>0.9374364624</v>
      </c>
      <c r="AL448" s="73">
        <f t="shared" si="234"/>
        <v>6.186975335</v>
      </c>
      <c r="AM448" s="73">
        <f t="shared" si="235"/>
        <v>1.619173421</v>
      </c>
      <c r="AN448" s="75">
        <v>355.73</v>
      </c>
      <c r="AO448" s="76">
        <v>360.0</v>
      </c>
      <c r="AP448" s="73">
        <f t="shared" si="236"/>
        <v>360</v>
      </c>
      <c r="AQ448" s="29" t="str">
        <f t="shared" si="237"/>
        <v>#REF!</v>
      </c>
      <c r="AR448" s="77" t="str">
        <f t="shared" si="238"/>
        <v>#REF!</v>
      </c>
      <c r="AS448" s="73"/>
      <c r="AT448" s="39"/>
    </row>
    <row r="449" ht="15.75" customHeight="1">
      <c r="A449" s="7" t="s">
        <v>673</v>
      </c>
      <c r="B449" s="7" t="s">
        <v>660</v>
      </c>
      <c r="C449" s="7">
        <v>2000.0</v>
      </c>
      <c r="D449" s="7" t="b">
        <v>1</v>
      </c>
      <c r="E449" s="7">
        <v>2000.0</v>
      </c>
      <c r="F449" s="7" t="b">
        <v>1</v>
      </c>
      <c r="G449" s="7" t="b">
        <v>0</v>
      </c>
      <c r="H449" s="7" t="b">
        <v>1</v>
      </c>
      <c r="I449" s="7" t="b">
        <v>0</v>
      </c>
      <c r="J449" s="9">
        <v>894.0</v>
      </c>
      <c r="K449" s="9">
        <v>20.0</v>
      </c>
      <c r="L449" s="7">
        <v>500.0</v>
      </c>
      <c r="M449" s="7">
        <v>1800.0</v>
      </c>
      <c r="N449" s="7">
        <v>168.0</v>
      </c>
      <c r="O449" s="7">
        <v>99.2</v>
      </c>
      <c r="P449" s="9">
        <v>217.0</v>
      </c>
      <c r="Q449" s="7">
        <v>451.0</v>
      </c>
      <c r="R449" s="7">
        <v>4.2</v>
      </c>
      <c r="S449" s="7">
        <v>0.998485</v>
      </c>
      <c r="T449" s="7">
        <v>0.997</v>
      </c>
      <c r="U449" s="10">
        <f t="shared" si="1"/>
        <v>2300</v>
      </c>
      <c r="V449" s="10">
        <f t="shared" si="2"/>
        <v>60.2118143</v>
      </c>
      <c r="W449" s="11">
        <f t="shared" si="3"/>
        <v>8.38778558</v>
      </c>
      <c r="X449" s="8">
        <f t="shared" si="267"/>
        <v>832.0683295</v>
      </c>
      <c r="Y449" s="12">
        <f t="shared" si="4"/>
        <v>4</v>
      </c>
      <c r="Z449" s="12">
        <f t="shared" si="5"/>
        <v>4160.341647</v>
      </c>
      <c r="AA449" s="12">
        <f t="shared" si="6"/>
        <v>41.9389279</v>
      </c>
      <c r="AB449" s="13">
        <f t="shared" si="7"/>
        <v>0.3617688389</v>
      </c>
      <c r="AC449" s="8">
        <f t="shared" si="225"/>
        <v>844.9566893</v>
      </c>
      <c r="AD449" s="13">
        <f t="shared" si="226"/>
        <v>0.3673724736</v>
      </c>
      <c r="AE449" s="8">
        <f t="shared" si="227"/>
        <v>189.5409402</v>
      </c>
      <c r="AF449" s="73">
        <f t="shared" si="228"/>
        <v>21.41594787</v>
      </c>
      <c r="AG449" s="74" t="str">
        <f t="shared" si="229"/>
        <v>#REF!</v>
      </c>
      <c r="AH449" s="73">
        <f t="shared" si="230"/>
        <v>0</v>
      </c>
      <c r="AI449" s="73">
        <f t="shared" si="231"/>
        <v>0.6760795925</v>
      </c>
      <c r="AJ449" s="75">
        <f t="shared" si="232"/>
        <v>1</v>
      </c>
      <c r="AK449" s="73">
        <f t="shared" si="233"/>
        <v>0.8675526951</v>
      </c>
      <c r="AL449" s="73">
        <f t="shared" si="234"/>
        <v>6.589867833</v>
      </c>
      <c r="AM449" s="73">
        <f t="shared" si="235"/>
        <v>1.631959802</v>
      </c>
      <c r="AN449" s="75">
        <v>375.1</v>
      </c>
      <c r="AO449" s="76">
        <v>380.0</v>
      </c>
      <c r="AP449" s="73">
        <f t="shared" si="236"/>
        <v>380</v>
      </c>
      <c r="AQ449" s="29" t="str">
        <f t="shared" si="237"/>
        <v>#REF!</v>
      </c>
      <c r="AR449" s="77" t="str">
        <f t="shared" si="238"/>
        <v>#REF!</v>
      </c>
      <c r="AS449" s="73"/>
      <c r="AT449" s="39"/>
    </row>
    <row r="450" ht="15.75" customHeight="1">
      <c r="A450" s="16" t="s">
        <v>742</v>
      </c>
      <c r="B450" s="16" t="s">
        <v>741</v>
      </c>
      <c r="C450" s="16">
        <v>2000.0</v>
      </c>
      <c r="D450" s="16" t="b">
        <v>1</v>
      </c>
      <c r="E450" s="16">
        <v>2000.0</v>
      </c>
      <c r="F450" s="16" t="b">
        <v>1</v>
      </c>
      <c r="G450" s="16" t="b">
        <v>0</v>
      </c>
      <c r="H450" s="16" t="b">
        <v>1</v>
      </c>
      <c r="I450" s="16" t="b">
        <v>0</v>
      </c>
      <c r="J450" s="18">
        <v>2000.0</v>
      </c>
      <c r="K450" s="18">
        <v>50.0</v>
      </c>
      <c r="L450" s="16">
        <v>600.0</v>
      </c>
      <c r="M450" s="16">
        <v>0.0</v>
      </c>
      <c r="N450" s="16">
        <v>80.0</v>
      </c>
      <c r="O450" s="16">
        <v>20.01</v>
      </c>
      <c r="P450" s="18">
        <v>170.0</v>
      </c>
      <c r="Q450" s="16">
        <v>333.4</v>
      </c>
      <c r="R450" s="16">
        <v>9.6</v>
      </c>
      <c r="S450" s="16">
        <v>0.999455</v>
      </c>
      <c r="T450" s="16">
        <v>0.996237</v>
      </c>
      <c r="U450" s="19">
        <f t="shared" si="1"/>
        <v>600</v>
      </c>
      <c r="V450" s="19">
        <f t="shared" si="2"/>
        <v>25.5056517</v>
      </c>
      <c r="W450" s="20">
        <f t="shared" si="3"/>
        <v>5.665363838</v>
      </c>
      <c r="X450" s="17">
        <f t="shared" ref="X450:X453" si="268">0.2*(8.17*POWER(N450*R450,0.46))+0.8*(0.146*POWER(N450*Q450,0.639))</f>
        <v>113.3639304</v>
      </c>
      <c r="Y450" s="21">
        <f t="shared" si="4"/>
        <v>4</v>
      </c>
      <c r="Z450" s="21">
        <f t="shared" si="5"/>
        <v>566.819652</v>
      </c>
      <c r="AA450" s="21">
        <f t="shared" si="6"/>
        <v>28.32681919</v>
      </c>
      <c r="AB450" s="22">
        <f t="shared" si="7"/>
        <v>0.188939884</v>
      </c>
      <c r="AC450" s="8">
        <f t="shared" si="225"/>
        <v>115.1430697</v>
      </c>
      <c r="AD450" s="13">
        <f t="shared" si="226"/>
        <v>0.1919051161</v>
      </c>
      <c r="AE450" s="8">
        <f t="shared" si="227"/>
        <v>115.1430697</v>
      </c>
      <c r="AF450" s="73">
        <f t="shared" si="228"/>
        <v>7.791072509</v>
      </c>
      <c r="AG450" s="74" t="str">
        <f t="shared" si="229"/>
        <v>#REF!</v>
      </c>
      <c r="AH450" s="73">
        <f t="shared" si="230"/>
        <v>0</v>
      </c>
      <c r="AI450" s="73">
        <f t="shared" si="231"/>
        <v>0.8140424221</v>
      </c>
      <c r="AJ450" s="75">
        <f t="shared" si="232"/>
        <v>1</v>
      </c>
      <c r="AK450" s="73">
        <f t="shared" si="233"/>
        <v>0.5646420515</v>
      </c>
      <c r="AL450" s="73">
        <f t="shared" si="234"/>
        <v>1.431407359</v>
      </c>
      <c r="AM450" s="73">
        <f t="shared" si="235"/>
        <v>1.814812553</v>
      </c>
      <c r="AN450" s="75">
        <v>30.98</v>
      </c>
      <c r="AO450" s="76">
        <v>31.0</v>
      </c>
      <c r="AP450" s="73">
        <f t="shared" si="236"/>
        <v>31</v>
      </c>
      <c r="AQ450" s="29" t="str">
        <f t="shared" si="237"/>
        <v>#REF!</v>
      </c>
      <c r="AR450" s="77" t="str">
        <f t="shared" si="238"/>
        <v>#REF!</v>
      </c>
      <c r="AS450" s="73"/>
      <c r="AT450" s="39"/>
    </row>
    <row r="451" ht="15.75" customHeight="1">
      <c r="A451" s="7" t="s">
        <v>740</v>
      </c>
      <c r="B451" s="7" t="s">
        <v>741</v>
      </c>
      <c r="C451" s="7">
        <v>2000.0</v>
      </c>
      <c r="D451" s="7"/>
      <c r="E451" s="7">
        <v>2000.0</v>
      </c>
      <c r="F451" s="7" t="b">
        <v>1</v>
      </c>
      <c r="G451" s="7" t="b">
        <v>0</v>
      </c>
      <c r="H451" s="7" t="b">
        <v>1</v>
      </c>
      <c r="I451" s="7" t="b">
        <v>0</v>
      </c>
      <c r="J451" s="9">
        <v>2000.0</v>
      </c>
      <c r="K451" s="9">
        <v>50.0</v>
      </c>
      <c r="L451" s="7">
        <v>600.0</v>
      </c>
      <c r="M451" s="7">
        <v>0.0</v>
      </c>
      <c r="N451" s="7">
        <v>75.0</v>
      </c>
      <c r="O451" s="7">
        <v>19.61</v>
      </c>
      <c r="P451" s="9">
        <v>216.0</v>
      </c>
      <c r="Q451" s="7">
        <v>327.0</v>
      </c>
      <c r="R451" s="7">
        <v>9.6</v>
      </c>
      <c r="S451" s="7">
        <v>0.999455</v>
      </c>
      <c r="T451" s="7">
        <v>0.996237</v>
      </c>
      <c r="U451" s="10">
        <f t="shared" si="1"/>
        <v>600</v>
      </c>
      <c r="V451" s="10">
        <f t="shared" si="2"/>
        <v>26.66217984</v>
      </c>
      <c r="W451" s="11">
        <f t="shared" si="3"/>
        <v>5.519732621</v>
      </c>
      <c r="X451" s="8">
        <f t="shared" si="268"/>
        <v>108.2419567</v>
      </c>
      <c r="Y451" s="12">
        <f t="shared" si="4"/>
        <v>4</v>
      </c>
      <c r="Z451" s="12">
        <f t="shared" si="5"/>
        <v>541.2097835</v>
      </c>
      <c r="AA451" s="12">
        <f t="shared" si="6"/>
        <v>27.59866311</v>
      </c>
      <c r="AB451" s="13">
        <f t="shared" si="7"/>
        <v>0.1804032612</v>
      </c>
      <c r="AC451" s="8">
        <f t="shared" si="225"/>
        <v>109.9407115</v>
      </c>
      <c r="AD451" s="13">
        <f t="shared" si="226"/>
        <v>0.1832345191</v>
      </c>
      <c r="AE451" s="8">
        <f t="shared" si="227"/>
        <v>109.9407115</v>
      </c>
      <c r="AF451" s="73">
        <f t="shared" si="228"/>
        <v>7.702032264</v>
      </c>
      <c r="AG451" s="74" t="str">
        <f t="shared" si="229"/>
        <v>#REF!</v>
      </c>
      <c r="AH451" s="73">
        <f t="shared" si="230"/>
        <v>0</v>
      </c>
      <c r="AI451" s="73">
        <f t="shared" si="231"/>
        <v>0.8140424221</v>
      </c>
      <c r="AJ451" s="75">
        <f t="shared" si="232"/>
        <v>1.000036161</v>
      </c>
      <c r="AK451" s="73">
        <f t="shared" si="233"/>
        <v>0.5773016958</v>
      </c>
      <c r="AL451" s="73">
        <f t="shared" si="234"/>
        <v>1.328208337</v>
      </c>
      <c r="AM451" s="73">
        <f t="shared" si="235"/>
        <v>1.814812553</v>
      </c>
      <c r="AN451" s="75">
        <v>28.57</v>
      </c>
      <c r="AO451" s="76">
        <v>29.0</v>
      </c>
      <c r="AP451" s="73">
        <f t="shared" si="236"/>
        <v>29</v>
      </c>
      <c r="AQ451" s="29" t="str">
        <f t="shared" si="237"/>
        <v>#REF!</v>
      </c>
      <c r="AR451" s="77" t="str">
        <f t="shared" si="238"/>
        <v>#REF!</v>
      </c>
      <c r="AS451" s="73"/>
      <c r="AT451" s="39"/>
    </row>
    <row r="452" ht="15.75" customHeight="1">
      <c r="A452" s="16" t="s">
        <v>777</v>
      </c>
      <c r="B452" s="16" t="s">
        <v>775</v>
      </c>
      <c r="C452" s="16">
        <v>2000.0</v>
      </c>
      <c r="D452" s="16"/>
      <c r="E452" s="16">
        <v>2000.0</v>
      </c>
      <c r="F452" s="16" t="b">
        <v>1</v>
      </c>
      <c r="G452" s="16" t="b">
        <v>0</v>
      </c>
      <c r="H452" s="16" t="b">
        <v>0</v>
      </c>
      <c r="I452" s="16" t="b">
        <v>0</v>
      </c>
      <c r="J452" s="18">
        <v>300.0</v>
      </c>
      <c r="K452" s="18">
        <v>4.0</v>
      </c>
      <c r="L452" s="16">
        <v>2200.0</v>
      </c>
      <c r="M452" s="16">
        <v>0.0</v>
      </c>
      <c r="N452" s="16">
        <v>3016.0</v>
      </c>
      <c r="O452" s="16">
        <v>3172.0</v>
      </c>
      <c r="P452" s="18">
        <v>302.6</v>
      </c>
      <c r="Q452" s="16">
        <v>341.5</v>
      </c>
      <c r="R452" s="16">
        <v>16.08</v>
      </c>
      <c r="S452" s="16">
        <v>0.99995</v>
      </c>
      <c r="T452" s="16">
        <v>0.99995</v>
      </c>
      <c r="U452" s="19">
        <f t="shared" si="1"/>
        <v>2200</v>
      </c>
      <c r="V452" s="19">
        <f t="shared" si="2"/>
        <v>107.2460152</v>
      </c>
      <c r="W452" s="20">
        <f t="shared" si="3"/>
        <v>0.3297170034</v>
      </c>
      <c r="X452" s="17">
        <f t="shared" si="268"/>
        <v>1045.862335</v>
      </c>
      <c r="Y452" s="21">
        <f t="shared" si="4"/>
        <v>4</v>
      </c>
      <c r="Z452" s="21">
        <f t="shared" si="5"/>
        <v>5229.311675</v>
      </c>
      <c r="AA452" s="21">
        <f t="shared" si="6"/>
        <v>1.648585017</v>
      </c>
      <c r="AB452" s="22">
        <f t="shared" si="7"/>
        <v>0.4753919704</v>
      </c>
      <c r="AC452" s="8">
        <f t="shared" si="225"/>
        <v>1066.674998</v>
      </c>
      <c r="AD452" s="13">
        <f t="shared" si="226"/>
        <v>0.4848522718</v>
      </c>
      <c r="AE452" s="8">
        <f t="shared" si="227"/>
        <v>1066.674998</v>
      </c>
      <c r="AF452" s="73">
        <f t="shared" si="228"/>
        <v>369.1678698</v>
      </c>
      <c r="AG452" s="74" t="str">
        <f t="shared" si="229"/>
        <v>#REF!</v>
      </c>
      <c r="AH452" s="73">
        <f t="shared" si="230"/>
        <v>0</v>
      </c>
      <c r="AI452" s="73">
        <f t="shared" si="231"/>
        <v>0.3632125751</v>
      </c>
      <c r="AJ452" s="75">
        <f t="shared" si="232"/>
        <v>1.301010952</v>
      </c>
      <c r="AK452" s="73">
        <f t="shared" si="233"/>
        <v>1.157832108</v>
      </c>
      <c r="AL452" s="73">
        <f t="shared" si="234"/>
        <v>1.576836128</v>
      </c>
      <c r="AM452" s="73">
        <f t="shared" si="235"/>
        <v>1.314152039</v>
      </c>
      <c r="AN452" s="75">
        <v>1911.39</v>
      </c>
      <c r="AO452" s="76">
        <v>1900.0</v>
      </c>
      <c r="AP452" s="73">
        <f t="shared" si="236"/>
        <v>1900</v>
      </c>
      <c r="AQ452" s="29" t="str">
        <f t="shared" si="237"/>
        <v>#REF!</v>
      </c>
      <c r="AR452" s="77" t="str">
        <f t="shared" si="238"/>
        <v>#REF!</v>
      </c>
      <c r="AS452" s="73"/>
      <c r="AT452" s="39"/>
    </row>
    <row r="453" ht="15.75" customHeight="1">
      <c r="A453" s="7" t="s">
        <v>776</v>
      </c>
      <c r="B453" s="7" t="s">
        <v>775</v>
      </c>
      <c r="C453" s="7">
        <v>2000.0</v>
      </c>
      <c r="D453" s="7"/>
      <c r="E453" s="7">
        <v>2000.0</v>
      </c>
      <c r="F453" s="7" t="b">
        <v>1</v>
      </c>
      <c r="G453" s="7" t="b">
        <v>0</v>
      </c>
      <c r="H453" s="7" t="b">
        <v>0</v>
      </c>
      <c r="I453" s="7" t="b">
        <v>0</v>
      </c>
      <c r="J453" s="9">
        <v>300.0</v>
      </c>
      <c r="K453" s="9">
        <v>4.0</v>
      </c>
      <c r="L453" s="7">
        <v>2200.0</v>
      </c>
      <c r="M453" s="7">
        <v>100.0</v>
      </c>
      <c r="N453" s="7">
        <v>3065.0</v>
      </c>
      <c r="O453" s="7">
        <v>3273.0</v>
      </c>
      <c r="P453" s="9">
        <v>273.5</v>
      </c>
      <c r="Q453" s="7">
        <v>318.4</v>
      </c>
      <c r="R453" s="7">
        <v>11.49</v>
      </c>
      <c r="S453" s="7">
        <v>0.99995</v>
      </c>
      <c r="T453" s="7">
        <v>0.99995</v>
      </c>
      <c r="U453" s="10">
        <f t="shared" si="1"/>
        <v>2300</v>
      </c>
      <c r="V453" s="10">
        <f t="shared" si="2"/>
        <v>108.891718</v>
      </c>
      <c r="W453" s="11">
        <f t="shared" si="3"/>
        <v>0.301364541</v>
      </c>
      <c r="X453" s="8">
        <f t="shared" si="268"/>
        <v>986.3661426</v>
      </c>
      <c r="Y453" s="12">
        <f t="shared" si="4"/>
        <v>4</v>
      </c>
      <c r="Z453" s="12">
        <f t="shared" si="5"/>
        <v>4931.830713</v>
      </c>
      <c r="AA453" s="12">
        <f t="shared" si="6"/>
        <v>1.506822705</v>
      </c>
      <c r="AB453" s="13">
        <f t="shared" si="7"/>
        <v>0.4288548446</v>
      </c>
      <c r="AC453" s="8">
        <f t="shared" si="225"/>
        <v>1005.994831</v>
      </c>
      <c r="AD453" s="13">
        <f t="shared" si="226"/>
        <v>0.4373890571</v>
      </c>
      <c r="AE453" s="8">
        <f t="shared" si="227"/>
        <v>1005.994831</v>
      </c>
      <c r="AF453" s="73">
        <f t="shared" si="228"/>
        <v>379.9044195</v>
      </c>
      <c r="AG453" s="74" t="str">
        <f t="shared" si="229"/>
        <v>#REF!</v>
      </c>
      <c r="AH453" s="73">
        <f t="shared" si="230"/>
        <v>0</v>
      </c>
      <c r="AI453" s="73">
        <f t="shared" si="231"/>
        <v>0.3632125751</v>
      </c>
      <c r="AJ453" s="75">
        <f t="shared" si="232"/>
        <v>1.248530714</v>
      </c>
      <c r="AK453" s="73">
        <f t="shared" si="233"/>
        <v>1.166681822</v>
      </c>
      <c r="AL453" s="73">
        <f t="shared" si="234"/>
        <v>1.204600938</v>
      </c>
      <c r="AM453" s="73">
        <f t="shared" si="235"/>
        <v>1.314152039</v>
      </c>
      <c r="AN453" s="75">
        <v>1447.1</v>
      </c>
      <c r="AO453" s="76">
        <v>1450.0</v>
      </c>
      <c r="AP453" s="73">
        <f t="shared" si="236"/>
        <v>1450</v>
      </c>
      <c r="AQ453" s="29" t="str">
        <f t="shared" si="237"/>
        <v>#REF!</v>
      </c>
      <c r="AR453" s="77" t="str">
        <f t="shared" si="238"/>
        <v>#REF!</v>
      </c>
      <c r="AS453" s="73"/>
      <c r="AT453" s="39"/>
    </row>
    <row r="454" ht="15.75" customHeight="1">
      <c r="A454" s="7" t="s">
        <v>237</v>
      </c>
      <c r="B454" s="7" t="s">
        <v>235</v>
      </c>
      <c r="C454" s="7">
        <v>2001.0</v>
      </c>
      <c r="D454" s="7" t="b">
        <v>1</v>
      </c>
      <c r="E454" s="7">
        <v>2001.0</v>
      </c>
      <c r="F454" s="7" t="b">
        <v>1</v>
      </c>
      <c r="G454" s="7" t="b">
        <v>0</v>
      </c>
      <c r="H454" s="7" t="b">
        <v>1</v>
      </c>
      <c r="I454" s="7" t="b">
        <v>0</v>
      </c>
      <c r="J454" s="9">
        <v>534.0</v>
      </c>
      <c r="K454" s="9">
        <v>10.0</v>
      </c>
      <c r="L454" s="7">
        <v>2650.0</v>
      </c>
      <c r="M454" s="7">
        <v>-650.0</v>
      </c>
      <c r="N454" s="7">
        <v>285.0</v>
      </c>
      <c r="O454" s="7">
        <v>137.2</v>
      </c>
      <c r="P454" s="9">
        <v>145.0</v>
      </c>
      <c r="Q454" s="7">
        <v>446.8</v>
      </c>
      <c r="R454" s="7">
        <v>3.62</v>
      </c>
      <c r="S454" s="7">
        <v>0.998598</v>
      </c>
      <c r="T454" s="7">
        <v>0.99</v>
      </c>
      <c r="U454" s="10">
        <f t="shared" si="1"/>
        <v>2000</v>
      </c>
      <c r="V454" s="10">
        <f t="shared" si="2"/>
        <v>49.08949614</v>
      </c>
      <c r="W454" s="11">
        <f t="shared" si="3"/>
        <v>6.381279042</v>
      </c>
      <c r="X454" s="8">
        <f t="shared" ref="X454:X456" si="269">0.9*(0.00015*N454*Q454*R454+797)+0.1*(43.1*POWER(N454,0.549))</f>
        <v>875.5114846</v>
      </c>
      <c r="Y454" s="12">
        <f t="shared" si="4"/>
        <v>4</v>
      </c>
      <c r="Z454" s="12">
        <f t="shared" si="5"/>
        <v>4377.557423</v>
      </c>
      <c r="AA454" s="12">
        <f t="shared" si="6"/>
        <v>31.90639521</v>
      </c>
      <c r="AB454" s="13">
        <f t="shared" si="7"/>
        <v>0.4377557423</v>
      </c>
      <c r="AC454" s="8">
        <f t="shared" si="225"/>
        <v>883.051407</v>
      </c>
      <c r="AD454" s="13">
        <f t="shared" si="226"/>
        <v>0.4415257035</v>
      </c>
      <c r="AE454" s="8">
        <f t="shared" si="227"/>
        <v>255.5009041</v>
      </c>
      <c r="AF454" s="73">
        <f t="shared" si="228"/>
        <v>26.96821008</v>
      </c>
      <c r="AG454" s="74" t="str">
        <f t="shared" si="229"/>
        <v>#REF!</v>
      </c>
      <c r="AH454" s="73">
        <f t="shared" si="230"/>
        <v>0</v>
      </c>
      <c r="AI454" s="73">
        <f t="shared" si="231"/>
        <v>0.5535639833</v>
      </c>
      <c r="AJ454" s="75">
        <f t="shared" si="232"/>
        <v>1</v>
      </c>
      <c r="AK454" s="73">
        <f t="shared" si="233"/>
        <v>0.7833381784</v>
      </c>
      <c r="AL454" s="73">
        <f t="shared" si="234"/>
        <v>6.220960869</v>
      </c>
      <c r="AM454" s="73">
        <f t="shared" si="235"/>
        <v>1.493171279</v>
      </c>
      <c r="AN454" s="75">
        <v>330.08</v>
      </c>
      <c r="AO454" s="76">
        <v>330.0</v>
      </c>
      <c r="AP454" s="73">
        <f t="shared" si="236"/>
        <v>330</v>
      </c>
      <c r="AQ454" s="29" t="str">
        <f t="shared" si="237"/>
        <v>#REF!</v>
      </c>
      <c r="AR454" s="77" t="str">
        <f t="shared" si="238"/>
        <v>#REF!</v>
      </c>
      <c r="AS454" s="73"/>
      <c r="AT454" s="39"/>
    </row>
    <row r="455" ht="15.75" customHeight="1">
      <c r="A455" s="7" t="s">
        <v>242</v>
      </c>
      <c r="B455" s="7" t="s">
        <v>241</v>
      </c>
      <c r="C455" s="7">
        <v>2001.0</v>
      </c>
      <c r="D455" s="7" t="b">
        <v>1</v>
      </c>
      <c r="E455" s="7">
        <v>2001.0</v>
      </c>
      <c r="F455" s="7" t="b">
        <v>1</v>
      </c>
      <c r="G455" s="7" t="b">
        <v>0</v>
      </c>
      <c r="H455" s="7" t="b">
        <v>0</v>
      </c>
      <c r="I455" s="7" t="b">
        <v>0</v>
      </c>
      <c r="J455" s="9">
        <v>390.0</v>
      </c>
      <c r="K455" s="7">
        <v>1.0</v>
      </c>
      <c r="L455" s="7">
        <v>3500.0</v>
      </c>
      <c r="M455" s="7">
        <v>-2000.0</v>
      </c>
      <c r="N455" s="7">
        <v>1715.0</v>
      </c>
      <c r="O455" s="7">
        <v>996.4</v>
      </c>
      <c r="P455" s="9">
        <v>326.0</v>
      </c>
      <c r="Q455" s="7">
        <v>438.0</v>
      </c>
      <c r="R455" s="7">
        <v>12.0</v>
      </c>
      <c r="S455" s="7">
        <v>0.997458</v>
      </c>
      <c r="T455" s="7">
        <v>0.997458</v>
      </c>
      <c r="U455" s="10">
        <f t="shared" si="1"/>
        <v>1500</v>
      </c>
      <c r="V455" s="10">
        <f t="shared" si="2"/>
        <v>59.24461992</v>
      </c>
      <c r="W455" s="11">
        <f t="shared" si="3"/>
        <v>2.199204365</v>
      </c>
      <c r="X455" s="8">
        <f t="shared" si="269"/>
        <v>2191.287229</v>
      </c>
      <c r="Y455" s="12">
        <f t="shared" si="4"/>
        <v>4</v>
      </c>
      <c r="Z455" s="12">
        <f t="shared" si="5"/>
        <v>10956.43615</v>
      </c>
      <c r="AA455" s="12">
        <f t="shared" si="6"/>
        <v>10.99602183</v>
      </c>
      <c r="AB455" s="13">
        <f t="shared" si="7"/>
        <v>1.460858153</v>
      </c>
      <c r="AC455" s="8">
        <f t="shared" si="225"/>
        <v>2223.986629</v>
      </c>
      <c r="AD455" s="13">
        <f t="shared" si="226"/>
        <v>1.482657753</v>
      </c>
      <c r="AE455" s="8">
        <f t="shared" si="227"/>
        <v>833.6169906</v>
      </c>
      <c r="AF455" s="73">
        <f t="shared" si="228"/>
        <v>131.5547768</v>
      </c>
      <c r="AG455" s="74" t="str">
        <f t="shared" si="229"/>
        <v>#REF!</v>
      </c>
      <c r="AH455" s="73">
        <f t="shared" si="230"/>
        <v>0</v>
      </c>
      <c r="AI455" s="73">
        <f t="shared" si="231"/>
        <v>0</v>
      </c>
      <c r="AJ455" s="75">
        <f t="shared" si="232"/>
        <v>1.068523479</v>
      </c>
      <c r="AK455" s="73">
        <f t="shared" si="233"/>
        <v>0.8605566507</v>
      </c>
      <c r="AL455" s="73">
        <f t="shared" si="234"/>
        <v>5.516584413</v>
      </c>
      <c r="AM455" s="73">
        <f t="shared" si="235"/>
        <v>1.39894098</v>
      </c>
      <c r="AN455" s="75">
        <v>1271.39</v>
      </c>
      <c r="AO455" s="76">
        <v>1250.0</v>
      </c>
      <c r="AP455" s="73">
        <f t="shared" si="236"/>
        <v>1250</v>
      </c>
      <c r="AQ455" s="29" t="str">
        <f t="shared" si="237"/>
        <v>#REF!</v>
      </c>
      <c r="AR455" s="77" t="str">
        <f t="shared" si="238"/>
        <v>#REF!</v>
      </c>
      <c r="AS455" s="73"/>
      <c r="AT455" s="39"/>
    </row>
    <row r="456" ht="15.75" customHeight="1">
      <c r="A456" s="7" t="s">
        <v>460</v>
      </c>
      <c r="B456" s="7" t="s">
        <v>461</v>
      </c>
      <c r="C456" s="7">
        <v>2001.0</v>
      </c>
      <c r="D456" s="7" t="b">
        <v>1</v>
      </c>
      <c r="E456" s="7">
        <v>2001.0</v>
      </c>
      <c r="F456" s="7" t="b">
        <v>1</v>
      </c>
      <c r="G456" s="7" t="b">
        <v>0</v>
      </c>
      <c r="H456" s="7" t="b">
        <v>1</v>
      </c>
      <c r="I456" s="7" t="b">
        <v>0</v>
      </c>
      <c r="J456" s="9">
        <v>300.0</v>
      </c>
      <c r="K456" s="9">
        <v>5.0</v>
      </c>
      <c r="L456" s="7">
        <v>1500.0</v>
      </c>
      <c r="M456" s="7">
        <v>0.0</v>
      </c>
      <c r="N456" s="7">
        <v>242.0</v>
      </c>
      <c r="O456" s="7">
        <v>98.1</v>
      </c>
      <c r="P456" s="9">
        <v>195.0</v>
      </c>
      <c r="Q456" s="7">
        <v>463.0</v>
      </c>
      <c r="R456" s="7">
        <v>7.92</v>
      </c>
      <c r="S456" s="7">
        <v>0.9995</v>
      </c>
      <c r="T456" s="7">
        <v>0.9852</v>
      </c>
      <c r="U456" s="10">
        <f t="shared" si="1"/>
        <v>1500</v>
      </c>
      <c r="V456" s="10">
        <f t="shared" si="2"/>
        <v>41.33642984</v>
      </c>
      <c r="W456" s="11">
        <f t="shared" si="3"/>
        <v>9.427506899</v>
      </c>
      <c r="X456" s="8">
        <f t="shared" si="269"/>
        <v>924.8384268</v>
      </c>
      <c r="Y456" s="12">
        <f t="shared" si="4"/>
        <v>4</v>
      </c>
      <c r="Z456" s="12">
        <f t="shared" si="5"/>
        <v>4624.192134</v>
      </c>
      <c r="AA456" s="12">
        <f t="shared" si="6"/>
        <v>47.1375345</v>
      </c>
      <c r="AB456" s="13">
        <f t="shared" si="7"/>
        <v>0.6165589512</v>
      </c>
      <c r="AC456" s="8">
        <f t="shared" si="225"/>
        <v>929.1920112</v>
      </c>
      <c r="AD456" s="13">
        <f t="shared" si="226"/>
        <v>0.6194613408</v>
      </c>
      <c r="AE456" s="8">
        <f t="shared" si="227"/>
        <v>250.8385047</v>
      </c>
      <c r="AF456" s="73">
        <f t="shared" si="228"/>
        <v>21.25020775</v>
      </c>
      <c r="AG456" s="74" t="str">
        <f t="shared" si="229"/>
        <v>#REF!</v>
      </c>
      <c r="AH456" s="73">
        <f t="shared" si="230"/>
        <v>0</v>
      </c>
      <c r="AI456" s="73">
        <f t="shared" si="231"/>
        <v>0.4128305045</v>
      </c>
      <c r="AJ456" s="75">
        <f t="shared" si="232"/>
        <v>1</v>
      </c>
      <c r="AK456" s="73">
        <f t="shared" si="233"/>
        <v>0.7188222123</v>
      </c>
      <c r="AL456" s="73">
        <f t="shared" si="234"/>
        <v>8.254341601</v>
      </c>
      <c r="AM456" s="73">
        <f t="shared" si="235"/>
        <v>1.314152039</v>
      </c>
      <c r="AN456" s="75">
        <v>263.25</v>
      </c>
      <c r="AO456" s="76">
        <v>260.0</v>
      </c>
      <c r="AP456" s="73">
        <f t="shared" si="236"/>
        <v>260</v>
      </c>
      <c r="AQ456" s="29" t="str">
        <f t="shared" si="237"/>
        <v>#REF!</v>
      </c>
      <c r="AR456" s="77" t="str">
        <f t="shared" si="238"/>
        <v>#REF!</v>
      </c>
      <c r="AS456" s="73"/>
      <c r="AT456" s="39"/>
    </row>
    <row r="457" ht="15.75" customHeight="1">
      <c r="A457" s="16" t="s">
        <v>536</v>
      </c>
      <c r="B457" s="16" t="s">
        <v>1008</v>
      </c>
      <c r="C457" s="16">
        <v>2001.0</v>
      </c>
      <c r="D457" s="16"/>
      <c r="E457" s="16">
        <v>2001.0</v>
      </c>
      <c r="F457" s="16" t="b">
        <v>1</v>
      </c>
      <c r="G457" s="16" t="b">
        <v>0</v>
      </c>
      <c r="H457" s="16" t="b">
        <v>0</v>
      </c>
      <c r="I457" s="16" t="b">
        <v>0</v>
      </c>
      <c r="J457" s="18">
        <v>120.0</v>
      </c>
      <c r="K457" s="16">
        <v>1.0</v>
      </c>
      <c r="L457" s="16">
        <v>470.0</v>
      </c>
      <c r="M457" s="16">
        <v>90.0</v>
      </c>
      <c r="N457" s="16">
        <v>1090.0</v>
      </c>
      <c r="O457" s="16">
        <v>1019.89</v>
      </c>
      <c r="P457" s="18">
        <v>263.09</v>
      </c>
      <c r="Q457" s="16">
        <v>319.99</v>
      </c>
      <c r="R457" s="16">
        <v>6.0</v>
      </c>
      <c r="S457" s="16">
        <v>0.99966</v>
      </c>
      <c r="T457" s="16">
        <v>0.99966</v>
      </c>
      <c r="U457" s="19">
        <f t="shared" si="1"/>
        <v>560</v>
      </c>
      <c r="V457" s="19">
        <f t="shared" si="2"/>
        <v>95.41269407</v>
      </c>
      <c r="W457" s="20">
        <f t="shared" si="3"/>
        <v>0.4898184412</v>
      </c>
      <c r="X457" s="17">
        <f t="shared" ref="X457:X459" si="270">0.2*(8.17*POWER(N457*R457,0.46))+0.8*(0.146*POWER(N457*Q457,0.639))</f>
        <v>499.56093</v>
      </c>
      <c r="Y457" s="21">
        <f t="shared" si="4"/>
        <v>4</v>
      </c>
      <c r="Z457" s="21">
        <f t="shared" si="5"/>
        <v>2497.80465</v>
      </c>
      <c r="AA457" s="21">
        <f t="shared" si="6"/>
        <v>2.449092206</v>
      </c>
      <c r="AB457" s="22">
        <f t="shared" si="7"/>
        <v>0.8920730893</v>
      </c>
      <c r="AC457" s="8">
        <f t="shared" si="225"/>
        <v>509.2125049</v>
      </c>
      <c r="AD457" s="13">
        <f t="shared" si="226"/>
        <v>0.9093080446</v>
      </c>
      <c r="AE457" s="8">
        <f t="shared" si="227"/>
        <v>509.2125049</v>
      </c>
      <c r="AF457" s="73">
        <f t="shared" si="228"/>
        <v>134.2324894</v>
      </c>
      <c r="AG457" s="74" t="str">
        <f t="shared" si="229"/>
        <v>#REF!</v>
      </c>
      <c r="AH457" s="73">
        <f t="shared" si="230"/>
        <v>0</v>
      </c>
      <c r="AI457" s="73">
        <f t="shared" si="231"/>
        <v>0</v>
      </c>
      <c r="AJ457" s="75">
        <f t="shared" si="232"/>
        <v>1.182878134</v>
      </c>
      <c r="AK457" s="73">
        <f t="shared" si="233"/>
        <v>1.092089134</v>
      </c>
      <c r="AL457" s="73">
        <f t="shared" si="234"/>
        <v>1.226196492</v>
      </c>
      <c r="AM457" s="73">
        <f t="shared" si="235"/>
        <v>0.9682484915</v>
      </c>
      <c r="AN457" s="75">
        <v>294.24</v>
      </c>
      <c r="AO457" s="76">
        <v>290.0</v>
      </c>
      <c r="AP457" s="73">
        <f t="shared" si="236"/>
        <v>290</v>
      </c>
      <c r="AQ457" s="29" t="str">
        <f t="shared" si="237"/>
        <v>#REF!</v>
      </c>
      <c r="AR457" s="77" t="str">
        <f t="shared" si="238"/>
        <v>#REF!</v>
      </c>
      <c r="AS457" s="73"/>
      <c r="AT457" s="39"/>
    </row>
    <row r="458" ht="15.75" customHeight="1">
      <c r="A458" s="16" t="s">
        <v>547</v>
      </c>
      <c r="B458" s="16" t="s">
        <v>1009</v>
      </c>
      <c r="C458" s="16">
        <v>2001.0</v>
      </c>
      <c r="D458" s="16"/>
      <c r="E458" s="16">
        <v>2001.0</v>
      </c>
      <c r="F458" s="16" t="b">
        <v>1</v>
      </c>
      <c r="G458" s="16" t="b">
        <v>0</v>
      </c>
      <c r="H458" s="16" t="b">
        <v>0</v>
      </c>
      <c r="I458" s="16" t="b">
        <v>0</v>
      </c>
      <c r="J458" s="18">
        <v>310.0</v>
      </c>
      <c r="K458" s="16">
        <v>1.0</v>
      </c>
      <c r="L458" s="16">
        <v>450.0</v>
      </c>
      <c r="M458" s="16">
        <v>90.0</v>
      </c>
      <c r="N458" s="16">
        <v>1075.0</v>
      </c>
      <c r="O458" s="16">
        <v>990.47</v>
      </c>
      <c r="P458" s="18">
        <v>257.48</v>
      </c>
      <c r="Q458" s="16">
        <v>320.39</v>
      </c>
      <c r="R458" s="16">
        <v>5.44</v>
      </c>
      <c r="S458" s="16">
        <v>0.99966</v>
      </c>
      <c r="T458" s="16">
        <v>0.99966</v>
      </c>
      <c r="U458" s="19">
        <f t="shared" si="1"/>
        <v>540</v>
      </c>
      <c r="V458" s="19">
        <f t="shared" si="2"/>
        <v>93.95333158</v>
      </c>
      <c r="W458" s="20">
        <f t="shared" si="3"/>
        <v>0.4963662193</v>
      </c>
      <c r="X458" s="17">
        <f t="shared" si="270"/>
        <v>491.6358492</v>
      </c>
      <c r="Y458" s="21">
        <f t="shared" si="4"/>
        <v>4</v>
      </c>
      <c r="Z458" s="21">
        <f t="shared" si="5"/>
        <v>2458.179246</v>
      </c>
      <c r="AA458" s="21">
        <f t="shared" si="6"/>
        <v>2.481831096</v>
      </c>
      <c r="AB458" s="22">
        <f t="shared" si="7"/>
        <v>0.9104367578</v>
      </c>
      <c r="AC458" s="8">
        <f t="shared" si="225"/>
        <v>501.1343106</v>
      </c>
      <c r="AD458" s="13">
        <f t="shared" si="226"/>
        <v>0.9280265012</v>
      </c>
      <c r="AE458" s="8">
        <f t="shared" si="227"/>
        <v>501.1343106</v>
      </c>
      <c r="AF458" s="73">
        <f t="shared" si="228"/>
        <v>130.8780625</v>
      </c>
      <c r="AG458" s="74" t="str">
        <f t="shared" si="229"/>
        <v>#REF!</v>
      </c>
      <c r="AH458" s="73">
        <f t="shared" si="230"/>
        <v>0</v>
      </c>
      <c r="AI458" s="73">
        <f t="shared" si="231"/>
        <v>0</v>
      </c>
      <c r="AJ458" s="75">
        <f t="shared" si="232"/>
        <v>1.152439083</v>
      </c>
      <c r="AK458" s="73">
        <f t="shared" si="233"/>
        <v>1.083705054</v>
      </c>
      <c r="AL458" s="73">
        <f t="shared" si="234"/>
        <v>1.231718046</v>
      </c>
      <c r="AM458" s="73">
        <f t="shared" si="235"/>
        <v>1.325067751</v>
      </c>
      <c r="AN458" s="75">
        <v>382.69</v>
      </c>
      <c r="AO458" s="76">
        <v>380.0</v>
      </c>
      <c r="AP458" s="73">
        <f t="shared" si="236"/>
        <v>380</v>
      </c>
      <c r="AQ458" s="29" t="str">
        <f t="shared" si="237"/>
        <v>#REF!</v>
      </c>
      <c r="AR458" s="77" t="str">
        <f t="shared" si="238"/>
        <v>#REF!</v>
      </c>
      <c r="AS458" s="73"/>
      <c r="AT458" s="39"/>
    </row>
    <row r="459" ht="15.75" customHeight="1">
      <c r="A459" s="7" t="s">
        <v>707</v>
      </c>
      <c r="B459" s="7" t="s">
        <v>708</v>
      </c>
      <c r="C459" s="7">
        <v>2001.0</v>
      </c>
      <c r="D459" s="7"/>
      <c r="E459" s="7">
        <v>2001.0</v>
      </c>
      <c r="F459" s="7" t="b">
        <v>1</v>
      </c>
      <c r="G459" s="7" t="b">
        <v>0</v>
      </c>
      <c r="H459" s="7" t="b">
        <v>0</v>
      </c>
      <c r="I459" s="7" t="b">
        <v>0</v>
      </c>
      <c r="J459" s="9">
        <v>480.0</v>
      </c>
      <c r="K459" s="9">
        <v>3.0</v>
      </c>
      <c r="L459" s="7">
        <v>3000.0</v>
      </c>
      <c r="M459" s="7">
        <v>0.0</v>
      </c>
      <c r="N459" s="7">
        <v>7087.0</v>
      </c>
      <c r="O459" s="7">
        <v>4378.81</v>
      </c>
      <c r="P459" s="9">
        <v>308.0</v>
      </c>
      <c r="Q459" s="7">
        <v>337.0</v>
      </c>
      <c r="R459" s="7">
        <v>19.31</v>
      </c>
      <c r="S459" s="9">
        <v>1.0</v>
      </c>
      <c r="T459" s="9">
        <v>1.0</v>
      </c>
      <c r="U459" s="10">
        <f t="shared" si="1"/>
        <v>3000</v>
      </c>
      <c r="V459" s="10">
        <f t="shared" si="2"/>
        <v>63.00470633</v>
      </c>
      <c r="W459" s="11">
        <f t="shared" si="3"/>
        <v>0.4034729478</v>
      </c>
      <c r="X459" s="8">
        <f t="shared" si="270"/>
        <v>1766.731378</v>
      </c>
      <c r="Y459" s="12">
        <f t="shared" si="4"/>
        <v>4</v>
      </c>
      <c r="Z459" s="12">
        <f t="shared" si="5"/>
        <v>8833.656892</v>
      </c>
      <c r="AA459" s="12">
        <f t="shared" si="6"/>
        <v>2.017364739</v>
      </c>
      <c r="AB459" s="13">
        <f t="shared" si="7"/>
        <v>0.5889104595</v>
      </c>
      <c r="AC459" s="8">
        <f t="shared" si="225"/>
        <v>1802.066006</v>
      </c>
      <c r="AD459" s="13">
        <f t="shared" si="226"/>
        <v>0.6006886687</v>
      </c>
      <c r="AE459" s="8">
        <f t="shared" si="227"/>
        <v>1802.066006</v>
      </c>
      <c r="AF459" s="73">
        <f t="shared" si="228"/>
        <v>496.5189203</v>
      </c>
      <c r="AG459" s="74" t="str">
        <f t="shared" si="229"/>
        <v>#REF!</v>
      </c>
      <c r="AH459" s="73">
        <f t="shared" si="230"/>
        <v>0</v>
      </c>
      <c r="AI459" s="73">
        <f t="shared" si="231"/>
        <v>0.2958876574</v>
      </c>
      <c r="AJ459" s="75">
        <f t="shared" si="232"/>
        <v>1.358320457</v>
      </c>
      <c r="AK459" s="73">
        <f t="shared" si="233"/>
        <v>0.8874451133</v>
      </c>
      <c r="AL459" s="73">
        <f t="shared" si="234"/>
        <v>1.493920364</v>
      </c>
      <c r="AM459" s="73">
        <f t="shared" si="235"/>
        <v>1.462062459</v>
      </c>
      <c r="AN459" s="75">
        <v>2443.04</v>
      </c>
      <c r="AO459" s="76">
        <v>2400.0</v>
      </c>
      <c r="AP459" s="73">
        <f t="shared" si="236"/>
        <v>2400</v>
      </c>
      <c r="AQ459" s="29" t="str">
        <f t="shared" si="237"/>
        <v>#REF!</v>
      </c>
      <c r="AR459" s="77" t="str">
        <f t="shared" si="238"/>
        <v>#REF!</v>
      </c>
      <c r="AS459" s="73"/>
      <c r="AT459" s="39"/>
    </row>
    <row r="460" ht="15.75" customHeight="1">
      <c r="A460" s="16" t="s">
        <v>1053</v>
      </c>
      <c r="B460" s="16" t="s">
        <v>752</v>
      </c>
      <c r="C460" s="16">
        <v>2001.0</v>
      </c>
      <c r="D460" s="16" t="b">
        <v>1</v>
      </c>
      <c r="E460" s="16">
        <v>2001.0</v>
      </c>
      <c r="F460" s="16" t="b">
        <v>1</v>
      </c>
      <c r="G460" s="16" t="b">
        <v>0</v>
      </c>
      <c r="H460" s="16" t="b">
        <v>0</v>
      </c>
      <c r="I460" s="16" t="b">
        <v>0</v>
      </c>
      <c r="J460" s="16">
        <v>480.0</v>
      </c>
      <c r="K460" s="16">
        <v>1.0</v>
      </c>
      <c r="L460" s="16">
        <v>6077.0</v>
      </c>
      <c r="M460" s="16">
        <v>0.0</v>
      </c>
      <c r="N460" s="16">
        <v>3753.0</v>
      </c>
      <c r="O460" s="16">
        <v>2319.9</v>
      </c>
      <c r="P460" s="18">
        <v>366.3</v>
      </c>
      <c r="Q460" s="16">
        <v>452.3</v>
      </c>
      <c r="R460" s="16">
        <v>21.02</v>
      </c>
      <c r="S460" s="16">
        <v>0.998404</v>
      </c>
      <c r="T460" s="16">
        <v>0.998404</v>
      </c>
      <c r="U460" s="19">
        <f t="shared" si="1"/>
        <v>6077</v>
      </c>
      <c r="V460" s="19">
        <f t="shared" si="2"/>
        <v>63.03329698</v>
      </c>
      <c r="W460" s="20">
        <f t="shared" si="3"/>
        <v>2.555902875</v>
      </c>
      <c r="X460" s="17">
        <f t="shared" ref="X460:X463" si="271">0.9*(0.00015*N460*Q460*R460+797)+0.1*(43.1*POWER(N460,0.549))</f>
        <v>5929.439079</v>
      </c>
      <c r="Y460" s="21">
        <f t="shared" si="4"/>
        <v>4</v>
      </c>
      <c r="Z460" s="21">
        <f t="shared" si="5"/>
        <v>29647.19539</v>
      </c>
      <c r="AA460" s="21">
        <f t="shared" si="6"/>
        <v>12.77951437</v>
      </c>
      <c r="AB460" s="22">
        <f t="shared" si="7"/>
        <v>0.9757181305</v>
      </c>
      <c r="AC460" s="8">
        <f t="shared" si="225"/>
        <v>6029.116195</v>
      </c>
      <c r="AD460" s="13">
        <f t="shared" si="226"/>
        <v>0.9921204862</v>
      </c>
      <c r="AE460" s="8">
        <f t="shared" si="227"/>
        <v>1433.639413</v>
      </c>
      <c r="AF460" s="73">
        <f t="shared" si="228"/>
        <v>277.8284558</v>
      </c>
      <c r="AG460" s="74" t="str">
        <f t="shared" si="229"/>
        <v>#REF!</v>
      </c>
      <c r="AH460" s="73">
        <f t="shared" si="230"/>
        <v>0</v>
      </c>
      <c r="AI460" s="73">
        <f t="shared" si="231"/>
        <v>0</v>
      </c>
      <c r="AJ460" s="75">
        <f t="shared" si="232"/>
        <v>1.16243878</v>
      </c>
      <c r="AK460" s="73">
        <f t="shared" si="233"/>
        <v>0.8876464455</v>
      </c>
      <c r="AL460" s="73">
        <f t="shared" si="234"/>
        <v>6.708647288</v>
      </c>
      <c r="AM460" s="73">
        <f t="shared" si="235"/>
        <v>1.462062459</v>
      </c>
      <c r="AN460" s="75">
        <v>3958.32</v>
      </c>
      <c r="AO460" s="76">
        <v>4000.0</v>
      </c>
      <c r="AP460" s="73">
        <f t="shared" si="236"/>
        <v>4000</v>
      </c>
      <c r="AQ460" s="29" t="str">
        <f t="shared" si="237"/>
        <v>#REF!</v>
      </c>
      <c r="AR460" s="77" t="str">
        <f t="shared" si="238"/>
        <v>#REF!</v>
      </c>
      <c r="AS460" s="73"/>
      <c r="AT460" s="39"/>
    </row>
    <row r="461" ht="15.75" customHeight="1">
      <c r="A461" s="7" t="s">
        <v>1054</v>
      </c>
      <c r="B461" s="7" t="s">
        <v>752</v>
      </c>
      <c r="C461" s="7">
        <v>2001.0</v>
      </c>
      <c r="D461" s="7" t="b">
        <v>1</v>
      </c>
      <c r="E461" s="7">
        <v>2001.0</v>
      </c>
      <c r="F461" s="7" t="b">
        <v>1</v>
      </c>
      <c r="G461" s="7" t="b">
        <v>0</v>
      </c>
      <c r="H461" s="7" t="b">
        <v>0</v>
      </c>
      <c r="I461" s="7" t="b">
        <v>0</v>
      </c>
      <c r="J461" s="7">
        <v>480.0</v>
      </c>
      <c r="K461" s="9">
        <v>3.0</v>
      </c>
      <c r="L461" s="7">
        <v>6077.0</v>
      </c>
      <c r="M461" s="7">
        <v>0.0</v>
      </c>
      <c r="N461" s="7">
        <v>4686.0</v>
      </c>
      <c r="O461" s="7">
        <v>2364.5</v>
      </c>
      <c r="P461" s="9">
        <v>345.0</v>
      </c>
      <c r="Q461" s="7">
        <v>461.0</v>
      </c>
      <c r="R461" s="7">
        <v>21.02</v>
      </c>
      <c r="S461" s="7">
        <v>0.998404</v>
      </c>
      <c r="T461" s="7">
        <v>0.998404</v>
      </c>
      <c r="U461" s="10">
        <f t="shared" si="1"/>
        <v>6077</v>
      </c>
      <c r="V461" s="10">
        <f t="shared" si="2"/>
        <v>51.45367005</v>
      </c>
      <c r="W461" s="11">
        <f t="shared" si="3"/>
        <v>3.084734307</v>
      </c>
      <c r="X461" s="8">
        <f t="shared" si="271"/>
        <v>7293.854269</v>
      </c>
      <c r="Y461" s="12">
        <f t="shared" si="4"/>
        <v>4</v>
      </c>
      <c r="Z461" s="12">
        <f t="shared" si="5"/>
        <v>36469.27135</v>
      </c>
      <c r="AA461" s="12">
        <f t="shared" si="6"/>
        <v>15.42367154</v>
      </c>
      <c r="AB461" s="13">
        <f t="shared" si="7"/>
        <v>1.200239307</v>
      </c>
      <c r="AC461" s="8">
        <f t="shared" si="225"/>
        <v>7416.467951</v>
      </c>
      <c r="AD461" s="13">
        <f t="shared" si="226"/>
        <v>1.220415987</v>
      </c>
      <c r="AE461" s="8">
        <f t="shared" si="227"/>
        <v>1654.864136</v>
      </c>
      <c r="AF461" s="73">
        <f t="shared" si="228"/>
        <v>282.6483826</v>
      </c>
      <c r="AG461" s="74" t="str">
        <f t="shared" si="229"/>
        <v>#REF!</v>
      </c>
      <c r="AH461" s="73">
        <f t="shared" si="230"/>
        <v>0</v>
      </c>
      <c r="AI461" s="73">
        <f t="shared" si="231"/>
        <v>0.2958876574</v>
      </c>
      <c r="AJ461" s="75">
        <f t="shared" si="232"/>
        <v>1.0735594</v>
      </c>
      <c r="AK461" s="73">
        <f t="shared" si="233"/>
        <v>0.8019793486</v>
      </c>
      <c r="AL461" s="73">
        <f t="shared" si="234"/>
        <v>7.804200703</v>
      </c>
      <c r="AM461" s="73">
        <f t="shared" si="235"/>
        <v>1.462062459</v>
      </c>
      <c r="AN461" s="75">
        <v>4808.26</v>
      </c>
      <c r="AO461" s="76">
        <v>4800.0</v>
      </c>
      <c r="AP461" s="73">
        <f t="shared" si="236"/>
        <v>4800</v>
      </c>
      <c r="AQ461" s="29" t="str">
        <f t="shared" si="237"/>
        <v>#REF!</v>
      </c>
      <c r="AR461" s="77" t="str">
        <f t="shared" si="238"/>
        <v>#REF!</v>
      </c>
      <c r="AS461" s="73"/>
      <c r="AT461" s="39"/>
    </row>
    <row r="462" ht="15.75" customHeight="1">
      <c r="A462" s="16" t="s">
        <v>1055</v>
      </c>
      <c r="B462" s="16" t="s">
        <v>752</v>
      </c>
      <c r="C462" s="16">
        <v>2001.0</v>
      </c>
      <c r="D462" s="16" t="b">
        <v>1</v>
      </c>
      <c r="E462" s="16">
        <v>2001.0</v>
      </c>
      <c r="F462" s="16" t="b">
        <v>1</v>
      </c>
      <c r="G462" s="16" t="b">
        <v>0</v>
      </c>
      <c r="H462" s="16" t="b">
        <v>0</v>
      </c>
      <c r="I462" s="16" t="b">
        <v>0</v>
      </c>
      <c r="J462" s="16">
        <v>480.0</v>
      </c>
      <c r="K462" s="16">
        <v>1.0</v>
      </c>
      <c r="L462" s="16">
        <v>6077.0</v>
      </c>
      <c r="M462" s="16">
        <v>0.0</v>
      </c>
      <c r="N462" s="16">
        <v>3589.0</v>
      </c>
      <c r="O462" s="16">
        <v>2268.1</v>
      </c>
      <c r="P462" s="18">
        <v>409.5</v>
      </c>
      <c r="Q462" s="16">
        <v>442.2</v>
      </c>
      <c r="R462" s="16">
        <v>21.02</v>
      </c>
      <c r="S462" s="16">
        <v>0.998404</v>
      </c>
      <c r="T462" s="16">
        <v>0.998404</v>
      </c>
      <c r="U462" s="19">
        <f t="shared" si="1"/>
        <v>6077</v>
      </c>
      <c r="V462" s="19">
        <f t="shared" si="2"/>
        <v>64.44185946</v>
      </c>
      <c r="W462" s="20">
        <f t="shared" si="3"/>
        <v>2.471895683</v>
      </c>
      <c r="X462" s="17">
        <f t="shared" si="271"/>
        <v>5606.5066</v>
      </c>
      <c r="Y462" s="21">
        <f t="shared" si="4"/>
        <v>4</v>
      </c>
      <c r="Z462" s="21">
        <f t="shared" si="5"/>
        <v>28032.533</v>
      </c>
      <c r="AA462" s="21">
        <f t="shared" si="6"/>
        <v>12.35947842</v>
      </c>
      <c r="AB462" s="22">
        <f t="shared" si="7"/>
        <v>0.9225780154</v>
      </c>
      <c r="AC462" s="8">
        <f t="shared" si="225"/>
        <v>5700.755044</v>
      </c>
      <c r="AD462" s="13">
        <f t="shared" si="226"/>
        <v>0.9380870567</v>
      </c>
      <c r="AE462" s="8">
        <f t="shared" si="227"/>
        <v>1379.782082</v>
      </c>
      <c r="AF462" s="73">
        <f t="shared" si="228"/>
        <v>272.2240605</v>
      </c>
      <c r="AG462" s="74" t="str">
        <f t="shared" si="229"/>
        <v>#REF!</v>
      </c>
      <c r="AH462" s="73">
        <f t="shared" si="230"/>
        <v>0</v>
      </c>
      <c r="AI462" s="73">
        <f t="shared" si="231"/>
        <v>0</v>
      </c>
      <c r="AJ462" s="75">
        <f t="shared" si="232"/>
        <v>1.384243692</v>
      </c>
      <c r="AK462" s="73">
        <f t="shared" si="233"/>
        <v>0.8975094669</v>
      </c>
      <c r="AL462" s="73">
        <f t="shared" si="234"/>
        <v>5.84167704</v>
      </c>
      <c r="AM462" s="73">
        <f t="shared" si="235"/>
        <v>1.462062459</v>
      </c>
      <c r="AN462" s="75">
        <v>4042.68</v>
      </c>
      <c r="AO462" s="76">
        <v>4000.0</v>
      </c>
      <c r="AP462" s="73">
        <f t="shared" si="236"/>
        <v>4000</v>
      </c>
      <c r="AQ462" s="29" t="str">
        <f t="shared" si="237"/>
        <v>#REF!</v>
      </c>
      <c r="AR462" s="77" t="str">
        <f t="shared" si="238"/>
        <v>#REF!</v>
      </c>
      <c r="AS462" s="73"/>
      <c r="AT462" s="39"/>
    </row>
    <row r="463" ht="15.75" customHeight="1">
      <c r="A463" s="7" t="s">
        <v>1056</v>
      </c>
      <c r="B463" s="7" t="s">
        <v>752</v>
      </c>
      <c r="C463" s="7">
        <v>2001.0</v>
      </c>
      <c r="D463" s="7" t="b">
        <v>1</v>
      </c>
      <c r="E463" s="7">
        <v>2001.0</v>
      </c>
      <c r="F463" s="7" t="b">
        <v>1</v>
      </c>
      <c r="G463" s="7" t="b">
        <v>0</v>
      </c>
      <c r="H463" s="7" t="b">
        <v>0</v>
      </c>
      <c r="I463" s="7" t="b">
        <v>0</v>
      </c>
      <c r="J463" s="7">
        <v>480.0</v>
      </c>
      <c r="K463" s="7">
        <v>1.0</v>
      </c>
      <c r="L463" s="7">
        <v>6077.0</v>
      </c>
      <c r="M463" s="7">
        <v>0.0</v>
      </c>
      <c r="N463" s="7">
        <v>3664.0</v>
      </c>
      <c r="O463" s="7">
        <v>2293.2</v>
      </c>
      <c r="P463" s="9">
        <v>394.3</v>
      </c>
      <c r="Q463" s="7">
        <v>447.1</v>
      </c>
      <c r="R463" s="7">
        <v>21.02</v>
      </c>
      <c r="S463" s="7">
        <v>0.998404</v>
      </c>
      <c r="T463" s="7">
        <v>0.998404</v>
      </c>
      <c r="U463" s="10">
        <f t="shared" si="1"/>
        <v>6077</v>
      </c>
      <c r="V463" s="10">
        <f t="shared" si="2"/>
        <v>63.82132131</v>
      </c>
      <c r="W463" s="11">
        <f t="shared" si="3"/>
        <v>2.510016239</v>
      </c>
      <c r="X463" s="8">
        <f t="shared" si="271"/>
        <v>5755.969239</v>
      </c>
      <c r="Y463" s="12">
        <f t="shared" si="4"/>
        <v>4</v>
      </c>
      <c r="Z463" s="12">
        <f t="shared" si="5"/>
        <v>28779.8462</v>
      </c>
      <c r="AA463" s="12">
        <f t="shared" si="6"/>
        <v>12.5500812</v>
      </c>
      <c r="AB463" s="13">
        <f t="shared" si="7"/>
        <v>0.947172822</v>
      </c>
      <c r="AC463" s="8">
        <f t="shared" si="225"/>
        <v>5852.730232</v>
      </c>
      <c r="AD463" s="13">
        <f t="shared" si="226"/>
        <v>0.9630953155</v>
      </c>
      <c r="AE463" s="8">
        <f t="shared" si="227"/>
        <v>1404.842485</v>
      </c>
      <c r="AF463" s="73">
        <f t="shared" si="228"/>
        <v>274.9405701</v>
      </c>
      <c r="AG463" s="74" t="str">
        <f t="shared" si="229"/>
        <v>#REF!</v>
      </c>
      <c r="AH463" s="73">
        <f t="shared" si="230"/>
        <v>0</v>
      </c>
      <c r="AI463" s="73">
        <f t="shared" si="231"/>
        <v>0</v>
      </c>
      <c r="AJ463" s="75">
        <f t="shared" si="232"/>
        <v>1.292691739</v>
      </c>
      <c r="AK463" s="73">
        <f t="shared" si="233"/>
        <v>0.893177763</v>
      </c>
      <c r="AL463" s="73">
        <f t="shared" si="234"/>
        <v>6.246578596</v>
      </c>
      <c r="AM463" s="73">
        <f t="shared" si="235"/>
        <v>1.462062459</v>
      </c>
      <c r="AN463" s="75">
        <v>4067.96</v>
      </c>
      <c r="AO463" s="76">
        <v>4100.0</v>
      </c>
      <c r="AP463" s="73">
        <f t="shared" si="236"/>
        <v>4100</v>
      </c>
      <c r="AQ463" s="29" t="str">
        <f t="shared" si="237"/>
        <v>#REF!</v>
      </c>
      <c r="AR463" s="77" t="str">
        <f t="shared" si="238"/>
        <v>#REF!</v>
      </c>
      <c r="AS463" s="73"/>
      <c r="AT463" s="39"/>
    </row>
    <row r="464" ht="15.75" customHeight="1">
      <c r="A464" s="16" t="s">
        <v>66</v>
      </c>
      <c r="B464" s="16" t="s">
        <v>54</v>
      </c>
      <c r="C464" s="16">
        <v>2002.0</v>
      </c>
      <c r="D464" s="16"/>
      <c r="E464" s="16">
        <v>2002.0</v>
      </c>
      <c r="F464" s="16" t="b">
        <v>1</v>
      </c>
      <c r="G464" s="16" t="b">
        <v>0</v>
      </c>
      <c r="H464" s="16" t="b">
        <v>1</v>
      </c>
      <c r="I464" s="16" t="b">
        <v>0</v>
      </c>
      <c r="J464" s="18">
        <v>700.0</v>
      </c>
      <c r="K464" s="18">
        <v>15.0</v>
      </c>
      <c r="L464" s="16">
        <v>150.0</v>
      </c>
      <c r="M464" s="16">
        <v>100.0</v>
      </c>
      <c r="N464" s="16">
        <v>130.0</v>
      </c>
      <c r="O464" s="16">
        <v>67.5</v>
      </c>
      <c r="P464" s="18">
        <v>0.0</v>
      </c>
      <c r="Q464" s="16">
        <v>336.0</v>
      </c>
      <c r="R464" s="16">
        <v>4.95</v>
      </c>
      <c r="S464" s="16">
        <v>0.9977</v>
      </c>
      <c r="T464" s="16">
        <v>0.9978</v>
      </c>
      <c r="U464" s="19">
        <f t="shared" si="1"/>
        <v>250</v>
      </c>
      <c r="V464" s="19">
        <f t="shared" si="2"/>
        <v>52.94680321</v>
      </c>
      <c r="W464" s="20">
        <f t="shared" si="3"/>
        <v>2.071018803</v>
      </c>
      <c r="X464" s="17">
        <f t="shared" ref="X464:X465" si="272">0.2*(8.17*POWER(N464*R464,0.46))+0.8*(0.146*POWER(N464*Q464,0.639))</f>
        <v>139.7937692</v>
      </c>
      <c r="Y464" s="21">
        <f t="shared" si="4"/>
        <v>4</v>
      </c>
      <c r="Z464" s="21">
        <f t="shared" si="5"/>
        <v>698.9688459</v>
      </c>
      <c r="AA464" s="21">
        <f t="shared" si="6"/>
        <v>10.35509401</v>
      </c>
      <c r="AB464" s="22">
        <f t="shared" si="7"/>
        <v>0.5591750767</v>
      </c>
      <c r="AC464" s="8">
        <f t="shared" si="225"/>
        <v>141.96128</v>
      </c>
      <c r="AD464" s="13">
        <f t="shared" si="226"/>
        <v>0.5678451198</v>
      </c>
      <c r="AE464" s="8">
        <f t="shared" si="227"/>
        <v>141.96128</v>
      </c>
      <c r="AF464" s="73">
        <f t="shared" si="228"/>
        <v>16.47656834</v>
      </c>
      <c r="AG464" s="74" t="str">
        <f t="shared" si="229"/>
        <v>#REF!</v>
      </c>
      <c r="AH464" s="73">
        <f t="shared" si="230"/>
        <v>0</v>
      </c>
      <c r="AI464" s="73">
        <f t="shared" si="231"/>
        <v>0.6272838613</v>
      </c>
      <c r="AJ464" s="75">
        <f t="shared" si="232"/>
        <v>1</v>
      </c>
      <c r="AK464" s="73">
        <f t="shared" si="233"/>
        <v>0.8135324457</v>
      </c>
      <c r="AL464" s="73">
        <f t="shared" si="234"/>
        <v>1.476222433</v>
      </c>
      <c r="AM464" s="73">
        <f t="shared" si="235"/>
        <v>1.568389731</v>
      </c>
      <c r="AN464" s="75">
        <v>59.3</v>
      </c>
      <c r="AO464" s="76">
        <v>59.0</v>
      </c>
      <c r="AP464" s="73">
        <f t="shared" si="236"/>
        <v>59</v>
      </c>
      <c r="AQ464" s="29" t="str">
        <f t="shared" si="237"/>
        <v>#REF!</v>
      </c>
      <c r="AR464" s="77" t="str">
        <f t="shared" si="238"/>
        <v>#REF!</v>
      </c>
      <c r="AS464" s="73"/>
      <c r="AT464" s="39"/>
    </row>
    <row r="465" ht="15.75" customHeight="1">
      <c r="A465" s="16" t="s">
        <v>563</v>
      </c>
      <c r="B465" s="16" t="s">
        <v>564</v>
      </c>
      <c r="C465" s="16">
        <v>2002.0</v>
      </c>
      <c r="D465" s="16"/>
      <c r="E465" s="16">
        <v>2002.0</v>
      </c>
      <c r="F465" s="16" t="b">
        <v>1</v>
      </c>
      <c r="G465" s="16" t="b">
        <v>0</v>
      </c>
      <c r="H465" s="16" t="b">
        <v>0</v>
      </c>
      <c r="I465" s="16" t="b">
        <v>0</v>
      </c>
      <c r="J465" s="18">
        <v>255.0</v>
      </c>
      <c r="K465" s="16">
        <v>1.0</v>
      </c>
      <c r="L465" s="16">
        <v>1240.0</v>
      </c>
      <c r="M465" s="16">
        <v>0.0</v>
      </c>
      <c r="N465" s="16">
        <v>5330.0</v>
      </c>
      <c r="O465" s="16">
        <v>4152.0</v>
      </c>
      <c r="P465" s="18">
        <v>311.9</v>
      </c>
      <c r="Q465" s="16">
        <v>338.4</v>
      </c>
      <c r="R465" s="16">
        <v>26.66</v>
      </c>
      <c r="S465" s="16">
        <v>0.996354</v>
      </c>
      <c r="T465" s="16">
        <v>0.996354</v>
      </c>
      <c r="U465" s="19">
        <f t="shared" si="1"/>
        <v>1240</v>
      </c>
      <c r="V465" s="19">
        <f t="shared" si="2"/>
        <v>79.43455354</v>
      </c>
      <c r="W465" s="20">
        <f t="shared" si="3"/>
        <v>0.3721109048</v>
      </c>
      <c r="X465" s="17">
        <f t="shared" si="272"/>
        <v>1545.004477</v>
      </c>
      <c r="Y465" s="21">
        <f t="shared" si="4"/>
        <v>4</v>
      </c>
      <c r="Z465" s="21">
        <f t="shared" si="5"/>
        <v>7725.022383</v>
      </c>
      <c r="AA465" s="21">
        <f t="shared" si="6"/>
        <v>1.860554524</v>
      </c>
      <c r="AB465" s="22">
        <f t="shared" si="7"/>
        <v>1.245971352</v>
      </c>
      <c r="AC465" s="8">
        <f t="shared" si="225"/>
        <v>1564.658932</v>
      </c>
      <c r="AD465" s="13">
        <f t="shared" si="226"/>
        <v>1.261821719</v>
      </c>
      <c r="AE465" s="8">
        <f t="shared" si="227"/>
        <v>1564.658932</v>
      </c>
      <c r="AF465" s="73">
        <f t="shared" si="228"/>
        <v>472.7244561</v>
      </c>
      <c r="AG465" s="74" t="str">
        <f t="shared" si="229"/>
        <v>#REF!</v>
      </c>
      <c r="AH465" s="73">
        <f t="shared" si="230"/>
        <v>0</v>
      </c>
      <c r="AI465" s="73">
        <f t="shared" si="231"/>
        <v>0</v>
      </c>
      <c r="AJ465" s="75">
        <f t="shared" si="232"/>
        <v>1.37483444</v>
      </c>
      <c r="AK465" s="73">
        <f t="shared" si="233"/>
        <v>0.9964596928</v>
      </c>
      <c r="AL465" s="73">
        <f t="shared" si="234"/>
        <v>1.519136549</v>
      </c>
      <c r="AM465" s="73">
        <f t="shared" si="235"/>
        <v>1.258654366</v>
      </c>
      <c r="AN465" s="75">
        <v>1489.83</v>
      </c>
      <c r="AO465" s="76">
        <v>1500.0</v>
      </c>
      <c r="AP465" s="73">
        <f t="shared" si="236"/>
        <v>1500</v>
      </c>
      <c r="AQ465" s="29" t="str">
        <f t="shared" si="237"/>
        <v>#REF!</v>
      </c>
      <c r="AR465" s="77" t="str">
        <f t="shared" si="238"/>
        <v>#REF!</v>
      </c>
      <c r="AS465" s="73"/>
      <c r="AT465" s="39"/>
    </row>
    <row r="466" ht="15.75" customHeight="1">
      <c r="A466" s="16" t="s">
        <v>701</v>
      </c>
      <c r="B466" s="16" t="s">
        <v>702</v>
      </c>
      <c r="C466" s="16">
        <v>2002.0</v>
      </c>
      <c r="D466" s="16" t="b">
        <v>1</v>
      </c>
      <c r="E466" s="16">
        <v>2002.0</v>
      </c>
      <c r="F466" s="16" t="b">
        <v>1</v>
      </c>
      <c r="G466" s="16" t="b">
        <v>0</v>
      </c>
      <c r="H466" s="16" t="b">
        <v>0</v>
      </c>
      <c r="I466" s="16" t="b">
        <v>0</v>
      </c>
      <c r="J466" s="18">
        <v>330.0</v>
      </c>
      <c r="K466" s="16">
        <v>1.0</v>
      </c>
      <c r="L466" s="16">
        <v>2850.0</v>
      </c>
      <c r="M466" s="16">
        <v>0.0</v>
      </c>
      <c r="N466" s="16">
        <v>5500.0</v>
      </c>
      <c r="O466" s="16">
        <v>3313.9</v>
      </c>
      <c r="P466" s="18">
        <v>365.0</v>
      </c>
      <c r="Q466" s="16">
        <v>410.0</v>
      </c>
      <c r="R466" s="16">
        <v>9.73</v>
      </c>
      <c r="S466" s="16">
        <v>0.996512</v>
      </c>
      <c r="T466" s="16">
        <v>0.996512</v>
      </c>
      <c r="U466" s="19">
        <f t="shared" si="1"/>
        <v>2850</v>
      </c>
      <c r="V466" s="19">
        <f t="shared" si="2"/>
        <v>61.4406827</v>
      </c>
      <c r="W466" s="20">
        <f t="shared" si="3"/>
        <v>1.257374192</v>
      </c>
      <c r="X466" s="17">
        <f t="shared" ref="X466:X468" si="273">0.9*(0.00015*N466*Q466*R466+797)+0.1*(43.1*POWER(N466,0.549))</f>
        <v>4166.812335</v>
      </c>
      <c r="Y466" s="21">
        <f t="shared" si="4"/>
        <v>4</v>
      </c>
      <c r="Z466" s="21">
        <f t="shared" si="5"/>
        <v>20834.06167</v>
      </c>
      <c r="AA466" s="21">
        <f t="shared" si="6"/>
        <v>6.28687096</v>
      </c>
      <c r="AB466" s="22">
        <f t="shared" si="7"/>
        <v>1.462039416</v>
      </c>
      <c r="AC466" s="8">
        <f t="shared" si="225"/>
        <v>4221.131592</v>
      </c>
      <c r="AD466" s="13">
        <f t="shared" si="226"/>
        <v>1.481098804</v>
      </c>
      <c r="AE466" s="8">
        <f t="shared" si="227"/>
        <v>1605.192731</v>
      </c>
      <c r="AF466" s="73">
        <f t="shared" si="228"/>
        <v>384.2475489</v>
      </c>
      <c r="AG466" s="74" t="str">
        <f t="shared" si="229"/>
        <v>#REF!</v>
      </c>
      <c r="AH466" s="73">
        <f t="shared" si="230"/>
        <v>0</v>
      </c>
      <c r="AI466" s="73">
        <f t="shared" si="231"/>
        <v>0</v>
      </c>
      <c r="AJ466" s="75">
        <f t="shared" si="232"/>
        <v>1.309342961</v>
      </c>
      <c r="AK466" s="73">
        <f t="shared" si="233"/>
        <v>0.8763609609</v>
      </c>
      <c r="AL466" s="73">
        <f t="shared" si="234"/>
        <v>3.783822748</v>
      </c>
      <c r="AM466" s="73">
        <f t="shared" si="235"/>
        <v>1.345624617</v>
      </c>
      <c r="AN466" s="75">
        <v>2903.35</v>
      </c>
      <c r="AO466" s="76">
        <v>2900.0</v>
      </c>
      <c r="AP466" s="73">
        <f t="shared" si="236"/>
        <v>2900</v>
      </c>
      <c r="AQ466" s="29" t="str">
        <f t="shared" si="237"/>
        <v>#REF!</v>
      </c>
      <c r="AR466" s="77" t="str">
        <f t="shared" si="238"/>
        <v>#REF!</v>
      </c>
      <c r="AS466" s="73"/>
      <c r="AT466" s="39"/>
    </row>
    <row r="467" ht="15.75" customHeight="1">
      <c r="A467" s="7" t="s">
        <v>818</v>
      </c>
      <c r="B467" s="7" t="s">
        <v>817</v>
      </c>
      <c r="C467" s="7">
        <v>2002.0</v>
      </c>
      <c r="D467" s="7" t="b">
        <v>1</v>
      </c>
      <c r="E467" s="7">
        <v>2002.0</v>
      </c>
      <c r="F467" s="7" t="b">
        <v>1</v>
      </c>
      <c r="G467" s="7" t="b">
        <v>0</v>
      </c>
      <c r="H467" s="7" t="b">
        <v>0</v>
      </c>
      <c r="I467" s="7" t="b">
        <v>0</v>
      </c>
      <c r="J467" s="9">
        <v>580.0</v>
      </c>
      <c r="K467" s="7">
        <v>1.0</v>
      </c>
      <c r="L467" s="7">
        <v>1600.0</v>
      </c>
      <c r="M467" s="7">
        <v>0.0</v>
      </c>
      <c r="N467" s="7">
        <v>1800.0</v>
      </c>
      <c r="O467" s="7">
        <v>1350.0</v>
      </c>
      <c r="P467" s="9">
        <v>320.0</v>
      </c>
      <c r="Q467" s="7">
        <v>433.0</v>
      </c>
      <c r="R467" s="7">
        <v>11.5</v>
      </c>
      <c r="S467" s="7">
        <v>0.995977</v>
      </c>
      <c r="T467" s="7">
        <v>0.995977</v>
      </c>
      <c r="U467" s="10">
        <f t="shared" si="1"/>
        <v>1600</v>
      </c>
      <c r="V467" s="10">
        <f t="shared" si="2"/>
        <v>76.47871575</v>
      </c>
      <c r="W467" s="11">
        <f t="shared" si="3"/>
        <v>1.623206971</v>
      </c>
      <c r="X467" s="8">
        <f t="shared" si="273"/>
        <v>2191.329411</v>
      </c>
      <c r="Y467" s="12">
        <f t="shared" si="4"/>
        <v>4</v>
      </c>
      <c r="Z467" s="12">
        <f t="shared" si="5"/>
        <v>10956.64705</v>
      </c>
      <c r="AA467" s="12">
        <f t="shared" si="6"/>
        <v>8.116034855</v>
      </c>
      <c r="AB467" s="13">
        <f t="shared" si="7"/>
        <v>1.369580882</v>
      </c>
      <c r="AC467" s="8">
        <f t="shared" si="225"/>
        <v>2217.560028</v>
      </c>
      <c r="AD467" s="13">
        <f t="shared" si="226"/>
        <v>1.385975018</v>
      </c>
      <c r="AE467" s="8">
        <f t="shared" si="227"/>
        <v>847.643217</v>
      </c>
      <c r="AF467" s="73">
        <f t="shared" si="228"/>
        <v>171.4436462</v>
      </c>
      <c r="AG467" s="74" t="str">
        <f t="shared" si="229"/>
        <v>#REF!</v>
      </c>
      <c r="AH467" s="73">
        <f t="shared" si="230"/>
        <v>0</v>
      </c>
      <c r="AI467" s="73">
        <f t="shared" si="231"/>
        <v>0</v>
      </c>
      <c r="AJ467" s="75">
        <f t="shared" si="232"/>
        <v>1.062207994</v>
      </c>
      <c r="AK467" s="73">
        <f t="shared" si="233"/>
        <v>0.9777443157</v>
      </c>
      <c r="AL467" s="73">
        <f t="shared" si="234"/>
        <v>5.154245347</v>
      </c>
      <c r="AM467" s="73">
        <f t="shared" si="235"/>
        <v>1.516697193</v>
      </c>
      <c r="AN467" s="75">
        <v>1668.23</v>
      </c>
      <c r="AO467" s="76">
        <v>1700.0</v>
      </c>
      <c r="AP467" s="73">
        <f t="shared" si="236"/>
        <v>1700</v>
      </c>
      <c r="AQ467" s="29" t="str">
        <f t="shared" si="237"/>
        <v>#REF!</v>
      </c>
      <c r="AR467" s="77" t="str">
        <f t="shared" si="238"/>
        <v>#REF!</v>
      </c>
      <c r="AS467" s="73"/>
      <c r="AT467" s="39"/>
    </row>
    <row r="468" ht="15.75" customHeight="1">
      <c r="A468" s="16" t="s">
        <v>243</v>
      </c>
      <c r="B468" s="16" t="s">
        <v>241</v>
      </c>
      <c r="C468" s="16">
        <v>2003.0</v>
      </c>
      <c r="D468" s="16" t="b">
        <v>1</v>
      </c>
      <c r="E468" s="16">
        <v>2003.0</v>
      </c>
      <c r="F468" s="16" t="b">
        <v>1</v>
      </c>
      <c r="G468" s="16" t="b">
        <v>0</v>
      </c>
      <c r="H468" s="16" t="b">
        <v>0</v>
      </c>
      <c r="I468" s="16" t="b">
        <v>0</v>
      </c>
      <c r="J468" s="18">
        <v>390.0</v>
      </c>
      <c r="K468" s="16">
        <v>1.0</v>
      </c>
      <c r="L468" s="16">
        <v>3500.0</v>
      </c>
      <c r="M468" s="16">
        <v>-1900.0</v>
      </c>
      <c r="N468" s="16">
        <v>1832.0</v>
      </c>
      <c r="O468" s="16">
        <v>1098.0</v>
      </c>
      <c r="P468" s="18">
        <v>338.0</v>
      </c>
      <c r="Q468" s="16">
        <v>440.0</v>
      </c>
      <c r="R468" s="16">
        <v>12.0</v>
      </c>
      <c r="S468" s="16">
        <v>0.997458</v>
      </c>
      <c r="T468" s="16">
        <v>0.997458</v>
      </c>
      <c r="U468" s="19">
        <f t="shared" si="1"/>
        <v>1600</v>
      </c>
      <c r="V468" s="19">
        <f t="shared" si="2"/>
        <v>61.11617896</v>
      </c>
      <c r="W468" s="20">
        <f t="shared" si="3"/>
        <v>2.08536158</v>
      </c>
      <c r="X468" s="17">
        <f t="shared" si="273"/>
        <v>2289.727015</v>
      </c>
      <c r="Y468" s="21">
        <f t="shared" si="4"/>
        <v>4</v>
      </c>
      <c r="Z468" s="21">
        <f t="shared" si="5"/>
        <v>11448.63508</v>
      </c>
      <c r="AA468" s="21">
        <f t="shared" si="6"/>
        <v>10.4268079</v>
      </c>
      <c r="AB468" s="22">
        <f t="shared" si="7"/>
        <v>1.431079385</v>
      </c>
      <c r="AC468" s="8">
        <f t="shared" si="225"/>
        <v>2323.895379</v>
      </c>
      <c r="AD468" s="13">
        <f t="shared" si="226"/>
        <v>1.452434612</v>
      </c>
      <c r="AE468" s="8">
        <f t="shared" si="227"/>
        <v>869.6131182</v>
      </c>
      <c r="AF468" s="73">
        <f t="shared" si="228"/>
        <v>143.1048962</v>
      </c>
      <c r="AG468" s="74" t="str">
        <f t="shared" si="229"/>
        <v>#REF!</v>
      </c>
      <c r="AH468" s="73">
        <f t="shared" si="230"/>
        <v>0</v>
      </c>
      <c r="AI468" s="73">
        <f t="shared" si="231"/>
        <v>0</v>
      </c>
      <c r="AJ468" s="75">
        <f t="shared" si="232"/>
        <v>1.099629843</v>
      </c>
      <c r="AK468" s="73">
        <f t="shared" si="233"/>
        <v>0.8740436128</v>
      </c>
      <c r="AL468" s="73">
        <f t="shared" si="234"/>
        <v>5.668948711</v>
      </c>
      <c r="AM468" s="73">
        <f t="shared" si="235"/>
        <v>1.39894098</v>
      </c>
      <c r="AN468" s="75">
        <v>1464.67</v>
      </c>
      <c r="AO468" s="76">
        <v>1450.0</v>
      </c>
      <c r="AP468" s="73">
        <f t="shared" si="236"/>
        <v>1450</v>
      </c>
      <c r="AQ468" s="29" t="str">
        <f t="shared" si="237"/>
        <v>#REF!</v>
      </c>
      <c r="AR468" s="77" t="str">
        <f t="shared" si="238"/>
        <v>#REF!</v>
      </c>
      <c r="AS468" s="73"/>
      <c r="AT468" s="39"/>
    </row>
    <row r="469" ht="15.75" customHeight="1">
      <c r="A469" s="7" t="s">
        <v>557</v>
      </c>
      <c r="B469" s="7" t="s">
        <v>555</v>
      </c>
      <c r="C469" s="7">
        <v>2003.0</v>
      </c>
      <c r="D469" s="7"/>
      <c r="E469" s="7">
        <v>2003.0</v>
      </c>
      <c r="F469" s="7" t="b">
        <v>1</v>
      </c>
      <c r="G469" s="7" t="b">
        <v>0</v>
      </c>
      <c r="H469" s="7" t="b">
        <v>1</v>
      </c>
      <c r="I469" s="7" t="b">
        <v>0</v>
      </c>
      <c r="J469" s="9">
        <v>305.0</v>
      </c>
      <c r="K469" s="9">
        <v>19.0</v>
      </c>
      <c r="L469" s="7">
        <v>750.0</v>
      </c>
      <c r="M469" s="7">
        <v>0.0</v>
      </c>
      <c r="N469" s="7">
        <v>1125.0</v>
      </c>
      <c r="O469" s="7">
        <v>912.02</v>
      </c>
      <c r="P469" s="9">
        <v>256.0</v>
      </c>
      <c r="Q469" s="7">
        <v>350.0</v>
      </c>
      <c r="R469" s="7">
        <v>17.81</v>
      </c>
      <c r="S469" s="7">
        <v>0.992254</v>
      </c>
      <c r="T469" s="7">
        <v>0.985135</v>
      </c>
      <c r="U469" s="10">
        <f t="shared" si="1"/>
        <v>750</v>
      </c>
      <c r="V469" s="10">
        <f t="shared" si="2"/>
        <v>82.66680692</v>
      </c>
      <c r="W469" s="11">
        <f t="shared" si="3"/>
        <v>0.6523495726</v>
      </c>
      <c r="X469" s="8">
        <f>0.2*(8.17*POWER(N469*R469,0.46))+0.8*(0.146*POWER(N469*Q469,0.639))</f>
        <v>594.9558572</v>
      </c>
      <c r="Y469" s="12">
        <f t="shared" si="4"/>
        <v>4</v>
      </c>
      <c r="Z469" s="12">
        <f t="shared" si="5"/>
        <v>2974.779286</v>
      </c>
      <c r="AA469" s="12">
        <f t="shared" si="6"/>
        <v>3.261747863</v>
      </c>
      <c r="AB469" s="13">
        <f t="shared" si="7"/>
        <v>0.7932744762</v>
      </c>
      <c r="AC469" s="8">
        <f t="shared" si="225"/>
        <v>593.4709332</v>
      </c>
      <c r="AD469" s="13">
        <f t="shared" si="226"/>
        <v>0.7912945776</v>
      </c>
      <c r="AE469" s="8">
        <f t="shared" si="227"/>
        <v>593.4709332</v>
      </c>
      <c r="AF469" s="73">
        <f t="shared" si="228"/>
        <v>121.8962917</v>
      </c>
      <c r="AG469" s="74" t="str">
        <f t="shared" si="229"/>
        <v>#REF!</v>
      </c>
      <c r="AH469" s="73">
        <f t="shared" si="230"/>
        <v>0</v>
      </c>
      <c r="AI469" s="73">
        <f t="shared" si="231"/>
        <v>0.6675837708</v>
      </c>
      <c r="AJ469" s="75">
        <f t="shared" si="232"/>
        <v>1.053452248</v>
      </c>
      <c r="AK469" s="73">
        <f t="shared" si="233"/>
        <v>1.016530908</v>
      </c>
      <c r="AL469" s="73">
        <f t="shared" si="234"/>
        <v>1.74895593</v>
      </c>
      <c r="AM469" s="73">
        <f t="shared" si="235"/>
        <v>1.319666265</v>
      </c>
      <c r="AN469" s="75">
        <v>391.58</v>
      </c>
      <c r="AO469" s="76">
        <v>390.0</v>
      </c>
      <c r="AP469" s="73">
        <f t="shared" si="236"/>
        <v>390</v>
      </c>
      <c r="AQ469" s="29" t="str">
        <f t="shared" si="237"/>
        <v>#REF!</v>
      </c>
      <c r="AR469" s="77" t="str">
        <f t="shared" si="238"/>
        <v>#REF!</v>
      </c>
      <c r="AS469" s="73"/>
      <c r="AT469" s="39"/>
    </row>
    <row r="470" ht="15.75" customHeight="1">
      <c r="A470" s="7" t="s">
        <v>638</v>
      </c>
      <c r="B470" s="7" t="s">
        <v>639</v>
      </c>
      <c r="C470" s="7">
        <v>2003.0</v>
      </c>
      <c r="D470" s="7" t="b">
        <v>1</v>
      </c>
      <c r="E470" s="7">
        <v>2003.0</v>
      </c>
      <c r="F470" s="7" t="b">
        <v>1</v>
      </c>
      <c r="G470" s="7" t="b">
        <v>0</v>
      </c>
      <c r="H470" s="7" t="b">
        <v>0</v>
      </c>
      <c r="I470" s="7" t="b">
        <v>0</v>
      </c>
      <c r="J470" s="9">
        <v>440.0</v>
      </c>
      <c r="K470" s="7">
        <v>1.0</v>
      </c>
      <c r="L470" s="7">
        <v>5400.0</v>
      </c>
      <c r="M470" s="7">
        <v>0.0</v>
      </c>
      <c r="N470" s="7">
        <v>4420.0</v>
      </c>
      <c r="O470" s="7">
        <v>4004.0</v>
      </c>
      <c r="P470" s="9">
        <v>330.0</v>
      </c>
      <c r="Q470" s="9">
        <v>460.0</v>
      </c>
      <c r="R470" s="7">
        <v>2.94</v>
      </c>
      <c r="S470" s="9">
        <v>1.0</v>
      </c>
      <c r="T470" s="9">
        <v>1.0</v>
      </c>
      <c r="U470" s="10">
        <f t="shared" si="1"/>
        <v>5400</v>
      </c>
      <c r="V470" s="10">
        <f t="shared" si="2"/>
        <v>92.37429196</v>
      </c>
      <c r="W470" s="11">
        <f t="shared" si="3"/>
        <v>0.4886627894</v>
      </c>
      <c r="X470" s="8">
        <f t="shared" ref="X470:X471" si="274">0.9*(0.00015*N470*Q470*R470+797)+0.1*(43.1*POWER(N470,0.549))</f>
        <v>1956.605809</v>
      </c>
      <c r="Y470" s="12">
        <f t="shared" si="4"/>
        <v>4</v>
      </c>
      <c r="Z470" s="12">
        <f t="shared" si="5"/>
        <v>9783.029045</v>
      </c>
      <c r="AA470" s="12">
        <f t="shared" si="6"/>
        <v>2.443313947</v>
      </c>
      <c r="AB470" s="13">
        <f t="shared" si="7"/>
        <v>0.3623344091</v>
      </c>
      <c r="AC470" s="8">
        <f t="shared" si="225"/>
        <v>1995.737925</v>
      </c>
      <c r="AD470" s="13">
        <f t="shared" si="226"/>
        <v>0.3695810972</v>
      </c>
      <c r="AE470" s="8">
        <f t="shared" si="227"/>
        <v>1409.365948</v>
      </c>
      <c r="AF470" s="73">
        <f t="shared" si="228"/>
        <v>457.1662224</v>
      </c>
      <c r="AG470" s="74" t="str">
        <f t="shared" si="229"/>
        <v>#REF!</v>
      </c>
      <c r="AH470" s="73">
        <f t="shared" si="230"/>
        <v>0</v>
      </c>
      <c r="AI470" s="73">
        <f t="shared" si="231"/>
        <v>0</v>
      </c>
      <c r="AJ470" s="75">
        <f t="shared" si="232"/>
        <v>1.038497025</v>
      </c>
      <c r="AK470" s="73">
        <f t="shared" si="233"/>
        <v>1.074559747</v>
      </c>
      <c r="AL470" s="73">
        <f t="shared" si="234"/>
        <v>7.459708583</v>
      </c>
      <c r="AM470" s="73">
        <f t="shared" si="235"/>
        <v>1.43602554</v>
      </c>
      <c r="AN470" s="75">
        <v>7968.03</v>
      </c>
      <c r="AO470" s="76">
        <v>8000.0</v>
      </c>
      <c r="AP470" s="73">
        <f t="shared" si="236"/>
        <v>8000</v>
      </c>
      <c r="AQ470" s="29" t="str">
        <f t="shared" si="237"/>
        <v>#REF!</v>
      </c>
      <c r="AR470" s="77" t="str">
        <f t="shared" si="238"/>
        <v>#REF!</v>
      </c>
      <c r="AS470" s="73"/>
      <c r="AT470" s="39"/>
    </row>
    <row r="471" ht="15.75" customHeight="1">
      <c r="A471" s="16" t="s">
        <v>640</v>
      </c>
      <c r="B471" s="16" t="s">
        <v>641</v>
      </c>
      <c r="C471" s="16">
        <v>2003.0</v>
      </c>
      <c r="D471" s="16" t="b">
        <v>1</v>
      </c>
      <c r="E471" s="16">
        <v>2003.0</v>
      </c>
      <c r="F471" s="16" t="b">
        <v>1</v>
      </c>
      <c r="G471" s="16" t="b">
        <v>0</v>
      </c>
      <c r="H471" s="16" t="b">
        <v>0</v>
      </c>
      <c r="I471" s="16" t="b">
        <v>0</v>
      </c>
      <c r="J471" s="18">
        <v>440.0</v>
      </c>
      <c r="K471" s="16">
        <v>1.0</v>
      </c>
      <c r="L471" s="16">
        <v>3800.0</v>
      </c>
      <c r="M471" s="16">
        <v>0.0</v>
      </c>
      <c r="N471" s="16">
        <v>2420.0</v>
      </c>
      <c r="O471" s="16">
        <v>2002.0</v>
      </c>
      <c r="P471" s="18">
        <v>356.0</v>
      </c>
      <c r="Q471" s="18">
        <v>460.0</v>
      </c>
      <c r="R471" s="16">
        <v>2.94</v>
      </c>
      <c r="S471" s="18">
        <v>1.0</v>
      </c>
      <c r="T471" s="18">
        <v>1.0</v>
      </c>
      <c r="U471" s="19">
        <f t="shared" si="1"/>
        <v>3800</v>
      </c>
      <c r="V471" s="19">
        <f t="shared" si="2"/>
        <v>84.35834101</v>
      </c>
      <c r="W471" s="20">
        <f t="shared" si="3"/>
        <v>0.7341269997</v>
      </c>
      <c r="X471" s="17">
        <f t="shared" si="274"/>
        <v>1469.722253</v>
      </c>
      <c r="Y471" s="21">
        <f t="shared" si="4"/>
        <v>4</v>
      </c>
      <c r="Z471" s="21">
        <f t="shared" si="5"/>
        <v>7348.611267</v>
      </c>
      <c r="AA471" s="21">
        <f t="shared" si="6"/>
        <v>3.670634999</v>
      </c>
      <c r="AB471" s="22">
        <f t="shared" si="7"/>
        <v>0.3867690141</v>
      </c>
      <c r="AC471" s="8">
        <f t="shared" si="225"/>
        <v>1499.116699</v>
      </c>
      <c r="AD471" s="13">
        <f t="shared" si="226"/>
        <v>0.3945043943</v>
      </c>
      <c r="AE471" s="8">
        <f t="shared" si="227"/>
        <v>969.1624025</v>
      </c>
      <c r="AF471" s="73">
        <f t="shared" si="228"/>
        <v>243.3175863</v>
      </c>
      <c r="AG471" s="74" t="str">
        <f t="shared" si="229"/>
        <v>#REF!</v>
      </c>
      <c r="AH471" s="73">
        <f t="shared" si="230"/>
        <v>0</v>
      </c>
      <c r="AI471" s="73">
        <f t="shared" si="231"/>
        <v>0</v>
      </c>
      <c r="AJ471" s="75">
        <f t="shared" si="232"/>
        <v>1.107651036</v>
      </c>
      <c r="AK471" s="73">
        <f t="shared" si="233"/>
        <v>1.026878407</v>
      </c>
      <c r="AL471" s="73">
        <f t="shared" si="234"/>
        <v>7.459708583</v>
      </c>
      <c r="AM471" s="73">
        <f t="shared" si="235"/>
        <v>1.43602554</v>
      </c>
      <c r="AN471" s="75">
        <v>4419.26</v>
      </c>
      <c r="AO471" s="76">
        <v>4400.0</v>
      </c>
      <c r="AP471" s="73">
        <f t="shared" si="236"/>
        <v>4400</v>
      </c>
      <c r="AQ471" s="29" t="str">
        <f t="shared" si="237"/>
        <v>#REF!</v>
      </c>
      <c r="AR471" s="77" t="str">
        <f t="shared" si="238"/>
        <v>#REF!</v>
      </c>
      <c r="AS471" s="73"/>
      <c r="AT471" s="39"/>
    </row>
    <row r="472" ht="15.75" customHeight="1">
      <c r="A472" s="7" t="s">
        <v>101</v>
      </c>
      <c r="B472" s="7" t="s">
        <v>100</v>
      </c>
      <c r="C472" s="7">
        <v>2004.0</v>
      </c>
      <c r="D472" s="7"/>
      <c r="E472" s="7">
        <v>2004.0</v>
      </c>
      <c r="F472" s="7" t="b">
        <v>0</v>
      </c>
      <c r="G472" s="7" t="b">
        <v>0</v>
      </c>
      <c r="H472" s="7" t="b">
        <v>1</v>
      </c>
      <c r="I472" s="7" t="b">
        <v>0</v>
      </c>
      <c r="J472" s="9">
        <v>2700.0</v>
      </c>
      <c r="K472" s="9">
        <v>999.0</v>
      </c>
      <c r="L472" s="7">
        <v>200.0</v>
      </c>
      <c r="M472" s="7">
        <v>0.0</v>
      </c>
      <c r="N472" s="7">
        <v>5.44</v>
      </c>
      <c r="O472" s="7">
        <v>0.623</v>
      </c>
      <c r="P472" s="9">
        <v>1.0</v>
      </c>
      <c r="Q472" s="7">
        <v>333.0</v>
      </c>
      <c r="R472" s="7">
        <v>1.38</v>
      </c>
      <c r="S472" s="7">
        <v>1.0</v>
      </c>
      <c r="T472" s="7">
        <v>1.0</v>
      </c>
      <c r="U472" s="10">
        <f t="shared" si="1"/>
        <v>200</v>
      </c>
      <c r="V472" s="10">
        <f t="shared" si="2"/>
        <v>11.67799998</v>
      </c>
      <c r="W472" s="11">
        <f t="shared" si="3"/>
        <v>29.26787592</v>
      </c>
      <c r="X472" s="8">
        <f t="shared" ref="X472:X473" si="275">0.2*(8.17*POWER(N472*R472,0.46))+0.8*(0.146*POWER(N472*Q472,0.639))</f>
        <v>18.2338867</v>
      </c>
      <c r="Y472" s="12">
        <f t="shared" si="4"/>
        <v>1.75</v>
      </c>
      <c r="Z472" s="12">
        <f t="shared" si="5"/>
        <v>50.14318842</v>
      </c>
      <c r="AA472" s="12">
        <f t="shared" si="6"/>
        <v>80.48665878</v>
      </c>
      <c r="AB472" s="13">
        <f t="shared" si="7"/>
        <v>0.09116943349</v>
      </c>
      <c r="AC472" s="8">
        <f t="shared" si="225"/>
        <v>18.59856443</v>
      </c>
      <c r="AD472" s="13">
        <f t="shared" si="226"/>
        <v>0.09299282216</v>
      </c>
      <c r="AE472" s="8">
        <f t="shared" si="227"/>
        <v>18.59856443</v>
      </c>
      <c r="AF472" s="73">
        <f t="shared" si="228"/>
        <v>2.101873927</v>
      </c>
      <c r="AG472" s="74" t="str">
        <f t="shared" si="229"/>
        <v>#REF!</v>
      </c>
      <c r="AH472" s="73">
        <f t="shared" si="230"/>
        <v>0</v>
      </c>
      <c r="AI472" s="73">
        <f t="shared" si="231"/>
        <v>1.123141633</v>
      </c>
      <c r="AJ472" s="75">
        <f t="shared" si="232"/>
        <v>1</v>
      </c>
      <c r="AK472" s="73">
        <f t="shared" si="233"/>
        <v>0.3820667477</v>
      </c>
      <c r="AL472" s="73">
        <f t="shared" si="234"/>
        <v>1.424664189</v>
      </c>
      <c r="AM472" s="73">
        <f t="shared" si="235"/>
        <v>1.873749293</v>
      </c>
      <c r="AN472" s="75">
        <v>10.58</v>
      </c>
      <c r="AO472" s="76">
        <v>10.5</v>
      </c>
      <c r="AP472" s="73">
        <f t="shared" si="236"/>
        <v>10.5</v>
      </c>
      <c r="AQ472" s="29" t="str">
        <f t="shared" si="237"/>
        <v>#REF!</v>
      </c>
      <c r="AR472" s="77" t="str">
        <f t="shared" si="238"/>
        <v>#REF!</v>
      </c>
      <c r="AS472" s="73"/>
      <c r="AT472" s="39"/>
    </row>
    <row r="473" ht="15.75" customHeight="1">
      <c r="A473" s="16" t="s">
        <v>99</v>
      </c>
      <c r="B473" s="16" t="s">
        <v>100</v>
      </c>
      <c r="C473" s="16">
        <v>2004.0</v>
      </c>
      <c r="D473" s="16"/>
      <c r="E473" s="16">
        <v>2004.0</v>
      </c>
      <c r="F473" s="16" t="b">
        <v>0</v>
      </c>
      <c r="G473" s="16" t="b">
        <v>0</v>
      </c>
      <c r="H473" s="16" t="b">
        <v>1</v>
      </c>
      <c r="I473" s="16" t="b">
        <v>0</v>
      </c>
      <c r="J473" s="18">
        <v>2700.0</v>
      </c>
      <c r="K473" s="18">
        <v>999.0</v>
      </c>
      <c r="L473" s="16">
        <v>200.0</v>
      </c>
      <c r="M473" s="16"/>
      <c r="N473" s="16">
        <v>5.44</v>
      </c>
      <c r="O473" s="16">
        <v>0.89</v>
      </c>
      <c r="P473" s="18">
        <v>1.0</v>
      </c>
      <c r="Q473" s="16">
        <v>333.0</v>
      </c>
      <c r="R473" s="16">
        <v>1.38</v>
      </c>
      <c r="S473" s="16">
        <v>1.0</v>
      </c>
      <c r="T473" s="16">
        <v>1.0</v>
      </c>
      <c r="U473" s="19">
        <f t="shared" si="1"/>
        <v>200</v>
      </c>
      <c r="V473" s="19">
        <f t="shared" si="2"/>
        <v>16.68285711</v>
      </c>
      <c r="W473" s="20">
        <f t="shared" si="3"/>
        <v>20.48751314</v>
      </c>
      <c r="X473" s="17">
        <f t="shared" si="275"/>
        <v>18.2338867</v>
      </c>
      <c r="Y473" s="21">
        <f t="shared" si="4"/>
        <v>1.75</v>
      </c>
      <c r="Z473" s="21">
        <f t="shared" si="5"/>
        <v>50.14318842</v>
      </c>
      <c r="AA473" s="21">
        <f t="shared" si="6"/>
        <v>56.34066115</v>
      </c>
      <c r="AB473" s="22">
        <f t="shared" si="7"/>
        <v>0.09116943349</v>
      </c>
      <c r="AC473" s="8">
        <f t="shared" si="225"/>
        <v>18.59856443</v>
      </c>
      <c r="AD473" s="13">
        <f t="shared" si="226"/>
        <v>0.09299282216</v>
      </c>
      <c r="AE473" s="8">
        <f t="shared" si="227"/>
        <v>18.59856443</v>
      </c>
      <c r="AF473" s="73">
        <f t="shared" si="228"/>
        <v>2.231380273</v>
      </c>
      <c r="AG473" s="74" t="str">
        <f t="shared" si="229"/>
        <v>#REF!</v>
      </c>
      <c r="AH473" s="73">
        <f t="shared" si="230"/>
        <v>0</v>
      </c>
      <c r="AI473" s="73">
        <f t="shared" si="231"/>
        <v>1.123141633</v>
      </c>
      <c r="AJ473" s="75">
        <f t="shared" si="232"/>
        <v>1</v>
      </c>
      <c r="AK473" s="73">
        <f t="shared" si="233"/>
        <v>0.4566571076</v>
      </c>
      <c r="AL473" s="73">
        <f t="shared" si="234"/>
        <v>1.424664189</v>
      </c>
      <c r="AM473" s="73">
        <f t="shared" si="235"/>
        <v>1.873749293</v>
      </c>
      <c r="AN473" s="75">
        <v>11.57</v>
      </c>
      <c r="AO473" s="76">
        <v>11.5</v>
      </c>
      <c r="AP473" s="73">
        <f t="shared" si="236"/>
        <v>11.5</v>
      </c>
      <c r="AQ473" s="29" t="str">
        <f t="shared" si="237"/>
        <v>#REF!</v>
      </c>
      <c r="AR473" s="77" t="str">
        <f t="shared" si="238"/>
        <v>#REF!</v>
      </c>
      <c r="AS473" s="73"/>
      <c r="AT473" s="39"/>
    </row>
    <row r="474" ht="15.75" customHeight="1">
      <c r="A474" s="7" t="s">
        <v>363</v>
      </c>
      <c r="B474" s="7" t="s">
        <v>364</v>
      </c>
      <c r="C474" s="7">
        <v>2004.0</v>
      </c>
      <c r="D474" s="7" t="b">
        <v>1</v>
      </c>
      <c r="E474" s="7">
        <v>2004.0</v>
      </c>
      <c r="F474" s="7" t="b">
        <v>1</v>
      </c>
      <c r="G474" s="7" t="b">
        <v>0</v>
      </c>
      <c r="H474" s="7" t="b">
        <v>1</v>
      </c>
      <c r="I474" s="7" t="b">
        <v>0</v>
      </c>
      <c r="J474" s="9">
        <v>1130.0</v>
      </c>
      <c r="K474" s="9">
        <v>10.0</v>
      </c>
      <c r="L474" s="7">
        <v>750.0</v>
      </c>
      <c r="M474" s="7">
        <v>100.0</v>
      </c>
      <c r="N474" s="7">
        <v>443.0</v>
      </c>
      <c r="O474" s="7">
        <v>177.9</v>
      </c>
      <c r="P474" s="9">
        <v>201.0</v>
      </c>
      <c r="Q474" s="7">
        <v>466.6</v>
      </c>
      <c r="R474" s="7">
        <v>10.34</v>
      </c>
      <c r="S474" s="7">
        <v>0.9995</v>
      </c>
      <c r="T474" s="7">
        <v>0.9979</v>
      </c>
      <c r="U474" s="10">
        <f t="shared" si="1"/>
        <v>850</v>
      </c>
      <c r="V474" s="10">
        <f t="shared" si="2"/>
        <v>40.94977737</v>
      </c>
      <c r="W474" s="11">
        <f t="shared" si="3"/>
        <v>6.341299194</v>
      </c>
      <c r="X474" s="8">
        <f>0.9*(0.00015*N474*Q474*R474+797)+0.1*(43.1*POWER(N474,0.549))</f>
        <v>1128.117127</v>
      </c>
      <c r="Y474" s="12">
        <f t="shared" si="4"/>
        <v>4</v>
      </c>
      <c r="Z474" s="12">
        <f t="shared" si="5"/>
        <v>5640.585633</v>
      </c>
      <c r="AA474" s="12">
        <f t="shared" si="6"/>
        <v>31.70649597</v>
      </c>
      <c r="AB474" s="13">
        <f t="shared" si="7"/>
        <v>1.327196619</v>
      </c>
      <c r="AC474" s="8">
        <f t="shared" si="225"/>
        <v>1147.747549</v>
      </c>
      <c r="AD474" s="13">
        <f t="shared" si="226"/>
        <v>1.350291234</v>
      </c>
      <c r="AE474" s="8">
        <f t="shared" si="227"/>
        <v>376.4128777</v>
      </c>
      <c r="AF474" s="73">
        <f t="shared" si="228"/>
        <v>32.64269979</v>
      </c>
      <c r="AG474" s="74" t="str">
        <f t="shared" si="229"/>
        <v>#REF!</v>
      </c>
      <c r="AH474" s="73">
        <f t="shared" si="230"/>
        <v>0</v>
      </c>
      <c r="AI474" s="73">
        <f t="shared" si="231"/>
        <v>0.5535639833</v>
      </c>
      <c r="AJ474" s="75">
        <f t="shared" si="232"/>
        <v>1</v>
      </c>
      <c r="AK474" s="73">
        <f t="shared" si="233"/>
        <v>0.7154524562</v>
      </c>
      <c r="AL474" s="73">
        <f t="shared" si="234"/>
        <v>8.813915885</v>
      </c>
      <c r="AM474" s="73">
        <f t="shared" si="235"/>
        <v>1.689162817</v>
      </c>
      <c r="AN474" s="75">
        <v>737.82</v>
      </c>
      <c r="AO474" s="76">
        <v>740.0</v>
      </c>
      <c r="AP474" s="73">
        <f t="shared" si="236"/>
        <v>740</v>
      </c>
      <c r="AQ474" s="29" t="str">
        <f t="shared" si="237"/>
        <v>#REF!</v>
      </c>
      <c r="AR474" s="77" t="str">
        <f t="shared" si="238"/>
        <v>#REF!</v>
      </c>
      <c r="AS474" s="73"/>
      <c r="AT474" s="39"/>
    </row>
    <row r="475" ht="15.75" customHeight="1">
      <c r="A475" s="16" t="s">
        <v>458</v>
      </c>
      <c r="B475" s="16" t="s">
        <v>459</v>
      </c>
      <c r="C475" s="16">
        <v>2004.0</v>
      </c>
      <c r="D475" s="16"/>
      <c r="E475" s="16">
        <v>2004.0</v>
      </c>
      <c r="F475" s="16" t="b">
        <v>1</v>
      </c>
      <c r="G475" s="16" t="b">
        <v>0</v>
      </c>
      <c r="H475" s="16" t="b">
        <v>1</v>
      </c>
      <c r="I475" s="16" t="b">
        <v>0</v>
      </c>
      <c r="J475" s="18">
        <v>300.0</v>
      </c>
      <c r="K475" s="18">
        <v>2.0</v>
      </c>
      <c r="L475" s="16">
        <v>500.0</v>
      </c>
      <c r="M475" s="16">
        <v>0.0</v>
      </c>
      <c r="N475" s="16">
        <v>480.0</v>
      </c>
      <c r="O475" s="16">
        <v>294.3</v>
      </c>
      <c r="P475" s="18">
        <v>245.0</v>
      </c>
      <c r="Q475" s="16">
        <v>359.0</v>
      </c>
      <c r="R475" s="16">
        <v>15.69</v>
      </c>
      <c r="S475" s="16">
        <v>0.997826</v>
      </c>
      <c r="T475" s="16">
        <v>0.997826</v>
      </c>
      <c r="U475" s="19">
        <f t="shared" si="1"/>
        <v>500</v>
      </c>
      <c r="V475" s="19">
        <f t="shared" si="2"/>
        <v>62.52135013</v>
      </c>
      <c r="W475" s="20">
        <f t="shared" si="3"/>
        <v>1.217528868</v>
      </c>
      <c r="X475" s="17">
        <f t="shared" ref="X475:X479" si="276">0.2*(8.17*POWER(N475*R475,0.46))+0.8*(0.146*POWER(N475*Q475,0.639))</f>
        <v>358.3187458</v>
      </c>
      <c r="Y475" s="21">
        <f t="shared" si="4"/>
        <v>4</v>
      </c>
      <c r="Z475" s="21">
        <f t="shared" si="5"/>
        <v>1791.593729</v>
      </c>
      <c r="AA475" s="21">
        <f t="shared" si="6"/>
        <v>6.087644338</v>
      </c>
      <c r="AB475" s="22">
        <f t="shared" si="7"/>
        <v>0.7166374915</v>
      </c>
      <c r="AC475" s="8">
        <f t="shared" si="225"/>
        <v>363.9288443</v>
      </c>
      <c r="AD475" s="13">
        <f t="shared" si="226"/>
        <v>0.7278576886</v>
      </c>
      <c r="AE475" s="8">
        <f t="shared" si="227"/>
        <v>363.9288443</v>
      </c>
      <c r="AF475" s="73">
        <f t="shared" si="228"/>
        <v>47.99258122</v>
      </c>
      <c r="AG475" s="74" t="str">
        <f t="shared" si="229"/>
        <v>#REF!</v>
      </c>
      <c r="AH475" s="73">
        <f t="shared" si="230"/>
        <v>0</v>
      </c>
      <c r="AI475" s="73">
        <f t="shared" si="231"/>
        <v>0.1941741551</v>
      </c>
      <c r="AJ475" s="75">
        <f t="shared" si="232"/>
        <v>1.009419306</v>
      </c>
      <c r="AK475" s="73">
        <f t="shared" si="233"/>
        <v>0.8840344318</v>
      </c>
      <c r="AL475" s="73">
        <f t="shared" si="234"/>
        <v>1.955510545</v>
      </c>
      <c r="AM475" s="73">
        <f t="shared" si="235"/>
        <v>1.314152039</v>
      </c>
      <c r="AN475" s="75">
        <v>164.43</v>
      </c>
      <c r="AO475" s="76">
        <v>160.0</v>
      </c>
      <c r="AP475" s="73">
        <f t="shared" si="236"/>
        <v>160</v>
      </c>
      <c r="AQ475" s="29" t="str">
        <f t="shared" si="237"/>
        <v>#REF!</v>
      </c>
      <c r="AR475" s="77" t="str">
        <f t="shared" si="238"/>
        <v>#REF!</v>
      </c>
      <c r="AS475" s="73"/>
      <c r="AT475" s="39"/>
    </row>
    <row r="476" ht="15.75" customHeight="1">
      <c r="A476" s="7" t="s">
        <v>562</v>
      </c>
      <c r="B476" s="7" t="s">
        <v>559</v>
      </c>
      <c r="C476" s="7">
        <v>2004.0</v>
      </c>
      <c r="D476" s="7"/>
      <c r="E476" s="7">
        <v>2004.0</v>
      </c>
      <c r="F476" s="7" t="b">
        <v>1</v>
      </c>
      <c r="G476" s="7" t="b">
        <v>0</v>
      </c>
      <c r="H476" s="7" t="b">
        <v>0</v>
      </c>
      <c r="I476" s="7" t="b">
        <v>0</v>
      </c>
      <c r="J476" s="9">
        <v>150.0</v>
      </c>
      <c r="K476" s="7">
        <v>1.0</v>
      </c>
      <c r="L476" s="7">
        <v>2004.0</v>
      </c>
      <c r="M476" s="7">
        <v>0.0</v>
      </c>
      <c r="N476" s="7">
        <v>9750.0</v>
      </c>
      <c r="O476" s="7">
        <v>7904.0</v>
      </c>
      <c r="P476" s="9">
        <v>309.3</v>
      </c>
      <c r="Q476" s="7">
        <v>337.2</v>
      </c>
      <c r="R476" s="7">
        <v>24.52</v>
      </c>
      <c r="S476" s="7">
        <v>0.996939</v>
      </c>
      <c r="T476" s="7">
        <v>0.996939</v>
      </c>
      <c r="U476" s="10">
        <f t="shared" si="1"/>
        <v>2004</v>
      </c>
      <c r="V476" s="10">
        <f t="shared" si="2"/>
        <v>82.66499409</v>
      </c>
      <c r="W476" s="11">
        <f t="shared" si="3"/>
        <v>0.2773121366</v>
      </c>
      <c r="X476" s="8">
        <f t="shared" si="276"/>
        <v>2191.875128</v>
      </c>
      <c r="Y476" s="12">
        <f t="shared" si="4"/>
        <v>4</v>
      </c>
      <c r="Z476" s="12">
        <f t="shared" si="5"/>
        <v>10959.37564</v>
      </c>
      <c r="AA476" s="12">
        <f t="shared" si="6"/>
        <v>1.386560683</v>
      </c>
      <c r="AB476" s="13">
        <f t="shared" si="7"/>
        <v>1.093750064</v>
      </c>
      <c r="AC476" s="8">
        <f t="shared" si="225"/>
        <v>2222.314508</v>
      </c>
      <c r="AD476" s="13">
        <f t="shared" si="226"/>
        <v>1.108939375</v>
      </c>
      <c r="AE476" s="8">
        <f t="shared" si="227"/>
        <v>2222.314508</v>
      </c>
      <c r="AF476" s="73">
        <f t="shared" si="228"/>
        <v>860.8789122</v>
      </c>
      <c r="AG476" s="74" t="str">
        <f t="shared" si="229"/>
        <v>#REF!</v>
      </c>
      <c r="AH476" s="73">
        <f t="shared" si="230"/>
        <v>0</v>
      </c>
      <c r="AI476" s="73">
        <f t="shared" si="231"/>
        <v>0</v>
      </c>
      <c r="AJ476" s="75">
        <f t="shared" si="232"/>
        <v>1.365355701</v>
      </c>
      <c r="AK476" s="73">
        <f t="shared" si="233"/>
        <v>1.016519762</v>
      </c>
      <c r="AL476" s="73">
        <f t="shared" si="234"/>
        <v>1.497491164</v>
      </c>
      <c r="AM476" s="73">
        <f t="shared" si="235"/>
        <v>1.060224449</v>
      </c>
      <c r="AN476" s="75">
        <v>2297.96</v>
      </c>
      <c r="AO476" s="76">
        <v>2300.0</v>
      </c>
      <c r="AP476" s="73">
        <f t="shared" si="236"/>
        <v>2300</v>
      </c>
      <c r="AQ476" s="29" t="str">
        <f t="shared" si="237"/>
        <v>#REF!</v>
      </c>
      <c r="AR476" s="77" t="str">
        <f t="shared" si="238"/>
        <v>#REF!</v>
      </c>
      <c r="AS476" s="73"/>
      <c r="AT476" s="39"/>
    </row>
    <row r="477" ht="15.75" customHeight="1">
      <c r="A477" s="16" t="s">
        <v>637</v>
      </c>
      <c r="B477" s="16" t="s">
        <v>630</v>
      </c>
      <c r="C477" s="16">
        <v>2004.0</v>
      </c>
      <c r="D477" s="16"/>
      <c r="E477" s="16">
        <v>2004.0</v>
      </c>
      <c r="F477" s="16" t="b">
        <v>1</v>
      </c>
      <c r="G477" s="16" t="b">
        <v>0</v>
      </c>
      <c r="H477" s="16" t="b">
        <v>1</v>
      </c>
      <c r="I477" s="16" t="b">
        <v>0</v>
      </c>
      <c r="J477" s="18">
        <v>1200.0</v>
      </c>
      <c r="K477" s="18">
        <v>7.0</v>
      </c>
      <c r="L477" s="16">
        <v>400.0</v>
      </c>
      <c r="M477" s="16">
        <v>140.0</v>
      </c>
      <c r="N477" s="16">
        <v>340.0</v>
      </c>
      <c r="O477" s="16">
        <v>85.0</v>
      </c>
      <c r="P477" s="18">
        <v>90.0</v>
      </c>
      <c r="Q477" s="16">
        <v>361.0</v>
      </c>
      <c r="R477" s="16">
        <v>7.94</v>
      </c>
      <c r="S477" s="16">
        <v>0.998125</v>
      </c>
      <c r="T477" s="16">
        <v>0.991463</v>
      </c>
      <c r="U477" s="19">
        <f t="shared" si="1"/>
        <v>540</v>
      </c>
      <c r="V477" s="19">
        <f t="shared" si="2"/>
        <v>25.49290525</v>
      </c>
      <c r="W477" s="20">
        <f t="shared" si="3"/>
        <v>3.182231694</v>
      </c>
      <c r="X477" s="17">
        <f t="shared" si="276"/>
        <v>270.489694</v>
      </c>
      <c r="Y477" s="21">
        <f t="shared" si="4"/>
        <v>4</v>
      </c>
      <c r="Z477" s="21">
        <f t="shared" si="5"/>
        <v>1352.44847</v>
      </c>
      <c r="AA477" s="21">
        <f t="shared" si="6"/>
        <v>15.91115847</v>
      </c>
      <c r="AB477" s="22">
        <f t="shared" si="7"/>
        <v>0.5009068407</v>
      </c>
      <c r="AC477" s="8">
        <f t="shared" si="225"/>
        <v>273.0874789</v>
      </c>
      <c r="AD477" s="13">
        <f t="shared" si="226"/>
        <v>0.5057175535</v>
      </c>
      <c r="AE477" s="8">
        <f t="shared" si="227"/>
        <v>273.0874789</v>
      </c>
      <c r="AF477" s="73">
        <f t="shared" si="228"/>
        <v>19.24844125</v>
      </c>
      <c r="AG477" s="74" t="str">
        <f t="shared" si="229"/>
        <v>#REF!</v>
      </c>
      <c r="AH477" s="73">
        <f t="shared" si="230"/>
        <v>0</v>
      </c>
      <c r="AI477" s="73">
        <f t="shared" si="231"/>
        <v>0.4835836299</v>
      </c>
      <c r="AJ477" s="75">
        <f t="shared" si="232"/>
        <v>1</v>
      </c>
      <c r="AK477" s="73">
        <f t="shared" si="233"/>
        <v>0.5645009439</v>
      </c>
      <c r="AL477" s="73">
        <f t="shared" si="234"/>
        <v>2.005113376</v>
      </c>
      <c r="AM477" s="73">
        <f t="shared" si="235"/>
        <v>1.70328585</v>
      </c>
      <c r="AN477" s="75">
        <v>76.35</v>
      </c>
      <c r="AO477" s="76">
        <v>76.0</v>
      </c>
      <c r="AP477" s="73">
        <f t="shared" si="236"/>
        <v>76</v>
      </c>
      <c r="AQ477" s="29" t="str">
        <f t="shared" si="237"/>
        <v>#REF!</v>
      </c>
      <c r="AR477" s="77" t="str">
        <f t="shared" si="238"/>
        <v>#REF!</v>
      </c>
      <c r="AS477" s="73"/>
      <c r="AT477" s="39"/>
    </row>
    <row r="478" ht="15.75" customHeight="1">
      <c r="A478" s="16" t="s">
        <v>804</v>
      </c>
      <c r="B478" s="16" t="s">
        <v>802</v>
      </c>
      <c r="C478" s="16">
        <v>2004.0</v>
      </c>
      <c r="D478" s="16"/>
      <c r="E478" s="16">
        <v>2004.0</v>
      </c>
      <c r="F478" s="16" t="b">
        <v>1</v>
      </c>
      <c r="G478" s="16" t="b">
        <v>0</v>
      </c>
      <c r="H478" s="16" t="b">
        <v>1</v>
      </c>
      <c r="I478" s="16" t="b">
        <v>0</v>
      </c>
      <c r="J478" s="18">
        <v>133.0</v>
      </c>
      <c r="K478" s="16">
        <v>1.0</v>
      </c>
      <c r="L478" s="16">
        <v>500.0</v>
      </c>
      <c r="M478" s="16">
        <v>0.0</v>
      </c>
      <c r="N478" s="16">
        <v>905.0</v>
      </c>
      <c r="O478" s="16">
        <v>725.0</v>
      </c>
      <c r="P478" s="18">
        <v>202.0</v>
      </c>
      <c r="Q478" s="16">
        <v>295.9</v>
      </c>
      <c r="R478" s="16">
        <v>5.85</v>
      </c>
      <c r="S478" s="16">
        <v>0.98</v>
      </c>
      <c r="T478" s="16">
        <v>0.985</v>
      </c>
      <c r="U478" s="19">
        <f t="shared" si="1"/>
        <v>500</v>
      </c>
      <c r="V478" s="19">
        <f t="shared" si="2"/>
        <v>81.68997262</v>
      </c>
      <c r="W478" s="20">
        <f t="shared" si="3"/>
        <v>0.5900342154</v>
      </c>
      <c r="X478" s="17">
        <f t="shared" si="276"/>
        <v>427.7748062</v>
      </c>
      <c r="Y478" s="21">
        <f t="shared" si="4"/>
        <v>4</v>
      </c>
      <c r="Z478" s="21">
        <f t="shared" si="5"/>
        <v>2138.874031</v>
      </c>
      <c r="AA478" s="21">
        <f t="shared" si="6"/>
        <v>2.950171077</v>
      </c>
      <c r="AB478" s="22">
        <f t="shared" si="7"/>
        <v>0.8555496123</v>
      </c>
      <c r="AC478" s="8">
        <f t="shared" si="225"/>
        <v>421.4865165</v>
      </c>
      <c r="AD478" s="13">
        <f t="shared" si="226"/>
        <v>0.842973033</v>
      </c>
      <c r="AE478" s="8">
        <f t="shared" si="227"/>
        <v>421.4865165</v>
      </c>
      <c r="AF478" s="73">
        <f t="shared" si="228"/>
        <v>100.2290667</v>
      </c>
      <c r="AG478" s="74" t="str">
        <f t="shared" si="229"/>
        <v>#REF!</v>
      </c>
      <c r="AH478" s="73">
        <f t="shared" si="230"/>
        <v>0</v>
      </c>
      <c r="AI478" s="73">
        <f t="shared" si="231"/>
        <v>0</v>
      </c>
      <c r="AJ478" s="75">
        <f t="shared" si="232"/>
        <v>1.009552915</v>
      </c>
      <c r="AK478" s="73">
        <f t="shared" si="233"/>
        <v>1.010507129</v>
      </c>
      <c r="AL478" s="73">
        <f t="shared" si="234"/>
        <v>0.9722493925</v>
      </c>
      <c r="AM478" s="73">
        <f t="shared" si="235"/>
        <v>1.011307958</v>
      </c>
      <c r="AN478" s="75">
        <v>87.93</v>
      </c>
      <c r="AO478" s="76">
        <v>88.0</v>
      </c>
      <c r="AP478" s="73">
        <f t="shared" si="236"/>
        <v>88</v>
      </c>
      <c r="AQ478" s="29" t="str">
        <f t="shared" si="237"/>
        <v>#REF!</v>
      </c>
      <c r="AR478" s="77" t="str">
        <f t="shared" si="238"/>
        <v>#REF!</v>
      </c>
      <c r="AS478" s="73"/>
      <c r="AT478" s="39"/>
    </row>
    <row r="479" ht="15.75" customHeight="1">
      <c r="A479" s="7" t="s">
        <v>803</v>
      </c>
      <c r="B479" s="7" t="s">
        <v>802</v>
      </c>
      <c r="C479" s="7">
        <v>2004.0</v>
      </c>
      <c r="D479" s="7"/>
      <c r="E479" s="7">
        <v>2004.0</v>
      </c>
      <c r="F479" s="7" t="b">
        <v>1</v>
      </c>
      <c r="G479" s="7" t="b">
        <v>0</v>
      </c>
      <c r="H479" s="7" t="b">
        <v>0</v>
      </c>
      <c r="I479" s="7" t="b">
        <v>0</v>
      </c>
      <c r="J479" s="9">
        <v>154.0</v>
      </c>
      <c r="K479" s="7">
        <v>1.0</v>
      </c>
      <c r="L479" s="7">
        <v>500.0</v>
      </c>
      <c r="M479" s="7">
        <v>0.0</v>
      </c>
      <c r="N479" s="7">
        <v>876.0</v>
      </c>
      <c r="O479" s="7">
        <v>765.5</v>
      </c>
      <c r="P479" s="9">
        <v>254.9</v>
      </c>
      <c r="Q479" s="7">
        <v>289.7</v>
      </c>
      <c r="R479" s="7">
        <v>5.44</v>
      </c>
      <c r="S479" s="7">
        <v>0.9965</v>
      </c>
      <c r="T479" s="7">
        <v>0.995</v>
      </c>
      <c r="U479" s="10">
        <f t="shared" si="1"/>
        <v>500</v>
      </c>
      <c r="V479" s="10">
        <f t="shared" si="2"/>
        <v>89.10876241</v>
      </c>
      <c r="W479" s="11">
        <f t="shared" si="3"/>
        <v>0.5384647112</v>
      </c>
      <c r="X479" s="8">
        <f t="shared" si="276"/>
        <v>412.1947364</v>
      </c>
      <c r="Y479" s="12">
        <f t="shared" si="4"/>
        <v>4</v>
      </c>
      <c r="Z479" s="12">
        <f t="shared" si="5"/>
        <v>2060.973682</v>
      </c>
      <c r="AA479" s="12">
        <f t="shared" si="6"/>
        <v>2.692323556</v>
      </c>
      <c r="AB479" s="13">
        <f t="shared" si="7"/>
        <v>0.8243894729</v>
      </c>
      <c r="AC479" s="8">
        <f t="shared" si="225"/>
        <v>416.9421893</v>
      </c>
      <c r="AD479" s="13">
        <f t="shared" si="226"/>
        <v>0.8338843786</v>
      </c>
      <c r="AE479" s="8">
        <f t="shared" si="227"/>
        <v>416.9421893</v>
      </c>
      <c r="AF479" s="73">
        <f t="shared" si="228"/>
        <v>104.9558642</v>
      </c>
      <c r="AG479" s="74" t="str">
        <f t="shared" si="229"/>
        <v>#REF!</v>
      </c>
      <c r="AH479" s="73">
        <f t="shared" si="230"/>
        <v>0</v>
      </c>
      <c r="AI479" s="73">
        <f t="shared" si="231"/>
        <v>0</v>
      </c>
      <c r="AJ479" s="75">
        <f t="shared" si="232"/>
        <v>1.288684844</v>
      </c>
      <c r="AK479" s="73">
        <f t="shared" si="233"/>
        <v>1.055395438</v>
      </c>
      <c r="AL479" s="73">
        <f t="shared" si="234"/>
        <v>0.9317408757</v>
      </c>
      <c r="AM479" s="73">
        <f t="shared" si="235"/>
        <v>1.0707244</v>
      </c>
      <c r="AN479" s="75">
        <v>162.12</v>
      </c>
      <c r="AO479" s="76">
        <v>160.0</v>
      </c>
      <c r="AP479" s="73">
        <f t="shared" si="236"/>
        <v>160</v>
      </c>
      <c r="AQ479" s="29" t="str">
        <f t="shared" si="237"/>
        <v>#REF!</v>
      </c>
      <c r="AR479" s="77" t="str">
        <f t="shared" si="238"/>
        <v>#REF!</v>
      </c>
      <c r="AS479" s="73"/>
      <c r="AT479" s="39"/>
    </row>
    <row r="480" ht="15.75" customHeight="1">
      <c r="A480" s="7" t="s">
        <v>113</v>
      </c>
      <c r="B480" s="7" t="s">
        <v>113</v>
      </c>
      <c r="C480" s="7">
        <v>2005.0</v>
      </c>
      <c r="D480" s="7" t="b">
        <v>1</v>
      </c>
      <c r="E480" s="7">
        <v>2005.0</v>
      </c>
      <c r="F480" s="7" t="b">
        <v>1</v>
      </c>
      <c r="G480" s="7" t="b">
        <v>0</v>
      </c>
      <c r="H480" s="7" t="b">
        <v>1</v>
      </c>
      <c r="I480" s="7" t="b">
        <v>0</v>
      </c>
      <c r="J480" s="7"/>
      <c r="K480" s="7">
        <v>1.0</v>
      </c>
      <c r="L480" s="7">
        <v>10000.0</v>
      </c>
      <c r="M480" s="7">
        <v>0.0</v>
      </c>
      <c r="N480" s="7">
        <v>2371.0</v>
      </c>
      <c r="O480" s="7">
        <v>1280.0</v>
      </c>
      <c r="P480" s="7"/>
      <c r="Q480" s="7">
        <v>465.0</v>
      </c>
      <c r="R480" s="7">
        <v>28.2</v>
      </c>
      <c r="S480" s="9">
        <v>1.0</v>
      </c>
      <c r="T480" s="9">
        <v>1.0</v>
      </c>
      <c r="U480" s="10">
        <f t="shared" si="1"/>
        <v>10000</v>
      </c>
      <c r="V480" s="10">
        <f t="shared" si="2"/>
        <v>55.05005267</v>
      </c>
      <c r="W480" s="11">
        <f t="shared" si="3"/>
        <v>4.079452553</v>
      </c>
      <c r="X480" s="8">
        <f>0.9*(0.00015*N480*Q480*R480+797)+0.1*(43.1*POWER(N480,0.549))</f>
        <v>5221.699268</v>
      </c>
      <c r="Y480" s="12">
        <f t="shared" si="4"/>
        <v>4</v>
      </c>
      <c r="Z480" s="12">
        <f t="shared" si="5"/>
        <v>26108.49634</v>
      </c>
      <c r="AA480" s="12">
        <f t="shared" si="6"/>
        <v>20.39726277</v>
      </c>
      <c r="AB480" s="13">
        <f t="shared" si="7"/>
        <v>0.5221699268</v>
      </c>
      <c r="AC480" s="8">
        <f t="shared" si="225"/>
        <v>5326.133254</v>
      </c>
      <c r="AD480" s="13">
        <f t="shared" si="226"/>
        <v>0.5326133254</v>
      </c>
      <c r="AE480" s="8">
        <f t="shared" si="227"/>
        <v>1141.554967</v>
      </c>
      <c r="AF480" s="73">
        <f t="shared" si="228"/>
        <v>163.61106</v>
      </c>
      <c r="AG480" s="74" t="str">
        <f t="shared" si="229"/>
        <v>#REF!</v>
      </c>
      <c r="AH480" s="73">
        <f t="shared" si="230"/>
        <v>0</v>
      </c>
      <c r="AI480" s="73">
        <f t="shared" si="231"/>
        <v>0</v>
      </c>
      <c r="AJ480" s="75">
        <f t="shared" si="232"/>
        <v>1</v>
      </c>
      <c r="AK480" s="73">
        <f t="shared" si="233"/>
        <v>0.829533398</v>
      </c>
      <c r="AL480" s="73">
        <f t="shared" si="234"/>
        <v>8.583670901</v>
      </c>
      <c r="AM480" s="73">
        <f t="shared" si="235"/>
        <v>1</v>
      </c>
      <c r="AN480" s="75">
        <v>1929.1</v>
      </c>
      <c r="AO480" s="76">
        <v>1900.0</v>
      </c>
      <c r="AP480" s="73">
        <f t="shared" si="236"/>
        <v>1900</v>
      </c>
      <c r="AQ480" s="29" t="str">
        <f t="shared" si="237"/>
        <v>#REF!</v>
      </c>
      <c r="AR480" s="77" t="str">
        <f t="shared" si="238"/>
        <v>#REF!</v>
      </c>
      <c r="AS480" s="73"/>
      <c r="AT480" s="39"/>
    </row>
    <row r="481" ht="15.75" customHeight="1">
      <c r="A481" s="7" t="s">
        <v>601</v>
      </c>
      <c r="B481" s="7" t="s">
        <v>596</v>
      </c>
      <c r="C481" s="7">
        <v>2005.0</v>
      </c>
      <c r="D481" s="7"/>
      <c r="E481" s="7">
        <v>2005.0</v>
      </c>
      <c r="F481" s="7" t="b">
        <v>1</v>
      </c>
      <c r="G481" s="7" t="b">
        <v>0</v>
      </c>
      <c r="H481" s="7" t="b">
        <v>0</v>
      </c>
      <c r="I481" s="7" t="b">
        <v>0</v>
      </c>
      <c r="J481" s="9">
        <v>129.0</v>
      </c>
      <c r="K481" s="7">
        <v>1.0</v>
      </c>
      <c r="L481" s="7">
        <v>515.0</v>
      </c>
      <c r="M481" s="7">
        <v>300.0</v>
      </c>
      <c r="N481" s="7">
        <v>1070.0</v>
      </c>
      <c r="O481" s="7">
        <v>1830.0</v>
      </c>
      <c r="P481" s="9">
        <v>288.0</v>
      </c>
      <c r="Q481" s="7">
        <v>315.8</v>
      </c>
      <c r="R481" s="7">
        <v>16.6</v>
      </c>
      <c r="S481" s="7">
        <v>0.999663</v>
      </c>
      <c r="T481" s="7">
        <v>0.999663</v>
      </c>
      <c r="U481" s="10">
        <f t="shared" si="1"/>
        <v>815</v>
      </c>
      <c r="V481" s="10">
        <f t="shared" si="2"/>
        <v>174.4000621</v>
      </c>
      <c r="W481" s="11">
        <f t="shared" si="3"/>
        <v>0.2981746242</v>
      </c>
      <c r="X481" s="8">
        <f>0.2*(8.17*POWER(N481*R481,0.46))+0.8*(0.146*POWER(N481*Q481,0.639))</f>
        <v>545.6595622</v>
      </c>
      <c r="Y481" s="12">
        <f t="shared" si="4"/>
        <v>4</v>
      </c>
      <c r="Z481" s="12">
        <f t="shared" si="5"/>
        <v>2728.297811</v>
      </c>
      <c r="AA481" s="12">
        <f t="shared" si="6"/>
        <v>1.490873121</v>
      </c>
      <c r="AB481" s="13">
        <f t="shared" si="7"/>
        <v>0.6695209353</v>
      </c>
      <c r="AC481" s="8">
        <f t="shared" si="225"/>
        <v>556.2050409</v>
      </c>
      <c r="AD481" s="13">
        <f t="shared" si="226"/>
        <v>0.6824601729</v>
      </c>
      <c r="AE481" s="8">
        <f t="shared" si="227"/>
        <v>556.2050409</v>
      </c>
      <c r="AF481" s="73">
        <f t="shared" si="228"/>
        <v>224.5176028</v>
      </c>
      <c r="AG481" s="74" t="str">
        <f t="shared" si="229"/>
        <v>#REF!</v>
      </c>
      <c r="AH481" s="73">
        <f t="shared" si="230"/>
        <v>0</v>
      </c>
      <c r="AI481" s="73">
        <f t="shared" si="231"/>
        <v>0</v>
      </c>
      <c r="AJ481" s="75">
        <f t="shared" si="232"/>
        <v>1.354144298</v>
      </c>
      <c r="AK481" s="73">
        <f t="shared" si="233"/>
        <v>1.476482569</v>
      </c>
      <c r="AL481" s="73">
        <f t="shared" si="234"/>
        <v>1.170496641</v>
      </c>
      <c r="AM481" s="73">
        <f t="shared" si="235"/>
        <v>0.9986442551</v>
      </c>
      <c r="AN481" s="75">
        <v>649.36</v>
      </c>
      <c r="AO481" s="76">
        <v>650.0</v>
      </c>
      <c r="AP481" s="73">
        <f t="shared" si="236"/>
        <v>650</v>
      </c>
      <c r="AQ481" s="29" t="str">
        <f t="shared" si="237"/>
        <v>#REF!</v>
      </c>
      <c r="AR481" s="77" t="str">
        <f t="shared" si="238"/>
        <v>#REF!</v>
      </c>
      <c r="AS481" s="73"/>
      <c r="AT481" s="39"/>
    </row>
    <row r="482" ht="15.75" customHeight="1">
      <c r="A482" s="7" t="s">
        <v>693</v>
      </c>
      <c r="B482" s="7" t="s">
        <v>694</v>
      </c>
      <c r="C482" s="7">
        <v>2005.0</v>
      </c>
      <c r="D482" s="7" t="b">
        <v>1</v>
      </c>
      <c r="E482" s="7">
        <v>2005.0</v>
      </c>
      <c r="F482" s="7" t="b">
        <v>1</v>
      </c>
      <c r="G482" s="7" t="b">
        <v>0</v>
      </c>
      <c r="H482" s="7" t="b">
        <v>0</v>
      </c>
      <c r="I482" s="7" t="b">
        <v>0</v>
      </c>
      <c r="J482" s="9">
        <v>450.0</v>
      </c>
      <c r="K482" s="9">
        <v>4.0</v>
      </c>
      <c r="L482" s="7">
        <v>5000.0</v>
      </c>
      <c r="M482" s="7">
        <v>0.0</v>
      </c>
      <c r="N482" s="7">
        <v>2948.0</v>
      </c>
      <c r="O482" s="7">
        <v>2399.5</v>
      </c>
      <c r="P482" s="9">
        <v>384.0</v>
      </c>
      <c r="Q482" s="7">
        <v>450.0</v>
      </c>
      <c r="R482" s="7">
        <v>22.4</v>
      </c>
      <c r="S482" s="7">
        <v>0.99995</v>
      </c>
      <c r="T482" s="7">
        <v>0.99995</v>
      </c>
      <c r="U482" s="10">
        <f t="shared" si="1"/>
        <v>5000</v>
      </c>
      <c r="V482" s="10">
        <f t="shared" si="2"/>
        <v>82.99895</v>
      </c>
      <c r="W482" s="11">
        <f t="shared" si="3"/>
        <v>2.11505533</v>
      </c>
      <c r="X482" s="8">
        <f>0.9*(0.00015*N482*Q482*R482+797)+0.1*(43.1*POWER(N482,0.549))</f>
        <v>5075.075265</v>
      </c>
      <c r="Y482" s="12">
        <f t="shared" si="4"/>
        <v>4</v>
      </c>
      <c r="Z482" s="12">
        <f t="shared" si="5"/>
        <v>25375.37633</v>
      </c>
      <c r="AA482" s="12">
        <f t="shared" si="6"/>
        <v>10.57527665</v>
      </c>
      <c r="AB482" s="13">
        <f t="shared" si="7"/>
        <v>1.015015053</v>
      </c>
      <c r="AC482" s="8">
        <f t="shared" si="225"/>
        <v>5176.069276</v>
      </c>
      <c r="AD482" s="13">
        <f t="shared" si="226"/>
        <v>1.035213855</v>
      </c>
      <c r="AE482" s="8">
        <f t="shared" si="227"/>
        <v>1248.443906</v>
      </c>
      <c r="AF482" s="73">
        <f t="shared" si="228"/>
        <v>286.427377</v>
      </c>
      <c r="AG482" s="74" t="str">
        <f t="shared" si="229"/>
        <v>#REF!</v>
      </c>
      <c r="AH482" s="73">
        <f t="shared" si="230"/>
        <v>0</v>
      </c>
      <c r="AI482" s="73">
        <f t="shared" si="231"/>
        <v>0.3632125751</v>
      </c>
      <c r="AJ482" s="75">
        <f t="shared" si="232"/>
        <v>1.23802257</v>
      </c>
      <c r="AK482" s="73">
        <f t="shared" si="233"/>
        <v>1.018570997</v>
      </c>
      <c r="AL482" s="73">
        <f t="shared" si="234"/>
        <v>6.5</v>
      </c>
      <c r="AM482" s="73">
        <f t="shared" si="235"/>
        <v>1.442806746</v>
      </c>
      <c r="AN482" s="75">
        <v>5946.98</v>
      </c>
      <c r="AO482" s="76">
        <v>5900.0</v>
      </c>
      <c r="AP482" s="73">
        <f t="shared" si="236"/>
        <v>5900</v>
      </c>
      <c r="AQ482" s="29" t="str">
        <f t="shared" si="237"/>
        <v>#REF!</v>
      </c>
      <c r="AR482" s="77" t="str">
        <f t="shared" si="238"/>
        <v>#REF!</v>
      </c>
      <c r="AS482" s="73"/>
      <c r="AT482" s="39"/>
    </row>
    <row r="483" ht="15.75" customHeight="1">
      <c r="A483" s="7" t="s">
        <v>203</v>
      </c>
      <c r="B483" s="7" t="s">
        <v>203</v>
      </c>
      <c r="C483" s="7">
        <v>2006.0</v>
      </c>
      <c r="D483" s="7"/>
      <c r="E483" s="7">
        <v>2006.0</v>
      </c>
      <c r="F483" s="7" t="b">
        <v>0</v>
      </c>
      <c r="G483" s="7" t="b">
        <v>0</v>
      </c>
      <c r="H483" s="7" t="b">
        <v>1</v>
      </c>
      <c r="I483" s="7" t="b">
        <v>0</v>
      </c>
      <c r="J483" s="9">
        <v>415.0</v>
      </c>
      <c r="K483" s="9">
        <v>20.0</v>
      </c>
      <c r="L483" s="7">
        <v>40.0</v>
      </c>
      <c r="M483" s="7">
        <v>0.0</v>
      </c>
      <c r="N483" s="7">
        <v>52.0</v>
      </c>
      <c r="O483" s="7">
        <v>30.5</v>
      </c>
      <c r="P483" s="9">
        <v>1.0</v>
      </c>
      <c r="Q483" s="7">
        <v>317.0</v>
      </c>
      <c r="R483" s="7">
        <v>1.03</v>
      </c>
      <c r="S483" s="7">
        <v>1.0</v>
      </c>
      <c r="T483" s="7">
        <v>1.0</v>
      </c>
      <c r="U483" s="10">
        <f t="shared" si="1"/>
        <v>40</v>
      </c>
      <c r="V483" s="10">
        <f t="shared" si="2"/>
        <v>59.8102777</v>
      </c>
      <c r="W483" s="11">
        <f t="shared" si="3"/>
        <v>2.230397019</v>
      </c>
      <c r="X483" s="8">
        <f>0.2*(8.17*POWER(N483*R483,0.46))+0.8*(0.146*POWER(N483*Q483,0.639))</f>
        <v>68.02710906</v>
      </c>
      <c r="Y483" s="12">
        <f t="shared" si="4"/>
        <v>1.75</v>
      </c>
      <c r="Z483" s="12">
        <f t="shared" si="5"/>
        <v>187.0745499</v>
      </c>
      <c r="AA483" s="12">
        <f t="shared" si="6"/>
        <v>6.133591801</v>
      </c>
      <c r="AB483" s="13">
        <f t="shared" si="7"/>
        <v>1.700677727</v>
      </c>
      <c r="AC483" s="8">
        <f t="shared" si="225"/>
        <v>69.38765125</v>
      </c>
      <c r="AD483" s="13">
        <f t="shared" si="226"/>
        <v>1.734691281</v>
      </c>
      <c r="AE483" s="8">
        <f t="shared" si="227"/>
        <v>69.38765125</v>
      </c>
      <c r="AF483" s="73">
        <f t="shared" si="228"/>
        <v>9.309326587</v>
      </c>
      <c r="AG483" s="74" t="str">
        <f t="shared" si="229"/>
        <v>#REF!</v>
      </c>
      <c r="AH483" s="73">
        <f t="shared" si="230"/>
        <v>0</v>
      </c>
      <c r="AI483" s="73">
        <f t="shared" si="231"/>
        <v>0.6760795925</v>
      </c>
      <c r="AJ483" s="75">
        <f t="shared" si="232"/>
        <v>1</v>
      </c>
      <c r="AK483" s="73">
        <f t="shared" si="233"/>
        <v>0.864655117</v>
      </c>
      <c r="AL483" s="73">
        <f t="shared" si="234"/>
        <v>1.18605089</v>
      </c>
      <c r="AM483" s="73">
        <f t="shared" si="235"/>
        <v>1.41818733</v>
      </c>
      <c r="AN483" s="75">
        <v>29.78</v>
      </c>
      <c r="AO483" s="76">
        <v>30.0</v>
      </c>
      <c r="AP483" s="73">
        <f t="shared" si="236"/>
        <v>30</v>
      </c>
      <c r="AQ483" s="29" t="str">
        <f t="shared" si="237"/>
        <v>#REF!</v>
      </c>
      <c r="AR483" s="77" t="str">
        <f t="shared" si="238"/>
        <v>#REF!</v>
      </c>
      <c r="AS483" s="73"/>
      <c r="AT483" s="39"/>
    </row>
    <row r="484" ht="15.75" customHeight="1">
      <c r="A484" s="7" t="s">
        <v>124</v>
      </c>
      <c r="B484" s="7" t="s">
        <v>124</v>
      </c>
      <c r="C484" s="7">
        <v>2006.0</v>
      </c>
      <c r="D484" s="7" t="b">
        <v>1</v>
      </c>
      <c r="E484" s="7">
        <v>2006.0</v>
      </c>
      <c r="F484" s="7" t="b">
        <v>1</v>
      </c>
      <c r="G484" s="7" t="b">
        <v>0</v>
      </c>
      <c r="H484" s="7" t="b">
        <v>0</v>
      </c>
      <c r="I484" s="7" t="b">
        <v>0</v>
      </c>
      <c r="J484" s="9">
        <v>480.0</v>
      </c>
      <c r="K484" s="7">
        <v>1.0</v>
      </c>
      <c r="L484" s="7">
        <v>3500.0</v>
      </c>
      <c r="M484" s="7">
        <v>0.0</v>
      </c>
      <c r="N484" s="7">
        <v>3629.0</v>
      </c>
      <c r="O484" s="7">
        <v>2669.0</v>
      </c>
      <c r="P484" s="9">
        <v>373.0</v>
      </c>
      <c r="Q484" s="7">
        <v>454.7</v>
      </c>
      <c r="R484" s="7">
        <v>20.68</v>
      </c>
      <c r="S484" s="7">
        <v>0.995</v>
      </c>
      <c r="T484" s="7">
        <v>0.995</v>
      </c>
      <c r="U484" s="10">
        <f t="shared" si="1"/>
        <v>3500</v>
      </c>
      <c r="V484" s="10">
        <f t="shared" si="2"/>
        <v>74.99648841</v>
      </c>
      <c r="W484" s="11">
        <f t="shared" si="3"/>
        <v>2.140141891</v>
      </c>
      <c r="X484" s="8">
        <f>0.9*(0.00015*N484*Q484*R484+797)+0.1*(43.1*POWER(N484,0.549))</f>
        <v>5712.038708</v>
      </c>
      <c r="Y484" s="12">
        <f t="shared" si="4"/>
        <v>4</v>
      </c>
      <c r="Z484" s="12">
        <f t="shared" si="5"/>
        <v>28560.19354</v>
      </c>
      <c r="AA484" s="12">
        <f t="shared" si="6"/>
        <v>10.70070946</v>
      </c>
      <c r="AB484" s="13">
        <f t="shared" si="7"/>
        <v>1.632011059</v>
      </c>
      <c r="AC484" s="8">
        <f t="shared" si="225"/>
        <v>5769.301896</v>
      </c>
      <c r="AD484" s="13">
        <f t="shared" si="226"/>
        <v>1.64837197</v>
      </c>
      <c r="AE484" s="8">
        <f t="shared" si="227"/>
        <v>1397.137202</v>
      </c>
      <c r="AF484" s="73">
        <f t="shared" si="228"/>
        <v>315.4301939</v>
      </c>
      <c r="AG484" s="74" t="str">
        <f t="shared" si="229"/>
        <v>#REF!</v>
      </c>
      <c r="AH484" s="73">
        <f t="shared" si="230"/>
        <v>0</v>
      </c>
      <c r="AI484" s="73">
        <f t="shared" si="231"/>
        <v>0</v>
      </c>
      <c r="AJ484" s="75">
        <f t="shared" si="232"/>
        <v>1.179739703</v>
      </c>
      <c r="AK484" s="73">
        <f t="shared" si="233"/>
        <v>0.9682231691</v>
      </c>
      <c r="AL484" s="73">
        <f t="shared" si="234"/>
        <v>6.933863043</v>
      </c>
      <c r="AM484" s="73">
        <f t="shared" si="235"/>
        <v>1.462062459</v>
      </c>
      <c r="AN484" s="75">
        <v>4212.97</v>
      </c>
      <c r="AO484" s="76">
        <v>4200.0</v>
      </c>
      <c r="AP484" s="73">
        <f t="shared" si="236"/>
        <v>4200</v>
      </c>
      <c r="AQ484" s="29" t="str">
        <f t="shared" si="237"/>
        <v>#REF!</v>
      </c>
      <c r="AR484" s="77" t="str">
        <f t="shared" si="238"/>
        <v>#REF!</v>
      </c>
      <c r="AS484" s="73"/>
      <c r="AT484" s="39"/>
    </row>
    <row r="485" ht="15.75" customHeight="1">
      <c r="A485" s="16" t="s">
        <v>371</v>
      </c>
      <c r="B485" s="16" t="s">
        <v>369</v>
      </c>
      <c r="C485" s="16">
        <v>2006.0</v>
      </c>
      <c r="D485" s="16"/>
      <c r="E485" s="16">
        <v>2006.0</v>
      </c>
      <c r="F485" s="16" t="b">
        <v>1</v>
      </c>
      <c r="G485" s="16" t="b">
        <v>0</v>
      </c>
      <c r="H485" s="16" t="b">
        <v>0</v>
      </c>
      <c r="I485" s="16" t="b">
        <v>0</v>
      </c>
      <c r="J485" s="18">
        <v>240.0</v>
      </c>
      <c r="K485" s="16">
        <v>1.0</v>
      </c>
      <c r="L485" s="16">
        <v>205.0</v>
      </c>
      <c r="M485" s="16">
        <v>0.0</v>
      </c>
      <c r="N485" s="16">
        <v>760.0</v>
      </c>
      <c r="O485" s="16">
        <v>369.2</v>
      </c>
      <c r="P485" s="18">
        <v>253.7</v>
      </c>
      <c r="Q485" s="16">
        <v>288.5</v>
      </c>
      <c r="R485" s="16">
        <v>5.39</v>
      </c>
      <c r="S485" s="16">
        <v>0.941667</v>
      </c>
      <c r="T485" s="16">
        <v>0.941667</v>
      </c>
      <c r="U485" s="19">
        <f t="shared" si="1"/>
        <v>205</v>
      </c>
      <c r="V485" s="19">
        <f t="shared" si="2"/>
        <v>49.5367401</v>
      </c>
      <c r="W485" s="20">
        <f t="shared" si="3"/>
        <v>1.021660193</v>
      </c>
      <c r="X485" s="17">
        <f>0.2*(8.17*POWER(N485*R485,0.46))+0.8*(0.146*POWER(N485*Q485,0.639))</f>
        <v>377.1969432</v>
      </c>
      <c r="Y485" s="21">
        <f t="shared" si="4"/>
        <v>4</v>
      </c>
      <c r="Z485" s="21">
        <f t="shared" si="5"/>
        <v>1885.984716</v>
      </c>
      <c r="AA485" s="21">
        <f t="shared" si="6"/>
        <v>5.108300964</v>
      </c>
      <c r="AB485" s="22">
        <f t="shared" si="7"/>
        <v>1.839985089</v>
      </c>
      <c r="AC485" s="8">
        <f t="shared" si="225"/>
        <v>342.0183262</v>
      </c>
      <c r="AD485" s="13">
        <f t="shared" si="226"/>
        <v>1.668382079</v>
      </c>
      <c r="AE485" s="8">
        <f t="shared" si="227"/>
        <v>342.0183262</v>
      </c>
      <c r="AF485" s="73">
        <f t="shared" si="228"/>
        <v>57.45304232</v>
      </c>
      <c r="AG485" s="74" t="str">
        <f t="shared" si="229"/>
        <v>#REF!</v>
      </c>
      <c r="AH485" s="73">
        <f t="shared" si="230"/>
        <v>0</v>
      </c>
      <c r="AI485" s="73">
        <f t="shared" si="231"/>
        <v>0</v>
      </c>
      <c r="AJ485" s="75">
        <f t="shared" si="232"/>
        <v>1.287701382</v>
      </c>
      <c r="AK485" s="73">
        <f t="shared" si="233"/>
        <v>0.7868985012</v>
      </c>
      <c r="AL485" s="73">
        <f t="shared" si="234"/>
        <v>0.9240976892</v>
      </c>
      <c r="AM485" s="73">
        <f t="shared" si="235"/>
        <v>1.237344028</v>
      </c>
      <c r="AN485" s="75">
        <v>39.11</v>
      </c>
      <c r="AO485" s="76">
        <v>39.0</v>
      </c>
      <c r="AP485" s="73">
        <f t="shared" si="236"/>
        <v>39</v>
      </c>
      <c r="AQ485" s="29" t="str">
        <f t="shared" si="237"/>
        <v>#REF!</v>
      </c>
      <c r="AR485" s="77" t="str">
        <f t="shared" si="238"/>
        <v>#REF!</v>
      </c>
      <c r="AS485" s="73"/>
      <c r="AT485" s="39"/>
    </row>
    <row r="486" ht="15.75" hidden="1" customHeight="1">
      <c r="A486" s="7" t="s">
        <v>937</v>
      </c>
      <c r="B486" s="7" t="s">
        <v>937</v>
      </c>
      <c r="C486" s="7">
        <v>1975.0</v>
      </c>
      <c r="D486" s="7"/>
      <c r="E486" s="7">
        <v>1975.0</v>
      </c>
      <c r="F486" s="7" t="b">
        <v>0</v>
      </c>
      <c r="G486" s="7" t="b">
        <v>1</v>
      </c>
      <c r="H486" s="7" t="b">
        <v>0</v>
      </c>
      <c r="I486" s="7" t="b">
        <v>0</v>
      </c>
      <c r="J486" s="7"/>
      <c r="K486" s="7"/>
      <c r="L486" s="7">
        <v>200.0</v>
      </c>
      <c r="M486" s="7">
        <v>0.0</v>
      </c>
      <c r="N486" s="7">
        <v>745.0</v>
      </c>
      <c r="O486" s="7">
        <v>180.0</v>
      </c>
      <c r="P486" s="7"/>
      <c r="Q486" s="7">
        <v>274.0</v>
      </c>
      <c r="R486" s="7">
        <v>5.0</v>
      </c>
      <c r="S486" s="7"/>
      <c r="T486" s="7"/>
      <c r="U486" s="10">
        <f t="shared" si="1"/>
        <v>200</v>
      </c>
      <c r="V486" s="10">
        <f t="shared" si="2"/>
        <v>24.63743863</v>
      </c>
      <c r="W486" s="11">
        <f t="shared" si="3"/>
        <v>2.002734047</v>
      </c>
      <c r="X486" s="8">
        <f>0.2*(8.17*POW(N486*R486,0.46))+0.8*(0.146*POW(N486*Q486,0.639))</f>
        <v>360.4921284</v>
      </c>
      <c r="Y486" s="12">
        <f t="shared" si="4"/>
        <v>1.05</v>
      </c>
      <c r="Z486" s="12">
        <f t="shared" si="5"/>
        <v>739.0088633</v>
      </c>
      <c r="AA486" s="12">
        <f t="shared" si="6"/>
        <v>4.105604796</v>
      </c>
      <c r="AB486" s="13">
        <f t="shared" si="7"/>
        <v>1.802460642</v>
      </c>
      <c r="AC486" s="8">
        <f>IF(I486,X486*1.5,X486)*IF(S486*T486&gt;0,(S486*T486+0.02),1)</f>
        <v>360.4921284</v>
      </c>
      <c r="AG486" s="7"/>
    </row>
    <row r="487" ht="15.75" customHeight="1">
      <c r="A487" s="7" t="s">
        <v>372</v>
      </c>
      <c r="B487" s="7" t="s">
        <v>369</v>
      </c>
      <c r="C487" s="7">
        <v>2006.0</v>
      </c>
      <c r="D487" s="7"/>
      <c r="E487" s="7">
        <v>2006.0</v>
      </c>
      <c r="F487" s="7" t="b">
        <v>1</v>
      </c>
      <c r="G487" s="7" t="b">
        <v>0</v>
      </c>
      <c r="H487" s="7" t="b">
        <v>1</v>
      </c>
      <c r="I487" s="7" t="b">
        <v>0</v>
      </c>
      <c r="J487" s="9">
        <v>240.0</v>
      </c>
      <c r="K487" s="7">
        <v>1.0</v>
      </c>
      <c r="L487" s="7">
        <v>205.0</v>
      </c>
      <c r="M487" s="7">
        <v>15.0</v>
      </c>
      <c r="N487" s="7">
        <f>760*1.2</f>
        <v>912</v>
      </c>
      <c r="O487" s="7">
        <v>421.6</v>
      </c>
      <c r="P487" s="9">
        <v>161.0</v>
      </c>
      <c r="Q487" s="7">
        <v>332.1</v>
      </c>
      <c r="R487" s="7">
        <v>6.08</v>
      </c>
      <c r="S487" s="7">
        <v>0.99</v>
      </c>
      <c r="T487" s="7">
        <v>0.99</v>
      </c>
      <c r="U487" s="10">
        <f t="shared" si="1"/>
        <v>220</v>
      </c>
      <c r="V487" s="10">
        <f t="shared" si="2"/>
        <v>47.13951251</v>
      </c>
      <c r="W487" s="11">
        <f t="shared" si="3"/>
        <v>1.085620437</v>
      </c>
      <c r="X487" s="8">
        <f t="shared" ref="X487:X491" si="277">0.2*(8.17*POWER(N487*R487,0.46))+0.8*(0.146*POWER(N487*Q487,0.639))</f>
        <v>457.6975763</v>
      </c>
      <c r="Y487" s="12">
        <f t="shared" si="4"/>
        <v>4</v>
      </c>
      <c r="Z487" s="12">
        <f t="shared" si="5"/>
        <v>2288.487881</v>
      </c>
      <c r="AA487" s="12">
        <f t="shared" si="6"/>
        <v>5.428102186</v>
      </c>
      <c r="AB487" s="13">
        <f t="shared" si="7"/>
        <v>2.080443529</v>
      </c>
      <c r="AC487" s="8">
        <f t="shared" ref="AC487:AC529" si="278">X487*IF(I487,1.5,1)*IF(S487*T487&gt;0,(S487*T487+0.02),1)</f>
        <v>457.7433461</v>
      </c>
      <c r="AD487" s="13">
        <f t="shared" ref="AD487:AD529" si="279">IFERROR(AC487/U487,#N/A)</f>
        <v>2.080651573</v>
      </c>
      <c r="AE487" s="8">
        <f t="shared" ref="AE487:AE529" si="280">IF(I487,1.5,1)*IF(S487*T487&gt;0,(S487*T487+0.02),1)*(0.2*(8.17*POWER(N487*R487,0.46))+0.8*(0.146*POWER(N487*Q487,0.639)))</f>
        <v>457.7433461</v>
      </c>
      <c r="AF487" s="73">
        <f t="shared" ref="AF487:AF529" si="281">If(F487,$AT$2*O487*(1-log(O487)*0.04+1/(O487/80)^0.6),$AT$3*O487*(1+1/(O487/12)^0.9-log(O487)*0.03))</f>
        <v>63.94364377</v>
      </c>
      <c r="AG487" s="74" t="str">
        <f t="shared" ref="AG487:AG529" si="282">If(F487,VLOOKUP(E487,#REF!,2),VLOOKUP(E487,#REF!,3))</f>
        <v>#REF!</v>
      </c>
      <c r="AH487" s="73">
        <f t="shared" ref="AH487:AH529" si="283">If(I487,2,0)</f>
        <v>0</v>
      </c>
      <c r="AI487" s="73">
        <f t="shared" ref="AI487:AI529" si="284">1.5-1.5/K487^0.2</f>
        <v>0</v>
      </c>
      <c r="AJ487" s="75">
        <f t="shared" ref="AJ487:AJ529" si="285">If(P487/Q487 &gt; 0.66,1+2.8*(P487/Q487-0.66)^1.5,1)</f>
        <v>1</v>
      </c>
      <c r="AK487" s="73">
        <f t="shared" ref="AK487:AK529" si="286">Max(0.8,Pow(V487/5,0.5))/4</f>
        <v>0.767622242</v>
      </c>
      <c r="AL487" s="73">
        <f t="shared" ref="AL487:AL529" si="287">IF(Q487&gt;300,IF(Q487&gt;460.39,7.5*8.5^((Q487/460.4-1)^0.6),6.5^((Q487/150-2)^1.1)),2.8^(Q487/150-2))</f>
        <v>1.409637592</v>
      </c>
      <c r="AM487" s="73">
        <f t="shared" ref="AM487:AM529" si="288">If(ISBLANK(J487),1,2.6*(1-1/((J487*0.05)^0.26)))</f>
        <v>1.237344028</v>
      </c>
      <c r="AN487" s="75">
        <v>98.8</v>
      </c>
      <c r="AO487" s="76">
        <v>99.0</v>
      </c>
      <c r="AP487" s="73">
        <f t="shared" ref="AP487:AP529" si="289">If(MOD(Log10(AO487),1)&gt;0.2,ROUND(AO487,1-INT(LOG10(AO487))), ROUND(2*AO487,1-INT(LOG10(2*AO487)))/2)</f>
        <v>99</v>
      </c>
      <c r="AQ487" s="29" t="str">
        <f t="shared" ref="AQ487:AQ529" si="290">VLOOKUP(A487,#REF!,27,FALSE)</f>
        <v>#REF!</v>
      </c>
      <c r="AR487" s="77" t="str">
        <f t="shared" ref="AR487:AR529" si="291">AP487/AQ487-1</f>
        <v>#REF!</v>
      </c>
      <c r="AS487" s="73"/>
      <c r="AT487" s="39"/>
    </row>
    <row r="488" ht="15.75" customHeight="1">
      <c r="A488" s="16" t="s">
        <v>370</v>
      </c>
      <c r="B488" s="16" t="s">
        <v>369</v>
      </c>
      <c r="C488" s="16">
        <v>2006.0</v>
      </c>
      <c r="D488" s="16"/>
      <c r="E488" s="16">
        <v>2006.0</v>
      </c>
      <c r="F488" s="16" t="b">
        <v>1</v>
      </c>
      <c r="G488" s="16" t="b">
        <v>0</v>
      </c>
      <c r="H488" s="16" t="b">
        <v>0</v>
      </c>
      <c r="I488" s="16" t="b">
        <v>0</v>
      </c>
      <c r="J488" s="18">
        <v>240.0</v>
      </c>
      <c r="K488" s="16">
        <v>1.0</v>
      </c>
      <c r="L488" s="16">
        <v>205.0</v>
      </c>
      <c r="M488" s="16">
        <v>-10.0</v>
      </c>
      <c r="N488" s="16">
        <v>760.0</v>
      </c>
      <c r="O488" s="16">
        <v>394.6</v>
      </c>
      <c r="P488" s="18">
        <v>264.5</v>
      </c>
      <c r="Q488" s="16">
        <v>299.2</v>
      </c>
      <c r="R488" s="16">
        <v>6.08</v>
      </c>
      <c r="S488" s="16">
        <v>0.99</v>
      </c>
      <c r="T488" s="16">
        <v>0.99</v>
      </c>
      <c r="U488" s="19">
        <f t="shared" si="1"/>
        <v>195</v>
      </c>
      <c r="V488" s="19">
        <f t="shared" si="2"/>
        <v>52.94473901</v>
      </c>
      <c r="W488" s="20">
        <f t="shared" si="3"/>
        <v>0.9847547898</v>
      </c>
      <c r="X488" s="17">
        <f t="shared" si="277"/>
        <v>388.58424</v>
      </c>
      <c r="Y488" s="21">
        <f t="shared" si="4"/>
        <v>4</v>
      </c>
      <c r="Z488" s="21">
        <f t="shared" si="5"/>
        <v>1942.9212</v>
      </c>
      <c r="AA488" s="21">
        <f t="shared" si="6"/>
        <v>4.923773949</v>
      </c>
      <c r="AB488" s="22">
        <f t="shared" si="7"/>
        <v>1.992739693</v>
      </c>
      <c r="AC488" s="8">
        <f t="shared" si="278"/>
        <v>388.6230985</v>
      </c>
      <c r="AD488" s="13">
        <f t="shared" si="279"/>
        <v>1.992938967</v>
      </c>
      <c r="AE488" s="8">
        <f t="shared" si="280"/>
        <v>388.6230985</v>
      </c>
      <c r="AF488" s="73">
        <f t="shared" si="281"/>
        <v>60.61066061</v>
      </c>
      <c r="AG488" s="74" t="str">
        <f t="shared" si="282"/>
        <v>#REF!</v>
      </c>
      <c r="AH488" s="73">
        <f t="shared" si="283"/>
        <v>0</v>
      </c>
      <c r="AI488" s="73">
        <f t="shared" si="284"/>
        <v>0</v>
      </c>
      <c r="AJ488" s="75">
        <f t="shared" si="285"/>
        <v>1.296893055</v>
      </c>
      <c r="AK488" s="73">
        <f t="shared" si="286"/>
        <v>0.8135165872</v>
      </c>
      <c r="AL488" s="73">
        <f t="shared" si="287"/>
        <v>0.9945237461</v>
      </c>
      <c r="AM488" s="73">
        <f t="shared" si="288"/>
        <v>1.237344028</v>
      </c>
      <c r="AN488" s="75">
        <v>87.92</v>
      </c>
      <c r="AO488" s="76">
        <v>88.0</v>
      </c>
      <c r="AP488" s="73">
        <f t="shared" si="289"/>
        <v>88</v>
      </c>
      <c r="AQ488" s="29" t="str">
        <f t="shared" si="290"/>
        <v>#REF!</v>
      </c>
      <c r="AR488" s="77" t="str">
        <f t="shared" si="291"/>
        <v>#REF!</v>
      </c>
      <c r="AS488" s="73"/>
      <c r="AT488" s="39"/>
    </row>
    <row r="489" ht="15.75" customHeight="1">
      <c r="A489" s="7" t="s">
        <v>368</v>
      </c>
      <c r="B489" s="7" t="s">
        <v>369</v>
      </c>
      <c r="C489" s="7">
        <v>2006.0</v>
      </c>
      <c r="D489" s="7"/>
      <c r="E489" s="7">
        <v>2006.0</v>
      </c>
      <c r="F489" s="7" t="b">
        <v>1</v>
      </c>
      <c r="G489" s="7" t="b">
        <v>0</v>
      </c>
      <c r="H489" s="7" t="b">
        <v>0</v>
      </c>
      <c r="I489" s="7" t="b">
        <v>0</v>
      </c>
      <c r="J489" s="9">
        <v>240.0</v>
      </c>
      <c r="K489" s="7">
        <v>1.0</v>
      </c>
      <c r="L489" s="7">
        <v>205.0</v>
      </c>
      <c r="M489" s="7">
        <v>-20.0</v>
      </c>
      <c r="N489" s="7">
        <v>630.0</v>
      </c>
      <c r="O489" s="7">
        <v>482.63</v>
      </c>
      <c r="P489" s="9">
        <v>267.0</v>
      </c>
      <c r="Q489" s="7">
        <v>304.8</v>
      </c>
      <c r="R489" s="7">
        <v>6.14</v>
      </c>
      <c r="S489" s="7">
        <v>0.992391</v>
      </c>
      <c r="T489" s="7">
        <v>0.992391</v>
      </c>
      <c r="U489" s="10">
        <f t="shared" si="1"/>
        <v>185</v>
      </c>
      <c r="V489" s="10">
        <f t="shared" si="2"/>
        <v>78.11835467</v>
      </c>
      <c r="W489" s="11">
        <f t="shared" si="3"/>
        <v>0.7266162192</v>
      </c>
      <c r="X489" s="8">
        <f t="shared" si="277"/>
        <v>350.6867859</v>
      </c>
      <c r="Y489" s="12">
        <f t="shared" si="4"/>
        <v>4</v>
      </c>
      <c r="Z489" s="12">
        <f t="shared" si="5"/>
        <v>1753.433929</v>
      </c>
      <c r="AA489" s="12">
        <f t="shared" si="6"/>
        <v>3.633081096</v>
      </c>
      <c r="AB489" s="13">
        <f t="shared" si="7"/>
        <v>1.895604248</v>
      </c>
      <c r="AC489" s="8">
        <f t="shared" si="278"/>
        <v>352.3840738</v>
      </c>
      <c r="AD489" s="13">
        <f t="shared" si="279"/>
        <v>1.904778777</v>
      </c>
      <c r="AE489" s="8">
        <f t="shared" si="280"/>
        <v>352.3840738</v>
      </c>
      <c r="AF489" s="73">
        <f t="shared" si="281"/>
        <v>71.3993432</v>
      </c>
      <c r="AG489" s="74" t="str">
        <f t="shared" si="282"/>
        <v>#REF!</v>
      </c>
      <c r="AH489" s="73">
        <f t="shared" si="283"/>
        <v>0</v>
      </c>
      <c r="AI489" s="73">
        <f t="shared" si="284"/>
        <v>0</v>
      </c>
      <c r="AJ489" s="75">
        <f t="shared" si="285"/>
        <v>1.2810549</v>
      </c>
      <c r="AK489" s="73">
        <f t="shared" si="286"/>
        <v>0.9881697392</v>
      </c>
      <c r="AL489" s="73">
        <f t="shared" si="287"/>
        <v>1.043368704</v>
      </c>
      <c r="AM489" s="73">
        <f t="shared" si="288"/>
        <v>1.237344028</v>
      </c>
      <c r="AN489" s="75">
        <v>124.16</v>
      </c>
      <c r="AO489" s="76">
        <v>125.0</v>
      </c>
      <c r="AP489" s="73">
        <f t="shared" si="289"/>
        <v>125</v>
      </c>
      <c r="AQ489" s="29" t="str">
        <f t="shared" si="290"/>
        <v>#REF!</v>
      </c>
      <c r="AR489" s="77" t="str">
        <f t="shared" si="291"/>
        <v>#REF!</v>
      </c>
      <c r="AS489" s="73"/>
      <c r="AT489" s="39"/>
    </row>
    <row r="490" ht="15.75" customHeight="1">
      <c r="A490" s="16" t="s">
        <v>204</v>
      </c>
      <c r="B490" s="16" t="s">
        <v>203</v>
      </c>
      <c r="C490" s="16">
        <v>2007.0</v>
      </c>
      <c r="D490" s="16"/>
      <c r="E490" s="16">
        <v>2007.0</v>
      </c>
      <c r="F490" s="16" t="b">
        <v>0</v>
      </c>
      <c r="G490" s="16" t="b">
        <v>0</v>
      </c>
      <c r="H490" s="16" t="b">
        <v>1</v>
      </c>
      <c r="I490" s="16" t="b">
        <v>0</v>
      </c>
      <c r="J490" s="18">
        <v>415.0</v>
      </c>
      <c r="K490" s="18">
        <v>20.0</v>
      </c>
      <c r="L490" s="16">
        <v>40.0</v>
      </c>
      <c r="M490" s="16">
        <v>0.0</v>
      </c>
      <c r="N490" s="16">
        <v>52.0</v>
      </c>
      <c r="O490" s="16">
        <v>30.7</v>
      </c>
      <c r="P490" s="18">
        <v>1.0</v>
      </c>
      <c r="Q490" s="16">
        <v>320.0</v>
      </c>
      <c r="R490" s="16">
        <v>1.03</v>
      </c>
      <c r="S490" s="16">
        <v>1.0</v>
      </c>
      <c r="T490" s="16">
        <v>1.0</v>
      </c>
      <c r="U490" s="19">
        <f t="shared" si="1"/>
        <v>40</v>
      </c>
      <c r="V490" s="19">
        <f t="shared" si="2"/>
        <v>60.20247624</v>
      </c>
      <c r="W490" s="20">
        <f t="shared" si="3"/>
        <v>2.227238592</v>
      </c>
      <c r="X490" s="17">
        <f t="shared" si="277"/>
        <v>68.37622476</v>
      </c>
      <c r="Y490" s="21">
        <f t="shared" si="4"/>
        <v>1.75</v>
      </c>
      <c r="Z490" s="21">
        <f t="shared" si="5"/>
        <v>188.0346181</v>
      </c>
      <c r="AA490" s="21">
        <f t="shared" si="6"/>
        <v>6.124906127</v>
      </c>
      <c r="AB490" s="22">
        <f t="shared" si="7"/>
        <v>1.709405619</v>
      </c>
      <c r="AC490" s="8">
        <f t="shared" si="278"/>
        <v>69.74374926</v>
      </c>
      <c r="AD490" s="13">
        <f t="shared" si="279"/>
        <v>1.743593731</v>
      </c>
      <c r="AE490" s="8">
        <f t="shared" si="280"/>
        <v>69.74374926</v>
      </c>
      <c r="AF490" s="73">
        <f t="shared" si="281"/>
        <v>9.352686986</v>
      </c>
      <c r="AG490" s="74" t="str">
        <f t="shared" si="282"/>
        <v>#REF!</v>
      </c>
      <c r="AH490" s="73">
        <f t="shared" si="283"/>
        <v>0</v>
      </c>
      <c r="AI490" s="73">
        <f t="shared" si="284"/>
        <v>0.6760795925</v>
      </c>
      <c r="AJ490" s="75">
        <f t="shared" si="285"/>
        <v>1</v>
      </c>
      <c r="AK490" s="73">
        <f t="shared" si="286"/>
        <v>0.8674854195</v>
      </c>
      <c r="AL490" s="73">
        <f t="shared" si="287"/>
        <v>1.226334095</v>
      </c>
      <c r="AM490" s="73">
        <f t="shared" si="288"/>
        <v>1.41818733</v>
      </c>
      <c r="AN490" s="75">
        <v>30.88</v>
      </c>
      <c r="AO490" s="76">
        <v>31.0</v>
      </c>
      <c r="AP490" s="73">
        <f t="shared" si="289"/>
        <v>31</v>
      </c>
      <c r="AQ490" s="29" t="str">
        <f t="shared" si="290"/>
        <v>#REF!</v>
      </c>
      <c r="AR490" s="77" t="str">
        <f t="shared" si="291"/>
        <v>#REF!</v>
      </c>
      <c r="AS490" s="73"/>
      <c r="AT490" s="39"/>
    </row>
    <row r="491" ht="15.75" customHeight="1">
      <c r="A491" s="16" t="s">
        <v>380</v>
      </c>
      <c r="B491" s="16" t="s">
        <v>380</v>
      </c>
      <c r="C491" s="16">
        <v>2007.0</v>
      </c>
      <c r="D491" s="16"/>
      <c r="E491" s="16">
        <v>2007.0</v>
      </c>
      <c r="F491" s="16" t="b">
        <v>0</v>
      </c>
      <c r="G491" s="16" t="b">
        <v>0</v>
      </c>
      <c r="H491" s="16" t="b">
        <v>1</v>
      </c>
      <c r="I491" s="16" t="b">
        <v>1</v>
      </c>
      <c r="J491" s="18">
        <v>350.0</v>
      </c>
      <c r="K491" s="18">
        <v>999.0</v>
      </c>
      <c r="L491" s="16">
        <v>200.0</v>
      </c>
      <c r="M491" s="16">
        <v>0.0</v>
      </c>
      <c r="N491" s="16">
        <v>8.5</v>
      </c>
      <c r="O491" s="16">
        <v>3.603</v>
      </c>
      <c r="P491" s="18">
        <v>79.0</v>
      </c>
      <c r="Q491" s="16">
        <v>223.0</v>
      </c>
      <c r="R491" s="16">
        <v>2.4</v>
      </c>
      <c r="S491" s="16">
        <v>0.999</v>
      </c>
      <c r="T491" s="16">
        <v>0.999</v>
      </c>
      <c r="U491" s="19">
        <f t="shared" si="1"/>
        <v>200</v>
      </c>
      <c r="V491" s="19">
        <f t="shared" si="2"/>
        <v>43.22397064</v>
      </c>
      <c r="W491" s="20">
        <f t="shared" si="3"/>
        <v>5.845023844</v>
      </c>
      <c r="X491" s="17">
        <f t="shared" si="277"/>
        <v>21.05962091</v>
      </c>
      <c r="Y491" s="21">
        <f t="shared" si="4"/>
        <v>1.75</v>
      </c>
      <c r="Z491" s="21">
        <f t="shared" si="5"/>
        <v>57.91395751</v>
      </c>
      <c r="AA491" s="21">
        <f t="shared" si="6"/>
        <v>16.07381557</v>
      </c>
      <c r="AB491" s="22">
        <f t="shared" si="7"/>
        <v>0.1052981046</v>
      </c>
      <c r="AC491" s="8">
        <f t="shared" si="278"/>
        <v>32.15807272</v>
      </c>
      <c r="AD491" s="13">
        <f t="shared" si="279"/>
        <v>0.1607903636</v>
      </c>
      <c r="AE491" s="8">
        <f t="shared" si="280"/>
        <v>32.15807272</v>
      </c>
      <c r="AF491" s="73">
        <f t="shared" si="281"/>
        <v>3.120157525</v>
      </c>
      <c r="AG491" s="74" t="str">
        <f t="shared" si="282"/>
        <v>#REF!</v>
      </c>
      <c r="AH491" s="73">
        <f t="shared" si="283"/>
        <v>2</v>
      </c>
      <c r="AI491" s="73">
        <f t="shared" si="284"/>
        <v>1.123141633</v>
      </c>
      <c r="AJ491" s="75">
        <f t="shared" si="285"/>
        <v>1</v>
      </c>
      <c r="AK491" s="73">
        <f t="shared" si="286"/>
        <v>0.735050769</v>
      </c>
      <c r="AL491" s="73">
        <f t="shared" si="287"/>
        <v>0.5894661587</v>
      </c>
      <c r="AM491" s="73">
        <f t="shared" si="288"/>
        <v>1.364668672</v>
      </c>
      <c r="AN491" s="75">
        <v>8.28</v>
      </c>
      <c r="AO491" s="76">
        <v>8.3</v>
      </c>
      <c r="AP491" s="73">
        <f t="shared" si="289"/>
        <v>8.3</v>
      </c>
      <c r="AQ491" s="29" t="str">
        <f t="shared" si="290"/>
        <v>#REF!</v>
      </c>
      <c r="AR491" s="77" t="str">
        <f t="shared" si="291"/>
        <v>#REF!</v>
      </c>
      <c r="AS491" s="73"/>
      <c r="AT491" s="39"/>
    </row>
    <row r="492" ht="15.75" customHeight="1">
      <c r="A492" s="16" t="s">
        <v>628</v>
      </c>
      <c r="B492" s="16" t="s">
        <v>626</v>
      </c>
      <c r="C492" s="16">
        <v>2007.0</v>
      </c>
      <c r="D492" s="16" t="b">
        <v>1</v>
      </c>
      <c r="E492" s="16">
        <v>2007.0</v>
      </c>
      <c r="F492" s="16" t="b">
        <v>1</v>
      </c>
      <c r="G492" s="16" t="b">
        <v>0</v>
      </c>
      <c r="H492" s="16" t="b">
        <v>1</v>
      </c>
      <c r="I492" s="16" t="b">
        <v>0</v>
      </c>
      <c r="J492" s="18">
        <v>800.0</v>
      </c>
      <c r="K492" s="18">
        <v>11.0</v>
      </c>
      <c r="L492" s="16">
        <v>700.0</v>
      </c>
      <c r="M492" s="16">
        <v>200.0</v>
      </c>
      <c r="N492" s="16">
        <v>550.0</v>
      </c>
      <c r="O492" s="16">
        <v>395.0</v>
      </c>
      <c r="P492" s="18">
        <v>292.0</v>
      </c>
      <c r="Q492" s="16">
        <v>460.0</v>
      </c>
      <c r="R492" s="16">
        <v>11.5</v>
      </c>
      <c r="S492" s="16">
        <v>0.989286</v>
      </c>
      <c r="T492" s="16">
        <v>0.987</v>
      </c>
      <c r="U492" s="19">
        <f t="shared" si="1"/>
        <v>900</v>
      </c>
      <c r="V492" s="19">
        <f t="shared" si="2"/>
        <v>73.23416417</v>
      </c>
      <c r="W492" s="20">
        <f t="shared" si="3"/>
        <v>3.158945002</v>
      </c>
      <c r="X492" s="17">
        <f>0.9*(0.00015*N492*Q492*R492+797)+0.1*(43.1*POWER(N492,0.549))</f>
        <v>1247.783276</v>
      </c>
      <c r="Y492" s="21">
        <f t="shared" si="4"/>
        <v>4</v>
      </c>
      <c r="Z492" s="21">
        <f t="shared" si="5"/>
        <v>6238.916378</v>
      </c>
      <c r="AA492" s="21">
        <f t="shared" si="6"/>
        <v>15.79472501</v>
      </c>
      <c r="AB492" s="22">
        <f t="shared" si="7"/>
        <v>1.386425862</v>
      </c>
      <c r="AC492" s="8">
        <f t="shared" si="278"/>
        <v>1243.322802</v>
      </c>
      <c r="AD492" s="13">
        <f t="shared" si="279"/>
        <v>1.38146978</v>
      </c>
      <c r="AE492" s="8">
        <f t="shared" si="280"/>
        <v>421.2152879</v>
      </c>
      <c r="AF492" s="73">
        <f t="shared" si="281"/>
        <v>60.66020937</v>
      </c>
      <c r="AG492" s="74" t="str">
        <f t="shared" si="282"/>
        <v>#REF!</v>
      </c>
      <c r="AH492" s="73">
        <f t="shared" si="283"/>
        <v>0</v>
      </c>
      <c r="AI492" s="73">
        <f t="shared" si="284"/>
        <v>0.571434119</v>
      </c>
      <c r="AJ492" s="75">
        <f t="shared" si="285"/>
        <v>1</v>
      </c>
      <c r="AK492" s="73">
        <f t="shared" si="286"/>
        <v>0.9567795212</v>
      </c>
      <c r="AL492" s="73">
        <f t="shared" si="287"/>
        <v>7.459708583</v>
      </c>
      <c r="AM492" s="73">
        <f t="shared" si="288"/>
        <v>1.603590751</v>
      </c>
      <c r="AN492" s="75">
        <v>883.05</v>
      </c>
      <c r="AO492" s="76">
        <v>880.0</v>
      </c>
      <c r="AP492" s="73">
        <f t="shared" si="289"/>
        <v>880</v>
      </c>
      <c r="AQ492" s="29" t="str">
        <f t="shared" si="290"/>
        <v>#REF!</v>
      </c>
      <c r="AR492" s="77" t="str">
        <f t="shared" si="291"/>
        <v>#REF!</v>
      </c>
      <c r="AS492" s="73"/>
      <c r="AT492" s="39"/>
    </row>
    <row r="493" ht="15.75" customHeight="1">
      <c r="A493" s="7" t="s">
        <v>205</v>
      </c>
      <c r="B493" s="7" t="s">
        <v>206</v>
      </c>
      <c r="C493" s="7">
        <v>2008.0</v>
      </c>
      <c r="D493" s="7"/>
      <c r="E493" s="7">
        <v>2008.0</v>
      </c>
      <c r="F493" s="7" t="b">
        <v>0</v>
      </c>
      <c r="G493" s="7" t="b">
        <v>0</v>
      </c>
      <c r="H493" s="7" t="b">
        <v>1</v>
      </c>
      <c r="I493" s="7" t="b">
        <v>0</v>
      </c>
      <c r="J493" s="9">
        <v>418.0</v>
      </c>
      <c r="K493" s="9">
        <v>4.0</v>
      </c>
      <c r="L493" s="7">
        <v>40.0</v>
      </c>
      <c r="M493" s="7">
        <v>0.0</v>
      </c>
      <c r="N493" s="7">
        <v>60.0</v>
      </c>
      <c r="O493" s="7">
        <v>35.1</v>
      </c>
      <c r="P493" s="9">
        <v>1.0</v>
      </c>
      <c r="Q493" s="7">
        <v>331.0</v>
      </c>
      <c r="R493" s="7">
        <v>1.03</v>
      </c>
      <c r="S493" s="7">
        <v>1.0</v>
      </c>
      <c r="T493" s="7">
        <v>1.0</v>
      </c>
      <c r="U493" s="10">
        <f t="shared" si="1"/>
        <v>40</v>
      </c>
      <c r="V493" s="10">
        <f t="shared" si="2"/>
        <v>59.65339829</v>
      </c>
      <c r="W493" s="11">
        <f t="shared" si="3"/>
        <v>2.166169564</v>
      </c>
      <c r="X493" s="8">
        <f t="shared" ref="X493:X495" si="292">0.2*(8.17*POWER(N493*R493,0.46))+0.8*(0.146*POWER(N493*Q493,0.639))</f>
        <v>76.03255168</v>
      </c>
      <c r="Y493" s="12">
        <f t="shared" si="4"/>
        <v>1.75</v>
      </c>
      <c r="Z493" s="12">
        <f t="shared" si="5"/>
        <v>209.0895171</v>
      </c>
      <c r="AA493" s="12">
        <f t="shared" si="6"/>
        <v>5.9569663</v>
      </c>
      <c r="AB493" s="13">
        <f t="shared" si="7"/>
        <v>1.900813792</v>
      </c>
      <c r="AC493" s="8">
        <f t="shared" si="278"/>
        <v>77.55320272</v>
      </c>
      <c r="AD493" s="13">
        <f t="shared" si="279"/>
        <v>1.938830068</v>
      </c>
      <c r="AE493" s="8">
        <f t="shared" si="280"/>
        <v>77.55320272</v>
      </c>
      <c r="AF493" s="73">
        <f t="shared" si="281"/>
        <v>10.30312871</v>
      </c>
      <c r="AG493" s="74" t="str">
        <f t="shared" si="282"/>
        <v>#REF!</v>
      </c>
      <c r="AH493" s="73">
        <f t="shared" si="283"/>
        <v>0</v>
      </c>
      <c r="AI493" s="73">
        <f t="shared" si="284"/>
        <v>0.3632125751</v>
      </c>
      <c r="AJ493" s="75">
        <f t="shared" si="285"/>
        <v>1</v>
      </c>
      <c r="AK493" s="73">
        <f t="shared" si="286"/>
        <v>0.8635203985</v>
      </c>
      <c r="AL493" s="73">
        <f t="shared" si="287"/>
        <v>1.391543035</v>
      </c>
      <c r="AM493" s="73">
        <f t="shared" si="288"/>
        <v>1.420398507</v>
      </c>
      <c r="AN493" s="75">
        <v>33.75</v>
      </c>
      <c r="AO493" s="76">
        <v>34.0</v>
      </c>
      <c r="AP493" s="73">
        <f t="shared" si="289"/>
        <v>34</v>
      </c>
      <c r="AQ493" s="29" t="str">
        <f t="shared" si="290"/>
        <v>#REF!</v>
      </c>
      <c r="AR493" s="77" t="str">
        <f t="shared" si="291"/>
        <v>#REF!</v>
      </c>
      <c r="AS493" s="73"/>
      <c r="AT493" s="39"/>
    </row>
    <row r="494" ht="15.75" customHeight="1">
      <c r="A494" s="7" t="s">
        <v>428</v>
      </c>
      <c r="B494" s="7" t="s">
        <v>427</v>
      </c>
      <c r="C494" s="7">
        <v>2008.0</v>
      </c>
      <c r="D494" s="7"/>
      <c r="E494" s="7">
        <v>2008.0</v>
      </c>
      <c r="F494" s="7" t="b">
        <v>0</v>
      </c>
      <c r="G494" s="7" t="b">
        <v>0</v>
      </c>
      <c r="H494" s="7" t="b">
        <v>1</v>
      </c>
      <c r="I494" s="7" t="b">
        <v>0</v>
      </c>
      <c r="J494" s="9">
        <v>20000.0</v>
      </c>
      <c r="K494" s="9">
        <v>134.0</v>
      </c>
      <c r="L494" s="7">
        <v>60.0</v>
      </c>
      <c r="M494" s="7">
        <v>0.0</v>
      </c>
      <c r="N494" s="7">
        <v>7.3</v>
      </c>
      <c r="O494" s="7">
        <v>0.89</v>
      </c>
      <c r="P494" s="9">
        <v>1.0</v>
      </c>
      <c r="Q494" s="7">
        <v>327.0</v>
      </c>
      <c r="R494" s="7">
        <v>0.96</v>
      </c>
      <c r="S494" s="7">
        <v>0.999814</v>
      </c>
      <c r="T494" s="7">
        <v>0.999442</v>
      </c>
      <c r="U494" s="10">
        <f t="shared" si="1"/>
        <v>60</v>
      </c>
      <c r="V494" s="10">
        <f t="shared" si="2"/>
        <v>12.43215653</v>
      </c>
      <c r="W494" s="11">
        <f t="shared" si="3"/>
        <v>23.3982849</v>
      </c>
      <c r="X494" s="8">
        <f t="shared" si="292"/>
        <v>20.82447356</v>
      </c>
      <c r="Y494" s="12">
        <f t="shared" si="4"/>
        <v>1.75</v>
      </c>
      <c r="Z494" s="12">
        <f t="shared" si="5"/>
        <v>57.26730228</v>
      </c>
      <c r="AA494" s="12">
        <f t="shared" si="6"/>
        <v>64.34528346</v>
      </c>
      <c r="AB494" s="13">
        <f t="shared" si="7"/>
        <v>0.3470745593</v>
      </c>
      <c r="AC494" s="8">
        <f t="shared" si="278"/>
        <v>21.22547178</v>
      </c>
      <c r="AD494" s="13">
        <f t="shared" si="279"/>
        <v>0.353757863</v>
      </c>
      <c r="AE494" s="8">
        <f t="shared" si="280"/>
        <v>21.22547178</v>
      </c>
      <c r="AF494" s="73">
        <f t="shared" si="281"/>
        <v>2.231380273</v>
      </c>
      <c r="AG494" s="74" t="str">
        <f t="shared" si="282"/>
        <v>#REF!</v>
      </c>
      <c r="AH494" s="73">
        <f t="shared" si="283"/>
        <v>0</v>
      </c>
      <c r="AI494" s="73">
        <f t="shared" si="284"/>
        <v>0.9367900751</v>
      </c>
      <c r="AJ494" s="75">
        <f t="shared" si="285"/>
        <v>1</v>
      </c>
      <c r="AK494" s="73">
        <f t="shared" si="286"/>
        <v>0.3942105486</v>
      </c>
      <c r="AL494" s="73">
        <f t="shared" si="287"/>
        <v>1.328208337</v>
      </c>
      <c r="AM494" s="73">
        <f t="shared" si="288"/>
        <v>2.168507404</v>
      </c>
      <c r="AN494" s="75">
        <v>10.89</v>
      </c>
      <c r="AO494" s="76">
        <v>11.0</v>
      </c>
      <c r="AP494" s="73">
        <f t="shared" si="289"/>
        <v>11</v>
      </c>
      <c r="AQ494" s="29" t="str">
        <f t="shared" si="290"/>
        <v>#REF!</v>
      </c>
      <c r="AR494" s="77" t="str">
        <f t="shared" si="291"/>
        <v>#REF!</v>
      </c>
      <c r="AS494" s="73"/>
      <c r="AT494" s="39"/>
    </row>
    <row r="495" ht="15.75" customHeight="1">
      <c r="A495" s="7" t="s">
        <v>510</v>
      </c>
      <c r="B495" s="7" t="s">
        <v>511</v>
      </c>
      <c r="C495" s="7">
        <v>2008.0</v>
      </c>
      <c r="D495" s="7"/>
      <c r="E495" s="7">
        <v>2008.0</v>
      </c>
      <c r="F495" s="7" t="b">
        <v>1</v>
      </c>
      <c r="G495" s="7" t="b">
        <v>0</v>
      </c>
      <c r="H495" s="7" t="b">
        <v>1</v>
      </c>
      <c r="I495" s="7" t="b">
        <v>0</v>
      </c>
      <c r="J495" s="9">
        <v>380.0</v>
      </c>
      <c r="K495" s="9">
        <v>6.0</v>
      </c>
      <c r="L495" s="7"/>
      <c r="M495" s="7">
        <v>0.0</v>
      </c>
      <c r="N495" s="7">
        <v>120.0</v>
      </c>
      <c r="O495" s="7">
        <v>50.0</v>
      </c>
      <c r="P495" s="9">
        <v>100.0</v>
      </c>
      <c r="Q495" s="7">
        <v>280.0</v>
      </c>
      <c r="R495" s="7">
        <v>15.3</v>
      </c>
      <c r="S495" s="7">
        <v>0.995</v>
      </c>
      <c r="T495" s="7">
        <v>0.992</v>
      </c>
      <c r="U495" s="10">
        <f t="shared" si="1"/>
        <v>0</v>
      </c>
      <c r="V495" s="10">
        <f t="shared" si="2"/>
        <v>42.48817542</v>
      </c>
      <c r="W495" s="11">
        <f t="shared" si="3"/>
        <v>2.859796007</v>
      </c>
      <c r="X495" s="8">
        <f t="shared" si="292"/>
        <v>142.9898003</v>
      </c>
      <c r="Y495" s="12">
        <f t="shared" si="4"/>
        <v>4</v>
      </c>
      <c r="Z495" s="12">
        <f t="shared" si="5"/>
        <v>714.9490016</v>
      </c>
      <c r="AA495" s="12">
        <f t="shared" si="6"/>
        <v>14.29898003</v>
      </c>
      <c r="AB495" s="13" t="str">
        <f t="shared" si="7"/>
        <v>#N/A</v>
      </c>
      <c r="AC495" s="8">
        <f t="shared" si="278"/>
        <v>143.9964485</v>
      </c>
      <c r="AD495" s="13" t="str">
        <f t="shared" si="279"/>
        <v>#N/A</v>
      </c>
      <c r="AE495" s="8">
        <f t="shared" si="280"/>
        <v>143.9964485</v>
      </c>
      <c r="AF495" s="73">
        <f t="shared" si="281"/>
        <v>13.54693684</v>
      </c>
      <c r="AG495" s="74" t="str">
        <f t="shared" si="282"/>
        <v>#REF!</v>
      </c>
      <c r="AH495" s="73">
        <f t="shared" si="283"/>
        <v>0</v>
      </c>
      <c r="AI495" s="73">
        <f t="shared" si="284"/>
        <v>0.4517593218</v>
      </c>
      <c r="AJ495" s="75">
        <f t="shared" si="285"/>
        <v>1</v>
      </c>
      <c r="AK495" s="73">
        <f t="shared" si="286"/>
        <v>0.7287675848</v>
      </c>
      <c r="AL495" s="73">
        <f t="shared" si="287"/>
        <v>0.8717238518</v>
      </c>
      <c r="AM495" s="73">
        <f t="shared" si="288"/>
        <v>1.390802024</v>
      </c>
      <c r="AN495" s="75">
        <v>19.36</v>
      </c>
      <c r="AO495" s="76">
        <v>19.0</v>
      </c>
      <c r="AP495" s="73">
        <f t="shared" si="289"/>
        <v>19</v>
      </c>
      <c r="AQ495" s="29" t="str">
        <f t="shared" si="290"/>
        <v>#REF!</v>
      </c>
      <c r="AR495" s="77" t="str">
        <f t="shared" si="291"/>
        <v>#REF!</v>
      </c>
      <c r="AS495" s="73"/>
      <c r="AT495" s="39"/>
    </row>
    <row r="496" ht="15.75" customHeight="1">
      <c r="A496" s="16" t="s">
        <v>125</v>
      </c>
      <c r="B496" s="16" t="s">
        <v>125</v>
      </c>
      <c r="C496" s="16">
        <v>2009.0</v>
      </c>
      <c r="D496" s="16" t="b">
        <v>1</v>
      </c>
      <c r="E496" s="16">
        <v>2009.0</v>
      </c>
      <c r="F496" s="16" t="b">
        <v>1</v>
      </c>
      <c r="G496" s="16" t="b">
        <v>0</v>
      </c>
      <c r="H496" s="16" t="b">
        <v>0</v>
      </c>
      <c r="I496" s="16" t="b">
        <v>0</v>
      </c>
      <c r="J496" s="18">
        <v>540.0</v>
      </c>
      <c r="K496" s="16">
        <v>1.0</v>
      </c>
      <c r="L496" s="16">
        <v>6000.0</v>
      </c>
      <c r="M496" s="16">
        <v>0.0</v>
      </c>
      <c r="N496" s="16">
        <v>6050.0</v>
      </c>
      <c r="O496" s="16">
        <v>4448.0</v>
      </c>
      <c r="P496" s="18">
        <v>371.0</v>
      </c>
      <c r="Q496" s="16">
        <v>454.0</v>
      </c>
      <c r="R496" s="16">
        <v>20.68</v>
      </c>
      <c r="S496" s="16">
        <v>0.995</v>
      </c>
      <c r="T496" s="16">
        <v>0.995</v>
      </c>
      <c r="U496" s="19">
        <f t="shared" si="1"/>
        <v>6000</v>
      </c>
      <c r="V496" s="19">
        <f t="shared" si="2"/>
        <v>74.97020995</v>
      </c>
      <c r="W496" s="20">
        <f t="shared" si="3"/>
        <v>2.000714834</v>
      </c>
      <c r="X496" s="17">
        <f t="shared" ref="X496:X500" si="293">0.9*(0.00015*N496*Q496*R496+797)+0.1*(43.1*POWER(N496,0.549))</f>
        <v>8899.179583</v>
      </c>
      <c r="Y496" s="21">
        <f t="shared" si="4"/>
        <v>4</v>
      </c>
      <c r="Z496" s="21">
        <f t="shared" si="5"/>
        <v>44495.89792</v>
      </c>
      <c r="AA496" s="21">
        <f t="shared" si="6"/>
        <v>10.00357417</v>
      </c>
      <c r="AB496" s="22">
        <f t="shared" si="7"/>
        <v>1.483196597</v>
      </c>
      <c r="AC496" s="8">
        <f t="shared" si="278"/>
        <v>8988.393859</v>
      </c>
      <c r="AD496" s="13">
        <f t="shared" si="279"/>
        <v>1.498065643</v>
      </c>
      <c r="AE496" s="8">
        <f t="shared" si="280"/>
        <v>1900.28042</v>
      </c>
      <c r="AF496" s="73">
        <f t="shared" si="281"/>
        <v>503.7664328</v>
      </c>
      <c r="AG496" s="74" t="str">
        <f t="shared" si="282"/>
        <v>#REF!</v>
      </c>
      <c r="AH496" s="73">
        <f t="shared" si="283"/>
        <v>0</v>
      </c>
      <c r="AI496" s="73">
        <f t="shared" si="284"/>
        <v>0</v>
      </c>
      <c r="AJ496" s="75">
        <f t="shared" si="285"/>
        <v>1.174484364</v>
      </c>
      <c r="AK496" s="73">
        <f t="shared" si="286"/>
        <v>0.9680535235</v>
      </c>
      <c r="AL496" s="73">
        <f t="shared" si="287"/>
        <v>6.867368592</v>
      </c>
      <c r="AM496" s="73">
        <f t="shared" si="288"/>
        <v>1.496382015</v>
      </c>
      <c r="AN496" s="75">
        <v>6729.65</v>
      </c>
      <c r="AO496" s="76">
        <v>6700.0</v>
      </c>
      <c r="AP496" s="73">
        <f t="shared" si="289"/>
        <v>6700</v>
      </c>
      <c r="AQ496" s="29" t="str">
        <f t="shared" si="290"/>
        <v>#REF!</v>
      </c>
      <c r="AR496" s="77" t="str">
        <f t="shared" si="291"/>
        <v>#REF!</v>
      </c>
      <c r="AS496" s="73"/>
      <c r="AT496" s="39"/>
    </row>
    <row r="497" ht="15.75" customHeight="1">
      <c r="A497" s="16" t="s">
        <v>238</v>
      </c>
      <c r="B497" s="16" t="s">
        <v>235</v>
      </c>
      <c r="C497" s="16">
        <v>2009.0</v>
      </c>
      <c r="D497" s="16" t="b">
        <v>1</v>
      </c>
      <c r="E497" s="16">
        <v>2009.0</v>
      </c>
      <c r="F497" s="16" t="b">
        <v>1</v>
      </c>
      <c r="G497" s="16" t="b">
        <v>0</v>
      </c>
      <c r="H497" s="16" t="b">
        <v>1</v>
      </c>
      <c r="I497" s="16" t="b">
        <v>0</v>
      </c>
      <c r="J497" s="18">
        <v>534.0</v>
      </c>
      <c r="K497" s="18">
        <v>10.0</v>
      </c>
      <c r="L497" s="16">
        <v>2650.0</v>
      </c>
      <c r="M497" s="16">
        <v>-650.0</v>
      </c>
      <c r="N497" s="16">
        <v>298.0</v>
      </c>
      <c r="O497" s="16">
        <v>137.2</v>
      </c>
      <c r="P497" s="18">
        <v>143.0</v>
      </c>
      <c r="Q497" s="16">
        <v>446.8</v>
      </c>
      <c r="R497" s="16">
        <v>3.58</v>
      </c>
      <c r="S497" s="16">
        <v>0.998598</v>
      </c>
      <c r="T497" s="16">
        <v>0.997222</v>
      </c>
      <c r="U497" s="19">
        <f t="shared" si="1"/>
        <v>2000</v>
      </c>
      <c r="V497" s="19">
        <f t="shared" si="2"/>
        <v>46.94800806</v>
      </c>
      <c r="W497" s="20">
        <f t="shared" si="3"/>
        <v>6.414070285</v>
      </c>
      <c r="X497" s="17">
        <f t="shared" si="293"/>
        <v>880.0104431</v>
      </c>
      <c r="Y497" s="21">
        <f t="shared" si="4"/>
        <v>4</v>
      </c>
      <c r="Z497" s="21">
        <f t="shared" si="5"/>
        <v>4400.052215</v>
      </c>
      <c r="AA497" s="21">
        <f t="shared" si="6"/>
        <v>32.07035142</v>
      </c>
      <c r="AB497" s="22">
        <f t="shared" si="7"/>
        <v>0.4400052215</v>
      </c>
      <c r="AC497" s="8">
        <f t="shared" si="278"/>
        <v>893.9356357</v>
      </c>
      <c r="AD497" s="13">
        <f t="shared" si="279"/>
        <v>0.4469678179</v>
      </c>
      <c r="AE497" s="8">
        <f t="shared" si="280"/>
        <v>264.2270269</v>
      </c>
      <c r="AF497" s="73">
        <f t="shared" si="281"/>
        <v>26.96821008</v>
      </c>
      <c r="AG497" s="74" t="str">
        <f t="shared" si="282"/>
        <v>#REF!</v>
      </c>
      <c r="AH497" s="73">
        <f t="shared" si="283"/>
        <v>0</v>
      </c>
      <c r="AI497" s="73">
        <f t="shared" si="284"/>
        <v>0.5535639833</v>
      </c>
      <c r="AJ497" s="75">
        <f t="shared" si="285"/>
        <v>1</v>
      </c>
      <c r="AK497" s="73">
        <f t="shared" si="286"/>
        <v>0.766061421</v>
      </c>
      <c r="AL497" s="73">
        <f t="shared" si="287"/>
        <v>6.220960869</v>
      </c>
      <c r="AM497" s="73">
        <f t="shared" si="288"/>
        <v>1.493171279</v>
      </c>
      <c r="AN497" s="75">
        <v>365.48</v>
      </c>
      <c r="AO497" s="76">
        <v>370.0</v>
      </c>
      <c r="AP497" s="73">
        <f t="shared" si="289"/>
        <v>370</v>
      </c>
      <c r="AQ497" s="29" t="str">
        <f t="shared" si="290"/>
        <v>#REF!</v>
      </c>
      <c r="AR497" s="77" t="str">
        <f t="shared" si="291"/>
        <v>#REF!</v>
      </c>
      <c r="AS497" s="73"/>
      <c r="AT497" s="39"/>
    </row>
    <row r="498" ht="15.75" customHeight="1">
      <c r="A498" s="16" t="s">
        <v>361</v>
      </c>
      <c r="B498" s="16" t="s">
        <v>362</v>
      </c>
      <c r="C498" s="16">
        <v>2009.0</v>
      </c>
      <c r="D498" s="16" t="b">
        <v>1</v>
      </c>
      <c r="E498" s="16">
        <v>2009.0</v>
      </c>
      <c r="F498" s="16" t="b">
        <v>1</v>
      </c>
      <c r="G498" s="16" t="b">
        <v>0</v>
      </c>
      <c r="H498" s="16" t="b">
        <v>1</v>
      </c>
      <c r="I498" s="16" t="b">
        <v>0</v>
      </c>
      <c r="J498" s="18">
        <v>1130.0</v>
      </c>
      <c r="K498" s="18">
        <v>10.0</v>
      </c>
      <c r="L498" s="16">
        <v>585.0</v>
      </c>
      <c r="M498" s="16">
        <v>0.0</v>
      </c>
      <c r="N498" s="16">
        <v>345.0</v>
      </c>
      <c r="O498" s="16">
        <v>155.7</v>
      </c>
      <c r="P498" s="18">
        <v>202.0</v>
      </c>
      <c r="Q498" s="16">
        <v>468.0</v>
      </c>
      <c r="R498" s="16">
        <v>10.34</v>
      </c>
      <c r="S498" s="16">
        <v>0.9995</v>
      </c>
      <c r="T498" s="16">
        <v>0.9979</v>
      </c>
      <c r="U498" s="19">
        <f t="shared" si="1"/>
        <v>585</v>
      </c>
      <c r="V498" s="19">
        <f t="shared" si="2"/>
        <v>46.02023591</v>
      </c>
      <c r="W498" s="20">
        <f t="shared" si="3"/>
        <v>6.73909942</v>
      </c>
      <c r="X498" s="17">
        <f t="shared" si="293"/>
        <v>1049.27778</v>
      </c>
      <c r="Y498" s="21">
        <f t="shared" si="4"/>
        <v>4</v>
      </c>
      <c r="Z498" s="21">
        <f t="shared" si="5"/>
        <v>5246.388898</v>
      </c>
      <c r="AA498" s="21">
        <f t="shared" si="6"/>
        <v>33.6954971</v>
      </c>
      <c r="AB498" s="22">
        <f t="shared" si="7"/>
        <v>1.79363723</v>
      </c>
      <c r="AC498" s="8">
        <f t="shared" si="278"/>
        <v>1067.536315</v>
      </c>
      <c r="AD498" s="13">
        <f t="shared" si="279"/>
        <v>1.824848401</v>
      </c>
      <c r="AE498" s="8">
        <f t="shared" si="280"/>
        <v>324.4496287</v>
      </c>
      <c r="AF498" s="73">
        <f t="shared" si="281"/>
        <v>29.57556</v>
      </c>
      <c r="AG498" s="74" t="str">
        <f t="shared" si="282"/>
        <v>#REF!</v>
      </c>
      <c r="AH498" s="73">
        <f t="shared" si="283"/>
        <v>0</v>
      </c>
      <c r="AI498" s="73">
        <f t="shared" si="284"/>
        <v>0.5535639833</v>
      </c>
      <c r="AJ498" s="75">
        <f t="shared" si="285"/>
        <v>1</v>
      </c>
      <c r="AK498" s="73">
        <f t="shared" si="286"/>
        <v>0.7584543156</v>
      </c>
      <c r="AL498" s="73">
        <f t="shared" si="287"/>
        <v>9.000741297</v>
      </c>
      <c r="AM498" s="73">
        <f t="shared" si="288"/>
        <v>1.689162817</v>
      </c>
      <c r="AN498" s="75">
        <v>685.47</v>
      </c>
      <c r="AO498" s="76">
        <v>690.0</v>
      </c>
      <c r="AP498" s="73">
        <f t="shared" si="289"/>
        <v>690</v>
      </c>
      <c r="AQ498" s="29" t="str">
        <f t="shared" si="290"/>
        <v>#REF!</v>
      </c>
      <c r="AR498" s="77" t="str">
        <f t="shared" si="291"/>
        <v>#REF!</v>
      </c>
      <c r="AS498" s="73"/>
      <c r="AT498" s="39"/>
    </row>
    <row r="499" ht="15.75" customHeight="1">
      <c r="A499" s="16" t="s">
        <v>365</v>
      </c>
      <c r="B499" s="16" t="s">
        <v>364</v>
      </c>
      <c r="C499" s="16">
        <v>2009.0</v>
      </c>
      <c r="D499" s="16" t="b">
        <v>1</v>
      </c>
      <c r="E499" s="16">
        <v>2009.0</v>
      </c>
      <c r="F499" s="16" t="b">
        <v>1</v>
      </c>
      <c r="G499" s="16" t="b">
        <v>0</v>
      </c>
      <c r="H499" s="16" t="b">
        <v>1</v>
      </c>
      <c r="I499" s="16" t="b">
        <v>0</v>
      </c>
      <c r="J499" s="18">
        <v>1130.0</v>
      </c>
      <c r="K499" s="18">
        <v>10.0</v>
      </c>
      <c r="L499" s="16">
        <v>750.0</v>
      </c>
      <c r="M499" s="16">
        <v>0.0</v>
      </c>
      <c r="N499" s="16">
        <v>443.0</v>
      </c>
      <c r="O499" s="16">
        <v>200.2</v>
      </c>
      <c r="P499" s="18">
        <v>246.0</v>
      </c>
      <c r="Q499" s="16">
        <v>467.5</v>
      </c>
      <c r="R499" s="16">
        <v>13.44</v>
      </c>
      <c r="S499" s="16">
        <v>0.99995</v>
      </c>
      <c r="T499" s="16">
        <v>0.99995</v>
      </c>
      <c r="U499" s="19">
        <f t="shared" si="1"/>
        <v>750</v>
      </c>
      <c r="V499" s="19">
        <f t="shared" si="2"/>
        <v>46.08288606</v>
      </c>
      <c r="W499" s="20">
        <f t="shared" si="3"/>
        <v>6.070659681</v>
      </c>
      <c r="X499" s="17">
        <f t="shared" si="293"/>
        <v>1215.346068</v>
      </c>
      <c r="Y499" s="21">
        <f t="shared" si="4"/>
        <v>4</v>
      </c>
      <c r="Z499" s="21">
        <f t="shared" si="5"/>
        <v>6076.730341</v>
      </c>
      <c r="AA499" s="21">
        <f t="shared" si="6"/>
        <v>30.3532984</v>
      </c>
      <c r="AB499" s="22">
        <f t="shared" si="7"/>
        <v>1.620461424</v>
      </c>
      <c r="AC499" s="8">
        <f t="shared" si="278"/>
        <v>1239.531458</v>
      </c>
      <c r="AD499" s="13">
        <f t="shared" si="279"/>
        <v>1.652708611</v>
      </c>
      <c r="AE499" s="8">
        <f t="shared" si="280"/>
        <v>388.0237853</v>
      </c>
      <c r="AF499" s="73">
        <f t="shared" si="281"/>
        <v>35.66784249</v>
      </c>
      <c r="AG499" s="74" t="str">
        <f t="shared" si="282"/>
        <v>#REF!</v>
      </c>
      <c r="AH499" s="73">
        <f t="shared" si="283"/>
        <v>0</v>
      </c>
      <c r="AI499" s="73">
        <f t="shared" si="284"/>
        <v>0.5535639833</v>
      </c>
      <c r="AJ499" s="75">
        <f t="shared" si="285"/>
        <v>1</v>
      </c>
      <c r="AK499" s="73">
        <f t="shared" si="286"/>
        <v>0.758970405</v>
      </c>
      <c r="AL499" s="73">
        <f t="shared" si="287"/>
        <v>8.935293691</v>
      </c>
      <c r="AM499" s="73">
        <f t="shared" si="288"/>
        <v>1.689162817</v>
      </c>
      <c r="AN499" s="75">
        <v>923.77</v>
      </c>
      <c r="AO499" s="76">
        <v>920.0</v>
      </c>
      <c r="AP499" s="73">
        <f t="shared" si="289"/>
        <v>920</v>
      </c>
      <c r="AQ499" s="29" t="str">
        <f t="shared" si="290"/>
        <v>#REF!</v>
      </c>
      <c r="AR499" s="77" t="str">
        <f t="shared" si="291"/>
        <v>#REF!</v>
      </c>
      <c r="AS499" s="73"/>
      <c r="AT499" s="39"/>
    </row>
    <row r="500" ht="15.75" customHeight="1">
      <c r="A500" s="7" t="s">
        <v>366</v>
      </c>
      <c r="B500" s="7" t="s">
        <v>367</v>
      </c>
      <c r="C500" s="7">
        <v>2009.0</v>
      </c>
      <c r="D500" s="7" t="b">
        <v>1</v>
      </c>
      <c r="E500" s="7">
        <v>2009.0</v>
      </c>
      <c r="F500" s="7" t="b">
        <v>1</v>
      </c>
      <c r="G500" s="7" t="b">
        <v>0</v>
      </c>
      <c r="H500" s="7" t="b">
        <v>1</v>
      </c>
      <c r="I500" s="7" t="b">
        <v>0</v>
      </c>
      <c r="J500" s="9">
        <v>1130.0</v>
      </c>
      <c r="K500" s="9">
        <v>10.0</v>
      </c>
      <c r="L500" s="7">
        <v>1000.0</v>
      </c>
      <c r="M500" s="7">
        <v>0.0</v>
      </c>
      <c r="N500" s="7">
        <v>590.0</v>
      </c>
      <c r="O500" s="7">
        <v>266.9</v>
      </c>
      <c r="P500" s="9">
        <v>245.0</v>
      </c>
      <c r="Q500" s="7">
        <v>467.0</v>
      </c>
      <c r="R500" s="7">
        <v>13.44</v>
      </c>
      <c r="S500" s="7">
        <v>0.9995</v>
      </c>
      <c r="T500" s="7">
        <v>0.9979</v>
      </c>
      <c r="U500" s="10">
        <f t="shared" si="1"/>
        <v>1000</v>
      </c>
      <c r="V500" s="10">
        <f t="shared" si="2"/>
        <v>46.12919601</v>
      </c>
      <c r="W500" s="11">
        <f t="shared" si="3"/>
        <v>5.09679016</v>
      </c>
      <c r="X500" s="8">
        <f t="shared" si="293"/>
        <v>1360.333294</v>
      </c>
      <c r="Y500" s="12">
        <f t="shared" si="4"/>
        <v>4</v>
      </c>
      <c r="Z500" s="12">
        <f t="shared" si="5"/>
        <v>6801.666469</v>
      </c>
      <c r="AA500" s="12">
        <f t="shared" si="6"/>
        <v>25.4839508</v>
      </c>
      <c r="AB500" s="13">
        <f t="shared" si="7"/>
        <v>1.360333294</v>
      </c>
      <c r="AC500" s="8">
        <f t="shared" si="278"/>
        <v>1384.004521</v>
      </c>
      <c r="AD500" s="13">
        <f t="shared" si="279"/>
        <v>1.384004521</v>
      </c>
      <c r="AE500" s="8">
        <f t="shared" si="280"/>
        <v>459.1688074</v>
      </c>
      <c r="AF500" s="73">
        <f t="shared" si="281"/>
        <v>44.46398153</v>
      </c>
      <c r="AG500" s="74" t="str">
        <f t="shared" si="282"/>
        <v>#REF!</v>
      </c>
      <c r="AH500" s="73">
        <f t="shared" si="283"/>
        <v>0</v>
      </c>
      <c r="AI500" s="73">
        <f t="shared" si="284"/>
        <v>0.5535639833</v>
      </c>
      <c r="AJ500" s="75">
        <f t="shared" si="285"/>
        <v>1</v>
      </c>
      <c r="AK500" s="73">
        <f t="shared" si="286"/>
        <v>0.7593516643</v>
      </c>
      <c r="AL500" s="73">
        <f t="shared" si="287"/>
        <v>8.868470862</v>
      </c>
      <c r="AM500" s="73">
        <f t="shared" si="288"/>
        <v>1.689162817</v>
      </c>
      <c r="AN500" s="75">
        <v>1015.78</v>
      </c>
      <c r="AO500" s="76">
        <v>1000.0</v>
      </c>
      <c r="AP500" s="73">
        <f t="shared" si="289"/>
        <v>1000</v>
      </c>
      <c r="AQ500" s="29" t="str">
        <f t="shared" si="290"/>
        <v>#REF!</v>
      </c>
      <c r="AR500" s="77" t="str">
        <f t="shared" si="291"/>
        <v>#REF!</v>
      </c>
      <c r="AS500" s="73"/>
      <c r="AT500" s="39"/>
    </row>
    <row r="501" ht="15.75" customHeight="1">
      <c r="A501" s="16" t="s">
        <v>396</v>
      </c>
      <c r="B501" s="16" t="s">
        <v>393</v>
      </c>
      <c r="C501" s="16">
        <v>2009.0</v>
      </c>
      <c r="D501" s="16" t="b">
        <v>0</v>
      </c>
      <c r="E501" s="16">
        <v>2009.0</v>
      </c>
      <c r="F501" s="16" t="b">
        <v>1</v>
      </c>
      <c r="G501" s="16" t="b">
        <v>0</v>
      </c>
      <c r="H501" s="16" t="b">
        <v>0</v>
      </c>
      <c r="I501" s="16" t="b">
        <v>0</v>
      </c>
      <c r="J501" s="18">
        <v>365.0</v>
      </c>
      <c r="K501" s="18">
        <v>2.0</v>
      </c>
      <c r="L501" s="16"/>
      <c r="M501" s="16"/>
      <c r="N501" s="16">
        <v>1458.8</v>
      </c>
      <c r="O501" s="16">
        <v>1753.3</v>
      </c>
      <c r="P501" s="18">
        <v>297.23</v>
      </c>
      <c r="Q501" s="16">
        <v>331.0</v>
      </c>
      <c r="R501" s="16">
        <v>14.83</v>
      </c>
      <c r="S501" s="16">
        <v>0.997</v>
      </c>
      <c r="T501" s="16">
        <v>0.997</v>
      </c>
      <c r="U501" s="19">
        <f t="shared" si="1"/>
        <v>0</v>
      </c>
      <c r="V501" s="19">
        <f t="shared" si="2"/>
        <v>122.557474</v>
      </c>
      <c r="W501" s="20">
        <f t="shared" si="3"/>
        <v>0.3774146002</v>
      </c>
      <c r="X501" s="17">
        <f t="shared" ref="X501:X507" si="294">0.2*(8.17*POWER(N501*R501,0.46))+0.8*(0.146*POWER(N501*Q501,0.639))</f>
        <v>661.7210185</v>
      </c>
      <c r="Y501" s="21">
        <f t="shared" si="4"/>
        <v>4</v>
      </c>
      <c r="Z501" s="21">
        <f t="shared" si="5"/>
        <v>3308.605093</v>
      </c>
      <c r="AA501" s="21">
        <f t="shared" si="6"/>
        <v>1.887073001</v>
      </c>
      <c r="AB501" s="22" t="str">
        <f t="shared" si="7"/>
        <v>#N/A</v>
      </c>
      <c r="AC501" s="8">
        <f t="shared" si="278"/>
        <v>670.9910683</v>
      </c>
      <c r="AD501" s="13" t="str">
        <f t="shared" si="279"/>
        <v>#N/A</v>
      </c>
      <c r="AE501" s="8">
        <f t="shared" si="280"/>
        <v>670.9910683</v>
      </c>
      <c r="AF501" s="73">
        <f t="shared" si="281"/>
        <v>216.1010725</v>
      </c>
      <c r="AG501" s="74" t="str">
        <f t="shared" si="282"/>
        <v>#REF!</v>
      </c>
      <c r="AH501" s="73">
        <f t="shared" si="283"/>
        <v>0</v>
      </c>
      <c r="AI501" s="73">
        <f t="shared" si="284"/>
        <v>0.1941741551</v>
      </c>
      <c r="AJ501" s="75">
        <f t="shared" si="285"/>
        <v>1.325055343</v>
      </c>
      <c r="AK501" s="73">
        <f t="shared" si="286"/>
        <v>1.237727121</v>
      </c>
      <c r="AL501" s="73">
        <f t="shared" si="287"/>
        <v>1.391543035</v>
      </c>
      <c r="AM501" s="73">
        <f t="shared" si="288"/>
        <v>1.378073729</v>
      </c>
      <c r="AN501" s="75">
        <v>805.57</v>
      </c>
      <c r="AO501" s="76">
        <v>810.0</v>
      </c>
      <c r="AP501" s="73">
        <f t="shared" si="289"/>
        <v>810</v>
      </c>
      <c r="AQ501" s="29" t="str">
        <f t="shared" si="290"/>
        <v>#REF!</v>
      </c>
      <c r="AR501" s="77" t="str">
        <f t="shared" si="291"/>
        <v>#REF!</v>
      </c>
      <c r="AS501" s="73"/>
      <c r="AT501" s="39"/>
    </row>
    <row r="502" ht="15.75" customHeight="1">
      <c r="A502" s="7" t="s">
        <v>395</v>
      </c>
      <c r="B502" s="7" t="s">
        <v>393</v>
      </c>
      <c r="C502" s="7">
        <v>2009.0</v>
      </c>
      <c r="D502" s="7" t="b">
        <v>0</v>
      </c>
      <c r="E502" s="7">
        <v>2009.0</v>
      </c>
      <c r="F502" s="7" t="b">
        <v>1</v>
      </c>
      <c r="G502" s="7" t="b">
        <v>0</v>
      </c>
      <c r="H502" s="7" t="b">
        <v>0</v>
      </c>
      <c r="I502" s="7" t="b">
        <v>0</v>
      </c>
      <c r="J502" s="9">
        <v>365.0</v>
      </c>
      <c r="K502" s="7">
        <v>1.0</v>
      </c>
      <c r="L502" s="7"/>
      <c r="M502" s="7"/>
      <c r="N502" s="7">
        <v>1407.9</v>
      </c>
      <c r="O502" s="7">
        <v>1753.3</v>
      </c>
      <c r="P502" s="9">
        <v>297.23</v>
      </c>
      <c r="Q502" s="7">
        <v>331.0</v>
      </c>
      <c r="R502" s="7">
        <v>14.83</v>
      </c>
      <c r="S502" s="7">
        <v>0.997</v>
      </c>
      <c r="T502" s="7">
        <v>0.997</v>
      </c>
      <c r="U502" s="10">
        <f t="shared" si="1"/>
        <v>0</v>
      </c>
      <c r="V502" s="10">
        <f t="shared" si="2"/>
        <v>126.988311</v>
      </c>
      <c r="W502" s="11">
        <f t="shared" si="3"/>
        <v>0.3695192464</v>
      </c>
      <c r="X502" s="8">
        <f t="shared" si="294"/>
        <v>647.8780947</v>
      </c>
      <c r="Y502" s="12">
        <f t="shared" si="4"/>
        <v>4</v>
      </c>
      <c r="Z502" s="12">
        <f t="shared" si="5"/>
        <v>3239.390474</v>
      </c>
      <c r="AA502" s="12">
        <f t="shared" si="6"/>
        <v>1.847596232</v>
      </c>
      <c r="AB502" s="13" t="str">
        <f t="shared" si="7"/>
        <v>#N/A</v>
      </c>
      <c r="AC502" s="8">
        <f t="shared" si="278"/>
        <v>656.954219</v>
      </c>
      <c r="AD502" s="13" t="str">
        <f t="shared" si="279"/>
        <v>#N/A</v>
      </c>
      <c r="AE502" s="8">
        <f t="shared" si="280"/>
        <v>656.954219</v>
      </c>
      <c r="AF502" s="73">
        <f t="shared" si="281"/>
        <v>216.1010725</v>
      </c>
      <c r="AG502" s="74" t="str">
        <f t="shared" si="282"/>
        <v>#REF!</v>
      </c>
      <c r="AH502" s="73">
        <f t="shared" si="283"/>
        <v>0</v>
      </c>
      <c r="AI502" s="73">
        <f t="shared" si="284"/>
        <v>0</v>
      </c>
      <c r="AJ502" s="75">
        <f t="shared" si="285"/>
        <v>1.325055343</v>
      </c>
      <c r="AK502" s="73">
        <f t="shared" si="286"/>
        <v>1.259902333</v>
      </c>
      <c r="AL502" s="73">
        <f t="shared" si="287"/>
        <v>1.391543035</v>
      </c>
      <c r="AM502" s="73">
        <f t="shared" si="288"/>
        <v>1.378073729</v>
      </c>
      <c r="AN502" s="75">
        <v>748.6</v>
      </c>
      <c r="AO502" s="76">
        <v>750.0</v>
      </c>
      <c r="AP502" s="73">
        <f t="shared" si="289"/>
        <v>750</v>
      </c>
      <c r="AQ502" s="29" t="str">
        <f t="shared" si="290"/>
        <v>#REF!</v>
      </c>
      <c r="AR502" s="77" t="str">
        <f t="shared" si="291"/>
        <v>#REF!</v>
      </c>
      <c r="AS502" s="73"/>
      <c r="AT502" s="39"/>
    </row>
    <row r="503" ht="15.75" customHeight="1">
      <c r="A503" s="7" t="s">
        <v>401</v>
      </c>
      <c r="B503" s="7" t="s">
        <v>399</v>
      </c>
      <c r="C503" s="7">
        <v>2009.0</v>
      </c>
      <c r="D503" s="7" t="b">
        <v>0</v>
      </c>
      <c r="E503" s="7">
        <v>2009.0</v>
      </c>
      <c r="F503" s="7" t="b">
        <v>1</v>
      </c>
      <c r="G503" s="7" t="b">
        <v>0</v>
      </c>
      <c r="H503" s="7" t="b">
        <v>1</v>
      </c>
      <c r="I503" s="7" t="b">
        <v>0</v>
      </c>
      <c r="J503" s="9">
        <v>346.0</v>
      </c>
      <c r="K503" s="7">
        <v>1.0</v>
      </c>
      <c r="L503" s="7"/>
      <c r="M503" s="7"/>
      <c r="N503" s="7">
        <v>1473.0</v>
      </c>
      <c r="O503" s="7">
        <v>1823.9</v>
      </c>
      <c r="P503" s="9">
        <v>251.0</v>
      </c>
      <c r="Q503" s="7">
        <v>326.0</v>
      </c>
      <c r="R503" s="7">
        <v>14.54</v>
      </c>
      <c r="S503" s="7">
        <v>0.997</v>
      </c>
      <c r="T503" s="7">
        <v>0.997</v>
      </c>
      <c r="U503" s="10">
        <f t="shared" si="1"/>
        <v>0</v>
      </c>
      <c r="V503" s="10">
        <f t="shared" si="2"/>
        <v>126.2634349</v>
      </c>
      <c r="W503" s="11">
        <f t="shared" si="3"/>
        <v>0.3614286879</v>
      </c>
      <c r="X503" s="8">
        <f t="shared" si="294"/>
        <v>659.2097839</v>
      </c>
      <c r="Y503" s="12">
        <f t="shared" si="4"/>
        <v>4</v>
      </c>
      <c r="Z503" s="12">
        <f t="shared" si="5"/>
        <v>3296.048919</v>
      </c>
      <c r="AA503" s="12">
        <f t="shared" si="6"/>
        <v>1.80714344</v>
      </c>
      <c r="AB503" s="13" t="str">
        <f t="shared" si="7"/>
        <v>#N/A</v>
      </c>
      <c r="AC503" s="8">
        <f t="shared" si="278"/>
        <v>668.4446538</v>
      </c>
      <c r="AD503" s="13" t="str">
        <f t="shared" si="279"/>
        <v>#N/A</v>
      </c>
      <c r="AE503" s="8">
        <f t="shared" si="280"/>
        <v>668.4446538</v>
      </c>
      <c r="AF503" s="73">
        <f t="shared" si="281"/>
        <v>223.8490108</v>
      </c>
      <c r="AG503" s="74" t="str">
        <f t="shared" si="282"/>
        <v>#REF!</v>
      </c>
      <c r="AH503" s="73">
        <f t="shared" si="283"/>
        <v>0</v>
      </c>
      <c r="AI503" s="73">
        <f t="shared" si="284"/>
        <v>0</v>
      </c>
      <c r="AJ503" s="75">
        <f t="shared" si="285"/>
        <v>1.102066596</v>
      </c>
      <c r="AK503" s="73">
        <f t="shared" si="286"/>
        <v>1.256301292</v>
      </c>
      <c r="AL503" s="73">
        <f t="shared" si="287"/>
        <v>1.312966516</v>
      </c>
      <c r="AM503" s="73">
        <f t="shared" si="288"/>
        <v>1.360971314</v>
      </c>
      <c r="AN503" s="75">
        <v>600.01</v>
      </c>
      <c r="AO503" s="76">
        <v>600.0</v>
      </c>
      <c r="AP503" s="73">
        <f t="shared" si="289"/>
        <v>600</v>
      </c>
      <c r="AQ503" s="29" t="str">
        <f t="shared" si="290"/>
        <v>#REF!</v>
      </c>
      <c r="AR503" s="77" t="str">
        <f t="shared" si="291"/>
        <v>#REF!</v>
      </c>
      <c r="AS503" s="73"/>
      <c r="AT503" s="39"/>
    </row>
    <row r="504" ht="15.75" customHeight="1">
      <c r="A504" s="7" t="s">
        <v>406</v>
      </c>
      <c r="B504" s="7" t="s">
        <v>403</v>
      </c>
      <c r="C504" s="7">
        <v>2009.0</v>
      </c>
      <c r="D504" s="7"/>
      <c r="E504" s="7">
        <v>2009.0</v>
      </c>
      <c r="F504" s="7" t="b">
        <v>1</v>
      </c>
      <c r="G504" s="7" t="b">
        <v>0</v>
      </c>
      <c r="H504" s="7" t="b">
        <v>0</v>
      </c>
      <c r="I504" s="7" t="b">
        <v>0</v>
      </c>
      <c r="J504" s="9">
        <v>240.0</v>
      </c>
      <c r="K504" s="7">
        <v>1.0</v>
      </c>
      <c r="L504" s="7">
        <v>350.0</v>
      </c>
      <c r="M504" s="7">
        <v>5.0</v>
      </c>
      <c r="N504" s="7">
        <v>491.55</v>
      </c>
      <c r="O504" s="7">
        <v>603.0</v>
      </c>
      <c r="P504" s="9">
        <v>291.3</v>
      </c>
      <c r="Q504" s="7">
        <v>331.6</v>
      </c>
      <c r="R504" s="7">
        <v>11.71</v>
      </c>
      <c r="S504" s="7">
        <v>0.980556</v>
      </c>
      <c r="T504" s="7">
        <v>0.980556</v>
      </c>
      <c r="U504" s="10">
        <f t="shared" si="1"/>
        <v>355</v>
      </c>
      <c r="V504" s="10">
        <f t="shared" si="2"/>
        <v>125.0918268</v>
      </c>
      <c r="W504" s="11">
        <f t="shared" si="3"/>
        <v>0.5600862783</v>
      </c>
      <c r="X504" s="8">
        <f t="shared" si="294"/>
        <v>337.7320258</v>
      </c>
      <c r="Y504" s="12">
        <f t="shared" si="4"/>
        <v>4</v>
      </c>
      <c r="Z504" s="12">
        <f t="shared" si="5"/>
        <v>1688.660129</v>
      </c>
      <c r="AA504" s="12">
        <f t="shared" si="6"/>
        <v>2.800431391</v>
      </c>
      <c r="AB504" s="13">
        <f t="shared" si="7"/>
        <v>0.9513578191</v>
      </c>
      <c r="AC504" s="8">
        <f t="shared" si="278"/>
        <v>331.4806293</v>
      </c>
      <c r="AD504" s="13">
        <f t="shared" si="279"/>
        <v>0.9337482517</v>
      </c>
      <c r="AE504" s="8">
        <f t="shared" si="280"/>
        <v>331.4806293</v>
      </c>
      <c r="AF504" s="73">
        <f t="shared" si="281"/>
        <v>85.84850678</v>
      </c>
      <c r="AG504" s="74" t="str">
        <f t="shared" si="282"/>
        <v>#REF!</v>
      </c>
      <c r="AH504" s="73">
        <f t="shared" si="283"/>
        <v>0</v>
      </c>
      <c r="AI504" s="73">
        <f t="shared" si="284"/>
        <v>0</v>
      </c>
      <c r="AJ504" s="75">
        <f t="shared" si="285"/>
        <v>1.285916936</v>
      </c>
      <c r="AK504" s="73">
        <f t="shared" si="286"/>
        <v>1.25045905</v>
      </c>
      <c r="AL504" s="73">
        <f t="shared" si="287"/>
        <v>1.401375986</v>
      </c>
      <c r="AM504" s="73">
        <f t="shared" si="288"/>
        <v>1.237344028</v>
      </c>
      <c r="AN504" s="75">
        <v>180.94</v>
      </c>
      <c r="AO504" s="76">
        <v>180.0</v>
      </c>
      <c r="AP504" s="73">
        <f t="shared" si="289"/>
        <v>180</v>
      </c>
      <c r="AQ504" s="29" t="str">
        <f t="shared" si="290"/>
        <v>#REF!</v>
      </c>
      <c r="AR504" s="77" t="str">
        <f t="shared" si="291"/>
        <v>#REF!</v>
      </c>
      <c r="AS504" s="73"/>
      <c r="AT504" s="39"/>
    </row>
    <row r="505" ht="15.75" customHeight="1">
      <c r="A505" s="7" t="s">
        <v>565</v>
      </c>
      <c r="B505" s="7" t="s">
        <v>566</v>
      </c>
      <c r="C505" s="7">
        <v>2009.0</v>
      </c>
      <c r="D505" s="7"/>
      <c r="E505" s="7">
        <v>2009.0</v>
      </c>
      <c r="F505" s="7" t="b">
        <v>1</v>
      </c>
      <c r="G505" s="7" t="b">
        <v>0</v>
      </c>
      <c r="H505" s="7" t="b">
        <v>0</v>
      </c>
      <c r="I505" s="7" t="b">
        <v>0</v>
      </c>
      <c r="J505" s="9">
        <v>300.0</v>
      </c>
      <c r="K505" s="7">
        <v>1.0</v>
      </c>
      <c r="L505" s="7">
        <v>858.0</v>
      </c>
      <c r="M505" s="7">
        <v>0.0</v>
      </c>
      <c r="N505" s="7">
        <v>2290.0</v>
      </c>
      <c r="O505" s="7">
        <v>1918.0</v>
      </c>
      <c r="P505" s="9">
        <v>294.3</v>
      </c>
      <c r="Q505" s="7">
        <v>338.0</v>
      </c>
      <c r="R505" s="7">
        <v>20.79</v>
      </c>
      <c r="S505" s="7">
        <v>0.996354</v>
      </c>
      <c r="T505" s="7">
        <v>0.996354</v>
      </c>
      <c r="U505" s="10">
        <f t="shared" si="1"/>
        <v>858</v>
      </c>
      <c r="V505" s="10">
        <f t="shared" si="2"/>
        <v>85.40679872</v>
      </c>
      <c r="W505" s="11">
        <f t="shared" si="3"/>
        <v>0.4736029368</v>
      </c>
      <c r="X505" s="8">
        <f t="shared" si="294"/>
        <v>908.3704328</v>
      </c>
      <c r="Y505" s="12">
        <f t="shared" si="4"/>
        <v>4</v>
      </c>
      <c r="Z505" s="12">
        <f t="shared" si="5"/>
        <v>4541.852164</v>
      </c>
      <c r="AA505" s="12">
        <f t="shared" si="6"/>
        <v>2.368014684</v>
      </c>
      <c r="AB505" s="13">
        <f t="shared" si="7"/>
        <v>1.058706798</v>
      </c>
      <c r="AC505" s="8">
        <f t="shared" si="278"/>
        <v>919.9260795</v>
      </c>
      <c r="AD505" s="13">
        <f t="shared" si="279"/>
        <v>1.072174918</v>
      </c>
      <c r="AE505" s="8">
        <f t="shared" si="280"/>
        <v>919.9260795</v>
      </c>
      <c r="AF505" s="73">
        <f t="shared" si="281"/>
        <v>234.1484845</v>
      </c>
      <c r="AG505" s="74" t="str">
        <f t="shared" si="282"/>
        <v>#REF!</v>
      </c>
      <c r="AH505" s="73">
        <f t="shared" si="283"/>
        <v>0</v>
      </c>
      <c r="AI505" s="73">
        <f t="shared" si="284"/>
        <v>0</v>
      </c>
      <c r="AJ505" s="75">
        <f t="shared" si="285"/>
        <v>1.270823243</v>
      </c>
      <c r="AK505" s="73">
        <f t="shared" si="286"/>
        <v>1.033240042</v>
      </c>
      <c r="AL505" s="73">
        <f t="shared" si="287"/>
        <v>1.511879237</v>
      </c>
      <c r="AM505" s="73">
        <f t="shared" si="288"/>
        <v>1.314152039</v>
      </c>
      <c r="AN505" s="75">
        <v>707.2</v>
      </c>
      <c r="AO505" s="76">
        <v>710.0</v>
      </c>
      <c r="AP505" s="73">
        <f t="shared" si="289"/>
        <v>710</v>
      </c>
      <c r="AQ505" s="29" t="str">
        <f t="shared" si="290"/>
        <v>#REF!</v>
      </c>
      <c r="AR505" s="77" t="str">
        <f t="shared" si="291"/>
        <v>#REF!</v>
      </c>
      <c r="AS505" s="73"/>
      <c r="AT505" s="39"/>
    </row>
    <row r="506" ht="15.75" customHeight="1">
      <c r="A506" s="7" t="s">
        <v>1057</v>
      </c>
      <c r="B506" s="7" t="s">
        <v>605</v>
      </c>
      <c r="C506" s="7">
        <v>2009.0</v>
      </c>
      <c r="D506" s="7"/>
      <c r="E506" s="7">
        <v>2009.0</v>
      </c>
      <c r="F506" s="7" t="b">
        <v>1</v>
      </c>
      <c r="G506" s="7" t="b">
        <v>0</v>
      </c>
      <c r="H506" s="7" t="b">
        <v>1</v>
      </c>
      <c r="I506" s="7" t="b">
        <v>0</v>
      </c>
      <c r="J506" s="9">
        <v>225.0</v>
      </c>
      <c r="K506" s="7">
        <v>1.0</v>
      </c>
      <c r="L506" s="7">
        <v>525.0</v>
      </c>
      <c r="M506" s="7">
        <v>300.0</v>
      </c>
      <c r="N506" s="7">
        <v>1436.0</v>
      </c>
      <c r="O506" s="7">
        <v>1922.0</v>
      </c>
      <c r="P506" s="9">
        <v>245.0</v>
      </c>
      <c r="Q506" s="7">
        <v>327.8</v>
      </c>
      <c r="R506" s="7">
        <v>16.6</v>
      </c>
      <c r="S506" s="7">
        <v>0.999663</v>
      </c>
      <c r="T506" s="7">
        <v>0.999663</v>
      </c>
      <c r="U506" s="10">
        <f t="shared" si="1"/>
        <v>825</v>
      </c>
      <c r="V506" s="10">
        <f t="shared" si="2"/>
        <v>136.4829078</v>
      </c>
      <c r="W506" s="11">
        <f t="shared" si="3"/>
        <v>0.3439116672</v>
      </c>
      <c r="X506" s="8">
        <f t="shared" si="294"/>
        <v>660.9982243</v>
      </c>
      <c r="Y506" s="12">
        <f t="shared" si="4"/>
        <v>4</v>
      </c>
      <c r="Z506" s="12">
        <f t="shared" si="5"/>
        <v>3304.991121</v>
      </c>
      <c r="AA506" s="12">
        <f t="shared" si="6"/>
        <v>1.719558336</v>
      </c>
      <c r="AB506" s="13">
        <f t="shared" si="7"/>
        <v>0.8012099688</v>
      </c>
      <c r="AC506" s="8">
        <f t="shared" si="278"/>
        <v>673.772751</v>
      </c>
      <c r="AD506" s="13">
        <f t="shared" si="279"/>
        <v>0.8166942437</v>
      </c>
      <c r="AE506" s="8">
        <f t="shared" si="280"/>
        <v>673.772751</v>
      </c>
      <c r="AF506" s="73">
        <f t="shared" si="281"/>
        <v>234.5856283</v>
      </c>
      <c r="AG506" s="74" t="str">
        <f t="shared" si="282"/>
        <v>#REF!</v>
      </c>
      <c r="AH506" s="73">
        <f t="shared" si="283"/>
        <v>0</v>
      </c>
      <c r="AI506" s="73">
        <f t="shared" si="284"/>
        <v>0</v>
      </c>
      <c r="AJ506" s="75">
        <f t="shared" si="285"/>
        <v>1.072356412</v>
      </c>
      <c r="AK506" s="73">
        <f t="shared" si="286"/>
        <v>1.306153263</v>
      </c>
      <c r="AL506" s="73">
        <f t="shared" si="287"/>
        <v>1.340570527</v>
      </c>
      <c r="AM506" s="73">
        <f t="shared" si="288"/>
        <v>1.214285721</v>
      </c>
      <c r="AN506" s="75">
        <v>688.63</v>
      </c>
      <c r="AO506" s="76">
        <v>690.0</v>
      </c>
      <c r="AP506" s="73">
        <f t="shared" si="289"/>
        <v>690</v>
      </c>
      <c r="AQ506" s="29" t="str">
        <f t="shared" si="290"/>
        <v>#REF!</v>
      </c>
      <c r="AR506" s="77" t="str">
        <f t="shared" si="291"/>
        <v>#REF!</v>
      </c>
      <c r="AS506" s="73"/>
      <c r="AT506" s="39"/>
    </row>
    <row r="507" ht="15.75" customHeight="1">
      <c r="A507" s="16" t="s">
        <v>709</v>
      </c>
      <c r="B507" s="16" t="s">
        <v>708</v>
      </c>
      <c r="C507" s="16">
        <v>2009.0</v>
      </c>
      <c r="D507" s="16"/>
      <c r="E507" s="16">
        <v>2009.0</v>
      </c>
      <c r="F507" s="16" t="b">
        <v>1</v>
      </c>
      <c r="G507" s="16" t="b">
        <v>0</v>
      </c>
      <c r="H507" s="16" t="b">
        <v>0</v>
      </c>
      <c r="I507" s="16" t="b">
        <v>0</v>
      </c>
      <c r="J507" s="18">
        <v>480.0</v>
      </c>
      <c r="K507" s="18">
        <v>3.0</v>
      </c>
      <c r="L507" s="16">
        <v>3000.0</v>
      </c>
      <c r="M507" s="16">
        <v>0.0</v>
      </c>
      <c r="N507" s="16">
        <f>7087*0.95</f>
        <v>6732.65</v>
      </c>
      <c r="O507" s="16">
        <v>4621.29</v>
      </c>
      <c r="P507" s="18">
        <v>308.0</v>
      </c>
      <c r="Q507" s="16">
        <v>337.0</v>
      </c>
      <c r="R507" s="16">
        <v>19.31</v>
      </c>
      <c r="S507" s="16">
        <v>0.995</v>
      </c>
      <c r="T507" s="16">
        <v>0.995</v>
      </c>
      <c r="U507" s="19">
        <f t="shared" si="1"/>
        <v>3000</v>
      </c>
      <c r="V507" s="19">
        <f t="shared" si="2"/>
        <v>69.99330611</v>
      </c>
      <c r="W507" s="20">
        <f t="shared" si="3"/>
        <v>0.3707027641</v>
      </c>
      <c r="X507" s="17">
        <f t="shared" si="294"/>
        <v>1713.124977</v>
      </c>
      <c r="Y507" s="21">
        <f t="shared" si="4"/>
        <v>4</v>
      </c>
      <c r="Z507" s="21">
        <f t="shared" si="5"/>
        <v>8565.624883</v>
      </c>
      <c r="AA507" s="21">
        <f t="shared" si="6"/>
        <v>1.85351382</v>
      </c>
      <c r="AB507" s="22">
        <f t="shared" si="7"/>
        <v>0.5710416589</v>
      </c>
      <c r="AC507" s="8">
        <f t="shared" si="278"/>
        <v>1730.299054</v>
      </c>
      <c r="AD507" s="13">
        <f t="shared" si="279"/>
        <v>0.5767663515</v>
      </c>
      <c r="AE507" s="8">
        <f t="shared" si="280"/>
        <v>1730.299054</v>
      </c>
      <c r="AF507" s="73">
        <f t="shared" si="281"/>
        <v>521.8963787</v>
      </c>
      <c r="AG507" s="74" t="str">
        <f t="shared" si="282"/>
        <v>#REF!</v>
      </c>
      <c r="AH507" s="73">
        <f t="shared" si="283"/>
        <v>0</v>
      </c>
      <c r="AI507" s="73">
        <f t="shared" si="284"/>
        <v>0.2958876574</v>
      </c>
      <c r="AJ507" s="75">
        <f t="shared" si="285"/>
        <v>1.358320457</v>
      </c>
      <c r="AK507" s="73">
        <f t="shared" si="286"/>
        <v>0.9353696202</v>
      </c>
      <c r="AL507" s="73">
        <f t="shared" si="287"/>
        <v>1.493920364</v>
      </c>
      <c r="AM507" s="73">
        <f t="shared" si="288"/>
        <v>1.462062459</v>
      </c>
      <c r="AN507" s="75">
        <v>1943.01</v>
      </c>
      <c r="AO507" s="76">
        <v>1900.0</v>
      </c>
      <c r="AP507" s="73">
        <f t="shared" si="289"/>
        <v>1900</v>
      </c>
      <c r="AQ507" s="29" t="str">
        <f t="shared" si="290"/>
        <v>#REF!</v>
      </c>
      <c r="AR507" s="77" t="str">
        <f t="shared" si="291"/>
        <v>#REF!</v>
      </c>
      <c r="AS507" s="73"/>
      <c r="AT507" s="39"/>
    </row>
    <row r="508" ht="15.75" customHeight="1">
      <c r="A508" s="7" t="s">
        <v>710</v>
      </c>
      <c r="B508" s="7" t="s">
        <v>711</v>
      </c>
      <c r="C508" s="7">
        <v>2009.0</v>
      </c>
      <c r="D508" s="7" t="b">
        <v>1</v>
      </c>
      <c r="E508" s="7">
        <v>2009.0</v>
      </c>
      <c r="F508" s="7" t="b">
        <v>1</v>
      </c>
      <c r="G508" s="7" t="b">
        <v>0</v>
      </c>
      <c r="H508" s="7" t="b">
        <v>0</v>
      </c>
      <c r="I508" s="7" t="b">
        <v>0</v>
      </c>
      <c r="J508" s="9">
        <v>480.0</v>
      </c>
      <c r="K508" s="7">
        <v>1.0</v>
      </c>
      <c r="L508" s="7">
        <v>5000.0</v>
      </c>
      <c r="M508" s="7">
        <v>0.0</v>
      </c>
      <c r="N508" s="7">
        <v>5800.0</v>
      </c>
      <c r="O508" s="7">
        <v>3300.0</v>
      </c>
      <c r="P508" s="9">
        <v>395.0</v>
      </c>
      <c r="Q508" s="7">
        <v>446.0</v>
      </c>
      <c r="R508" s="7">
        <v>19.31</v>
      </c>
      <c r="S508" s="7">
        <v>0.995</v>
      </c>
      <c r="T508" s="7">
        <v>0.995</v>
      </c>
      <c r="U508" s="10">
        <f t="shared" si="1"/>
        <v>5000</v>
      </c>
      <c r="V508" s="10">
        <f t="shared" si="2"/>
        <v>58.01833609</v>
      </c>
      <c r="W508" s="11">
        <f t="shared" si="3"/>
        <v>2.412902675</v>
      </c>
      <c r="X508" s="8">
        <f>0.9*(0.00015*N508*Q508*R508+797)+0.1*(43.1*POWER(N508,0.549))</f>
        <v>7962.578828</v>
      </c>
      <c r="Y508" s="12">
        <f t="shared" si="4"/>
        <v>4</v>
      </c>
      <c r="Z508" s="12">
        <f t="shared" si="5"/>
        <v>39812.89414</v>
      </c>
      <c r="AA508" s="12">
        <f t="shared" si="6"/>
        <v>12.06451338</v>
      </c>
      <c r="AB508" s="13">
        <f t="shared" si="7"/>
        <v>1.592515766</v>
      </c>
      <c r="AC508" s="8">
        <f t="shared" si="278"/>
        <v>8042.403681</v>
      </c>
      <c r="AD508" s="13">
        <f t="shared" si="279"/>
        <v>1.608480736</v>
      </c>
      <c r="AE508" s="8">
        <f t="shared" si="280"/>
        <v>1824.423259</v>
      </c>
      <c r="AF508" s="73">
        <f t="shared" si="281"/>
        <v>382.7718169</v>
      </c>
      <c r="AG508" s="74" t="str">
        <f t="shared" si="282"/>
        <v>#REF!</v>
      </c>
      <c r="AH508" s="73">
        <f t="shared" si="283"/>
        <v>0</v>
      </c>
      <c r="AI508" s="73">
        <f t="shared" si="284"/>
        <v>0</v>
      </c>
      <c r="AJ508" s="75">
        <f t="shared" si="285"/>
        <v>1.300131574</v>
      </c>
      <c r="AK508" s="73">
        <f t="shared" si="286"/>
        <v>0.8516038992</v>
      </c>
      <c r="AL508" s="73">
        <f t="shared" si="287"/>
        <v>6.153184675</v>
      </c>
      <c r="AM508" s="73">
        <f t="shared" si="288"/>
        <v>1.462062459</v>
      </c>
      <c r="AN508" s="75">
        <v>4662.16</v>
      </c>
      <c r="AO508" s="76">
        <v>4700.0</v>
      </c>
      <c r="AP508" s="73">
        <f t="shared" si="289"/>
        <v>4700</v>
      </c>
      <c r="AQ508" s="29" t="str">
        <f t="shared" si="290"/>
        <v>#REF!</v>
      </c>
      <c r="AR508" s="77" t="str">
        <f t="shared" si="291"/>
        <v>#REF!</v>
      </c>
      <c r="AS508" s="73"/>
      <c r="AT508" s="39"/>
    </row>
    <row r="509" ht="15.75" customHeight="1">
      <c r="A509" s="16" t="s">
        <v>712</v>
      </c>
      <c r="B509" s="16" t="s">
        <v>713</v>
      </c>
      <c r="C509" s="16">
        <v>2009.0</v>
      </c>
      <c r="D509" s="16"/>
      <c r="E509" s="16">
        <v>2009.0</v>
      </c>
      <c r="F509" s="16" t="b">
        <v>1</v>
      </c>
      <c r="G509" s="16" t="b">
        <v>0</v>
      </c>
      <c r="H509" s="16" t="b">
        <v>0</v>
      </c>
      <c r="I509" s="16" t="b">
        <v>0</v>
      </c>
      <c r="J509" s="18">
        <v>480.0</v>
      </c>
      <c r="K509" s="16">
        <v>1.0</v>
      </c>
      <c r="L509" s="16">
        <v>2700.0</v>
      </c>
      <c r="M509" s="16">
        <v>0.0</v>
      </c>
      <c r="N509" s="16">
        <v>7223.0</v>
      </c>
      <c r="O509" s="16">
        <v>5026.49</v>
      </c>
      <c r="P509" s="18">
        <v>304.0</v>
      </c>
      <c r="Q509" s="16">
        <v>324.0</v>
      </c>
      <c r="R509" s="16">
        <v>19.31</v>
      </c>
      <c r="S509" s="16">
        <v>0.995</v>
      </c>
      <c r="T509" s="16">
        <v>0.995</v>
      </c>
      <c r="U509" s="19">
        <f t="shared" si="1"/>
        <v>2700</v>
      </c>
      <c r="V509" s="19">
        <f t="shared" si="2"/>
        <v>70.96211176</v>
      </c>
      <c r="W509" s="20">
        <f t="shared" si="3"/>
        <v>0.3485725289</v>
      </c>
      <c r="X509" s="17">
        <f t="shared" ref="X509:X510" si="295">0.2*(8.17*POWER(N509*R509,0.46))+0.8*(0.146*POWER(N509*Q509,0.639))</f>
        <v>1752.096331</v>
      </c>
      <c r="Y509" s="21">
        <f t="shared" si="4"/>
        <v>4</v>
      </c>
      <c r="Z509" s="21">
        <f t="shared" si="5"/>
        <v>8760.481653</v>
      </c>
      <c r="AA509" s="21">
        <f t="shared" si="6"/>
        <v>1.742862644</v>
      </c>
      <c r="AB509" s="22">
        <f t="shared" si="7"/>
        <v>0.6489245669</v>
      </c>
      <c r="AC509" s="8">
        <f t="shared" si="278"/>
        <v>1769.661096</v>
      </c>
      <c r="AD509" s="13">
        <f t="shared" si="279"/>
        <v>0.6554300357</v>
      </c>
      <c r="AE509" s="8">
        <f t="shared" si="280"/>
        <v>1769.661096</v>
      </c>
      <c r="AF509" s="73">
        <f t="shared" si="281"/>
        <v>564.1747151</v>
      </c>
      <c r="AG509" s="74" t="str">
        <f t="shared" si="282"/>
        <v>#REF!</v>
      </c>
      <c r="AH509" s="73">
        <f t="shared" si="283"/>
        <v>0</v>
      </c>
      <c r="AI509" s="73">
        <f t="shared" si="284"/>
        <v>0</v>
      </c>
      <c r="AJ509" s="75">
        <f t="shared" si="285"/>
        <v>1.411018501</v>
      </c>
      <c r="AK509" s="73">
        <f t="shared" si="286"/>
        <v>0.9418207882</v>
      </c>
      <c r="AL509" s="73">
        <f t="shared" si="287"/>
        <v>1.28317822</v>
      </c>
      <c r="AM509" s="73">
        <f t="shared" si="288"/>
        <v>1.462062459</v>
      </c>
      <c r="AN509" s="75">
        <v>1631.0</v>
      </c>
      <c r="AO509" s="76">
        <v>1600.0</v>
      </c>
      <c r="AP509" s="73">
        <f t="shared" si="289"/>
        <v>1600</v>
      </c>
      <c r="AQ509" s="29" t="str">
        <f t="shared" si="290"/>
        <v>#REF!</v>
      </c>
      <c r="AR509" s="77" t="str">
        <f t="shared" si="291"/>
        <v>#REF!</v>
      </c>
      <c r="AS509" s="73"/>
      <c r="AT509" s="39"/>
    </row>
    <row r="510" ht="15.75" customHeight="1">
      <c r="A510" s="7" t="s">
        <v>783</v>
      </c>
      <c r="B510" s="7" t="s">
        <v>784</v>
      </c>
      <c r="C510" s="7">
        <v>2009.0</v>
      </c>
      <c r="D510" s="7"/>
      <c r="E510" s="7">
        <v>2009.0</v>
      </c>
      <c r="F510" s="7" t="b">
        <v>1</v>
      </c>
      <c r="G510" s="7" t="b">
        <v>0</v>
      </c>
      <c r="H510" s="7" t="b">
        <v>0</v>
      </c>
      <c r="I510" s="7" t="b">
        <v>0</v>
      </c>
      <c r="J510" s="9">
        <v>480.0</v>
      </c>
      <c r="K510" s="9">
        <v>200.0</v>
      </c>
      <c r="L510" s="7">
        <v>2700.0</v>
      </c>
      <c r="M510" s="7">
        <v>0.0</v>
      </c>
      <c r="N510" s="7">
        <v>5125.0</v>
      </c>
      <c r="O510" s="7">
        <v>5323.0</v>
      </c>
      <c r="P510" s="9">
        <v>301.0</v>
      </c>
      <c r="Q510" s="7">
        <v>327.0</v>
      </c>
      <c r="R510" s="7">
        <v>17.7</v>
      </c>
      <c r="S510" s="7">
        <v>0.995</v>
      </c>
      <c r="T510" s="7">
        <v>0.995</v>
      </c>
      <c r="U510" s="10">
        <f t="shared" si="1"/>
        <v>2700</v>
      </c>
      <c r="V510" s="10">
        <f t="shared" si="2"/>
        <v>105.9112075</v>
      </c>
      <c r="W510" s="11">
        <f t="shared" si="3"/>
        <v>0.2668089361</v>
      </c>
      <c r="X510" s="8">
        <f t="shared" si="295"/>
        <v>1420.223967</v>
      </c>
      <c r="Y510" s="12">
        <f t="shared" si="4"/>
        <v>4</v>
      </c>
      <c r="Z510" s="12">
        <f t="shared" si="5"/>
        <v>7101.119835</v>
      </c>
      <c r="AA510" s="12">
        <f t="shared" si="6"/>
        <v>1.334044681</v>
      </c>
      <c r="AB510" s="13">
        <f t="shared" si="7"/>
        <v>0.5260088766</v>
      </c>
      <c r="AC510" s="8">
        <f t="shared" si="278"/>
        <v>1434.461712</v>
      </c>
      <c r="AD510" s="13">
        <f t="shared" si="279"/>
        <v>0.5312821156</v>
      </c>
      <c r="AE510" s="8">
        <f t="shared" si="280"/>
        <v>1434.461712</v>
      </c>
      <c r="AF510" s="73">
        <f t="shared" si="281"/>
        <v>595.0185348</v>
      </c>
      <c r="AG510" s="74" t="str">
        <f t="shared" si="282"/>
        <v>#REF!</v>
      </c>
      <c r="AH510" s="73">
        <f t="shared" si="283"/>
        <v>0</v>
      </c>
      <c r="AI510" s="73">
        <f t="shared" si="284"/>
        <v>0.9801413676</v>
      </c>
      <c r="AJ510" s="75">
        <f t="shared" si="285"/>
        <v>1.372256985</v>
      </c>
      <c r="AK510" s="73">
        <f t="shared" si="286"/>
        <v>1.15060423</v>
      </c>
      <c r="AL510" s="73">
        <f t="shared" si="287"/>
        <v>1.328208337</v>
      </c>
      <c r="AM510" s="73">
        <f t="shared" si="288"/>
        <v>1.462062459</v>
      </c>
      <c r="AN510" s="75">
        <v>2791.85</v>
      </c>
      <c r="AO510" s="76">
        <v>2800.0</v>
      </c>
      <c r="AP510" s="73">
        <f t="shared" si="289"/>
        <v>2800</v>
      </c>
      <c r="AQ510" s="29" t="str">
        <f t="shared" si="290"/>
        <v>#REF!</v>
      </c>
      <c r="AR510" s="77" t="str">
        <f t="shared" si="291"/>
        <v>#REF!</v>
      </c>
      <c r="AS510" s="73"/>
      <c r="AT510" s="39"/>
    </row>
    <row r="511" ht="15.75" customHeight="1">
      <c r="A511" s="7" t="s">
        <v>231</v>
      </c>
      <c r="B511" s="7" t="s">
        <v>229</v>
      </c>
      <c r="C511" s="7">
        <v>2010.0</v>
      </c>
      <c r="D511" s="7" t="b">
        <v>1</v>
      </c>
      <c r="E511" s="7">
        <v>2010.0</v>
      </c>
      <c r="F511" s="7" t="b">
        <v>1</v>
      </c>
      <c r="G511" s="7" t="b">
        <v>0</v>
      </c>
      <c r="H511" s="7" t="b">
        <v>1</v>
      </c>
      <c r="I511" s="7" t="b">
        <v>0</v>
      </c>
      <c r="J511" s="9">
        <v>850.0</v>
      </c>
      <c r="K511" s="9">
        <v>5.0</v>
      </c>
      <c r="L511" s="7">
        <v>650.0</v>
      </c>
      <c r="M511" s="7">
        <v>0.0</v>
      </c>
      <c r="N511" s="7">
        <v>165.0</v>
      </c>
      <c r="O511" s="7">
        <v>69.55</v>
      </c>
      <c r="P511" s="9">
        <v>130.0</v>
      </c>
      <c r="Q511" s="7">
        <v>452.0</v>
      </c>
      <c r="R511" s="7">
        <v>5.7</v>
      </c>
      <c r="S511" s="7">
        <v>0.989286</v>
      </c>
      <c r="T511" s="7">
        <v>0.978571</v>
      </c>
      <c r="U511" s="10">
        <f t="shared" si="1"/>
        <v>650</v>
      </c>
      <c r="V511" s="10">
        <f t="shared" si="2"/>
        <v>42.98258328</v>
      </c>
      <c r="W511" s="11">
        <f t="shared" si="3"/>
        <v>12.16089648</v>
      </c>
      <c r="X511" s="8">
        <f>0.9*(0.00015*N511*Q511*R511+797)+0.1*(43.1*POWER(N511,0.549))</f>
        <v>845.7903504</v>
      </c>
      <c r="Y511" s="12">
        <f t="shared" si="4"/>
        <v>4</v>
      </c>
      <c r="Z511" s="12">
        <f t="shared" si="5"/>
        <v>4228.951752</v>
      </c>
      <c r="AA511" s="12">
        <f t="shared" si="6"/>
        <v>60.80448241</v>
      </c>
      <c r="AB511" s="13">
        <f t="shared" si="7"/>
        <v>1.301215924</v>
      </c>
      <c r="AC511" s="8">
        <f t="shared" si="278"/>
        <v>835.7141034</v>
      </c>
      <c r="AD511" s="13">
        <f t="shared" si="279"/>
        <v>1.285714005</v>
      </c>
      <c r="AE511" s="8">
        <f t="shared" si="280"/>
        <v>187.5668197</v>
      </c>
      <c r="AF511" s="73">
        <f t="shared" si="281"/>
        <v>16.80821325</v>
      </c>
      <c r="AG511" s="74" t="str">
        <f t="shared" si="282"/>
        <v>#REF!</v>
      </c>
      <c r="AH511" s="73">
        <f t="shared" si="283"/>
        <v>0</v>
      </c>
      <c r="AI511" s="73">
        <f t="shared" si="284"/>
        <v>0.4128305045</v>
      </c>
      <c r="AJ511" s="75">
        <f t="shared" si="285"/>
        <v>1</v>
      </c>
      <c r="AK511" s="73">
        <f t="shared" si="286"/>
        <v>0.7329954236</v>
      </c>
      <c r="AL511" s="73">
        <f t="shared" si="287"/>
        <v>6.681038936</v>
      </c>
      <c r="AM511" s="73">
        <f t="shared" si="288"/>
        <v>1.619173421</v>
      </c>
      <c r="AN511" s="75">
        <v>172.51</v>
      </c>
      <c r="AO511" s="76">
        <v>170.0</v>
      </c>
      <c r="AP511" s="73">
        <f t="shared" si="289"/>
        <v>170</v>
      </c>
      <c r="AQ511" s="29" t="str">
        <f t="shared" si="290"/>
        <v>#REF!</v>
      </c>
      <c r="AR511" s="77" t="str">
        <f t="shared" si="291"/>
        <v>#REF!</v>
      </c>
      <c r="AS511" s="73"/>
      <c r="AT511" s="39"/>
    </row>
    <row r="512" ht="15.75" customHeight="1">
      <c r="A512" s="16" t="s">
        <v>373</v>
      </c>
      <c r="B512" s="16" t="s">
        <v>369</v>
      </c>
      <c r="C512" s="16">
        <v>2010.0</v>
      </c>
      <c r="D512" s="16"/>
      <c r="E512" s="16">
        <v>2010.0</v>
      </c>
      <c r="F512" s="16" t="b">
        <v>1</v>
      </c>
      <c r="G512" s="16" t="b">
        <v>0</v>
      </c>
      <c r="H512" s="16" t="b">
        <v>1</v>
      </c>
      <c r="I512" s="16" t="b">
        <v>0</v>
      </c>
      <c r="J512" s="18">
        <v>400.0</v>
      </c>
      <c r="K512" s="18">
        <v>4.0</v>
      </c>
      <c r="L512" s="16">
        <v>205.0</v>
      </c>
      <c r="M512" s="16">
        <v>5.0</v>
      </c>
      <c r="N512" s="16">
        <v>760.0</v>
      </c>
      <c r="O512" s="16">
        <v>524.9</v>
      </c>
      <c r="P512" s="18">
        <v>166.0</v>
      </c>
      <c r="Q512" s="16">
        <v>336.0</v>
      </c>
      <c r="R512" s="16">
        <v>6.14</v>
      </c>
      <c r="S512" s="16">
        <v>0.975</v>
      </c>
      <c r="T512" s="16">
        <v>0.975</v>
      </c>
      <c r="U512" s="19">
        <f t="shared" si="1"/>
        <v>210</v>
      </c>
      <c r="V512" s="19">
        <f t="shared" si="2"/>
        <v>70.42750508</v>
      </c>
      <c r="W512" s="20">
        <f t="shared" si="3"/>
        <v>0.7863265186</v>
      </c>
      <c r="X512" s="17">
        <f>0.2*(8.17*POWER(N512*R512,0.46))+0.8*(0.146*POWER(N512*Q512,0.639))</f>
        <v>412.7427896</v>
      </c>
      <c r="Y512" s="21">
        <f t="shared" si="4"/>
        <v>4</v>
      </c>
      <c r="Z512" s="21">
        <f t="shared" si="5"/>
        <v>2063.713948</v>
      </c>
      <c r="AA512" s="21">
        <f t="shared" si="6"/>
        <v>3.931632593</v>
      </c>
      <c r="AB512" s="22">
        <f t="shared" si="7"/>
        <v>1.965441855</v>
      </c>
      <c r="AC512" s="8">
        <f t="shared" si="278"/>
        <v>400.6184702</v>
      </c>
      <c r="AD512" s="13">
        <f t="shared" si="279"/>
        <v>1.907707001</v>
      </c>
      <c r="AE512" s="8">
        <f t="shared" si="280"/>
        <v>400.6184702</v>
      </c>
      <c r="AF512" s="73">
        <f t="shared" si="281"/>
        <v>76.50822317</v>
      </c>
      <c r="AG512" s="74" t="str">
        <f t="shared" si="282"/>
        <v>#REF!</v>
      </c>
      <c r="AH512" s="73">
        <f t="shared" si="283"/>
        <v>0</v>
      </c>
      <c r="AI512" s="73">
        <f t="shared" si="284"/>
        <v>0.3632125751</v>
      </c>
      <c r="AJ512" s="75">
        <f t="shared" si="285"/>
        <v>1</v>
      </c>
      <c r="AK512" s="73">
        <f t="shared" si="286"/>
        <v>0.9382663873</v>
      </c>
      <c r="AL512" s="73">
        <f t="shared" si="287"/>
        <v>1.476222433</v>
      </c>
      <c r="AM512" s="73">
        <f t="shared" si="288"/>
        <v>1.406821143</v>
      </c>
      <c r="AN512" s="75">
        <v>141.04</v>
      </c>
      <c r="AO512" s="76">
        <v>140.0</v>
      </c>
      <c r="AP512" s="73">
        <f t="shared" si="289"/>
        <v>140</v>
      </c>
      <c r="AQ512" s="29" t="str">
        <f t="shared" si="290"/>
        <v>#REF!</v>
      </c>
      <c r="AR512" s="77" t="str">
        <f t="shared" si="291"/>
        <v>#REF!</v>
      </c>
      <c r="AS512" s="73"/>
      <c r="AT512" s="39"/>
    </row>
    <row r="513" ht="15.75" customHeight="1">
      <c r="A513" s="7" t="s">
        <v>703</v>
      </c>
      <c r="B513" s="7" t="s">
        <v>702</v>
      </c>
      <c r="C513" s="7">
        <v>2010.0</v>
      </c>
      <c r="D513" s="7" t="b">
        <v>1</v>
      </c>
      <c r="E513" s="7">
        <v>2010.0</v>
      </c>
      <c r="F513" s="7" t="b">
        <v>1</v>
      </c>
      <c r="G513" s="7" t="b">
        <v>0</v>
      </c>
      <c r="H513" s="7" t="b">
        <v>0</v>
      </c>
      <c r="I513" s="7" t="b">
        <v>0</v>
      </c>
      <c r="J513" s="9">
        <v>330.0</v>
      </c>
      <c r="K513" s="7">
        <v>1.0</v>
      </c>
      <c r="L513" s="7">
        <v>2850.0</v>
      </c>
      <c r="M513" s="7">
        <v>200.0</v>
      </c>
      <c r="N513" s="7">
        <v>5497.0</v>
      </c>
      <c r="O513" s="7">
        <v>3570.0</v>
      </c>
      <c r="P513" s="9">
        <v>362.0</v>
      </c>
      <c r="Q513" s="7">
        <v>412.0</v>
      </c>
      <c r="R513" s="7">
        <v>9.9</v>
      </c>
      <c r="S513" s="7">
        <v>0.996512</v>
      </c>
      <c r="T513" s="7">
        <v>0.996512</v>
      </c>
      <c r="U513" s="10">
        <f t="shared" si="1"/>
        <v>3050</v>
      </c>
      <c r="V513" s="10">
        <f t="shared" si="2"/>
        <v>66.22497489</v>
      </c>
      <c r="W513" s="11">
        <f t="shared" si="3"/>
        <v>1.185285205</v>
      </c>
      <c r="X513" s="8">
        <f>0.9*(0.00015*N513*Q513*R513+797)+0.1*(43.1*POWER(N513,0.549))</f>
        <v>4231.468181</v>
      </c>
      <c r="Y513" s="12">
        <f t="shared" si="4"/>
        <v>4</v>
      </c>
      <c r="Z513" s="12">
        <f t="shared" si="5"/>
        <v>21157.34091</v>
      </c>
      <c r="AA513" s="12">
        <f t="shared" si="6"/>
        <v>5.926426024</v>
      </c>
      <c r="AB513" s="13">
        <f t="shared" si="7"/>
        <v>1.387366617</v>
      </c>
      <c r="AC513" s="8">
        <f t="shared" si="278"/>
        <v>4286.630304</v>
      </c>
      <c r="AD513" s="13">
        <f t="shared" si="279"/>
        <v>1.405452559</v>
      </c>
      <c r="AE513" s="8">
        <f t="shared" si="280"/>
        <v>1610.864691</v>
      </c>
      <c r="AF513" s="73">
        <f t="shared" si="281"/>
        <v>411.3849009</v>
      </c>
      <c r="AG513" s="74" t="str">
        <f t="shared" si="282"/>
        <v>#REF!</v>
      </c>
      <c r="AH513" s="73">
        <f t="shared" si="283"/>
        <v>0</v>
      </c>
      <c r="AI513" s="73">
        <f t="shared" si="284"/>
        <v>0</v>
      </c>
      <c r="AJ513" s="75">
        <f t="shared" si="285"/>
        <v>1.286256115</v>
      </c>
      <c r="AK513" s="73">
        <f t="shared" si="286"/>
        <v>0.9098418468</v>
      </c>
      <c r="AL513" s="73">
        <f t="shared" si="287"/>
        <v>3.885973642</v>
      </c>
      <c r="AM513" s="73">
        <f t="shared" si="288"/>
        <v>1.345624617</v>
      </c>
      <c r="AN513" s="75">
        <v>3117.96</v>
      </c>
      <c r="AO513" s="76">
        <v>3100.0</v>
      </c>
      <c r="AP513" s="73">
        <f t="shared" si="289"/>
        <v>3100</v>
      </c>
      <c r="AQ513" s="29" t="str">
        <f t="shared" si="290"/>
        <v>#REF!</v>
      </c>
      <c r="AR513" s="77" t="str">
        <f t="shared" si="291"/>
        <v>#REF!</v>
      </c>
      <c r="AS513" s="73"/>
      <c r="AT513" s="39"/>
    </row>
    <row r="514" ht="15.75" customHeight="1">
      <c r="A514" s="16" t="s">
        <v>805</v>
      </c>
      <c r="B514" s="16" t="s">
        <v>802</v>
      </c>
      <c r="C514" s="16">
        <v>2010.0</v>
      </c>
      <c r="D514" s="16"/>
      <c r="E514" s="16">
        <v>2010.0</v>
      </c>
      <c r="F514" s="16" t="b">
        <v>1</v>
      </c>
      <c r="G514" s="16" t="b">
        <v>0</v>
      </c>
      <c r="H514" s="16" t="b">
        <v>1</v>
      </c>
      <c r="I514" s="16" t="b">
        <v>0</v>
      </c>
      <c r="J514" s="18">
        <v>149.0</v>
      </c>
      <c r="K514" s="16">
        <v>1.0</v>
      </c>
      <c r="L514" s="16">
        <v>500.0</v>
      </c>
      <c r="M514" s="16">
        <v>0.0</v>
      </c>
      <c r="N514" s="16">
        <v>905.0</v>
      </c>
      <c r="O514" s="16">
        <v>804.5</v>
      </c>
      <c r="P514" s="18">
        <v>208.0</v>
      </c>
      <c r="Q514" s="16">
        <v>301.9</v>
      </c>
      <c r="R514" s="16">
        <v>5.85</v>
      </c>
      <c r="S514" s="16">
        <v>0.9965</v>
      </c>
      <c r="T514" s="16">
        <v>0.995</v>
      </c>
      <c r="U514" s="19">
        <f t="shared" si="1"/>
        <v>500</v>
      </c>
      <c r="V514" s="19">
        <f t="shared" si="2"/>
        <v>90.64770066</v>
      </c>
      <c r="W514" s="20">
        <f t="shared" si="3"/>
        <v>0.5372382314</v>
      </c>
      <c r="X514" s="17">
        <f>0.2*(8.17*POWER(N514*R514,0.46))+0.8*(0.146*POWER(N514*Q514,0.639))</f>
        <v>432.2081572</v>
      </c>
      <c r="Y514" s="21">
        <f t="shared" si="4"/>
        <v>4</v>
      </c>
      <c r="Z514" s="21">
        <f t="shared" si="5"/>
        <v>2161.040786</v>
      </c>
      <c r="AA514" s="21">
        <f t="shared" si="6"/>
        <v>2.686191157</v>
      </c>
      <c r="AB514" s="22">
        <f t="shared" si="7"/>
        <v>0.8644163144</v>
      </c>
      <c r="AC514" s="8">
        <f t="shared" si="278"/>
        <v>437.1861146</v>
      </c>
      <c r="AD514" s="13">
        <f t="shared" si="279"/>
        <v>0.8743722293</v>
      </c>
      <c r="AE514" s="8">
        <f t="shared" si="280"/>
        <v>437.1861146</v>
      </c>
      <c r="AF514" s="73">
        <f t="shared" si="281"/>
        <v>109.4882958</v>
      </c>
      <c r="AG514" s="74" t="str">
        <f t="shared" si="282"/>
        <v>#REF!</v>
      </c>
      <c r="AH514" s="73">
        <f t="shared" si="283"/>
        <v>0</v>
      </c>
      <c r="AI514" s="73">
        <f t="shared" si="284"/>
        <v>0</v>
      </c>
      <c r="AJ514" s="75">
        <f t="shared" si="285"/>
        <v>1.013806308</v>
      </c>
      <c r="AK514" s="73">
        <f t="shared" si="286"/>
        <v>1.064469942</v>
      </c>
      <c r="AL514" s="73">
        <f t="shared" si="287"/>
        <v>1.015435437</v>
      </c>
      <c r="AM514" s="73">
        <f t="shared" si="288"/>
        <v>1.057544239</v>
      </c>
      <c r="AN514" s="75">
        <v>141.33</v>
      </c>
      <c r="AO514" s="76">
        <v>140.0</v>
      </c>
      <c r="AP514" s="73">
        <f t="shared" si="289"/>
        <v>140</v>
      </c>
      <c r="AQ514" s="29" t="str">
        <f t="shared" si="290"/>
        <v>#REF!</v>
      </c>
      <c r="AR514" s="77" t="str">
        <f t="shared" si="291"/>
        <v>#REF!</v>
      </c>
      <c r="AS514" s="73"/>
      <c r="AT514" s="39"/>
    </row>
    <row r="515" ht="15.75" customHeight="1">
      <c r="A515" s="7" t="s">
        <v>195</v>
      </c>
      <c r="B515" s="7" t="s">
        <v>196</v>
      </c>
      <c r="C515" s="7">
        <v>2012.0</v>
      </c>
      <c r="D515" s="7" t="b">
        <v>1</v>
      </c>
      <c r="E515" s="7">
        <v>2012.0</v>
      </c>
      <c r="F515" s="7" t="b">
        <v>1</v>
      </c>
      <c r="G515" s="7" t="b">
        <v>0</v>
      </c>
      <c r="H515" s="7" t="b">
        <v>0</v>
      </c>
      <c r="I515" s="7" t="b">
        <v>0</v>
      </c>
      <c r="J515" s="9">
        <v>500.0</v>
      </c>
      <c r="K515" s="9">
        <v>8.0</v>
      </c>
      <c r="L515" s="7">
        <v>3310.0</v>
      </c>
      <c r="M515" s="7">
        <v>0.0</v>
      </c>
      <c r="N515" s="7">
        <v>2470.0</v>
      </c>
      <c r="O515" s="7">
        <v>1307.5</v>
      </c>
      <c r="P515" s="9">
        <v>295.0</v>
      </c>
      <c r="Q515" s="7">
        <v>448.0</v>
      </c>
      <c r="R515" s="7">
        <v>9.22</v>
      </c>
      <c r="S515" s="7">
        <v>0.9999</v>
      </c>
      <c r="T515" s="7">
        <v>0.9999</v>
      </c>
      <c r="U515" s="10">
        <f t="shared" si="1"/>
        <v>3310</v>
      </c>
      <c r="V515" s="10">
        <f t="shared" si="2"/>
        <v>53.97890464</v>
      </c>
      <c r="W515" s="11">
        <f t="shared" si="3"/>
        <v>1.842244898</v>
      </c>
      <c r="X515" s="8">
        <f>0.9*(0.00015*N515*Q515*R515+797)+0.1*(43.1*POWER(N515,0.549))</f>
        <v>2408.735204</v>
      </c>
      <c r="Y515" s="12">
        <f t="shared" si="4"/>
        <v>4</v>
      </c>
      <c r="Z515" s="12">
        <f t="shared" si="5"/>
        <v>12043.67602</v>
      </c>
      <c r="AA515" s="12">
        <f t="shared" si="6"/>
        <v>9.211224489</v>
      </c>
      <c r="AB515" s="13">
        <f t="shared" si="7"/>
        <v>0.7277145631</v>
      </c>
      <c r="AC515" s="8">
        <f t="shared" si="278"/>
        <v>2456.428185</v>
      </c>
      <c r="AD515" s="13">
        <f t="shared" si="279"/>
        <v>0.7421233187</v>
      </c>
      <c r="AE515" s="8">
        <f t="shared" si="280"/>
        <v>1035.416052</v>
      </c>
      <c r="AF515" s="73">
        <f t="shared" si="281"/>
        <v>166.6914695</v>
      </c>
      <c r="AG515" s="74" t="str">
        <f t="shared" si="282"/>
        <v>#REF!</v>
      </c>
      <c r="AH515" s="73">
        <f t="shared" si="283"/>
        <v>0</v>
      </c>
      <c r="AI515" s="73">
        <f t="shared" si="284"/>
        <v>0.5103690669</v>
      </c>
      <c r="AJ515" s="75">
        <f t="shared" si="285"/>
        <v>1</v>
      </c>
      <c r="AK515" s="73">
        <f t="shared" si="286"/>
        <v>0.8214233427</v>
      </c>
      <c r="AL515" s="73">
        <f t="shared" si="287"/>
        <v>6.324098242</v>
      </c>
      <c r="AM515" s="73">
        <f t="shared" si="288"/>
        <v>1.474076339</v>
      </c>
      <c r="AN515" s="75">
        <v>2664.83</v>
      </c>
      <c r="AO515" s="76">
        <v>2700.0</v>
      </c>
      <c r="AP515" s="73">
        <f t="shared" si="289"/>
        <v>2700</v>
      </c>
      <c r="AQ515" s="29" t="str">
        <f t="shared" si="290"/>
        <v>#REF!</v>
      </c>
      <c r="AR515" s="77" t="str">
        <f t="shared" si="291"/>
        <v>#REF!</v>
      </c>
      <c r="AS515" s="73"/>
      <c r="AT515" s="39"/>
    </row>
    <row r="516" ht="15.75" customHeight="1">
      <c r="A516" s="7" t="s">
        <v>374</v>
      </c>
      <c r="B516" s="7" t="s">
        <v>369</v>
      </c>
      <c r="C516" s="7">
        <v>2013.0</v>
      </c>
      <c r="D516" s="7"/>
      <c r="E516" s="7">
        <v>2013.0</v>
      </c>
      <c r="F516" s="7" t="b">
        <v>1</v>
      </c>
      <c r="G516" s="7" t="b">
        <v>0</v>
      </c>
      <c r="H516" s="7" t="b">
        <v>1</v>
      </c>
      <c r="I516" s="7" t="b">
        <v>0</v>
      </c>
      <c r="J516" s="9">
        <v>400.0</v>
      </c>
      <c r="K516" s="9">
        <v>4.0</v>
      </c>
      <c r="L516" s="7">
        <v>205.0</v>
      </c>
      <c r="M516" s="7">
        <v>-5.0</v>
      </c>
      <c r="N516" s="7">
        <v>490.0</v>
      </c>
      <c r="O516" s="7">
        <v>805.0</v>
      </c>
      <c r="P516" s="9">
        <v>216.0</v>
      </c>
      <c r="Q516" s="7">
        <v>345.0</v>
      </c>
      <c r="R516" s="7">
        <v>9.72</v>
      </c>
      <c r="S516" s="7">
        <v>0.994828</v>
      </c>
      <c r="T516" s="7">
        <v>0.99</v>
      </c>
      <c r="U516" s="10">
        <f t="shared" si="1"/>
        <v>200</v>
      </c>
      <c r="V516" s="10">
        <f t="shared" si="2"/>
        <v>167.5248059</v>
      </c>
      <c r="W516" s="11">
        <f t="shared" si="3"/>
        <v>0.4177752623</v>
      </c>
      <c r="X516" s="8">
        <f t="shared" ref="X516:X520" si="296">0.2*(8.17*POWER(N516*R516,0.46))+0.8*(0.146*POWER(N516*Q516,0.639))</f>
        <v>336.3090861</v>
      </c>
      <c r="Y516" s="12">
        <f t="shared" si="4"/>
        <v>4</v>
      </c>
      <c r="Z516" s="12">
        <f t="shared" si="5"/>
        <v>1681.545431</v>
      </c>
      <c r="AA516" s="12">
        <f t="shared" si="6"/>
        <v>2.088876311</v>
      </c>
      <c r="AB516" s="13">
        <f t="shared" si="7"/>
        <v>1.681545431</v>
      </c>
      <c r="AC516" s="8">
        <f t="shared" si="278"/>
        <v>337.9501803</v>
      </c>
      <c r="AD516" s="13">
        <f t="shared" si="279"/>
        <v>1.689750902</v>
      </c>
      <c r="AE516" s="8">
        <f t="shared" si="280"/>
        <v>337.9501803</v>
      </c>
      <c r="AF516" s="73">
        <f t="shared" si="281"/>
        <v>109.5462871</v>
      </c>
      <c r="AG516" s="74" t="str">
        <f t="shared" si="282"/>
        <v>#REF!</v>
      </c>
      <c r="AH516" s="73">
        <f t="shared" si="283"/>
        <v>0</v>
      </c>
      <c r="AI516" s="73">
        <f t="shared" si="284"/>
        <v>0.3632125751</v>
      </c>
      <c r="AJ516" s="75">
        <f t="shared" si="285"/>
        <v>1</v>
      </c>
      <c r="AK516" s="73">
        <f t="shared" si="286"/>
        <v>1.447086754</v>
      </c>
      <c r="AL516" s="73">
        <f t="shared" si="287"/>
        <v>1.645170553</v>
      </c>
      <c r="AM516" s="73">
        <f t="shared" si="288"/>
        <v>1.406821143</v>
      </c>
      <c r="AN516" s="75">
        <v>369.27</v>
      </c>
      <c r="AO516" s="76">
        <v>370.0</v>
      </c>
      <c r="AP516" s="73">
        <f t="shared" si="289"/>
        <v>370</v>
      </c>
      <c r="AQ516" s="29" t="str">
        <f t="shared" si="290"/>
        <v>#REF!</v>
      </c>
      <c r="AR516" s="77" t="str">
        <f t="shared" si="291"/>
        <v>#REF!</v>
      </c>
      <c r="AS516" s="73"/>
      <c r="AT516" s="39"/>
    </row>
    <row r="517" ht="15.75" customHeight="1">
      <c r="A517" s="16" t="s">
        <v>375</v>
      </c>
      <c r="B517" s="16" t="s">
        <v>369</v>
      </c>
      <c r="C517" s="16">
        <v>2013.0</v>
      </c>
      <c r="D517" s="16"/>
      <c r="E517" s="16">
        <v>2013.0</v>
      </c>
      <c r="F517" s="16" t="b">
        <v>1</v>
      </c>
      <c r="G517" s="16" t="b">
        <v>0</v>
      </c>
      <c r="H517" s="16" t="b">
        <v>0</v>
      </c>
      <c r="I517" s="16" t="b">
        <v>0</v>
      </c>
      <c r="J517" s="18">
        <v>240.0</v>
      </c>
      <c r="K517" s="18">
        <v>4.0</v>
      </c>
      <c r="L517" s="16">
        <v>205.0</v>
      </c>
      <c r="M517" s="16">
        <v>-30.0</v>
      </c>
      <c r="N517" s="16">
        <v>470.0</v>
      </c>
      <c r="O517" s="16">
        <v>742.4</v>
      </c>
      <c r="P517" s="18">
        <v>282.0</v>
      </c>
      <c r="Q517" s="16">
        <v>311.0</v>
      </c>
      <c r="R517" s="16">
        <v>9.72</v>
      </c>
      <c r="S517" s="16">
        <v>0.997813</v>
      </c>
      <c r="T517" s="16">
        <v>0.997426</v>
      </c>
      <c r="U517" s="19">
        <f t="shared" si="1"/>
        <v>175</v>
      </c>
      <c r="V517" s="19">
        <f t="shared" si="2"/>
        <v>161.071769</v>
      </c>
      <c r="W517" s="20">
        <f t="shared" si="3"/>
        <v>0.4203542214</v>
      </c>
      <c r="X517" s="17">
        <f t="shared" si="296"/>
        <v>312.070974</v>
      </c>
      <c r="Y517" s="21">
        <f t="shared" si="4"/>
        <v>4</v>
      </c>
      <c r="Z517" s="21">
        <f t="shared" si="5"/>
        <v>1560.35487</v>
      </c>
      <c r="AA517" s="21">
        <f t="shared" si="6"/>
        <v>2.101771107</v>
      </c>
      <c r="AB517" s="22">
        <f t="shared" si="7"/>
        <v>1.783262708</v>
      </c>
      <c r="AC517" s="8">
        <f t="shared" si="278"/>
        <v>316.8283803</v>
      </c>
      <c r="AD517" s="13">
        <f t="shared" si="279"/>
        <v>1.810447887</v>
      </c>
      <c r="AE517" s="8">
        <f t="shared" si="280"/>
        <v>316.8283803</v>
      </c>
      <c r="AF517" s="73">
        <f t="shared" si="281"/>
        <v>102.2624422</v>
      </c>
      <c r="AG517" s="74" t="str">
        <f t="shared" si="282"/>
        <v>#REF!</v>
      </c>
      <c r="AH517" s="73">
        <f t="shared" si="283"/>
        <v>0</v>
      </c>
      <c r="AI517" s="73">
        <f t="shared" si="284"/>
        <v>0.3632125751</v>
      </c>
      <c r="AJ517" s="75">
        <f t="shared" si="285"/>
        <v>1.343202261</v>
      </c>
      <c r="AK517" s="73">
        <f t="shared" si="286"/>
        <v>1.418942251</v>
      </c>
      <c r="AL517" s="73">
        <f t="shared" si="287"/>
        <v>1.111492852</v>
      </c>
      <c r="AM517" s="73">
        <f t="shared" si="288"/>
        <v>1.237344028</v>
      </c>
      <c r="AN517" s="75">
        <v>322.0</v>
      </c>
      <c r="AO517" s="76">
        <v>320.0</v>
      </c>
      <c r="AP517" s="73">
        <f t="shared" si="289"/>
        <v>320</v>
      </c>
      <c r="AQ517" s="29" t="str">
        <f t="shared" si="290"/>
        <v>#REF!</v>
      </c>
      <c r="AR517" s="77" t="str">
        <f t="shared" si="291"/>
        <v>#REF!</v>
      </c>
      <c r="AS517" s="73"/>
      <c r="AT517" s="39"/>
    </row>
    <row r="518" ht="15.75" customHeight="1">
      <c r="A518" s="16" t="s">
        <v>397</v>
      </c>
      <c r="B518" s="16" t="s">
        <v>393</v>
      </c>
      <c r="C518" s="16">
        <v>2013.0</v>
      </c>
      <c r="D518" s="16"/>
      <c r="E518" s="16">
        <v>2013.0</v>
      </c>
      <c r="F518" s="16" t="b">
        <v>1</v>
      </c>
      <c r="G518" s="16" t="b">
        <v>0</v>
      </c>
      <c r="H518" s="16" t="b">
        <v>0</v>
      </c>
      <c r="I518" s="16" t="b">
        <v>0</v>
      </c>
      <c r="J518" s="18">
        <v>240.0</v>
      </c>
      <c r="K518" s="16">
        <v>1.0</v>
      </c>
      <c r="L518" s="16">
        <v>670.0</v>
      </c>
      <c r="M518" s="16">
        <v>300.0</v>
      </c>
      <c r="N518" s="16">
        <v>1459.0</v>
      </c>
      <c r="O518" s="16">
        <v>1815.0</v>
      </c>
      <c r="P518" s="18">
        <v>301.6</v>
      </c>
      <c r="Q518" s="16">
        <v>331.9</v>
      </c>
      <c r="R518" s="16">
        <v>16.42</v>
      </c>
      <c r="S518" s="16">
        <v>0.980556</v>
      </c>
      <c r="T518" s="16">
        <v>0.980556</v>
      </c>
      <c r="U518" s="19">
        <f t="shared" si="1"/>
        <v>970</v>
      </c>
      <c r="V518" s="19">
        <f t="shared" si="2"/>
        <v>126.8529761</v>
      </c>
      <c r="W518" s="20">
        <f t="shared" si="3"/>
        <v>0.369354049</v>
      </c>
      <c r="X518" s="17">
        <f t="shared" si="296"/>
        <v>670.3775989</v>
      </c>
      <c r="Y518" s="21">
        <f t="shared" si="4"/>
        <v>4</v>
      </c>
      <c r="Z518" s="21">
        <f t="shared" si="5"/>
        <v>3351.887995</v>
      </c>
      <c r="AA518" s="21">
        <f t="shared" si="6"/>
        <v>1.846770245</v>
      </c>
      <c r="AB518" s="22">
        <f t="shared" si="7"/>
        <v>0.6911109267</v>
      </c>
      <c r="AC518" s="8">
        <f t="shared" si="278"/>
        <v>657.9689559</v>
      </c>
      <c r="AD518" s="13">
        <f t="shared" si="279"/>
        <v>0.6783185113</v>
      </c>
      <c r="AE518" s="8">
        <f t="shared" si="280"/>
        <v>657.9689559</v>
      </c>
      <c r="AF518" s="73">
        <f t="shared" si="281"/>
        <v>222.8732862</v>
      </c>
      <c r="AG518" s="74" t="str">
        <f t="shared" si="282"/>
        <v>#REF!</v>
      </c>
      <c r="AH518" s="73">
        <f t="shared" si="283"/>
        <v>0</v>
      </c>
      <c r="AI518" s="73">
        <f t="shared" si="284"/>
        <v>0</v>
      </c>
      <c r="AJ518" s="75">
        <f t="shared" si="285"/>
        <v>1.34728914</v>
      </c>
      <c r="AK518" s="73">
        <f t="shared" si="286"/>
        <v>1.259230797</v>
      </c>
      <c r="AL518" s="73">
        <f t="shared" si="287"/>
        <v>1.406325565</v>
      </c>
      <c r="AM518" s="73">
        <f t="shared" si="288"/>
        <v>1.237344028</v>
      </c>
      <c r="AN518" s="75">
        <v>489.95</v>
      </c>
      <c r="AO518" s="76">
        <v>490.0</v>
      </c>
      <c r="AP518" s="73">
        <f t="shared" si="289"/>
        <v>490</v>
      </c>
      <c r="AQ518" s="29" t="str">
        <f t="shared" si="290"/>
        <v>#REF!</v>
      </c>
      <c r="AR518" s="77" t="str">
        <f t="shared" si="291"/>
        <v>#REF!</v>
      </c>
      <c r="AS518" s="73"/>
      <c r="AT518" s="39"/>
    </row>
    <row r="519" ht="15.75" customHeight="1">
      <c r="A519" s="7" t="s">
        <v>450</v>
      </c>
      <c r="B519" s="7" t="s">
        <v>451</v>
      </c>
      <c r="C519" s="7">
        <v>2013.0</v>
      </c>
      <c r="D519" s="7"/>
      <c r="E519" s="7">
        <v>2013.0</v>
      </c>
      <c r="F519" s="7" t="b">
        <v>1</v>
      </c>
      <c r="G519" s="7" t="b">
        <v>0</v>
      </c>
      <c r="H519" s="7" t="b">
        <v>0</v>
      </c>
      <c r="I519" s="7" t="b">
        <v>0</v>
      </c>
      <c r="J519" s="9">
        <v>250.0</v>
      </c>
      <c r="K519" s="7">
        <v>1.0</v>
      </c>
      <c r="L519" s="7">
        <v>400.0</v>
      </c>
      <c r="M519" s="7">
        <v>0.0</v>
      </c>
      <c r="N519" s="7">
        <v>140.0</v>
      </c>
      <c r="O519" s="7">
        <v>68.3</v>
      </c>
      <c r="P519" s="9">
        <v>259.0</v>
      </c>
      <c r="Q519" s="7">
        <v>298.0</v>
      </c>
      <c r="R519" s="7">
        <v>15.53</v>
      </c>
      <c r="S519" s="7">
        <v>0.994</v>
      </c>
      <c r="T519" s="7">
        <v>0.994</v>
      </c>
      <c r="U519" s="10">
        <f t="shared" si="1"/>
        <v>400</v>
      </c>
      <c r="V519" s="10">
        <f t="shared" si="2"/>
        <v>49.74758367</v>
      </c>
      <c r="W519" s="11">
        <f t="shared" si="3"/>
        <v>2.352907429</v>
      </c>
      <c r="X519" s="8">
        <f t="shared" si="296"/>
        <v>160.7035774</v>
      </c>
      <c r="Y519" s="12">
        <f t="shared" si="4"/>
        <v>4</v>
      </c>
      <c r="Z519" s="12">
        <f t="shared" si="5"/>
        <v>803.5178869</v>
      </c>
      <c r="AA519" s="12">
        <f t="shared" si="6"/>
        <v>11.76453714</v>
      </c>
      <c r="AB519" s="13">
        <f t="shared" si="7"/>
        <v>0.4017589435</v>
      </c>
      <c r="AC519" s="8">
        <f t="shared" si="278"/>
        <v>161.9949913</v>
      </c>
      <c r="AD519" s="13">
        <f t="shared" si="279"/>
        <v>0.4049874783</v>
      </c>
      <c r="AE519" s="8">
        <f t="shared" si="280"/>
        <v>161.9949913</v>
      </c>
      <c r="AF519" s="73">
        <f t="shared" si="281"/>
        <v>16.60623699</v>
      </c>
      <c r="AG519" s="74" t="str">
        <f t="shared" si="282"/>
        <v>#REF!</v>
      </c>
      <c r="AH519" s="73">
        <f t="shared" si="283"/>
        <v>0</v>
      </c>
      <c r="AI519" s="73">
        <f t="shared" si="284"/>
        <v>0</v>
      </c>
      <c r="AJ519" s="75">
        <f t="shared" si="285"/>
        <v>1.267777944</v>
      </c>
      <c r="AK519" s="73">
        <f t="shared" si="286"/>
        <v>0.7885713639</v>
      </c>
      <c r="AL519" s="73">
        <f t="shared" si="287"/>
        <v>0.9863655439</v>
      </c>
      <c r="AM519" s="73">
        <f t="shared" si="288"/>
        <v>1.251730393</v>
      </c>
      <c r="AN519" s="75">
        <v>25.1</v>
      </c>
      <c r="AO519" s="76">
        <v>25.0</v>
      </c>
      <c r="AP519" s="73">
        <f t="shared" si="289"/>
        <v>25</v>
      </c>
      <c r="AQ519" s="29" t="str">
        <f t="shared" si="290"/>
        <v>#REF!</v>
      </c>
      <c r="AR519" s="77" t="str">
        <f t="shared" si="291"/>
        <v>#REF!</v>
      </c>
      <c r="AS519" s="73"/>
      <c r="AT519" s="39"/>
    </row>
    <row r="520" ht="15.75" customHeight="1">
      <c r="A520" s="16" t="s">
        <v>567</v>
      </c>
      <c r="B520" s="16" t="s">
        <v>566</v>
      </c>
      <c r="C520" s="16">
        <v>2013.0</v>
      </c>
      <c r="D520" s="16"/>
      <c r="E520" s="16">
        <v>2013.0</v>
      </c>
      <c r="F520" s="16" t="b">
        <v>1</v>
      </c>
      <c r="G520" s="16" t="b">
        <v>0</v>
      </c>
      <c r="H520" s="16" t="b">
        <v>0</v>
      </c>
      <c r="I520" s="16" t="b">
        <v>0</v>
      </c>
      <c r="J520" s="18">
        <v>300.0</v>
      </c>
      <c r="K520" s="16">
        <v>1.0</v>
      </c>
      <c r="L520" s="16">
        <v>858.0</v>
      </c>
      <c r="M520" s="16">
        <v>0.0</v>
      </c>
      <c r="N520" s="16">
        <v>1900.0</v>
      </c>
      <c r="O520" s="16">
        <v>2085.0</v>
      </c>
      <c r="P520" s="18">
        <v>311.2</v>
      </c>
      <c r="Q520" s="16">
        <v>337.5</v>
      </c>
      <c r="R520" s="16">
        <v>25.75</v>
      </c>
      <c r="S520" s="16">
        <v>0.996354</v>
      </c>
      <c r="T520" s="16">
        <v>0.996354</v>
      </c>
      <c r="U520" s="19">
        <f t="shared" si="1"/>
        <v>858</v>
      </c>
      <c r="V520" s="19">
        <f t="shared" si="2"/>
        <v>111.9004367</v>
      </c>
      <c r="W520" s="20">
        <f t="shared" si="3"/>
        <v>0.4003039441</v>
      </c>
      <c r="X520" s="17">
        <f t="shared" si="296"/>
        <v>834.6337235</v>
      </c>
      <c r="Y520" s="21">
        <f t="shared" si="4"/>
        <v>4</v>
      </c>
      <c r="Z520" s="21">
        <f t="shared" si="5"/>
        <v>4173.168618</v>
      </c>
      <c r="AA520" s="21">
        <f t="shared" si="6"/>
        <v>2.001519721</v>
      </c>
      <c r="AB520" s="22">
        <f t="shared" si="7"/>
        <v>0.9727665775</v>
      </c>
      <c r="AC520" s="8">
        <f t="shared" si="278"/>
        <v>845.2513439</v>
      </c>
      <c r="AD520" s="13">
        <f t="shared" si="279"/>
        <v>0.9851414265</v>
      </c>
      <c r="AE520" s="8">
        <f t="shared" si="280"/>
        <v>845.2513439</v>
      </c>
      <c r="AF520" s="73">
        <f t="shared" si="281"/>
        <v>252.3558564</v>
      </c>
      <c r="AG520" s="74" t="str">
        <f t="shared" si="282"/>
        <v>#REF!</v>
      </c>
      <c r="AH520" s="73">
        <f t="shared" si="283"/>
        <v>0</v>
      </c>
      <c r="AI520" s="73">
        <f t="shared" si="284"/>
        <v>0</v>
      </c>
      <c r="AJ520" s="75">
        <f t="shared" si="285"/>
        <v>1.37565928</v>
      </c>
      <c r="AK520" s="73">
        <f t="shared" si="286"/>
        <v>1.182689925</v>
      </c>
      <c r="AL520" s="73">
        <f t="shared" si="287"/>
        <v>1.502866989</v>
      </c>
      <c r="AM520" s="73">
        <f t="shared" si="288"/>
        <v>1.314152039</v>
      </c>
      <c r="AN520" s="75">
        <v>870.01</v>
      </c>
      <c r="AO520" s="76">
        <v>870.0</v>
      </c>
      <c r="AP520" s="73">
        <f t="shared" si="289"/>
        <v>870</v>
      </c>
      <c r="AQ520" s="29" t="str">
        <f t="shared" si="290"/>
        <v>#REF!</v>
      </c>
      <c r="AR520" s="77" t="str">
        <f t="shared" si="291"/>
        <v>#REF!</v>
      </c>
      <c r="AS520" s="73"/>
      <c r="AT520" s="39"/>
    </row>
    <row r="521" ht="15.75" customHeight="1">
      <c r="A521" s="16" t="s">
        <v>462</v>
      </c>
      <c r="B521" s="16" t="s">
        <v>461</v>
      </c>
      <c r="C521" s="16">
        <v>2014.0</v>
      </c>
      <c r="D521" s="16" t="b">
        <v>1</v>
      </c>
      <c r="E521" s="16">
        <v>2014.0</v>
      </c>
      <c r="F521" s="16" t="b">
        <v>1</v>
      </c>
      <c r="G521" s="16" t="b">
        <v>0</v>
      </c>
      <c r="H521" s="16" t="b">
        <v>0</v>
      </c>
      <c r="I521" s="16" t="b">
        <v>0</v>
      </c>
      <c r="J521" s="18">
        <v>300.0</v>
      </c>
      <c r="K521" s="18">
        <v>5.0</v>
      </c>
      <c r="L521" s="16">
        <v>1500.0</v>
      </c>
      <c r="M521" s="16"/>
      <c r="N521" s="16">
        <v>242.0</v>
      </c>
      <c r="O521" s="16">
        <v>73.5</v>
      </c>
      <c r="P521" s="18">
        <v>140.0</v>
      </c>
      <c r="Q521" s="16">
        <v>470.0</v>
      </c>
      <c r="R521" s="16">
        <v>5.88</v>
      </c>
      <c r="S521" s="16">
        <v>0.9995</v>
      </c>
      <c r="T521" s="16">
        <v>0.9852</v>
      </c>
      <c r="U521" s="19">
        <f t="shared" si="1"/>
        <v>1500</v>
      </c>
      <c r="V521" s="19">
        <f t="shared" si="2"/>
        <v>30.9707196</v>
      </c>
      <c r="W521" s="20">
        <f t="shared" si="3"/>
        <v>12.18130144</v>
      </c>
      <c r="X521" s="17">
        <f>0.9*(0.00015*N521*Q521*R521+797)+0.1*(43.1*POWER(N521,0.549))</f>
        <v>895.3256556</v>
      </c>
      <c r="Y521" s="21">
        <f t="shared" si="4"/>
        <v>4</v>
      </c>
      <c r="Z521" s="21">
        <f t="shared" si="5"/>
        <v>4476.628278</v>
      </c>
      <c r="AA521" s="21">
        <f t="shared" si="6"/>
        <v>60.90650718</v>
      </c>
      <c r="AB521" s="22">
        <f t="shared" si="7"/>
        <v>0.5968837704</v>
      </c>
      <c r="AC521" s="8">
        <f t="shared" si="278"/>
        <v>899.5403116</v>
      </c>
      <c r="AD521" s="13">
        <f t="shared" si="279"/>
        <v>0.5996935411</v>
      </c>
      <c r="AE521" s="8">
        <f t="shared" si="280"/>
        <v>245.9423103</v>
      </c>
      <c r="AF521" s="73">
        <f t="shared" si="281"/>
        <v>17.44162079</v>
      </c>
      <c r="AG521" s="74" t="str">
        <f t="shared" si="282"/>
        <v>#REF!</v>
      </c>
      <c r="AH521" s="73">
        <f t="shared" si="283"/>
        <v>0</v>
      </c>
      <c r="AI521" s="73">
        <f t="shared" si="284"/>
        <v>0.4128305045</v>
      </c>
      <c r="AJ521" s="75">
        <f t="shared" si="285"/>
        <v>1</v>
      </c>
      <c r="AK521" s="73">
        <f t="shared" si="286"/>
        <v>0.6222009282</v>
      </c>
      <c r="AL521" s="73">
        <f t="shared" si="287"/>
        <v>9.251196672</v>
      </c>
      <c r="AM521" s="73">
        <f t="shared" si="288"/>
        <v>1.314152039</v>
      </c>
      <c r="AN521" s="75">
        <v>222.5</v>
      </c>
      <c r="AO521" s="76">
        <v>220.0</v>
      </c>
      <c r="AP521" s="73">
        <f t="shared" si="289"/>
        <v>220</v>
      </c>
      <c r="AQ521" s="29" t="str">
        <f t="shared" si="290"/>
        <v>#REF!</v>
      </c>
      <c r="AR521" s="77" t="str">
        <f t="shared" si="291"/>
        <v>#REF!</v>
      </c>
      <c r="AS521" s="73"/>
      <c r="AT521" s="39"/>
    </row>
    <row r="522" ht="15.75" customHeight="1">
      <c r="A522" s="7" t="s">
        <v>568</v>
      </c>
      <c r="B522" s="7" t="s">
        <v>566</v>
      </c>
      <c r="C522" s="7">
        <v>2014.0</v>
      </c>
      <c r="D522" s="7"/>
      <c r="E522" s="7">
        <v>2014.0</v>
      </c>
      <c r="F522" s="7" t="b">
        <v>1</v>
      </c>
      <c r="G522" s="7" t="b">
        <v>0</v>
      </c>
      <c r="H522" s="7" t="b">
        <v>0</v>
      </c>
      <c r="I522" s="7" t="b">
        <v>0</v>
      </c>
      <c r="J522" s="9">
        <v>300.0</v>
      </c>
      <c r="K522" s="7">
        <v>1.0</v>
      </c>
      <c r="L522" s="7">
        <v>858.0</v>
      </c>
      <c r="M522" s="7">
        <v>0.0</v>
      </c>
      <c r="N522" s="7">
        <v>2290.0</v>
      </c>
      <c r="O522" s="7">
        <v>2085.0</v>
      </c>
      <c r="P522" s="9">
        <v>311.2</v>
      </c>
      <c r="Q522" s="7">
        <v>337.5</v>
      </c>
      <c r="R522" s="7">
        <v>25.83</v>
      </c>
      <c r="S522" s="7">
        <v>0.996354</v>
      </c>
      <c r="T522" s="7">
        <v>0.996354</v>
      </c>
      <c r="U522" s="10">
        <f t="shared" si="1"/>
        <v>858</v>
      </c>
      <c r="V522" s="10">
        <f t="shared" si="2"/>
        <v>92.84315711</v>
      </c>
      <c r="W522" s="11">
        <f t="shared" si="3"/>
        <v>0.4470330086</v>
      </c>
      <c r="X522" s="8">
        <f>0.2*(8.17*POWER(N522*R522,0.46))+0.8*(0.146*POWER(N522*Q522,0.639))</f>
        <v>932.063823</v>
      </c>
      <c r="Y522" s="12">
        <f t="shared" si="4"/>
        <v>4</v>
      </c>
      <c r="Z522" s="12">
        <f t="shared" si="5"/>
        <v>4660.319115</v>
      </c>
      <c r="AA522" s="12">
        <f t="shared" si="6"/>
        <v>2.235165043</v>
      </c>
      <c r="AB522" s="13">
        <f t="shared" si="7"/>
        <v>1.086321472</v>
      </c>
      <c r="AC522" s="8">
        <f t="shared" si="278"/>
        <v>943.9208802</v>
      </c>
      <c r="AD522" s="13">
        <f t="shared" si="279"/>
        <v>1.100140886</v>
      </c>
      <c r="AE522" s="8">
        <f t="shared" si="280"/>
        <v>943.9208802</v>
      </c>
      <c r="AF522" s="73">
        <f t="shared" si="281"/>
        <v>252.3558564</v>
      </c>
      <c r="AG522" s="74" t="str">
        <f t="shared" si="282"/>
        <v>#REF!</v>
      </c>
      <c r="AH522" s="73">
        <f t="shared" si="283"/>
        <v>0</v>
      </c>
      <c r="AI522" s="73">
        <f t="shared" si="284"/>
        <v>0</v>
      </c>
      <c r="AJ522" s="75">
        <f t="shared" si="285"/>
        <v>1.37565928</v>
      </c>
      <c r="AK522" s="73">
        <f t="shared" si="286"/>
        <v>1.077283372</v>
      </c>
      <c r="AL522" s="73">
        <f t="shared" si="287"/>
        <v>1.502866989</v>
      </c>
      <c r="AM522" s="73">
        <f t="shared" si="288"/>
        <v>1.314152039</v>
      </c>
      <c r="AN522" s="75">
        <v>825.52</v>
      </c>
      <c r="AO522" s="76">
        <v>830.0</v>
      </c>
      <c r="AP522" s="73">
        <f t="shared" si="289"/>
        <v>830</v>
      </c>
      <c r="AQ522" s="29" t="str">
        <f t="shared" si="290"/>
        <v>#REF!</v>
      </c>
      <c r="AR522" s="77" t="str">
        <f t="shared" si="291"/>
        <v>#REF!</v>
      </c>
      <c r="AS522" s="73"/>
      <c r="AT522" s="39"/>
    </row>
    <row r="523" ht="15.75" customHeight="1">
      <c r="A523" s="16" t="s">
        <v>674</v>
      </c>
      <c r="B523" s="16" t="s">
        <v>660</v>
      </c>
      <c r="C523" s="16">
        <v>2014.0</v>
      </c>
      <c r="D523" s="16" t="b">
        <v>1</v>
      </c>
      <c r="E523" s="16">
        <v>2014.0</v>
      </c>
      <c r="F523" s="16" t="b">
        <v>1</v>
      </c>
      <c r="G523" s="16" t="b">
        <v>0</v>
      </c>
      <c r="H523" s="16" t="b">
        <v>1</v>
      </c>
      <c r="I523" s="16" t="b">
        <v>0</v>
      </c>
      <c r="J523" s="18">
        <v>1130.0</v>
      </c>
      <c r="K523" s="18">
        <v>20.0</v>
      </c>
      <c r="L523" s="16">
        <v>500.0</v>
      </c>
      <c r="M523" s="16">
        <v>1000.0</v>
      </c>
      <c r="N523" s="16">
        <v>191.0</v>
      </c>
      <c r="O523" s="16">
        <v>101.85</v>
      </c>
      <c r="P523" s="18">
        <v>154.0</v>
      </c>
      <c r="Q523" s="16">
        <v>449.7</v>
      </c>
      <c r="R523" s="16">
        <v>4.36</v>
      </c>
      <c r="S523" s="16">
        <v>0.998454</v>
      </c>
      <c r="T523" s="16">
        <v>0.996939</v>
      </c>
      <c r="U523" s="19">
        <f t="shared" si="1"/>
        <v>1500</v>
      </c>
      <c r="V523" s="19">
        <f t="shared" si="2"/>
        <v>54.37596649</v>
      </c>
      <c r="W523" s="20">
        <f t="shared" si="3"/>
        <v>8.295581878</v>
      </c>
      <c r="X523" s="17">
        <f t="shared" ref="X523:X526" si="297">0.9*(0.00015*N523*Q523*R523+797)+0.1*(43.1*POWER(N523,0.549))</f>
        <v>844.9050143</v>
      </c>
      <c r="Y523" s="21">
        <f t="shared" si="4"/>
        <v>4</v>
      </c>
      <c r="Z523" s="21">
        <f t="shared" si="5"/>
        <v>4224.525071</v>
      </c>
      <c r="AA523" s="21">
        <f t="shared" si="6"/>
        <v>41.47790939</v>
      </c>
      <c r="AB523" s="22">
        <f t="shared" si="7"/>
        <v>0.5632700095</v>
      </c>
      <c r="AC523" s="8">
        <f t="shared" si="278"/>
        <v>857.9146355</v>
      </c>
      <c r="AD523" s="13">
        <f t="shared" si="279"/>
        <v>0.5719430903</v>
      </c>
      <c r="AE523" s="8">
        <f t="shared" si="280"/>
        <v>205.1946221</v>
      </c>
      <c r="AF523" s="73">
        <f t="shared" si="281"/>
        <v>21.81386948</v>
      </c>
      <c r="AG523" s="74" t="str">
        <f t="shared" si="282"/>
        <v>#REF!</v>
      </c>
      <c r="AH523" s="73">
        <f t="shared" si="283"/>
        <v>0</v>
      </c>
      <c r="AI523" s="73">
        <f t="shared" si="284"/>
        <v>0.6760795925</v>
      </c>
      <c r="AJ523" s="75">
        <f t="shared" si="285"/>
        <v>1</v>
      </c>
      <c r="AK523" s="73">
        <f t="shared" si="286"/>
        <v>0.8244389493</v>
      </c>
      <c r="AL523" s="73">
        <f t="shared" si="287"/>
        <v>6.473290933</v>
      </c>
      <c r="AM523" s="73">
        <f t="shared" si="288"/>
        <v>1.689162817</v>
      </c>
      <c r="AN523" s="75">
        <v>365.66</v>
      </c>
      <c r="AO523" s="76">
        <v>370.0</v>
      </c>
      <c r="AP523" s="73">
        <f t="shared" si="289"/>
        <v>370</v>
      </c>
      <c r="AQ523" s="29" t="str">
        <f t="shared" si="290"/>
        <v>#REF!</v>
      </c>
      <c r="AR523" s="77" t="str">
        <f t="shared" si="291"/>
        <v>#REF!</v>
      </c>
      <c r="AS523" s="73"/>
      <c r="AT523" s="39"/>
    </row>
    <row r="524" ht="15.75" customHeight="1">
      <c r="A524" s="16" t="s">
        <v>704</v>
      </c>
      <c r="B524" s="16" t="s">
        <v>702</v>
      </c>
      <c r="C524" s="16">
        <v>2014.0</v>
      </c>
      <c r="D524" s="16" t="b">
        <v>1</v>
      </c>
      <c r="E524" s="16">
        <v>2014.0</v>
      </c>
      <c r="F524" s="16" t="b">
        <v>1</v>
      </c>
      <c r="G524" s="16" t="b">
        <v>0</v>
      </c>
      <c r="H524" s="16" t="b">
        <v>0</v>
      </c>
      <c r="I524" s="16" t="b">
        <v>0</v>
      </c>
      <c r="J524" s="18">
        <v>330.0</v>
      </c>
      <c r="K524" s="16">
        <v>1.0</v>
      </c>
      <c r="L524" s="16">
        <v>2850.0</v>
      </c>
      <c r="M524" s="16">
        <v>275.0</v>
      </c>
      <c r="N524" s="16">
        <v>5565.0</v>
      </c>
      <c r="O524" s="16">
        <v>3570.0</v>
      </c>
      <c r="P524" s="18">
        <v>364.0</v>
      </c>
      <c r="Q524" s="16">
        <v>414.2</v>
      </c>
      <c r="R524" s="16">
        <v>9.9</v>
      </c>
      <c r="S524" s="16">
        <v>0.998404</v>
      </c>
      <c r="T524" s="16">
        <v>0.998404</v>
      </c>
      <c r="U524" s="19">
        <f t="shared" si="1"/>
        <v>3125</v>
      </c>
      <c r="V524" s="19">
        <f t="shared" si="2"/>
        <v>65.41575687</v>
      </c>
      <c r="W524" s="20">
        <f t="shared" si="3"/>
        <v>1.201281416</v>
      </c>
      <c r="X524" s="17">
        <f t="shared" si="297"/>
        <v>4288.574653</v>
      </c>
      <c r="Y524" s="21">
        <f t="shared" si="4"/>
        <v>4</v>
      </c>
      <c r="Z524" s="21">
        <f t="shared" si="5"/>
        <v>21442.87327</v>
      </c>
      <c r="AA524" s="21">
        <f t="shared" si="6"/>
        <v>6.006407078</v>
      </c>
      <c r="AB524" s="22">
        <f t="shared" si="7"/>
        <v>1.372343889</v>
      </c>
      <c r="AC524" s="8">
        <f t="shared" si="278"/>
        <v>4360.66794</v>
      </c>
      <c r="AD524" s="13">
        <f t="shared" si="279"/>
        <v>1.395413741</v>
      </c>
      <c r="AE524" s="8">
        <f t="shared" si="280"/>
        <v>1633.757921</v>
      </c>
      <c r="AF524" s="73">
        <f t="shared" si="281"/>
        <v>411.3849009</v>
      </c>
      <c r="AG524" s="74" t="str">
        <f t="shared" si="282"/>
        <v>#REF!</v>
      </c>
      <c r="AH524" s="73">
        <f t="shared" si="283"/>
        <v>0</v>
      </c>
      <c r="AI524" s="73">
        <f t="shared" si="284"/>
        <v>0</v>
      </c>
      <c r="AJ524" s="75">
        <f t="shared" si="285"/>
        <v>1.286573801</v>
      </c>
      <c r="AK524" s="73">
        <f t="shared" si="286"/>
        <v>0.904265979</v>
      </c>
      <c r="AL524" s="73">
        <f t="shared" si="287"/>
        <v>4.001747616</v>
      </c>
      <c r="AM524" s="73">
        <f t="shared" si="288"/>
        <v>1.345624617</v>
      </c>
      <c r="AN524" s="75">
        <v>3457.76</v>
      </c>
      <c r="AO524" s="76">
        <v>3500.0</v>
      </c>
      <c r="AP524" s="73">
        <f t="shared" si="289"/>
        <v>3500</v>
      </c>
      <c r="AQ524" s="29" t="str">
        <f t="shared" si="290"/>
        <v>#REF!</v>
      </c>
      <c r="AR524" s="77" t="str">
        <f t="shared" si="291"/>
        <v>#REF!</v>
      </c>
      <c r="AS524" s="73"/>
      <c r="AT524" s="39"/>
    </row>
    <row r="525" ht="15.75" customHeight="1">
      <c r="A525" s="16" t="s">
        <v>114</v>
      </c>
      <c r="B525" s="16" t="s">
        <v>113</v>
      </c>
      <c r="C525" s="16">
        <v>2015.0</v>
      </c>
      <c r="D525" s="16" t="b">
        <v>1</v>
      </c>
      <c r="E525" s="16">
        <v>2015.0</v>
      </c>
      <c r="F525" s="16" t="b">
        <v>1</v>
      </c>
      <c r="G525" s="16" t="b">
        <v>0</v>
      </c>
      <c r="H525" s="16" t="b">
        <v>1</v>
      </c>
      <c r="I525" s="16" t="b">
        <v>0</v>
      </c>
      <c r="J525" s="16"/>
      <c r="K525" s="16">
        <v>1.0</v>
      </c>
      <c r="L525" s="16">
        <v>10000.0</v>
      </c>
      <c r="M525" s="16">
        <v>5000.0</v>
      </c>
      <c r="N525" s="16">
        <v>2371.0</v>
      </c>
      <c r="O525" s="16">
        <v>1500.0</v>
      </c>
      <c r="P525" s="16"/>
      <c r="Q525" s="16">
        <v>490.0</v>
      </c>
      <c r="R525" s="16">
        <v>28.2</v>
      </c>
      <c r="S525" s="18">
        <v>1.0</v>
      </c>
      <c r="T525" s="18">
        <v>1.0</v>
      </c>
      <c r="U525" s="19">
        <f t="shared" si="1"/>
        <v>15000</v>
      </c>
      <c r="V525" s="19">
        <f t="shared" si="2"/>
        <v>64.51178047</v>
      </c>
      <c r="W525" s="20">
        <f t="shared" si="3"/>
        <v>3.631572795</v>
      </c>
      <c r="X525" s="17">
        <f t="shared" si="297"/>
        <v>5447.359193</v>
      </c>
      <c r="Y525" s="21">
        <f t="shared" si="4"/>
        <v>4</v>
      </c>
      <c r="Z525" s="21">
        <f t="shared" si="5"/>
        <v>27236.79597</v>
      </c>
      <c r="AA525" s="21">
        <f t="shared" si="6"/>
        <v>18.15786398</v>
      </c>
      <c r="AB525" s="22">
        <f t="shared" si="7"/>
        <v>0.3631572795</v>
      </c>
      <c r="AC525" s="8">
        <f t="shared" si="278"/>
        <v>5556.306377</v>
      </c>
      <c r="AD525" s="13">
        <f t="shared" si="279"/>
        <v>0.3704204251</v>
      </c>
      <c r="AE525" s="8">
        <f t="shared" si="280"/>
        <v>1170.997837</v>
      </c>
      <c r="AF525" s="73">
        <f t="shared" si="281"/>
        <v>188.1399992</v>
      </c>
      <c r="AG525" s="74" t="str">
        <f t="shared" si="282"/>
        <v>#REF!</v>
      </c>
      <c r="AH525" s="73">
        <f t="shared" si="283"/>
        <v>0</v>
      </c>
      <c r="AI525" s="73">
        <f t="shared" si="284"/>
        <v>0</v>
      </c>
      <c r="AJ525" s="75">
        <f t="shared" si="285"/>
        <v>1</v>
      </c>
      <c r="AK525" s="73">
        <f t="shared" si="286"/>
        <v>0.8979962449</v>
      </c>
      <c r="AL525" s="73">
        <f t="shared" si="287"/>
        <v>11.3283143</v>
      </c>
      <c r="AM525" s="73">
        <f t="shared" si="288"/>
        <v>1</v>
      </c>
      <c r="AN525" s="75">
        <v>2948.38</v>
      </c>
      <c r="AO525" s="76">
        <v>2900.0</v>
      </c>
      <c r="AP525" s="73">
        <f t="shared" si="289"/>
        <v>2900</v>
      </c>
      <c r="AQ525" s="29" t="str">
        <f t="shared" si="290"/>
        <v>#REF!</v>
      </c>
      <c r="AR525" s="77" t="str">
        <f t="shared" si="291"/>
        <v>#REF!</v>
      </c>
      <c r="AS525" s="73"/>
      <c r="AT525" s="39"/>
    </row>
    <row r="526" ht="15.75" customHeight="1">
      <c r="A526" s="7" t="s">
        <v>115</v>
      </c>
      <c r="B526" s="7" t="s">
        <v>115</v>
      </c>
      <c r="C526" s="7">
        <v>2015.0</v>
      </c>
      <c r="D526" s="7" t="b">
        <v>1</v>
      </c>
      <c r="E526" s="7">
        <v>2015.0</v>
      </c>
      <c r="F526" s="7" t="b">
        <v>1</v>
      </c>
      <c r="G526" s="7" t="b">
        <v>0</v>
      </c>
      <c r="H526" s="7" t="b">
        <v>0</v>
      </c>
      <c r="I526" s="7" t="b">
        <v>1</v>
      </c>
      <c r="J526" s="9">
        <v>660.0</v>
      </c>
      <c r="K526" s="7">
        <v>1.0</v>
      </c>
      <c r="L526" s="7">
        <v>3000.0</v>
      </c>
      <c r="M526" s="7">
        <v>0.0</v>
      </c>
      <c r="N526" s="7">
        <v>480.0</v>
      </c>
      <c r="O526" s="7">
        <v>511.3</v>
      </c>
      <c r="P526" s="9">
        <v>345.0</v>
      </c>
      <c r="Q526" s="7">
        <v>360.0</v>
      </c>
      <c r="R526" s="7">
        <v>8.0</v>
      </c>
      <c r="S526" s="7">
        <v>0.996875</v>
      </c>
      <c r="T526" s="7">
        <v>0.994</v>
      </c>
      <c r="U526" s="10">
        <f t="shared" si="1"/>
        <v>3000</v>
      </c>
      <c r="V526" s="10">
        <f t="shared" si="2"/>
        <v>108.6210205</v>
      </c>
      <c r="W526" s="11">
        <f t="shared" si="3"/>
        <v>2.017814701</v>
      </c>
      <c r="X526" s="8">
        <f t="shared" si="297"/>
        <v>1031.708656</v>
      </c>
      <c r="Y526" s="12">
        <f t="shared" si="4"/>
        <v>4</v>
      </c>
      <c r="Z526" s="12">
        <f t="shared" si="5"/>
        <v>5158.543282</v>
      </c>
      <c r="AA526" s="12">
        <f t="shared" si="6"/>
        <v>10.0890735</v>
      </c>
      <c r="AB526" s="13">
        <f t="shared" si="7"/>
        <v>0.3439028855</v>
      </c>
      <c r="AC526" s="8">
        <f t="shared" si="278"/>
        <v>1564.421749</v>
      </c>
      <c r="AD526" s="13">
        <f t="shared" si="279"/>
        <v>0.5214739163</v>
      </c>
      <c r="AE526" s="8">
        <f t="shared" si="280"/>
        <v>503.9448131</v>
      </c>
      <c r="AF526" s="73">
        <f t="shared" si="281"/>
        <v>74.86895712</v>
      </c>
      <c r="AG526" s="74" t="str">
        <f t="shared" si="282"/>
        <v>#REF!</v>
      </c>
      <c r="AH526" s="73">
        <f t="shared" si="283"/>
        <v>2</v>
      </c>
      <c r="AI526" s="73">
        <f t="shared" si="284"/>
        <v>0</v>
      </c>
      <c r="AJ526" s="75">
        <f t="shared" si="285"/>
        <v>1.45625822</v>
      </c>
      <c r="AK526" s="73">
        <f t="shared" si="286"/>
        <v>1.165230774</v>
      </c>
      <c r="AL526" s="73">
        <f t="shared" si="287"/>
        <v>1.98013598</v>
      </c>
      <c r="AM526" s="73">
        <f t="shared" si="288"/>
        <v>1.552486271</v>
      </c>
      <c r="AN526" s="75">
        <v>781.8</v>
      </c>
      <c r="AO526" s="76">
        <v>780.0</v>
      </c>
      <c r="AP526" s="73">
        <f t="shared" si="289"/>
        <v>780</v>
      </c>
      <c r="AQ526" s="29" t="str">
        <f t="shared" si="290"/>
        <v>#REF!</v>
      </c>
      <c r="AR526" s="77" t="str">
        <f t="shared" si="291"/>
        <v>#REF!</v>
      </c>
      <c r="AS526" s="73"/>
      <c r="AT526" s="39"/>
    </row>
    <row r="527" ht="15.75" customHeight="1">
      <c r="A527" s="7" t="s">
        <v>376</v>
      </c>
      <c r="B527" s="7" t="s">
        <v>369</v>
      </c>
      <c r="C527" s="7">
        <v>2015.0</v>
      </c>
      <c r="D527" s="7"/>
      <c r="E527" s="7">
        <v>2015.0</v>
      </c>
      <c r="F527" s="7" t="b">
        <v>1</v>
      </c>
      <c r="G527" s="7" t="b">
        <v>0</v>
      </c>
      <c r="H527" s="7" t="b">
        <v>1</v>
      </c>
      <c r="I527" s="7" t="b">
        <v>0</v>
      </c>
      <c r="J527" s="9">
        <v>400.0</v>
      </c>
      <c r="K527" s="9">
        <v>4.0</v>
      </c>
      <c r="L527" s="7">
        <v>205.0</v>
      </c>
      <c r="M527" s="7">
        <v>-5.0</v>
      </c>
      <c r="N527" s="7">
        <v>490.0</v>
      </c>
      <c r="O527" s="7">
        <v>934.12</v>
      </c>
      <c r="P527" s="9">
        <v>227.0</v>
      </c>
      <c r="Q527" s="7">
        <v>348.0</v>
      </c>
      <c r="R527" s="7">
        <v>10.8</v>
      </c>
      <c r="S527" s="7">
        <v>0.999315</v>
      </c>
      <c r="T527" s="7">
        <v>0.998636</v>
      </c>
      <c r="U527" s="10">
        <f t="shared" si="1"/>
        <v>200</v>
      </c>
      <c r="V527" s="10">
        <f t="shared" si="2"/>
        <v>194.3953686</v>
      </c>
      <c r="W527" s="11">
        <f t="shared" si="3"/>
        <v>0.3658201546</v>
      </c>
      <c r="X527" s="8">
        <f t="shared" ref="X527:X528" si="298">0.2*(8.17*POWER(N527*R527,0.46))+0.8*(0.146*POWER(N527*Q527,0.639))</f>
        <v>341.7199228</v>
      </c>
      <c r="Y527" s="12">
        <f t="shared" si="4"/>
        <v>4</v>
      </c>
      <c r="Z527" s="12">
        <f t="shared" si="5"/>
        <v>1708.599614</v>
      </c>
      <c r="AA527" s="12">
        <f t="shared" si="6"/>
        <v>1.829100773</v>
      </c>
      <c r="AB527" s="13">
        <f t="shared" si="7"/>
        <v>1.708599614</v>
      </c>
      <c r="AC527" s="8">
        <f t="shared" si="278"/>
        <v>347.8544564</v>
      </c>
      <c r="AD527" s="13">
        <f t="shared" si="279"/>
        <v>1.739272282</v>
      </c>
      <c r="AE527" s="8">
        <f t="shared" si="280"/>
        <v>347.8544564</v>
      </c>
      <c r="AF527" s="73">
        <f t="shared" si="281"/>
        <v>124.4322146</v>
      </c>
      <c r="AG527" s="74" t="str">
        <f t="shared" si="282"/>
        <v>#REF!</v>
      </c>
      <c r="AH527" s="73">
        <f t="shared" si="283"/>
        <v>0</v>
      </c>
      <c r="AI527" s="73">
        <f t="shared" si="284"/>
        <v>0.3632125751</v>
      </c>
      <c r="AJ527" s="75">
        <f t="shared" si="285"/>
        <v>1</v>
      </c>
      <c r="AK527" s="73">
        <f t="shared" si="286"/>
        <v>1.558827158</v>
      </c>
      <c r="AL527" s="73">
        <f t="shared" si="287"/>
        <v>1.706546876</v>
      </c>
      <c r="AM527" s="73">
        <f t="shared" si="288"/>
        <v>1.406821143</v>
      </c>
      <c r="AN527" s="75">
        <v>577.32</v>
      </c>
      <c r="AO527" s="76">
        <v>580.0</v>
      </c>
      <c r="AP527" s="73">
        <f t="shared" si="289"/>
        <v>580</v>
      </c>
      <c r="AQ527" s="29" t="str">
        <f t="shared" si="290"/>
        <v>#REF!</v>
      </c>
      <c r="AR527" s="77" t="str">
        <f t="shared" si="291"/>
        <v>#REF!</v>
      </c>
      <c r="AS527" s="73"/>
      <c r="AT527" s="39"/>
    </row>
    <row r="528" ht="15.75" customHeight="1">
      <c r="A528" s="16" t="s">
        <v>377</v>
      </c>
      <c r="B528" s="16" t="s">
        <v>369</v>
      </c>
      <c r="C528" s="16">
        <v>2015.0</v>
      </c>
      <c r="D528" s="16"/>
      <c r="E528" s="16">
        <v>2015.0</v>
      </c>
      <c r="F528" s="16" t="b">
        <v>1</v>
      </c>
      <c r="G528" s="16" t="b">
        <v>0</v>
      </c>
      <c r="H528" s="16" t="b">
        <v>0</v>
      </c>
      <c r="I528" s="16" t="b">
        <v>0</v>
      </c>
      <c r="J528" s="18">
        <v>240.0</v>
      </c>
      <c r="K528" s="18">
        <v>4.0</v>
      </c>
      <c r="L528" s="16">
        <v>205.0</v>
      </c>
      <c r="M528" s="16">
        <v>-30.0</v>
      </c>
      <c r="N528" s="16">
        <v>470.0</v>
      </c>
      <c r="O528" s="16">
        <v>825.0</v>
      </c>
      <c r="P528" s="18">
        <v>282.0</v>
      </c>
      <c r="Q528" s="16">
        <v>311.0</v>
      </c>
      <c r="R528" s="16">
        <v>10.8</v>
      </c>
      <c r="S528" s="16">
        <v>0.999622</v>
      </c>
      <c r="T528" s="16">
        <v>0.999538</v>
      </c>
      <c r="U528" s="19">
        <f t="shared" si="1"/>
        <v>175</v>
      </c>
      <c r="V528" s="19">
        <f t="shared" si="2"/>
        <v>178.992739</v>
      </c>
      <c r="W528" s="20">
        <f t="shared" si="3"/>
        <v>0.3830134572</v>
      </c>
      <c r="X528" s="17">
        <f t="shared" si="298"/>
        <v>315.9861022</v>
      </c>
      <c r="Y528" s="21">
        <f t="shared" si="4"/>
        <v>4</v>
      </c>
      <c r="Z528" s="21">
        <f t="shared" si="5"/>
        <v>1579.930511</v>
      </c>
      <c r="AA528" s="21">
        <f t="shared" si="6"/>
        <v>1.915067286</v>
      </c>
      <c r="AB528" s="22">
        <f t="shared" si="7"/>
        <v>1.80563487</v>
      </c>
      <c r="AC528" s="8">
        <f t="shared" si="278"/>
        <v>322.0404511</v>
      </c>
      <c r="AD528" s="13">
        <f t="shared" si="279"/>
        <v>1.840231149</v>
      </c>
      <c r="AE528" s="8">
        <f t="shared" si="280"/>
        <v>322.0404511</v>
      </c>
      <c r="AF528" s="73">
        <f t="shared" si="281"/>
        <v>111.8635988</v>
      </c>
      <c r="AG528" s="74" t="str">
        <f t="shared" si="282"/>
        <v>#REF!</v>
      </c>
      <c r="AH528" s="73">
        <f t="shared" si="283"/>
        <v>0</v>
      </c>
      <c r="AI528" s="73">
        <f t="shared" si="284"/>
        <v>0.3632125751</v>
      </c>
      <c r="AJ528" s="75">
        <f t="shared" si="285"/>
        <v>1.343202261</v>
      </c>
      <c r="AK528" s="73">
        <f t="shared" si="286"/>
        <v>1.495797191</v>
      </c>
      <c r="AL528" s="73">
        <f t="shared" si="287"/>
        <v>1.111492852</v>
      </c>
      <c r="AM528" s="73">
        <f t="shared" si="288"/>
        <v>1.237344028</v>
      </c>
      <c r="AN528" s="75">
        <v>417.37</v>
      </c>
      <c r="AO528" s="76">
        <v>420.0</v>
      </c>
      <c r="AP528" s="73">
        <f t="shared" si="289"/>
        <v>420</v>
      </c>
      <c r="AQ528" s="29" t="str">
        <f t="shared" si="290"/>
        <v>#REF!</v>
      </c>
      <c r="AR528" s="77" t="str">
        <f t="shared" si="291"/>
        <v>#REF!</v>
      </c>
      <c r="AS528" s="73"/>
      <c r="AT528" s="39"/>
    </row>
    <row r="529" ht="15.75" customHeight="1">
      <c r="A529" s="7" t="s">
        <v>705</v>
      </c>
      <c r="B529" s="7" t="s">
        <v>702</v>
      </c>
      <c r="C529" s="7">
        <v>2015.0</v>
      </c>
      <c r="D529" s="7" t="b">
        <v>1</v>
      </c>
      <c r="E529" s="7">
        <v>2015.0</v>
      </c>
      <c r="F529" s="7" t="b">
        <v>1</v>
      </c>
      <c r="G529" s="7" t="b">
        <v>0</v>
      </c>
      <c r="H529" s="7" t="b">
        <v>0</v>
      </c>
      <c r="I529" s="7" t="b">
        <v>0</v>
      </c>
      <c r="J529" s="9">
        <v>450.0</v>
      </c>
      <c r="K529" s="7">
        <v>1.0</v>
      </c>
      <c r="L529" s="7">
        <v>2850.0</v>
      </c>
      <c r="M529" s="7">
        <v>2000.0</v>
      </c>
      <c r="N529" s="7">
        <v>4862.0</v>
      </c>
      <c r="O529" s="7">
        <v>3647.0</v>
      </c>
      <c r="P529" s="9">
        <v>372.9</v>
      </c>
      <c r="Q529" s="7">
        <v>418.0</v>
      </c>
      <c r="R529" s="7">
        <v>10.26</v>
      </c>
      <c r="S529" s="7">
        <v>0.995</v>
      </c>
      <c r="T529" s="7">
        <v>0.995</v>
      </c>
      <c r="U529" s="10">
        <f t="shared" si="1"/>
        <v>4850</v>
      </c>
      <c r="V529" s="10">
        <f t="shared" si="2"/>
        <v>76.48920234</v>
      </c>
      <c r="W529" s="11">
        <f t="shared" si="3"/>
        <v>1.093450411</v>
      </c>
      <c r="X529" s="8">
        <f>0.9*(0.00015*N529*Q529*R529+797)+0.1*(43.1*POWER(N529,0.549))</f>
        <v>3987.81365</v>
      </c>
      <c r="Y529" s="12">
        <f t="shared" si="4"/>
        <v>4</v>
      </c>
      <c r="Z529" s="12">
        <f t="shared" si="5"/>
        <v>19939.06825</v>
      </c>
      <c r="AA529" s="12">
        <f t="shared" si="6"/>
        <v>5.467252056</v>
      </c>
      <c r="AB529" s="13">
        <f t="shared" si="7"/>
        <v>0.8222296185</v>
      </c>
      <c r="AC529" s="8">
        <f t="shared" si="278"/>
        <v>4027.791481</v>
      </c>
      <c r="AD529" s="13">
        <f t="shared" si="279"/>
        <v>0.8304724704</v>
      </c>
      <c r="AE529" s="8">
        <f t="shared" si="280"/>
        <v>1505.56755</v>
      </c>
      <c r="AF529" s="73">
        <f t="shared" si="281"/>
        <v>419.5256094</v>
      </c>
      <c r="AG529" s="74" t="str">
        <f t="shared" si="282"/>
        <v>#REF!</v>
      </c>
      <c r="AH529" s="73">
        <f t="shared" si="283"/>
        <v>0</v>
      </c>
      <c r="AI529" s="73">
        <f t="shared" si="284"/>
        <v>0</v>
      </c>
      <c r="AJ529" s="75">
        <f t="shared" si="285"/>
        <v>1.313101764</v>
      </c>
      <c r="AK529" s="73">
        <f t="shared" si="286"/>
        <v>0.9778113465</v>
      </c>
      <c r="AL529" s="73">
        <f t="shared" si="287"/>
        <v>4.210462709</v>
      </c>
      <c r="AM529" s="73">
        <f t="shared" si="288"/>
        <v>1.442806746</v>
      </c>
      <c r="AN529" s="75">
        <v>3656.34</v>
      </c>
      <c r="AO529" s="76">
        <v>3700.0</v>
      </c>
      <c r="AP529" s="73">
        <f t="shared" si="289"/>
        <v>3700</v>
      </c>
      <c r="AQ529" s="29" t="str">
        <f t="shared" si="290"/>
        <v>#REF!</v>
      </c>
      <c r="AR529" s="77" t="str">
        <f t="shared" si="291"/>
        <v>#REF!</v>
      </c>
      <c r="AS529" s="73"/>
      <c r="AT529" s="39"/>
    </row>
    <row r="530" ht="15.75" hidden="1" customHeight="1">
      <c r="A530" s="7" t="s">
        <v>940</v>
      </c>
      <c r="B530" s="7" t="s">
        <v>940</v>
      </c>
      <c r="C530" s="7">
        <v>1981.0</v>
      </c>
      <c r="D530" s="7"/>
      <c r="E530" s="7">
        <v>1981.0</v>
      </c>
      <c r="F530" s="7" t="b">
        <v>0</v>
      </c>
      <c r="G530" s="7" t="b">
        <v>1</v>
      </c>
      <c r="H530" s="7" t="b">
        <v>0</v>
      </c>
      <c r="I530" s="7" t="b">
        <v>0</v>
      </c>
      <c r="J530" s="7"/>
      <c r="K530" s="7"/>
      <c r="L530" s="7">
        <v>0.0</v>
      </c>
      <c r="M530" s="7">
        <v>6780.0</v>
      </c>
      <c r="N530" s="7">
        <v>87518.0</v>
      </c>
      <c r="O530" s="7">
        <v>14819.0</v>
      </c>
      <c r="P530" s="7"/>
      <c r="Q530" s="7">
        <v>268.0</v>
      </c>
      <c r="R530" s="7">
        <v>6.24</v>
      </c>
      <c r="S530" s="7"/>
      <c r="T530" s="7"/>
      <c r="U530" s="10">
        <f t="shared" si="1"/>
        <v>6780</v>
      </c>
      <c r="V530" s="10">
        <f t="shared" si="2"/>
        <v>17.2663618</v>
      </c>
      <c r="W530" s="11">
        <f t="shared" si="3"/>
        <v>0.4518712389</v>
      </c>
      <c r="X530" s="8">
        <f t="shared" ref="X530:X533" si="299">0.2*(8.17*POW(N530*R530,0.46))+0.8*(0.146*POW(N530*Q530,0.639))</f>
        <v>6696.27989</v>
      </c>
      <c r="Y530" s="12">
        <f t="shared" si="4"/>
        <v>1.05</v>
      </c>
      <c r="Z530" s="12">
        <f t="shared" si="5"/>
        <v>13727.37377</v>
      </c>
      <c r="AA530" s="12">
        <f t="shared" si="6"/>
        <v>0.9263360398</v>
      </c>
      <c r="AB530" s="13">
        <f t="shared" si="7"/>
        <v>0.9876519012</v>
      </c>
      <c r="AC530" s="8">
        <f t="shared" ref="AC530:AC533" si="300">IF(I530,X530*1.5,X530)*IF(S530*T530&gt;0,(S530*T530+0.02),1)</f>
        <v>6696.27989</v>
      </c>
      <c r="AG530" s="7"/>
    </row>
    <row r="531" ht="15.75" hidden="1" customHeight="1">
      <c r="A531" s="16" t="s">
        <v>958</v>
      </c>
      <c r="B531" s="16" t="s">
        <v>940</v>
      </c>
      <c r="C531" s="16">
        <v>1992.0</v>
      </c>
      <c r="D531" s="16"/>
      <c r="E531" s="16">
        <v>1992.0</v>
      </c>
      <c r="F531" s="16" t="b">
        <v>0</v>
      </c>
      <c r="G531" s="16" t="b">
        <v>1</v>
      </c>
      <c r="H531" s="16" t="b">
        <v>0</v>
      </c>
      <c r="I531" s="16" t="b">
        <v>0</v>
      </c>
      <c r="J531" s="16"/>
      <c r="K531" s="16"/>
      <c r="L531" s="16">
        <v>0.0</v>
      </c>
      <c r="M531" s="16">
        <v>6780.0</v>
      </c>
      <c r="N531" s="16">
        <v>74818.0</v>
      </c>
      <c r="O531" s="16">
        <v>14819.0</v>
      </c>
      <c r="P531" s="16"/>
      <c r="Q531" s="16">
        <v>268.0</v>
      </c>
      <c r="R531" s="16">
        <v>6.24</v>
      </c>
      <c r="S531" s="16"/>
      <c r="T531" s="16"/>
      <c r="U531" s="19">
        <f t="shared" si="1"/>
        <v>6780</v>
      </c>
      <c r="V531" s="19">
        <f t="shared" si="2"/>
        <v>20.19724467</v>
      </c>
      <c r="W531" s="20">
        <f t="shared" si="3"/>
        <v>0.4100307804</v>
      </c>
      <c r="X531" s="17">
        <f t="shared" si="299"/>
        <v>6076.246135</v>
      </c>
      <c r="Y531" s="21">
        <f t="shared" si="4"/>
        <v>1.05</v>
      </c>
      <c r="Z531" s="21">
        <f t="shared" si="5"/>
        <v>12456.30458</v>
      </c>
      <c r="AA531" s="21">
        <f t="shared" si="6"/>
        <v>0.8405630998</v>
      </c>
      <c r="AB531" s="22">
        <f t="shared" si="7"/>
        <v>0.8962014948</v>
      </c>
      <c r="AC531" s="17">
        <f t="shared" si="300"/>
        <v>6076.246135</v>
      </c>
      <c r="AG531" s="16"/>
    </row>
    <row r="532" ht="15.75" hidden="1" customHeight="1">
      <c r="A532" s="7" t="s">
        <v>983</v>
      </c>
      <c r="B532" s="7" t="s">
        <v>983</v>
      </c>
      <c r="C532" s="7">
        <v>2012.0</v>
      </c>
      <c r="D532" s="7"/>
      <c r="E532" s="7">
        <v>2012.0</v>
      </c>
      <c r="F532" s="7" t="b">
        <v>0</v>
      </c>
      <c r="G532" s="7" t="b">
        <v>1</v>
      </c>
      <c r="H532" s="7" t="b">
        <v>0</v>
      </c>
      <c r="I532" s="7" t="b">
        <v>0</v>
      </c>
      <c r="J532" s="7"/>
      <c r="K532" s="7"/>
      <c r="L532" s="7">
        <v>8000.0</v>
      </c>
      <c r="M532" s="7">
        <v>0.0</v>
      </c>
      <c r="N532" s="7">
        <v>85500.0</v>
      </c>
      <c r="O532" s="7">
        <v>15800.0</v>
      </c>
      <c r="P532" s="7"/>
      <c r="Q532" s="7">
        <v>266.0</v>
      </c>
      <c r="R532" s="7">
        <v>6.24</v>
      </c>
      <c r="S532" s="7"/>
      <c r="T532" s="7"/>
      <c r="U532" s="10">
        <f t="shared" si="1"/>
        <v>8000</v>
      </c>
      <c r="V532" s="10">
        <f t="shared" si="2"/>
        <v>18.8438785</v>
      </c>
      <c r="W532" s="11">
        <f t="shared" si="3"/>
        <v>0.4159482525</v>
      </c>
      <c r="X532" s="8">
        <f t="shared" si="299"/>
        <v>6571.98239</v>
      </c>
      <c r="Y532" s="12">
        <f t="shared" si="4"/>
        <v>1.05</v>
      </c>
      <c r="Z532" s="12">
        <f t="shared" si="5"/>
        <v>13472.5639</v>
      </c>
      <c r="AA532" s="12">
        <f t="shared" si="6"/>
        <v>0.8526939176</v>
      </c>
      <c r="AB532" s="13">
        <f t="shared" si="7"/>
        <v>0.8214977987</v>
      </c>
      <c r="AC532" s="8">
        <f t="shared" si="300"/>
        <v>6571.98239</v>
      </c>
      <c r="AG532" s="7"/>
    </row>
    <row r="533" ht="15.75" hidden="1" customHeight="1">
      <c r="A533" s="16" t="s">
        <v>907</v>
      </c>
      <c r="B533" s="16" t="s">
        <v>907</v>
      </c>
      <c r="C533" s="16">
        <v>1965.0</v>
      </c>
      <c r="D533" s="16"/>
      <c r="E533" s="16">
        <v>1965.0</v>
      </c>
      <c r="F533" s="16" t="b">
        <v>0</v>
      </c>
      <c r="G533" s="16" t="b">
        <v>1</v>
      </c>
      <c r="H533" s="16" t="b">
        <v>0</v>
      </c>
      <c r="I533" s="16" t="b">
        <v>0</v>
      </c>
      <c r="J533" s="16"/>
      <c r="K533" s="16"/>
      <c r="L533" s="16">
        <v>200.0</v>
      </c>
      <c r="M533" s="16">
        <v>0.0</v>
      </c>
      <c r="N533" s="16">
        <v>68.0</v>
      </c>
      <c r="O533" s="16">
        <v>53.0</v>
      </c>
      <c r="P533" s="16"/>
      <c r="Q533" s="16">
        <v>274.0</v>
      </c>
      <c r="R533" s="16">
        <v>4.1</v>
      </c>
      <c r="S533" s="16"/>
      <c r="T533" s="16"/>
      <c r="U533" s="19">
        <f t="shared" si="1"/>
        <v>200</v>
      </c>
      <c r="V533" s="19">
        <f t="shared" si="2"/>
        <v>79.47788107</v>
      </c>
      <c r="W533" s="20">
        <f t="shared" si="3"/>
        <v>1.590918451</v>
      </c>
      <c r="X533" s="17">
        <f t="shared" si="299"/>
        <v>84.3186779</v>
      </c>
      <c r="Y533" s="21">
        <f t="shared" si="4"/>
        <v>1.05</v>
      </c>
      <c r="Z533" s="21">
        <f t="shared" si="5"/>
        <v>172.8532897</v>
      </c>
      <c r="AA533" s="21">
        <f t="shared" si="6"/>
        <v>3.261382824</v>
      </c>
      <c r="AB533" s="22">
        <f t="shared" si="7"/>
        <v>0.4215933895</v>
      </c>
      <c r="AC533" s="17">
        <f t="shared" si="300"/>
        <v>84.3186779</v>
      </c>
      <c r="AG533" s="16"/>
    </row>
    <row r="534" ht="15.75" customHeight="1">
      <c r="A534" s="16" t="s">
        <v>876</v>
      </c>
      <c r="B534" s="16" t="s">
        <v>877</v>
      </c>
      <c r="C534" s="16">
        <v>2016.0</v>
      </c>
      <c r="D534" s="16" t="b">
        <v>1</v>
      </c>
      <c r="E534" s="16">
        <v>2016.0</v>
      </c>
      <c r="F534" s="16" t="b">
        <v>1</v>
      </c>
      <c r="G534" s="16" t="b">
        <v>0</v>
      </c>
      <c r="H534" s="16" t="b">
        <v>0</v>
      </c>
      <c r="I534" s="16" t="b">
        <v>0</v>
      </c>
      <c r="J534" s="18">
        <v>465.0</v>
      </c>
      <c r="K534" s="16">
        <v>1.0</v>
      </c>
      <c r="L534" s="16">
        <v>1600.0</v>
      </c>
      <c r="M534" s="16">
        <v>0.0</v>
      </c>
      <c r="N534" s="16">
        <v>1375.0</v>
      </c>
      <c r="O534" s="16">
        <v>700.0</v>
      </c>
      <c r="P534" s="18">
        <v>310.2</v>
      </c>
      <c r="Q534" s="16">
        <v>426.0</v>
      </c>
      <c r="R534" s="16">
        <v>10.2</v>
      </c>
      <c r="S534" s="16">
        <v>0.976667</v>
      </c>
      <c r="T534" s="16">
        <v>0.976667</v>
      </c>
      <c r="U534" s="19">
        <f t="shared" si="1"/>
        <v>1600</v>
      </c>
      <c r="V534" s="19">
        <f t="shared" si="2"/>
        <v>51.91282524</v>
      </c>
      <c r="W534" s="20">
        <f t="shared" si="3"/>
        <v>2.502285703</v>
      </c>
      <c r="X534" s="17">
        <f>0.9*(0.00015*N534*Q534*R534+797)+0.1*(43.1*POWER(N534,0.549))</f>
        <v>1751.599992</v>
      </c>
      <c r="Y534" s="21">
        <f t="shared" si="4"/>
        <v>4</v>
      </c>
      <c r="Z534" s="21">
        <f t="shared" si="5"/>
        <v>8757.999961</v>
      </c>
      <c r="AA534" s="21">
        <f t="shared" si="6"/>
        <v>12.51142852</v>
      </c>
      <c r="AB534" s="22">
        <f t="shared" si="7"/>
        <v>1.094749995</v>
      </c>
      <c r="AC534" s="8">
        <f t="shared" ref="AC534:AC549" si="301">X534*IF(I534,1.5,1)*IF(S534*T534&gt;0,(S534*T534+0.02),1)</f>
        <v>1705.845449</v>
      </c>
      <c r="AD534" s="13">
        <f t="shared" ref="AD534:AD549" si="302">IFERROR(AC534/U534,#N/A)</f>
        <v>1.066153405</v>
      </c>
      <c r="AE534" s="8">
        <f t="shared" ref="AE534:AE549" si="303">IF(I534,1.5,1)*IF(S534*T534&gt;0,(S534*T534+0.02),1)*(0.2*(8.17*POWER(N534*R534,0.46))+0.8*(0.146*POWER(N534*Q534,0.639)))</f>
        <v>680.0891912</v>
      </c>
      <c r="AF534" s="73">
        <f t="shared" ref="AF534:AF549" si="304">If(F534,$AT$2*O534*(1-log(O534)*0.04+1/(O534/80)^0.6),$AT$3*O534*(1+1/(O534/12)^0.9-log(O534)*0.03))</f>
        <v>97.30037732</v>
      </c>
      <c r="AG534" s="74" t="str">
        <f t="shared" ref="AG534:AG549" si="305">If(F534,VLOOKUP(E534,#REF!,2),VLOOKUP(E534,#REF!,3))</f>
        <v>#REF!</v>
      </c>
      <c r="AH534" s="73">
        <f t="shared" ref="AH534:AH549" si="306">If(I534,2,0)</f>
        <v>0</v>
      </c>
      <c r="AI534" s="73">
        <f t="shared" ref="AI534:AI549" si="307">1.5-1.5/K534^0.2</f>
        <v>0</v>
      </c>
      <c r="AJ534" s="75">
        <f t="shared" ref="AJ534:AJ549" si="308">If(P534/Q534 &gt; 0.66,1+2.8*(P534/Q534-0.66)^1.5,1)</f>
        <v>1.049835469</v>
      </c>
      <c r="AK534" s="73">
        <f t="shared" ref="AK534:AK549" si="309">Max(0.8,Pow(V534/5,0.5))/4</f>
        <v>0.8055496977</v>
      </c>
      <c r="AL534" s="73">
        <f t="shared" ref="AL534:AL549" si="310">IF(Q534&gt;300,IF(Q534&gt;460.39,7.5*8.5^((Q534/460.4-1)^0.6),6.5^((Q534/150-2)^1.1)),2.8^(Q534/150-2))</f>
        <v>4.688616765</v>
      </c>
      <c r="AM534" s="73">
        <f t="shared" ref="AM534:AM549" si="311">If(ISBLANK(J534),1,2.6*(1-1/((J534*0.05)^0.26)))</f>
        <v>1.452630294</v>
      </c>
      <c r="AN534" s="75">
        <v>487.38</v>
      </c>
      <c r="AO534" s="76">
        <v>490.0</v>
      </c>
      <c r="AP534" s="73">
        <f t="shared" ref="AP534:AP549" si="312">If(MOD(Log10(AO534),1)&gt;0.2,ROUND(AO534,1-INT(LOG10(AO534))), ROUND(2*AO534,1-INT(LOG10(2*AO534)))/2)</f>
        <v>490</v>
      </c>
      <c r="AQ534" s="29" t="str">
        <f t="shared" ref="AQ534:AQ549" si="313">VLOOKUP(A534,#REF!,27,FALSE)</f>
        <v>#REF!</v>
      </c>
      <c r="AR534" s="77" t="str">
        <f t="shared" ref="AR534:AR549" si="314">AP534/AQ534-1</f>
        <v>#REF!</v>
      </c>
      <c r="AS534" s="73"/>
      <c r="AT534" s="39"/>
    </row>
    <row r="535" ht="15.75" customHeight="1">
      <c r="A535" s="7" t="s">
        <v>378</v>
      </c>
      <c r="B535" s="7" t="s">
        <v>369</v>
      </c>
      <c r="C535" s="7">
        <v>2017.0</v>
      </c>
      <c r="D535" s="7"/>
      <c r="E535" s="7">
        <v>2017.0</v>
      </c>
      <c r="F535" s="7" t="b">
        <v>1</v>
      </c>
      <c r="G535" s="7" t="b">
        <v>0</v>
      </c>
      <c r="H535" s="7" t="b">
        <v>0</v>
      </c>
      <c r="I535" s="7" t="b">
        <v>0</v>
      </c>
      <c r="J535" s="9">
        <v>240.0</v>
      </c>
      <c r="K535" s="9">
        <v>4.0</v>
      </c>
      <c r="L535" s="7">
        <v>205.0</v>
      </c>
      <c r="M535" s="7">
        <v>-30.0</v>
      </c>
      <c r="N535" s="7">
        <v>470.0</v>
      </c>
      <c r="O535" s="7">
        <v>914.22</v>
      </c>
      <c r="P535" s="9">
        <v>282.0</v>
      </c>
      <c r="Q535" s="7">
        <v>311.0</v>
      </c>
      <c r="R535" s="7">
        <v>10.8</v>
      </c>
      <c r="S535" s="7">
        <v>0.99976</v>
      </c>
      <c r="T535" s="7">
        <v>0.999276</v>
      </c>
      <c r="U535" s="10">
        <f t="shared" si="1"/>
        <v>175</v>
      </c>
      <c r="V535" s="10">
        <f t="shared" si="2"/>
        <v>198.3499901</v>
      </c>
      <c r="W535" s="11">
        <f t="shared" si="3"/>
        <v>0.3456346418</v>
      </c>
      <c r="X535" s="8">
        <f>0.2*(8.17*POWER(N535*R535,0.46))+0.8*(0.146*POWER(N535*Q535,0.639))</f>
        <v>315.9861022</v>
      </c>
      <c r="Y535" s="12">
        <f t="shared" si="4"/>
        <v>4</v>
      </c>
      <c r="Z535" s="12">
        <f t="shared" si="5"/>
        <v>1579.930511</v>
      </c>
      <c r="AA535" s="12">
        <f t="shared" si="6"/>
        <v>1.728173209</v>
      </c>
      <c r="AB535" s="13">
        <f t="shared" si="7"/>
        <v>1.80563487</v>
      </c>
      <c r="AC535" s="8">
        <f t="shared" si="301"/>
        <v>322.0012686</v>
      </c>
      <c r="AD535" s="13">
        <f t="shared" si="302"/>
        <v>1.840007249</v>
      </c>
      <c r="AE535" s="8">
        <f t="shared" si="303"/>
        <v>322.0012686</v>
      </c>
      <c r="AF535" s="73">
        <f t="shared" si="304"/>
        <v>122.1489444</v>
      </c>
      <c r="AG535" s="74" t="str">
        <f t="shared" si="305"/>
        <v>#REF!</v>
      </c>
      <c r="AH535" s="73">
        <f t="shared" si="306"/>
        <v>0</v>
      </c>
      <c r="AI535" s="73">
        <f t="shared" si="307"/>
        <v>0.3632125751</v>
      </c>
      <c r="AJ535" s="75">
        <f t="shared" si="308"/>
        <v>1.343202261</v>
      </c>
      <c r="AK535" s="73">
        <f t="shared" si="309"/>
        <v>1.574603085</v>
      </c>
      <c r="AL535" s="73">
        <f t="shared" si="310"/>
        <v>1.111492852</v>
      </c>
      <c r="AM535" s="73">
        <f t="shared" si="311"/>
        <v>1.237344028</v>
      </c>
      <c r="AN535" s="75">
        <v>461.27</v>
      </c>
      <c r="AO535" s="76">
        <v>460.0</v>
      </c>
      <c r="AP535" s="73">
        <f t="shared" si="312"/>
        <v>460</v>
      </c>
      <c r="AQ535" s="29" t="str">
        <f t="shared" si="313"/>
        <v>#REF!</v>
      </c>
      <c r="AR535" s="77" t="str">
        <f t="shared" si="314"/>
        <v>#REF!</v>
      </c>
      <c r="AS535" s="73"/>
      <c r="AT535" s="39"/>
    </row>
    <row r="536" ht="15.75" customHeight="1">
      <c r="A536" s="7" t="s">
        <v>676</v>
      </c>
      <c r="B536" s="7" t="s">
        <v>660</v>
      </c>
      <c r="C536" s="7">
        <v>2017.0</v>
      </c>
      <c r="D536" s="7" t="b">
        <v>1</v>
      </c>
      <c r="E536" s="7">
        <v>2017.0</v>
      </c>
      <c r="F536" s="7" t="b">
        <v>1</v>
      </c>
      <c r="G536" s="7" t="b">
        <v>0</v>
      </c>
      <c r="H536" s="7" t="b">
        <v>1</v>
      </c>
      <c r="I536" s="7" t="b">
        <v>1</v>
      </c>
      <c r="J536" s="9">
        <v>10000.0</v>
      </c>
      <c r="K536" s="9">
        <v>50.0</v>
      </c>
      <c r="L536" s="7">
        <v>500.0</v>
      </c>
      <c r="M536" s="7">
        <v>1500.0</v>
      </c>
      <c r="N536" s="7">
        <v>210.0</v>
      </c>
      <c r="O536" s="7">
        <v>67.0</v>
      </c>
      <c r="P536" s="9">
        <v>249.0</v>
      </c>
      <c r="Q536" s="7">
        <v>460.0</v>
      </c>
      <c r="R536" s="7">
        <v>4.2</v>
      </c>
      <c r="S536" s="7">
        <v>0.99995</v>
      </c>
      <c r="T536" s="7">
        <v>0.99995</v>
      </c>
      <c r="U536" s="10">
        <f t="shared" si="1"/>
        <v>2000</v>
      </c>
      <c r="V536" s="10">
        <f t="shared" si="2"/>
        <v>32.53380289</v>
      </c>
      <c r="W536" s="11">
        <f t="shared" si="3"/>
        <v>12.73490275</v>
      </c>
      <c r="X536" s="8">
        <f t="shared" ref="X536:X538" si="315">0.9*(0.00015*N536*Q536*R536+797)+0.1*(43.1*POWER(N536,0.549))</f>
        <v>853.2384839</v>
      </c>
      <c r="Y536" s="12">
        <f t="shared" si="4"/>
        <v>4</v>
      </c>
      <c r="Z536" s="12">
        <f t="shared" si="5"/>
        <v>4266.19242</v>
      </c>
      <c r="AA536" s="12">
        <f t="shared" si="6"/>
        <v>63.67451373</v>
      </c>
      <c r="AB536" s="13">
        <f t="shared" si="7"/>
        <v>0.426619242</v>
      </c>
      <c r="AC536" s="8">
        <f t="shared" si="301"/>
        <v>1305.326898</v>
      </c>
      <c r="AD536" s="13">
        <f t="shared" si="302"/>
        <v>0.6526634489</v>
      </c>
      <c r="AE536" s="8">
        <f t="shared" si="303"/>
        <v>330.4369715</v>
      </c>
      <c r="AF536" s="73">
        <f t="shared" si="304"/>
        <v>16.39536222</v>
      </c>
      <c r="AG536" s="74" t="str">
        <f t="shared" si="305"/>
        <v>#REF!</v>
      </c>
      <c r="AH536" s="73">
        <f t="shared" si="306"/>
        <v>2</v>
      </c>
      <c r="AI536" s="73">
        <f t="shared" si="307"/>
        <v>0.8140424221</v>
      </c>
      <c r="AJ536" s="75">
        <f t="shared" si="308"/>
        <v>1</v>
      </c>
      <c r="AK536" s="73">
        <f t="shared" si="309"/>
        <v>0.6377088177</v>
      </c>
      <c r="AL536" s="73">
        <f t="shared" si="310"/>
        <v>7.459708583</v>
      </c>
      <c r="AM536" s="73">
        <f t="shared" si="311"/>
        <v>2.083296805</v>
      </c>
      <c r="AN536" s="75">
        <v>821.75</v>
      </c>
      <c r="AO536" s="76">
        <v>820.0</v>
      </c>
      <c r="AP536" s="73">
        <f t="shared" si="312"/>
        <v>820</v>
      </c>
      <c r="AQ536" s="29" t="str">
        <f t="shared" si="313"/>
        <v>#REF!</v>
      </c>
      <c r="AR536" s="77" t="str">
        <f t="shared" si="314"/>
        <v>#REF!</v>
      </c>
      <c r="AS536" s="73"/>
      <c r="AT536" s="39"/>
    </row>
    <row r="537" ht="15.75" customHeight="1">
      <c r="A537" s="16" t="s">
        <v>675</v>
      </c>
      <c r="B537" s="16" t="s">
        <v>660</v>
      </c>
      <c r="C537" s="16">
        <v>2017.0</v>
      </c>
      <c r="D537" s="16" t="b">
        <v>1</v>
      </c>
      <c r="E537" s="16">
        <v>2017.0</v>
      </c>
      <c r="F537" s="16" t="b">
        <v>1</v>
      </c>
      <c r="G537" s="16" t="b">
        <v>0</v>
      </c>
      <c r="H537" s="16" t="b">
        <v>1</v>
      </c>
      <c r="I537" s="16" t="b">
        <v>0</v>
      </c>
      <c r="J537" s="18">
        <v>10000.0</v>
      </c>
      <c r="K537" s="18">
        <v>50.0</v>
      </c>
      <c r="L537" s="16">
        <v>500.0</v>
      </c>
      <c r="M537" s="16">
        <v>1500.0</v>
      </c>
      <c r="N537" s="16">
        <v>256.0</v>
      </c>
      <c r="O537" s="16">
        <v>110.0</v>
      </c>
      <c r="P537" s="18">
        <v>1.0</v>
      </c>
      <c r="Q537" s="16">
        <v>465.0</v>
      </c>
      <c r="R537" s="16">
        <v>4.44</v>
      </c>
      <c r="S537" s="16">
        <v>0.99995</v>
      </c>
      <c r="T537" s="16">
        <v>0.99995</v>
      </c>
      <c r="U537" s="19">
        <f t="shared" si="1"/>
        <v>2000</v>
      </c>
      <c r="V537" s="19">
        <f t="shared" si="2"/>
        <v>43.8159309</v>
      </c>
      <c r="W537" s="20">
        <f t="shared" si="3"/>
        <v>7.992206037</v>
      </c>
      <c r="X537" s="17">
        <f t="shared" si="315"/>
        <v>879.1426641</v>
      </c>
      <c r="Y537" s="21">
        <f t="shared" si="4"/>
        <v>4</v>
      </c>
      <c r="Z537" s="21">
        <f t="shared" si="5"/>
        <v>4395.713321</v>
      </c>
      <c r="AA537" s="21">
        <f t="shared" si="6"/>
        <v>39.96103019</v>
      </c>
      <c r="AB537" s="22">
        <f t="shared" si="7"/>
        <v>0.4395713321</v>
      </c>
      <c r="AC537" s="8">
        <f t="shared" si="301"/>
        <v>896.6376053</v>
      </c>
      <c r="AD537" s="13">
        <f t="shared" si="302"/>
        <v>0.4483188027</v>
      </c>
      <c r="AE537" s="8">
        <f t="shared" si="303"/>
        <v>251.0288559</v>
      </c>
      <c r="AF537" s="73">
        <f t="shared" si="304"/>
        <v>23.0263071</v>
      </c>
      <c r="AG537" s="74" t="str">
        <f t="shared" si="305"/>
        <v>#REF!</v>
      </c>
      <c r="AH537" s="73">
        <f t="shared" si="306"/>
        <v>0</v>
      </c>
      <c r="AI537" s="73">
        <f t="shared" si="307"/>
        <v>0.8140424221</v>
      </c>
      <c r="AJ537" s="75">
        <f t="shared" si="308"/>
        <v>1</v>
      </c>
      <c r="AK537" s="73">
        <f t="shared" si="309"/>
        <v>0.7400669809</v>
      </c>
      <c r="AL537" s="73">
        <f t="shared" si="310"/>
        <v>8.583670901</v>
      </c>
      <c r="AM537" s="73">
        <f t="shared" si="311"/>
        <v>2.083296805</v>
      </c>
      <c r="AN537" s="75">
        <v>761.91</v>
      </c>
      <c r="AO537" s="76">
        <v>760.0</v>
      </c>
      <c r="AP537" s="73">
        <f t="shared" si="312"/>
        <v>760</v>
      </c>
      <c r="AQ537" s="29" t="str">
        <f t="shared" si="313"/>
        <v>#REF!</v>
      </c>
      <c r="AR537" s="77" t="str">
        <f t="shared" si="314"/>
        <v>#REF!</v>
      </c>
      <c r="AS537" s="73"/>
      <c r="AT537" s="39"/>
    </row>
    <row r="538" ht="15.75" customHeight="1">
      <c r="A538" s="7" t="s">
        <v>677</v>
      </c>
      <c r="B538" s="7" t="s">
        <v>660</v>
      </c>
      <c r="C538" s="7">
        <v>2017.0</v>
      </c>
      <c r="D538" s="7" t="b">
        <v>1</v>
      </c>
      <c r="E538" s="7">
        <v>2017.0</v>
      </c>
      <c r="F538" s="7" t="b">
        <v>1</v>
      </c>
      <c r="G538" s="7" t="b">
        <v>0</v>
      </c>
      <c r="H538" s="7" t="b">
        <v>1</v>
      </c>
      <c r="I538" s="7" t="b">
        <v>1</v>
      </c>
      <c r="J538" s="9">
        <v>10000.0</v>
      </c>
      <c r="K538" s="9">
        <v>50.0</v>
      </c>
      <c r="L538" s="7">
        <v>500.0</v>
      </c>
      <c r="M538" s="7">
        <v>1500.0</v>
      </c>
      <c r="N538" s="7">
        <v>210.0</v>
      </c>
      <c r="O538" s="7">
        <v>67.0</v>
      </c>
      <c r="P538" s="9">
        <v>88.0</v>
      </c>
      <c r="Q538" s="7">
        <v>360.0</v>
      </c>
      <c r="R538" s="7">
        <v>4.2</v>
      </c>
      <c r="S538" s="7">
        <v>0.99995</v>
      </c>
      <c r="T538" s="7">
        <v>0.99995</v>
      </c>
      <c r="U538" s="10">
        <f t="shared" si="1"/>
        <v>2000</v>
      </c>
      <c r="V538" s="10">
        <f t="shared" si="2"/>
        <v>32.53380289</v>
      </c>
      <c r="W538" s="11">
        <f t="shared" si="3"/>
        <v>12.55718633</v>
      </c>
      <c r="X538" s="8">
        <f t="shared" si="315"/>
        <v>841.3314839</v>
      </c>
      <c r="Y538" s="12">
        <f t="shared" si="4"/>
        <v>4</v>
      </c>
      <c r="Z538" s="12">
        <f t="shared" si="5"/>
        <v>4206.65742</v>
      </c>
      <c r="AA538" s="12">
        <f t="shared" si="6"/>
        <v>62.78593164</v>
      </c>
      <c r="AB538" s="13">
        <f t="shared" si="7"/>
        <v>0.420665742</v>
      </c>
      <c r="AC538" s="8">
        <f t="shared" si="301"/>
        <v>1287.110974</v>
      </c>
      <c r="AD538" s="13">
        <f t="shared" si="302"/>
        <v>0.6435554869</v>
      </c>
      <c r="AE538" s="8">
        <f t="shared" si="303"/>
        <v>290.7354246</v>
      </c>
      <c r="AF538" s="73">
        <f t="shared" si="304"/>
        <v>16.39536222</v>
      </c>
      <c r="AG538" s="74" t="str">
        <f t="shared" si="305"/>
        <v>#REF!</v>
      </c>
      <c r="AH538" s="73">
        <f t="shared" si="306"/>
        <v>2</v>
      </c>
      <c r="AI538" s="73">
        <f t="shared" si="307"/>
        <v>0.8140424221</v>
      </c>
      <c r="AJ538" s="75">
        <f t="shared" si="308"/>
        <v>1</v>
      </c>
      <c r="AK538" s="73">
        <f t="shared" si="309"/>
        <v>0.6377088177</v>
      </c>
      <c r="AL538" s="73">
        <f t="shared" si="310"/>
        <v>1.98013598</v>
      </c>
      <c r="AM538" s="73">
        <f t="shared" si="311"/>
        <v>2.083296805</v>
      </c>
      <c r="AN538" s="75">
        <v>218.13</v>
      </c>
      <c r="AO538" s="76">
        <v>220.0</v>
      </c>
      <c r="AP538" s="73">
        <f t="shared" si="312"/>
        <v>220</v>
      </c>
      <c r="AQ538" s="29" t="str">
        <f t="shared" si="313"/>
        <v>#REF!</v>
      </c>
      <c r="AR538" s="77" t="str">
        <f t="shared" si="314"/>
        <v>#REF!</v>
      </c>
      <c r="AS538" s="73"/>
      <c r="AT538" s="39"/>
    </row>
    <row r="539" ht="15.75" customHeight="1">
      <c r="A539" s="7" t="s">
        <v>717</v>
      </c>
      <c r="B539" s="7" t="s">
        <v>718</v>
      </c>
      <c r="C539" s="7">
        <v>2017.0</v>
      </c>
      <c r="D539" s="7"/>
      <c r="E539" s="7">
        <v>2017.0</v>
      </c>
      <c r="F539" s="7" t="b">
        <v>1</v>
      </c>
      <c r="G539" s="7" t="b">
        <v>0</v>
      </c>
      <c r="H539" s="7" t="b">
        <v>0</v>
      </c>
      <c r="I539" s="7" t="b">
        <v>0</v>
      </c>
      <c r="J539" s="9">
        <v>150.0</v>
      </c>
      <c r="K539" s="9">
        <v>5.0</v>
      </c>
      <c r="L539" s="7">
        <v>21.0</v>
      </c>
      <c r="M539" s="7">
        <v>0.0</v>
      </c>
      <c r="N539" s="7">
        <v>35.0</v>
      </c>
      <c r="O539" s="7">
        <v>26.19</v>
      </c>
      <c r="P539" s="9">
        <v>311.0</v>
      </c>
      <c r="Q539" s="7">
        <v>317.0</v>
      </c>
      <c r="R539" s="7">
        <v>12.0</v>
      </c>
      <c r="S539" s="7">
        <v>0.998624</v>
      </c>
      <c r="T539" s="7">
        <v>0.998624</v>
      </c>
      <c r="U539" s="10">
        <f t="shared" si="1"/>
        <v>21</v>
      </c>
      <c r="V539" s="10">
        <f t="shared" si="2"/>
        <v>76.30390726</v>
      </c>
      <c r="W539" s="11">
        <f t="shared" si="3"/>
        <v>2.718703705</v>
      </c>
      <c r="X539" s="8">
        <f t="shared" ref="X539:X548" si="316">0.2*(8.17*POWER(N539*R539,0.46))+0.8*(0.146*POWER(N539*Q539,0.639))</f>
        <v>71.20285004</v>
      </c>
      <c r="Y539" s="12">
        <f t="shared" si="4"/>
        <v>4</v>
      </c>
      <c r="Z539" s="12">
        <f t="shared" si="5"/>
        <v>356.0142502</v>
      </c>
      <c r="AA539" s="12">
        <f t="shared" si="6"/>
        <v>13.59351853</v>
      </c>
      <c r="AB539" s="13">
        <f t="shared" si="7"/>
        <v>3.390611907</v>
      </c>
      <c r="AC539" s="8">
        <f t="shared" si="301"/>
        <v>72.43109161</v>
      </c>
      <c r="AD539" s="13">
        <f t="shared" si="302"/>
        <v>3.4490996</v>
      </c>
      <c r="AE539" s="8">
        <f t="shared" si="303"/>
        <v>72.43109161</v>
      </c>
      <c r="AF539" s="73">
        <f t="shared" si="304"/>
        <v>9.106235211</v>
      </c>
      <c r="AG539" s="74" t="str">
        <f t="shared" si="305"/>
        <v>#REF!</v>
      </c>
      <c r="AH539" s="73">
        <f t="shared" si="306"/>
        <v>0</v>
      </c>
      <c r="AI539" s="73">
        <f t="shared" si="307"/>
        <v>0.4128305045</v>
      </c>
      <c r="AJ539" s="75">
        <f t="shared" si="308"/>
        <v>1.509404536</v>
      </c>
      <c r="AK539" s="73">
        <f t="shared" si="309"/>
        <v>0.9766262544</v>
      </c>
      <c r="AL539" s="73">
        <f t="shared" si="310"/>
        <v>1.18605089</v>
      </c>
      <c r="AM539" s="73">
        <f t="shared" si="311"/>
        <v>1.060224449</v>
      </c>
      <c r="AN539" s="75">
        <v>26.45</v>
      </c>
      <c r="AO539" s="76">
        <v>26.0</v>
      </c>
      <c r="AP539" s="73">
        <f t="shared" si="312"/>
        <v>26</v>
      </c>
      <c r="AQ539" s="29" t="str">
        <f t="shared" si="313"/>
        <v>#REF!</v>
      </c>
      <c r="AR539" s="77" t="str">
        <f t="shared" si="314"/>
        <v>#REF!</v>
      </c>
      <c r="AS539" s="73"/>
      <c r="AT539" s="39"/>
    </row>
    <row r="540" ht="15.75" customHeight="1">
      <c r="A540" s="16" t="s">
        <v>719</v>
      </c>
      <c r="B540" s="16" t="s">
        <v>720</v>
      </c>
      <c r="C540" s="16">
        <v>2017.0</v>
      </c>
      <c r="D540" s="16"/>
      <c r="E540" s="16">
        <v>2017.0</v>
      </c>
      <c r="F540" s="16" t="b">
        <v>1</v>
      </c>
      <c r="G540" s="16" t="b">
        <v>0</v>
      </c>
      <c r="H540" s="16" t="b">
        <v>1</v>
      </c>
      <c r="I540" s="16" t="b">
        <v>0</v>
      </c>
      <c r="J540" s="18">
        <v>288.0</v>
      </c>
      <c r="K540" s="18">
        <v>5.0</v>
      </c>
      <c r="L540" s="16">
        <v>28.0</v>
      </c>
      <c r="M540" s="16">
        <v>0.0</v>
      </c>
      <c r="N540" s="16">
        <v>40.0</v>
      </c>
      <c r="O540" s="16">
        <v>25.79</v>
      </c>
      <c r="P540" s="18">
        <v>200.0</v>
      </c>
      <c r="Q540" s="16">
        <v>343.0</v>
      </c>
      <c r="R540" s="16">
        <v>12.0</v>
      </c>
      <c r="S540" s="16">
        <v>0.998624</v>
      </c>
      <c r="T540" s="16">
        <v>0.998624</v>
      </c>
      <c r="U540" s="19">
        <f t="shared" si="1"/>
        <v>28</v>
      </c>
      <c r="V540" s="19">
        <f t="shared" si="2"/>
        <v>65.74620264</v>
      </c>
      <c r="W540" s="20">
        <f t="shared" si="3"/>
        <v>3.07851905</v>
      </c>
      <c r="X540" s="17">
        <f t="shared" si="316"/>
        <v>79.3950063</v>
      </c>
      <c r="Y540" s="21">
        <f t="shared" si="4"/>
        <v>4</v>
      </c>
      <c r="Z540" s="21">
        <f t="shared" si="5"/>
        <v>396.9750315</v>
      </c>
      <c r="AA540" s="21">
        <f t="shared" si="6"/>
        <v>15.39259525</v>
      </c>
      <c r="AB540" s="22">
        <f t="shared" si="7"/>
        <v>2.835535939</v>
      </c>
      <c r="AC540" s="8">
        <f t="shared" si="301"/>
        <v>80.76456169</v>
      </c>
      <c r="AD540" s="13">
        <f t="shared" si="302"/>
        <v>2.884448632</v>
      </c>
      <c r="AE540" s="8">
        <f t="shared" si="303"/>
        <v>80.76456169</v>
      </c>
      <c r="AF540" s="73">
        <f t="shared" si="304"/>
        <v>9.024091186</v>
      </c>
      <c r="AG540" s="74" t="str">
        <f t="shared" si="305"/>
        <v>#REF!</v>
      </c>
      <c r="AH540" s="73">
        <f t="shared" si="306"/>
        <v>0</v>
      </c>
      <c r="AI540" s="73">
        <f t="shared" si="307"/>
        <v>0.4128305045</v>
      </c>
      <c r="AJ540" s="75">
        <f t="shared" si="308"/>
        <v>1</v>
      </c>
      <c r="AK540" s="73">
        <f t="shared" si="309"/>
        <v>0.9065470385</v>
      </c>
      <c r="AL540" s="73">
        <f t="shared" si="310"/>
        <v>1.605700065</v>
      </c>
      <c r="AM540" s="73">
        <f t="shared" si="311"/>
        <v>1.300431727</v>
      </c>
      <c r="AN540" s="75">
        <v>27.99</v>
      </c>
      <c r="AO540" s="76">
        <v>28.0</v>
      </c>
      <c r="AP540" s="73">
        <f t="shared" si="312"/>
        <v>28</v>
      </c>
      <c r="AQ540" s="29" t="str">
        <f t="shared" si="313"/>
        <v>#REF!</v>
      </c>
      <c r="AR540" s="77" t="str">
        <f t="shared" si="314"/>
        <v>#REF!</v>
      </c>
      <c r="AS540" s="73"/>
      <c r="AT540" s="39"/>
    </row>
    <row r="541" ht="15.75" customHeight="1">
      <c r="A541" s="7" t="s">
        <v>250</v>
      </c>
      <c r="B541" s="7" t="s">
        <v>251</v>
      </c>
      <c r="C541" s="7">
        <v>2018.0</v>
      </c>
      <c r="D541" s="7"/>
      <c r="E541" s="7">
        <v>2018.0</v>
      </c>
      <c r="F541" s="7" t="b">
        <v>0</v>
      </c>
      <c r="G541" s="7" t="b">
        <v>0</v>
      </c>
      <c r="H541" s="7" t="b">
        <v>0</v>
      </c>
      <c r="I541" s="7" t="b">
        <v>0</v>
      </c>
      <c r="J541" s="9">
        <v>3600.0</v>
      </c>
      <c r="K541" s="9">
        <v>70.0</v>
      </c>
      <c r="L541" s="7">
        <v>200.0</v>
      </c>
      <c r="M541" s="7">
        <v>0.0</v>
      </c>
      <c r="N541" s="7">
        <v>8.41</v>
      </c>
      <c r="O541" s="7">
        <v>1.1</v>
      </c>
      <c r="P541" s="9">
        <v>1.0</v>
      </c>
      <c r="Q541" s="7">
        <v>323.0</v>
      </c>
      <c r="R541" s="7">
        <v>1.03</v>
      </c>
      <c r="S541" s="7">
        <v>0.999814</v>
      </c>
      <c r="T541" s="7">
        <v>0.999442</v>
      </c>
      <c r="U541" s="10">
        <f t="shared" si="1"/>
        <v>200</v>
      </c>
      <c r="V541" s="10">
        <f t="shared" si="2"/>
        <v>13.33754853</v>
      </c>
      <c r="W541" s="11">
        <f t="shared" si="3"/>
        <v>20.62045597</v>
      </c>
      <c r="X541" s="8">
        <f t="shared" si="316"/>
        <v>22.68250157</v>
      </c>
      <c r="Y541" s="12">
        <f t="shared" si="4"/>
        <v>1.75</v>
      </c>
      <c r="Z541" s="12">
        <f t="shared" si="5"/>
        <v>62.37687931</v>
      </c>
      <c r="AA541" s="12">
        <f t="shared" si="6"/>
        <v>56.70625391</v>
      </c>
      <c r="AB541" s="13">
        <f t="shared" si="7"/>
        <v>0.1134125078</v>
      </c>
      <c r="AC541" s="8">
        <f t="shared" si="301"/>
        <v>23.11927817</v>
      </c>
      <c r="AD541" s="13">
        <f t="shared" si="302"/>
        <v>0.1155963908</v>
      </c>
      <c r="AE541" s="8">
        <f t="shared" si="303"/>
        <v>23.11927817</v>
      </c>
      <c r="AF541" s="73">
        <f t="shared" si="304"/>
        <v>2.320558665</v>
      </c>
      <c r="AG541" s="74" t="str">
        <f t="shared" si="305"/>
        <v>#REF!</v>
      </c>
      <c r="AH541" s="73">
        <f t="shared" si="306"/>
        <v>0</v>
      </c>
      <c r="AI541" s="73">
        <f t="shared" si="307"/>
        <v>0.8586846262</v>
      </c>
      <c r="AJ541" s="75">
        <f t="shared" si="308"/>
        <v>1</v>
      </c>
      <c r="AK541" s="73">
        <f t="shared" si="309"/>
        <v>0.4083128171</v>
      </c>
      <c r="AL541" s="73">
        <f t="shared" si="310"/>
        <v>1.268628016</v>
      </c>
      <c r="AM541" s="73">
        <f t="shared" si="311"/>
        <v>1.926089075</v>
      </c>
      <c r="AN541" s="75">
        <v>9.07</v>
      </c>
      <c r="AO541" s="76">
        <v>9.1</v>
      </c>
      <c r="AP541" s="73">
        <f t="shared" si="312"/>
        <v>9.1</v>
      </c>
      <c r="AQ541" s="29" t="str">
        <f t="shared" si="313"/>
        <v>#REF!</v>
      </c>
      <c r="AR541" s="77" t="str">
        <f t="shared" si="314"/>
        <v>#REF!</v>
      </c>
      <c r="AS541" s="73"/>
      <c r="AT541" s="39"/>
    </row>
    <row r="542" ht="15.75" customHeight="1">
      <c r="A542" s="7" t="s">
        <v>716</v>
      </c>
      <c r="B542" s="7" t="s">
        <v>715</v>
      </c>
      <c r="C542" s="7">
        <v>2018.0</v>
      </c>
      <c r="D542" s="7"/>
      <c r="E542" s="7">
        <v>2018.0</v>
      </c>
      <c r="F542" s="7" t="b">
        <v>0</v>
      </c>
      <c r="G542" s="7" t="b">
        <v>0</v>
      </c>
      <c r="H542" s="7" t="b">
        <v>0</v>
      </c>
      <c r="I542" s="7" t="b">
        <v>0</v>
      </c>
      <c r="J542" s="7"/>
      <c r="K542" s="7">
        <v>1.0</v>
      </c>
      <c r="L542" s="7">
        <v>200.0</v>
      </c>
      <c r="M542" s="7">
        <v>0.0</v>
      </c>
      <c r="N542" s="7">
        <v>250.0</v>
      </c>
      <c r="O542" s="7">
        <v>193.49</v>
      </c>
      <c r="P542" s="9">
        <v>230.0</v>
      </c>
      <c r="Q542" s="7">
        <v>252.0</v>
      </c>
      <c r="R542" s="7">
        <v>4.45</v>
      </c>
      <c r="S542" s="9">
        <v>1.0</v>
      </c>
      <c r="T542" s="9">
        <v>1.0</v>
      </c>
      <c r="U542" s="10">
        <f t="shared" si="1"/>
        <v>200</v>
      </c>
      <c r="V542" s="10">
        <f t="shared" si="2"/>
        <v>78.92195579</v>
      </c>
      <c r="W542" s="11">
        <f t="shared" si="3"/>
        <v>0.9167449896</v>
      </c>
      <c r="X542" s="8">
        <f t="shared" si="316"/>
        <v>177.380988</v>
      </c>
      <c r="Y542" s="12">
        <f t="shared" si="4"/>
        <v>1.75</v>
      </c>
      <c r="Z542" s="12">
        <f t="shared" si="5"/>
        <v>487.7977171</v>
      </c>
      <c r="AA542" s="12">
        <f t="shared" si="6"/>
        <v>2.521048721</v>
      </c>
      <c r="AB542" s="13">
        <f t="shared" si="7"/>
        <v>0.8869049402</v>
      </c>
      <c r="AC542" s="8">
        <f t="shared" si="301"/>
        <v>180.9286078</v>
      </c>
      <c r="AD542" s="13">
        <f t="shared" si="302"/>
        <v>0.904643039</v>
      </c>
      <c r="AE542" s="8">
        <f t="shared" si="303"/>
        <v>180.9286078</v>
      </c>
      <c r="AF542" s="73">
        <f t="shared" si="304"/>
        <v>43.13385415</v>
      </c>
      <c r="AG542" s="74" t="str">
        <f t="shared" si="305"/>
        <v>#REF!</v>
      </c>
      <c r="AH542" s="73">
        <f t="shared" si="306"/>
        <v>0</v>
      </c>
      <c r="AI542" s="73">
        <f t="shared" si="307"/>
        <v>0</v>
      </c>
      <c r="AJ542" s="75">
        <f t="shared" si="308"/>
        <v>1.35568193</v>
      </c>
      <c r="AK542" s="73">
        <f t="shared" si="309"/>
        <v>0.9932393706</v>
      </c>
      <c r="AL542" s="73">
        <f t="shared" si="310"/>
        <v>0.719298956</v>
      </c>
      <c r="AM542" s="73">
        <f t="shared" si="311"/>
        <v>1</v>
      </c>
      <c r="AN542" s="75">
        <v>60.55</v>
      </c>
      <c r="AO542" s="76">
        <v>61.0</v>
      </c>
      <c r="AP542" s="73">
        <f t="shared" si="312"/>
        <v>61</v>
      </c>
      <c r="AQ542" s="29" t="str">
        <f t="shared" si="313"/>
        <v>#REF!</v>
      </c>
      <c r="AR542" s="77" t="str">
        <f t="shared" si="314"/>
        <v>#REF!</v>
      </c>
      <c r="AS542" s="73"/>
      <c r="AT542" s="39"/>
    </row>
    <row r="543" ht="15.75" customHeight="1">
      <c r="A543" s="16" t="s">
        <v>714</v>
      </c>
      <c r="B543" s="16" t="s">
        <v>715</v>
      </c>
      <c r="C543" s="16">
        <v>2018.0</v>
      </c>
      <c r="D543" s="16"/>
      <c r="E543" s="16">
        <v>2018.0</v>
      </c>
      <c r="F543" s="16" t="b">
        <v>0</v>
      </c>
      <c r="G543" s="16" t="b">
        <v>0</v>
      </c>
      <c r="H543" s="16" t="b">
        <v>0</v>
      </c>
      <c r="I543" s="16" t="b">
        <v>0</v>
      </c>
      <c r="J543" s="16"/>
      <c r="K543" s="16">
        <v>1.0</v>
      </c>
      <c r="L543" s="16">
        <v>200.0</v>
      </c>
      <c r="M543" s="16">
        <v>0.0</v>
      </c>
      <c r="N543" s="16">
        <v>250.0</v>
      </c>
      <c r="O543" s="16">
        <v>255.77</v>
      </c>
      <c r="P543" s="18">
        <v>222.0</v>
      </c>
      <c r="Q543" s="16">
        <v>244.0</v>
      </c>
      <c r="R543" s="16">
        <v>4.45</v>
      </c>
      <c r="S543" s="18">
        <v>1.0</v>
      </c>
      <c r="T543" s="18">
        <v>1.0</v>
      </c>
      <c r="U543" s="19">
        <f t="shared" si="1"/>
        <v>200</v>
      </c>
      <c r="V543" s="19">
        <f t="shared" si="2"/>
        <v>104.325126</v>
      </c>
      <c r="W543" s="20">
        <f t="shared" si="3"/>
        <v>0.6826513104</v>
      </c>
      <c r="X543" s="17">
        <f t="shared" si="316"/>
        <v>174.6017257</v>
      </c>
      <c r="Y543" s="21">
        <f t="shared" si="4"/>
        <v>1.75</v>
      </c>
      <c r="Z543" s="21">
        <f t="shared" si="5"/>
        <v>480.1547456</v>
      </c>
      <c r="AA543" s="21">
        <f t="shared" si="6"/>
        <v>1.877291104</v>
      </c>
      <c r="AB543" s="22">
        <f t="shared" si="7"/>
        <v>0.8730086283</v>
      </c>
      <c r="AC543" s="8">
        <f t="shared" si="301"/>
        <v>178.0937602</v>
      </c>
      <c r="AD543" s="13">
        <f t="shared" si="302"/>
        <v>0.8904688009</v>
      </c>
      <c r="AE543" s="8">
        <f t="shared" si="303"/>
        <v>178.0937602</v>
      </c>
      <c r="AF543" s="73">
        <f t="shared" si="304"/>
        <v>55.78960056</v>
      </c>
      <c r="AG543" s="74" t="str">
        <f t="shared" si="305"/>
        <v>#REF!</v>
      </c>
      <c r="AH543" s="73">
        <f t="shared" si="306"/>
        <v>0</v>
      </c>
      <c r="AI543" s="73">
        <f t="shared" si="307"/>
        <v>0</v>
      </c>
      <c r="AJ543" s="75">
        <f t="shared" si="308"/>
        <v>1.349655794</v>
      </c>
      <c r="AK543" s="73">
        <f t="shared" si="309"/>
        <v>1.141956249</v>
      </c>
      <c r="AL543" s="73">
        <f t="shared" si="310"/>
        <v>0.6808649873</v>
      </c>
      <c r="AM543" s="73">
        <f t="shared" si="311"/>
        <v>1</v>
      </c>
      <c r="AN543" s="75">
        <v>79.31</v>
      </c>
      <c r="AO543" s="76">
        <v>79.0</v>
      </c>
      <c r="AP543" s="73">
        <f t="shared" si="312"/>
        <v>79</v>
      </c>
      <c r="AQ543" s="29" t="str">
        <f t="shared" si="313"/>
        <v>#REF!</v>
      </c>
      <c r="AR543" s="77" t="str">
        <f t="shared" si="314"/>
        <v>#REF!</v>
      </c>
      <c r="AS543" s="73"/>
      <c r="AT543" s="39"/>
    </row>
    <row r="544" ht="15.75" customHeight="1">
      <c r="A544" s="16" t="s">
        <v>780</v>
      </c>
      <c r="B544" s="16" t="s">
        <v>780</v>
      </c>
      <c r="C544" s="16">
        <v>2018.0</v>
      </c>
      <c r="D544" s="16"/>
      <c r="E544" s="16">
        <v>2018.0</v>
      </c>
      <c r="F544" s="16" t="b">
        <v>0</v>
      </c>
      <c r="G544" s="16" t="b">
        <v>0</v>
      </c>
      <c r="H544" s="16" t="b">
        <v>0</v>
      </c>
      <c r="I544" s="16" t="b">
        <v>0</v>
      </c>
      <c r="J544" s="18">
        <v>350.0</v>
      </c>
      <c r="K544" s="18">
        <v>999.0</v>
      </c>
      <c r="L544" s="16">
        <v>62.0</v>
      </c>
      <c r="M544" s="16">
        <v>0.0</v>
      </c>
      <c r="N544" s="16">
        <v>65.0</v>
      </c>
      <c r="O544" s="16">
        <v>85.0</v>
      </c>
      <c r="P544" s="18">
        <v>240.0</v>
      </c>
      <c r="Q544" s="16">
        <v>280.0</v>
      </c>
      <c r="R544" s="16">
        <v>6.89</v>
      </c>
      <c r="S544" s="16">
        <v>0.995</v>
      </c>
      <c r="T544" s="16">
        <v>0.995</v>
      </c>
      <c r="U544" s="19">
        <f t="shared" si="1"/>
        <v>62</v>
      </c>
      <c r="V544" s="19">
        <f t="shared" si="2"/>
        <v>133.3475044</v>
      </c>
      <c r="W544" s="20">
        <f t="shared" si="3"/>
        <v>1.043465052</v>
      </c>
      <c r="X544" s="17">
        <f t="shared" si="316"/>
        <v>88.69452944</v>
      </c>
      <c r="Y544" s="21">
        <f t="shared" si="4"/>
        <v>1.75</v>
      </c>
      <c r="Z544" s="21">
        <f t="shared" si="5"/>
        <v>243.909956</v>
      </c>
      <c r="AA544" s="21">
        <f t="shared" si="6"/>
        <v>2.869528894</v>
      </c>
      <c r="AB544" s="22">
        <f t="shared" si="7"/>
        <v>1.430556927</v>
      </c>
      <c r="AC544" s="8">
        <f t="shared" si="301"/>
        <v>89.5836921</v>
      </c>
      <c r="AD544" s="13">
        <f t="shared" si="302"/>
        <v>1.44489826</v>
      </c>
      <c r="AE544" s="8">
        <f t="shared" si="303"/>
        <v>89.5836921</v>
      </c>
      <c r="AF544" s="73">
        <f t="shared" si="304"/>
        <v>20.82850275</v>
      </c>
      <c r="AG544" s="74" t="str">
        <f t="shared" si="305"/>
        <v>#REF!</v>
      </c>
      <c r="AH544" s="73">
        <f t="shared" si="306"/>
        <v>0</v>
      </c>
      <c r="AI544" s="73">
        <f t="shared" si="307"/>
        <v>1.123141633</v>
      </c>
      <c r="AJ544" s="75">
        <f t="shared" si="308"/>
        <v>1.245092263</v>
      </c>
      <c r="AK544" s="73">
        <f t="shared" si="309"/>
        <v>1.291063052</v>
      </c>
      <c r="AL544" s="73">
        <f t="shared" si="310"/>
        <v>0.8717238518</v>
      </c>
      <c r="AM544" s="73">
        <f t="shared" si="311"/>
        <v>1.364668672</v>
      </c>
      <c r="AN544" s="75">
        <v>57.66</v>
      </c>
      <c r="AO544" s="76">
        <v>58.0</v>
      </c>
      <c r="AP544" s="73">
        <f t="shared" si="312"/>
        <v>58</v>
      </c>
      <c r="AQ544" s="29" t="str">
        <f t="shared" si="313"/>
        <v>#REF!</v>
      </c>
      <c r="AR544" s="77" t="str">
        <f t="shared" si="314"/>
        <v>#REF!</v>
      </c>
      <c r="AS544" s="73"/>
      <c r="AT544" s="39"/>
    </row>
    <row r="545" ht="15.75" customHeight="1">
      <c r="A545" s="16" t="s">
        <v>52</v>
      </c>
      <c r="B545" s="16" t="s">
        <v>51</v>
      </c>
      <c r="C545" s="16">
        <v>2018.0</v>
      </c>
      <c r="D545" s="16"/>
      <c r="E545" s="16">
        <v>2018.0</v>
      </c>
      <c r="F545" s="16" t="b">
        <v>1</v>
      </c>
      <c r="G545" s="16" t="b">
        <v>0</v>
      </c>
      <c r="H545" s="16" t="b">
        <v>0</v>
      </c>
      <c r="I545" s="16" t="b">
        <v>0</v>
      </c>
      <c r="J545" s="18">
        <v>2500.0</v>
      </c>
      <c r="K545" s="18">
        <v>20.0</v>
      </c>
      <c r="L545" s="16"/>
      <c r="M545" s="16">
        <v>100.0</v>
      </c>
      <c r="N545" s="16">
        <v>138.0</v>
      </c>
      <c r="O545" s="16">
        <v>55.4</v>
      </c>
      <c r="P545" s="18">
        <v>113.0</v>
      </c>
      <c r="Q545" s="16">
        <v>340.0</v>
      </c>
      <c r="R545" s="16">
        <v>6.0</v>
      </c>
      <c r="S545" s="16">
        <v>0.98</v>
      </c>
      <c r="T545" s="16">
        <v>0.985</v>
      </c>
      <c r="U545" s="19">
        <f t="shared" si="1"/>
        <v>100</v>
      </c>
      <c r="V545" s="19">
        <f t="shared" si="2"/>
        <v>40.93643336</v>
      </c>
      <c r="W545" s="20">
        <f t="shared" si="3"/>
        <v>2.685406287</v>
      </c>
      <c r="X545" s="17">
        <f t="shared" si="316"/>
        <v>148.7715083</v>
      </c>
      <c r="Y545" s="21">
        <f t="shared" si="4"/>
        <v>4</v>
      </c>
      <c r="Z545" s="21">
        <f t="shared" si="5"/>
        <v>743.8575414</v>
      </c>
      <c r="AA545" s="21">
        <f t="shared" si="6"/>
        <v>13.42703143</v>
      </c>
      <c r="AB545" s="22">
        <f t="shared" si="7"/>
        <v>1.487715083</v>
      </c>
      <c r="AC545" s="8">
        <f t="shared" si="301"/>
        <v>146.5845671</v>
      </c>
      <c r="AD545" s="13">
        <f t="shared" si="302"/>
        <v>1.465845671</v>
      </c>
      <c r="AE545" s="8">
        <f t="shared" si="303"/>
        <v>146.5845671</v>
      </c>
      <c r="AF545" s="73">
        <f t="shared" si="304"/>
        <v>14.47216363</v>
      </c>
      <c r="AG545" s="74" t="str">
        <f t="shared" si="305"/>
        <v>#REF!</v>
      </c>
      <c r="AH545" s="73">
        <f t="shared" si="306"/>
        <v>0</v>
      </c>
      <c r="AI545" s="73">
        <f t="shared" si="307"/>
        <v>0.6760795925</v>
      </c>
      <c r="AJ545" s="75">
        <f t="shared" si="308"/>
        <v>1</v>
      </c>
      <c r="AK545" s="73">
        <f t="shared" si="309"/>
        <v>0.715335877</v>
      </c>
      <c r="AL545" s="73">
        <f t="shared" si="310"/>
        <v>1.548592413</v>
      </c>
      <c r="AM545" s="73">
        <f t="shared" si="311"/>
        <v>1.859070742</v>
      </c>
      <c r="AN545" s="75">
        <v>42.01</v>
      </c>
      <c r="AO545" s="76">
        <v>42.0</v>
      </c>
      <c r="AP545" s="73">
        <f t="shared" si="312"/>
        <v>42</v>
      </c>
      <c r="AQ545" s="29" t="str">
        <f t="shared" si="313"/>
        <v>#REF!</v>
      </c>
      <c r="AR545" s="77" t="str">
        <f t="shared" si="314"/>
        <v>#REF!</v>
      </c>
      <c r="AS545" s="73"/>
      <c r="AT545" s="39"/>
    </row>
    <row r="546" ht="15.75" customHeight="1">
      <c r="A546" s="16" t="s">
        <v>102</v>
      </c>
      <c r="B546" s="16" t="s">
        <v>103</v>
      </c>
      <c r="C546" s="16">
        <v>2018.0</v>
      </c>
      <c r="D546" s="16" t="b">
        <v>0</v>
      </c>
      <c r="E546" s="16">
        <v>2018.0</v>
      </c>
      <c r="F546" s="16" t="b">
        <v>1</v>
      </c>
      <c r="G546" s="16" t="b">
        <v>0</v>
      </c>
      <c r="H546" s="16" t="b">
        <v>0</v>
      </c>
      <c r="I546" s="16" t="b">
        <v>0</v>
      </c>
      <c r="J546" s="18">
        <v>450.0</v>
      </c>
      <c r="K546" s="16">
        <v>1.0</v>
      </c>
      <c r="L546" s="16">
        <v>1350.0</v>
      </c>
      <c r="M546" s="16">
        <v>0.0</v>
      </c>
      <c r="N546" s="16">
        <v>2850.0</v>
      </c>
      <c r="O546" s="16">
        <v>2487.0</v>
      </c>
      <c r="P546" s="18">
        <v>305.0</v>
      </c>
      <c r="Q546" s="16">
        <v>337.0</v>
      </c>
      <c r="R546" s="16">
        <v>26.66</v>
      </c>
      <c r="S546" s="16">
        <v>0.9975</v>
      </c>
      <c r="T546" s="16">
        <v>0.9975</v>
      </c>
      <c r="U546" s="19">
        <f t="shared" si="1"/>
        <v>1350</v>
      </c>
      <c r="V546" s="19">
        <f t="shared" si="2"/>
        <v>88.98365664</v>
      </c>
      <c r="W546" s="20">
        <f t="shared" si="3"/>
        <v>0.4278289858</v>
      </c>
      <c r="X546" s="17">
        <f t="shared" si="316"/>
        <v>1064.010688</v>
      </c>
      <c r="Y546" s="21">
        <f t="shared" si="4"/>
        <v>4</v>
      </c>
      <c r="Z546" s="21">
        <f t="shared" si="5"/>
        <v>5320.053438</v>
      </c>
      <c r="AA546" s="21">
        <f t="shared" si="6"/>
        <v>2.139144929</v>
      </c>
      <c r="AB546" s="22">
        <f t="shared" si="7"/>
        <v>0.7881560649</v>
      </c>
      <c r="AC546" s="8">
        <f t="shared" si="301"/>
        <v>1079.977498</v>
      </c>
      <c r="AD546" s="13">
        <f t="shared" si="302"/>
        <v>0.7999833319</v>
      </c>
      <c r="AE546" s="8">
        <f t="shared" si="303"/>
        <v>1079.977498</v>
      </c>
      <c r="AF546" s="73">
        <f t="shared" si="304"/>
        <v>295.8619757</v>
      </c>
      <c r="AG546" s="74" t="str">
        <f t="shared" si="305"/>
        <v>#REF!</v>
      </c>
      <c r="AH546" s="73">
        <f t="shared" si="306"/>
        <v>0</v>
      </c>
      <c r="AI546" s="73">
        <f t="shared" si="307"/>
        <v>0</v>
      </c>
      <c r="AJ546" s="75">
        <f t="shared" si="308"/>
        <v>1.339645213</v>
      </c>
      <c r="AK546" s="73">
        <f t="shared" si="309"/>
        <v>1.054654307</v>
      </c>
      <c r="AL546" s="73">
        <f t="shared" si="310"/>
        <v>1.493920364</v>
      </c>
      <c r="AM546" s="73">
        <f t="shared" si="311"/>
        <v>1.442806746</v>
      </c>
      <c r="AN546" s="75">
        <v>1053.38</v>
      </c>
      <c r="AO546" s="76">
        <v>1050.0</v>
      </c>
      <c r="AP546" s="73">
        <f t="shared" si="312"/>
        <v>1050</v>
      </c>
      <c r="AQ546" s="29" t="str">
        <f t="shared" si="313"/>
        <v>#REF!</v>
      </c>
      <c r="AR546" s="77" t="str">
        <f t="shared" si="314"/>
        <v>#REF!</v>
      </c>
      <c r="AS546" s="73"/>
      <c r="AT546" s="39"/>
    </row>
    <row r="547" ht="15.75" customHeight="1">
      <c r="A547" s="16" t="s">
        <v>569</v>
      </c>
      <c r="B547" s="16" t="s">
        <v>566</v>
      </c>
      <c r="C547" s="16">
        <v>2018.0</v>
      </c>
      <c r="D547" s="16"/>
      <c r="E547" s="16">
        <v>2018.0</v>
      </c>
      <c r="F547" s="16" t="b">
        <v>1</v>
      </c>
      <c r="G547" s="16" t="b">
        <v>0</v>
      </c>
      <c r="H547" s="16" t="b">
        <v>0</v>
      </c>
      <c r="I547" s="16" t="b">
        <v>0</v>
      </c>
      <c r="J547" s="18">
        <v>300.0</v>
      </c>
      <c r="K547" s="16">
        <v>1.0</v>
      </c>
      <c r="L547" s="16">
        <v>858.0</v>
      </c>
      <c r="M547" s="16">
        <v>0.0</v>
      </c>
      <c r="N547" s="16">
        <v>2200.0</v>
      </c>
      <c r="O547" s="16">
        <v>2085.0</v>
      </c>
      <c r="P547" s="18">
        <v>311.9</v>
      </c>
      <c r="Q547" s="16">
        <v>339.2</v>
      </c>
      <c r="R547" s="16">
        <v>25.75</v>
      </c>
      <c r="S547" s="16">
        <v>0.996354</v>
      </c>
      <c r="T547" s="16">
        <v>0.996354</v>
      </c>
      <c r="U547" s="19">
        <f t="shared" si="1"/>
        <v>858</v>
      </c>
      <c r="V547" s="19">
        <f t="shared" si="2"/>
        <v>96.64128627</v>
      </c>
      <c r="W547" s="20">
        <f t="shared" si="3"/>
        <v>0.4374318681</v>
      </c>
      <c r="X547" s="17">
        <f t="shared" si="316"/>
        <v>912.0454451</v>
      </c>
      <c r="Y547" s="21">
        <f t="shared" si="4"/>
        <v>4</v>
      </c>
      <c r="Z547" s="21">
        <f t="shared" si="5"/>
        <v>4560.227225</v>
      </c>
      <c r="AA547" s="21">
        <f t="shared" si="6"/>
        <v>2.187159341</v>
      </c>
      <c r="AB547" s="22">
        <f t="shared" si="7"/>
        <v>1.062990029</v>
      </c>
      <c r="AC547" s="8">
        <f t="shared" si="301"/>
        <v>923.6478427</v>
      </c>
      <c r="AD547" s="13">
        <f t="shared" si="302"/>
        <v>1.076512637</v>
      </c>
      <c r="AE547" s="8">
        <f t="shared" si="303"/>
        <v>923.6478427</v>
      </c>
      <c r="AF547" s="73">
        <f t="shared" si="304"/>
        <v>252.3558564</v>
      </c>
      <c r="AG547" s="74" t="str">
        <f t="shared" si="305"/>
        <v>#REF!</v>
      </c>
      <c r="AH547" s="73">
        <f t="shared" si="306"/>
        <v>0</v>
      </c>
      <c r="AI547" s="73">
        <f t="shared" si="307"/>
        <v>0</v>
      </c>
      <c r="AJ547" s="75">
        <f t="shared" si="308"/>
        <v>1.370173664</v>
      </c>
      <c r="AK547" s="73">
        <f t="shared" si="309"/>
        <v>1.099097847</v>
      </c>
      <c r="AL547" s="73">
        <f t="shared" si="310"/>
        <v>1.533778742</v>
      </c>
      <c r="AM547" s="73">
        <f t="shared" si="311"/>
        <v>1.314152039</v>
      </c>
      <c r="AN547" s="75">
        <v>837.77</v>
      </c>
      <c r="AO547" s="76">
        <v>840.0</v>
      </c>
      <c r="AP547" s="73">
        <f t="shared" si="312"/>
        <v>840</v>
      </c>
      <c r="AQ547" s="29" t="str">
        <f t="shared" si="313"/>
        <v>#REF!</v>
      </c>
      <c r="AR547" s="77" t="str">
        <f t="shared" si="314"/>
        <v>#REF!</v>
      </c>
      <c r="AS547" s="73"/>
      <c r="AT547" s="39"/>
    </row>
    <row r="548" ht="15.75" customHeight="1">
      <c r="A548" s="7" t="s">
        <v>253</v>
      </c>
      <c r="B548" s="7" t="s">
        <v>252</v>
      </c>
      <c r="C548" s="7">
        <v>2020.0</v>
      </c>
      <c r="D548" s="7"/>
      <c r="E548" s="7">
        <v>2020.0</v>
      </c>
      <c r="F548" s="7" t="b">
        <v>0</v>
      </c>
      <c r="G548" s="7" t="b">
        <v>0</v>
      </c>
      <c r="H548" s="7" t="b">
        <v>1</v>
      </c>
      <c r="I548" s="7" t="b">
        <v>0</v>
      </c>
      <c r="J548" s="9">
        <v>560.0</v>
      </c>
      <c r="K548" s="9">
        <v>999.0</v>
      </c>
      <c r="L548" s="7">
        <v>550.0</v>
      </c>
      <c r="M548" s="7">
        <v>150.0</v>
      </c>
      <c r="N548" s="7">
        <v>95.0</v>
      </c>
      <c r="O548" s="7">
        <v>24.5</v>
      </c>
      <c r="P548" s="9">
        <v>72.0</v>
      </c>
      <c r="Q548" s="7">
        <v>356.0</v>
      </c>
      <c r="R548" s="7">
        <v>1.33</v>
      </c>
      <c r="S548" s="7">
        <v>0.998889</v>
      </c>
      <c r="T548" s="7">
        <v>0.997778</v>
      </c>
      <c r="U548" s="10">
        <f t="shared" si="1"/>
        <v>700</v>
      </c>
      <c r="V548" s="10">
        <f t="shared" si="2"/>
        <v>26.29794436</v>
      </c>
      <c r="W548" s="11">
        <f t="shared" si="3"/>
        <v>4.35384862</v>
      </c>
      <c r="X548" s="8">
        <f t="shared" si="316"/>
        <v>106.6692912</v>
      </c>
      <c r="Y548" s="12">
        <f t="shared" si="4"/>
        <v>1.75</v>
      </c>
      <c r="Z548" s="12">
        <f t="shared" si="5"/>
        <v>293.3405508</v>
      </c>
      <c r="AA548" s="12">
        <f t="shared" si="6"/>
        <v>11.97308371</v>
      </c>
      <c r="AB548" s="13">
        <f t="shared" si="7"/>
        <v>0.1523847017</v>
      </c>
      <c r="AC548" s="8">
        <f t="shared" si="301"/>
        <v>108.4474116</v>
      </c>
      <c r="AD548" s="13">
        <f t="shared" si="302"/>
        <v>0.1549248737</v>
      </c>
      <c r="AE548" s="8">
        <f t="shared" si="303"/>
        <v>108.4474116</v>
      </c>
      <c r="AF548" s="73">
        <f t="shared" si="304"/>
        <v>8.000693994</v>
      </c>
      <c r="AG548" s="74" t="str">
        <f t="shared" si="305"/>
        <v>#REF!</v>
      </c>
      <c r="AH548" s="73">
        <f t="shared" si="306"/>
        <v>0</v>
      </c>
      <c r="AI548" s="73">
        <f t="shared" si="307"/>
        <v>1.123141633</v>
      </c>
      <c r="AJ548" s="75">
        <f t="shared" si="308"/>
        <v>1</v>
      </c>
      <c r="AK548" s="73">
        <f t="shared" si="309"/>
        <v>0.5733448391</v>
      </c>
      <c r="AL548" s="73">
        <f t="shared" si="310"/>
        <v>1.883698555</v>
      </c>
      <c r="AM548" s="73">
        <f t="shared" si="311"/>
        <v>1.50676819</v>
      </c>
      <c r="AN548" s="75">
        <v>38.15</v>
      </c>
      <c r="AO548" s="76">
        <v>38.0</v>
      </c>
      <c r="AP548" s="73">
        <f t="shared" si="312"/>
        <v>38</v>
      </c>
      <c r="AQ548" s="29" t="str">
        <f t="shared" si="313"/>
        <v>#REF!</v>
      </c>
      <c r="AR548" s="77" t="str">
        <f t="shared" si="314"/>
        <v>#REF!</v>
      </c>
      <c r="AS548" s="73"/>
      <c r="AT548" s="39"/>
    </row>
    <row r="549" ht="15.75" customHeight="1">
      <c r="A549" s="7" t="s">
        <v>108</v>
      </c>
      <c r="B549" s="7" t="s">
        <v>109</v>
      </c>
      <c r="C549" s="7">
        <v>2020.0</v>
      </c>
      <c r="D549" s="7" t="b">
        <v>1</v>
      </c>
      <c r="E549" s="7">
        <v>2020.0</v>
      </c>
      <c r="F549" s="7" t="b">
        <v>1</v>
      </c>
      <c r="G549" s="7" t="b">
        <v>0</v>
      </c>
      <c r="H549" s="7" t="b">
        <v>0</v>
      </c>
      <c r="I549" s="7" t="b">
        <v>0</v>
      </c>
      <c r="J549" s="7"/>
      <c r="K549" s="7">
        <v>1.0</v>
      </c>
      <c r="L549" s="7">
        <v>5000.0</v>
      </c>
      <c r="M549" s="7">
        <v>0.0</v>
      </c>
      <c r="N549" s="7">
        <v>3300.0</v>
      </c>
      <c r="O549" s="7">
        <v>2319.9</v>
      </c>
      <c r="P549" s="7"/>
      <c r="Q549" s="7">
        <v>452.3</v>
      </c>
      <c r="R549" s="7">
        <v>20.64</v>
      </c>
      <c r="S549" s="9">
        <v>1.0</v>
      </c>
      <c r="T549" s="9">
        <v>1.0</v>
      </c>
      <c r="U549" s="10">
        <f t="shared" si="1"/>
        <v>5000</v>
      </c>
      <c r="V549" s="10">
        <f t="shared" si="2"/>
        <v>71.68604956</v>
      </c>
      <c r="W549" s="11">
        <f t="shared" si="3"/>
        <v>2.260658497</v>
      </c>
      <c r="X549" s="8">
        <f>0.9*(0.00015*N549*Q549*R549+797)+0.1*(43.1*POWER(N549,0.549))</f>
        <v>5244.501646</v>
      </c>
      <c r="Y549" s="12">
        <f t="shared" si="4"/>
        <v>4</v>
      </c>
      <c r="Z549" s="12">
        <f t="shared" si="5"/>
        <v>26222.50823</v>
      </c>
      <c r="AA549" s="12">
        <f t="shared" si="6"/>
        <v>11.30329248</v>
      </c>
      <c r="AB549" s="13">
        <f t="shared" si="7"/>
        <v>1.048900329</v>
      </c>
      <c r="AC549" s="8">
        <f t="shared" si="301"/>
        <v>5349.391679</v>
      </c>
      <c r="AD549" s="13">
        <f t="shared" si="302"/>
        <v>1.069878336</v>
      </c>
      <c r="AE549" s="8">
        <f t="shared" si="303"/>
        <v>1328.702938</v>
      </c>
      <c r="AF549" s="73">
        <f t="shared" si="304"/>
        <v>277.8284558</v>
      </c>
      <c r="AG549" s="74" t="str">
        <f t="shared" si="305"/>
        <v>#REF!</v>
      </c>
      <c r="AH549" s="73">
        <f t="shared" si="306"/>
        <v>0</v>
      </c>
      <c r="AI549" s="73">
        <f t="shared" si="307"/>
        <v>0</v>
      </c>
      <c r="AJ549" s="75">
        <f t="shared" si="308"/>
        <v>1</v>
      </c>
      <c r="AK549" s="73">
        <f t="shared" si="309"/>
        <v>0.9466127083</v>
      </c>
      <c r="AL549" s="73">
        <f t="shared" si="310"/>
        <v>6.708647288</v>
      </c>
      <c r="AM549" s="73">
        <f t="shared" si="311"/>
        <v>1</v>
      </c>
      <c r="AN549" s="75">
        <v>2604.61</v>
      </c>
      <c r="AO549" s="76">
        <v>2600.0</v>
      </c>
      <c r="AP549" s="73">
        <f t="shared" si="312"/>
        <v>2600</v>
      </c>
      <c r="AQ549" s="29" t="str">
        <f t="shared" si="313"/>
        <v>#REF!</v>
      </c>
      <c r="AR549" s="77" t="str">
        <f t="shared" si="314"/>
        <v>#REF!</v>
      </c>
      <c r="AS549" s="73"/>
      <c r="AT549" s="39"/>
    </row>
    <row r="550" ht="15.75" hidden="1" customHeight="1">
      <c r="A550" s="7" t="s">
        <v>917</v>
      </c>
      <c r="B550" s="7" t="s">
        <v>918</v>
      </c>
      <c r="C550" s="7">
        <v>1967.0</v>
      </c>
      <c r="D550" s="7"/>
      <c r="E550" s="7">
        <v>1967.0</v>
      </c>
      <c r="F550" s="7" t="b">
        <v>0</v>
      </c>
      <c r="G550" s="7" t="b">
        <v>1</v>
      </c>
      <c r="H550" s="7" t="b">
        <v>0</v>
      </c>
      <c r="I550" s="7" t="b">
        <v>0</v>
      </c>
      <c r="J550" s="7"/>
      <c r="K550" s="7"/>
      <c r="L550" s="7"/>
      <c r="M550" s="7">
        <v>0.0</v>
      </c>
      <c r="N550" s="7">
        <v>104.0</v>
      </c>
      <c r="O550" s="7">
        <v>102.3</v>
      </c>
      <c r="P550" s="7"/>
      <c r="Q550" s="7">
        <v>256.0</v>
      </c>
      <c r="R550" s="7"/>
      <c r="S550" s="7"/>
      <c r="T550" s="7"/>
      <c r="U550" s="10">
        <f t="shared" si="1"/>
        <v>0</v>
      </c>
      <c r="V550" s="10">
        <f t="shared" si="2"/>
        <v>100.3047772</v>
      </c>
      <c r="W550" s="11">
        <f t="shared" si="3"/>
        <v>0.767921542</v>
      </c>
      <c r="X550" s="8">
        <f>0.2*(8.17*POW(N550*R550,0.46))+0.8*(0.146*POW(N550*Q550,0.639))</f>
        <v>78.55837374</v>
      </c>
      <c r="Y550" s="12">
        <f t="shared" si="4"/>
        <v>1.05</v>
      </c>
      <c r="Z550" s="12">
        <f t="shared" si="5"/>
        <v>161.0446662</v>
      </c>
      <c r="AA550" s="12">
        <f t="shared" si="6"/>
        <v>1.574239161</v>
      </c>
      <c r="AB550" s="13" t="str">
        <f t="shared" si="7"/>
        <v>#N/A</v>
      </c>
      <c r="AC550" s="8">
        <f>IF(I550,X550*1.5,X550)*IF(S550*T550&gt;0,(S550*T550+0.02),1)</f>
        <v>78.55837374</v>
      </c>
      <c r="AG550" s="7"/>
    </row>
    <row r="551" ht="15.75" customHeight="1">
      <c r="A551" s="16" t="s">
        <v>118</v>
      </c>
      <c r="B551" s="16" t="s">
        <v>119</v>
      </c>
      <c r="C551" s="16">
        <v>2020.0</v>
      </c>
      <c r="D551" s="16"/>
      <c r="E551" s="16">
        <v>2020.0</v>
      </c>
      <c r="F551" s="16" t="b">
        <v>1</v>
      </c>
      <c r="G551" s="16" t="b">
        <v>0</v>
      </c>
      <c r="H551" s="16" t="b">
        <v>0</v>
      </c>
      <c r="I551" s="16" t="b">
        <v>0</v>
      </c>
      <c r="J551" s="18">
        <v>400.0</v>
      </c>
      <c r="K551" s="18">
        <v>4.0</v>
      </c>
      <c r="L551" s="16">
        <v>2700.0</v>
      </c>
      <c r="M551" s="16">
        <v>0.0</v>
      </c>
      <c r="N551" s="16">
        <v>2250.0</v>
      </c>
      <c r="O551" s="16">
        <v>2647.5</v>
      </c>
      <c r="P551" s="18">
        <v>305.0</v>
      </c>
      <c r="Q551" s="16">
        <v>341.0</v>
      </c>
      <c r="R551" s="16">
        <v>13.4</v>
      </c>
      <c r="S551" s="16">
        <v>0.995</v>
      </c>
      <c r="T551" s="16">
        <v>0.995</v>
      </c>
      <c r="U551" s="19">
        <f t="shared" si="1"/>
        <v>2700</v>
      </c>
      <c r="V551" s="19">
        <f t="shared" si="2"/>
        <v>119.9866074</v>
      </c>
      <c r="W551" s="20">
        <f t="shared" si="3"/>
        <v>0.3250845096</v>
      </c>
      <c r="X551" s="17">
        <f t="shared" ref="X551:X553" si="317">0.2*(8.17*POWER(N551*R551,0.46))+0.8*(0.146*POWER(N551*Q551,0.639))</f>
        <v>860.6612393</v>
      </c>
      <c r="Y551" s="21">
        <f t="shared" si="4"/>
        <v>4</v>
      </c>
      <c r="Z551" s="21">
        <f t="shared" si="5"/>
        <v>4303.306196</v>
      </c>
      <c r="AA551" s="21">
        <f t="shared" si="6"/>
        <v>1.625422548</v>
      </c>
      <c r="AB551" s="22">
        <f t="shared" si="7"/>
        <v>0.318763422</v>
      </c>
      <c r="AC551" s="8">
        <f t="shared" ref="AC551:AC553" si="318">X551*IF(I551,1.5,1)*IF(S551*T551&gt;0,(S551*T551+0.02),1)</f>
        <v>869.2893682</v>
      </c>
      <c r="AD551" s="13">
        <f t="shared" ref="AD551:AD553" si="319">IFERROR(AC551/U551,#N/A)</f>
        <v>0.3219590253</v>
      </c>
      <c r="AE551" s="8">
        <f t="shared" ref="AE551:AE553" si="320">IF(I551,1.5,1)*IF(S551*T551&gt;0,(S551*T551+0.02),1)*(0.2*(8.17*POWER(N551*R551,0.46))+0.8*(0.146*POWER(N551*Q551,0.639)))</f>
        <v>869.2893682</v>
      </c>
      <c r="AF551" s="73">
        <f t="shared" ref="AF551:AF553" si="321">If(F551,$AT$2*O551*(1-log(O551)*0.04+1/(O551/80)^0.6),$AT$3*O551*(1+1/(O551/12)^0.9-log(O551)*0.03))</f>
        <v>313.1223132</v>
      </c>
      <c r="AG551" s="74" t="str">
        <f t="shared" ref="AG551:AG553" si="322">If(F551,VLOOKUP(E551,#REF!,2),VLOOKUP(E551,#REF!,3))</f>
        <v>#REF!</v>
      </c>
      <c r="AH551" s="73">
        <f t="shared" ref="AH551:AH553" si="323">If(I551,2,0)</f>
        <v>0</v>
      </c>
      <c r="AI551" s="73">
        <f t="shared" ref="AI551:AI553" si="324">1.5-1.5/K551^0.2</f>
        <v>0.3632125751</v>
      </c>
      <c r="AJ551" s="75">
        <f t="shared" ref="AJ551:AJ553" si="325">If(P551/Q551 &gt; 0.66,1+2.8*(P551/Q551-0.66)^1.5,1)</f>
        <v>1.317813747</v>
      </c>
      <c r="AK551" s="73">
        <f t="shared" ref="AK551:AK553" si="326">Max(0.8,Pow(V551/5,0.5))/4</f>
        <v>1.224676526</v>
      </c>
      <c r="AL551" s="73">
        <f t="shared" ref="AL551:AL553" si="327">IF(Q551&gt;300,IF(Q551&gt;460.39,7.5*8.5^((Q551/460.4-1)^0.6),6.5^((Q551/150-2)^1.1)),2.8^(Q551/150-2))</f>
        <v>1.567353214</v>
      </c>
      <c r="AM551" s="73">
        <f t="shared" ref="AM551:AM553" si="328">If(ISBLANK(J551),1,2.6*(1-1/((J551*0.05)^0.26)))</f>
        <v>1.406821143</v>
      </c>
      <c r="AN551" s="75">
        <v>1281.14</v>
      </c>
      <c r="AO551" s="76">
        <v>1300.0</v>
      </c>
      <c r="AP551" s="73">
        <f t="shared" ref="AP551:AP553" si="329">If(MOD(Log10(AO551),1)&gt;0.2,ROUND(AO551,1-INT(LOG10(AO551))), ROUND(2*AO551,1-INT(LOG10(2*AO551)))/2)</f>
        <v>1300</v>
      </c>
      <c r="AQ551" s="29" t="str">
        <f t="shared" ref="AQ551:AQ553" si="330">VLOOKUP(A551,#REF!,27,FALSE)</f>
        <v>#REF!</v>
      </c>
      <c r="AR551" s="77" t="str">
        <f t="shared" ref="AR551:AR553" si="331">AP551/AQ551-1</f>
        <v>#REF!</v>
      </c>
      <c r="AS551" s="73"/>
      <c r="AT551" s="39"/>
    </row>
    <row r="552" ht="15.75" customHeight="1">
      <c r="A552" s="7" t="s">
        <v>465</v>
      </c>
      <c r="B552" s="7" t="s">
        <v>464</v>
      </c>
      <c r="C552" s="7">
        <v>2020.0</v>
      </c>
      <c r="D552" s="7"/>
      <c r="E552" s="7">
        <v>2020.0</v>
      </c>
      <c r="F552" s="7" t="b">
        <v>1</v>
      </c>
      <c r="G552" s="7" t="b">
        <v>0</v>
      </c>
      <c r="H552" s="7" t="b">
        <v>0</v>
      </c>
      <c r="I552" s="7" t="b">
        <v>0</v>
      </c>
      <c r="J552" s="9">
        <v>360.0</v>
      </c>
      <c r="K552" s="7">
        <v>1.0</v>
      </c>
      <c r="L552" s="7">
        <v>1500.0</v>
      </c>
      <c r="M552" s="7">
        <v>0.0</v>
      </c>
      <c r="N552" s="7">
        <v>2100.0</v>
      </c>
      <c r="O552" s="7">
        <v>2210.0</v>
      </c>
      <c r="P552" s="9">
        <v>321.9</v>
      </c>
      <c r="Q552" s="7">
        <v>356.2</v>
      </c>
      <c r="R552" s="7">
        <v>17.1</v>
      </c>
      <c r="S552" s="7">
        <v>0.9995</v>
      </c>
      <c r="T552" s="7">
        <v>0.9995</v>
      </c>
      <c r="U552" s="10">
        <f t="shared" si="1"/>
        <v>1500</v>
      </c>
      <c r="V552" s="10">
        <f t="shared" si="2"/>
        <v>107.3129916</v>
      </c>
      <c r="W552" s="11">
        <f t="shared" si="3"/>
        <v>0.3916579673</v>
      </c>
      <c r="X552" s="8">
        <f t="shared" si="317"/>
        <v>865.5641076</v>
      </c>
      <c r="Y552" s="12">
        <f t="shared" si="4"/>
        <v>4</v>
      </c>
      <c r="Z552" s="12">
        <f t="shared" si="5"/>
        <v>4327.820538</v>
      </c>
      <c r="AA552" s="12">
        <f t="shared" si="6"/>
        <v>1.958289836</v>
      </c>
      <c r="AB552" s="13">
        <f t="shared" si="7"/>
        <v>0.5770427384</v>
      </c>
      <c r="AC552" s="8">
        <f t="shared" si="318"/>
        <v>882.0100421</v>
      </c>
      <c r="AD552" s="13">
        <f t="shared" si="319"/>
        <v>0.5880066947</v>
      </c>
      <c r="AE552" s="8">
        <f t="shared" si="320"/>
        <v>882.0100421</v>
      </c>
      <c r="AF552" s="73">
        <f t="shared" si="321"/>
        <v>265.9296539</v>
      </c>
      <c r="AG552" s="74" t="str">
        <f t="shared" si="322"/>
        <v>#REF!</v>
      </c>
      <c r="AH552" s="73">
        <f t="shared" si="323"/>
        <v>0</v>
      </c>
      <c r="AI552" s="73">
        <f t="shared" si="324"/>
        <v>0</v>
      </c>
      <c r="AJ552" s="75">
        <f t="shared" si="325"/>
        <v>1.336865693</v>
      </c>
      <c r="AK552" s="73">
        <f t="shared" si="326"/>
        <v>1.158193591</v>
      </c>
      <c r="AL552" s="73">
        <f t="shared" si="327"/>
        <v>1.888391336</v>
      </c>
      <c r="AM552" s="73">
        <f t="shared" si="328"/>
        <v>1.373683712</v>
      </c>
      <c r="AN552" s="75">
        <v>1368.95</v>
      </c>
      <c r="AO552" s="76">
        <v>1350.0</v>
      </c>
      <c r="AP552" s="73">
        <f t="shared" si="329"/>
        <v>1350</v>
      </c>
      <c r="AQ552" s="29" t="str">
        <f t="shared" si="330"/>
        <v>#REF!</v>
      </c>
      <c r="AR552" s="77" t="str">
        <f t="shared" si="331"/>
        <v>#REF!</v>
      </c>
      <c r="AS552" s="73"/>
      <c r="AT552" s="39"/>
    </row>
    <row r="553" ht="15.75" customHeight="1">
      <c r="A553" s="16" t="s">
        <v>463</v>
      </c>
      <c r="B553" s="16" t="s">
        <v>464</v>
      </c>
      <c r="C553" s="16">
        <v>2020.0</v>
      </c>
      <c r="D553" s="16"/>
      <c r="E553" s="16">
        <v>2020.0</v>
      </c>
      <c r="F553" s="16" t="b">
        <v>1</v>
      </c>
      <c r="G553" s="16" t="b">
        <v>0</v>
      </c>
      <c r="H553" s="16" t="b">
        <v>1</v>
      </c>
      <c r="I553" s="16" t="b">
        <v>0</v>
      </c>
      <c r="J553" s="18">
        <v>240.0</v>
      </c>
      <c r="K553" s="16">
        <v>1.0</v>
      </c>
      <c r="L553" s="16">
        <v>1500.0</v>
      </c>
      <c r="M553" s="16">
        <v>10.0</v>
      </c>
      <c r="N553" s="16">
        <v>2100.0</v>
      </c>
      <c r="O553" s="16">
        <v>3011.0</v>
      </c>
      <c r="P553" s="18">
        <v>338.9</v>
      </c>
      <c r="Q553" s="16">
        <v>364.7</v>
      </c>
      <c r="R553" s="16">
        <v>23.4</v>
      </c>
      <c r="S553" s="16">
        <v>0.9995</v>
      </c>
      <c r="T553" s="16">
        <v>0.9995</v>
      </c>
      <c r="U553" s="19">
        <f t="shared" si="1"/>
        <v>1510</v>
      </c>
      <c r="V553" s="19">
        <f t="shared" si="2"/>
        <v>146.2078813</v>
      </c>
      <c r="W553" s="20">
        <f t="shared" si="3"/>
        <v>0.3012977573</v>
      </c>
      <c r="X553" s="17">
        <f t="shared" si="317"/>
        <v>907.2075472</v>
      </c>
      <c r="Y553" s="21">
        <f t="shared" si="4"/>
        <v>4</v>
      </c>
      <c r="Z553" s="21">
        <f t="shared" si="5"/>
        <v>4536.037736</v>
      </c>
      <c r="AA553" s="21">
        <f t="shared" si="6"/>
        <v>1.506488786</v>
      </c>
      <c r="AB553" s="22">
        <f t="shared" si="7"/>
        <v>0.6007997001</v>
      </c>
      <c r="AC553" s="8">
        <f t="shared" si="318"/>
        <v>924.4447174</v>
      </c>
      <c r="AD553" s="13">
        <f t="shared" si="319"/>
        <v>0.6122150446</v>
      </c>
      <c r="AE553" s="8">
        <f t="shared" si="320"/>
        <v>924.4447174</v>
      </c>
      <c r="AF553" s="73">
        <f t="shared" si="321"/>
        <v>352.0179437</v>
      </c>
      <c r="AG553" s="74" t="str">
        <f t="shared" si="322"/>
        <v>#REF!</v>
      </c>
      <c r="AH553" s="73">
        <f t="shared" si="323"/>
        <v>0</v>
      </c>
      <c r="AI553" s="73">
        <f t="shared" si="324"/>
        <v>0</v>
      </c>
      <c r="AJ553" s="75">
        <f t="shared" si="325"/>
        <v>1.391208561</v>
      </c>
      <c r="AK553" s="73">
        <f t="shared" si="326"/>
        <v>1.351887021</v>
      </c>
      <c r="AL553" s="73">
        <f t="shared" si="327"/>
        <v>2.100671275</v>
      </c>
      <c r="AM553" s="73">
        <f t="shared" si="328"/>
        <v>1.237344028</v>
      </c>
      <c r="AN553" s="75">
        <v>2059.14</v>
      </c>
      <c r="AO553" s="76">
        <v>2100.0</v>
      </c>
      <c r="AP553" s="73">
        <f t="shared" si="329"/>
        <v>2100</v>
      </c>
      <c r="AQ553" s="29" t="str">
        <f t="shared" si="330"/>
        <v>#REF!</v>
      </c>
      <c r="AR553" s="77" t="str">
        <f t="shared" si="331"/>
        <v>#REF!</v>
      </c>
      <c r="AS553" s="73"/>
      <c r="AT553" s="39"/>
    </row>
    <row r="554" ht="15.75" hidden="1" customHeight="1">
      <c r="A554" s="7" t="s">
        <v>953</v>
      </c>
      <c r="B554" s="7" t="s">
        <v>953</v>
      </c>
      <c r="C554" s="7">
        <v>1989.0</v>
      </c>
      <c r="D554" s="7"/>
      <c r="E554" s="7">
        <v>1989.0</v>
      </c>
      <c r="F554" s="7" t="b">
        <v>0</v>
      </c>
      <c r="G554" s="7" t="b">
        <v>1</v>
      </c>
      <c r="H554" s="7" t="b">
        <v>0</v>
      </c>
      <c r="I554" s="7" t="b">
        <v>0</v>
      </c>
      <c r="J554" s="7"/>
      <c r="K554" s="7"/>
      <c r="L554" s="7">
        <v>2500.0</v>
      </c>
      <c r="M554" s="7">
        <v>0.0</v>
      </c>
      <c r="N554" s="7">
        <v>36214.5</v>
      </c>
      <c r="O554" s="7">
        <v>8233.777</v>
      </c>
      <c r="P554" s="7"/>
      <c r="Q554" s="7">
        <v>281.0</v>
      </c>
      <c r="R554" s="7">
        <v>5.93</v>
      </c>
      <c r="S554" s="7"/>
      <c r="T554" s="7"/>
      <c r="U554" s="10">
        <f t="shared" si="1"/>
        <v>2500</v>
      </c>
      <c r="V554" s="10">
        <f t="shared" si="2"/>
        <v>23.1844037</v>
      </c>
      <c r="W554" s="11">
        <f t="shared" si="3"/>
        <v>0.4825567731</v>
      </c>
      <c r="X554" s="8">
        <f>0.2*(8.17*POW(N554*R554,0.46))+0.8*(0.146*POW(N554*Q554,0.639))</f>
        <v>3973.26486</v>
      </c>
      <c r="Y554" s="12">
        <f t="shared" si="4"/>
        <v>1.05</v>
      </c>
      <c r="Z554" s="12">
        <f t="shared" si="5"/>
        <v>8145.192962</v>
      </c>
      <c r="AA554" s="12">
        <f t="shared" si="6"/>
        <v>0.9892413849</v>
      </c>
      <c r="AB554" s="13">
        <f t="shared" si="7"/>
        <v>1.589305944</v>
      </c>
      <c r="AC554" s="8">
        <f>IF(I554,X554*1.5,X554)*IF(S554*T554&gt;0,(S554*T554+0.02),1)</f>
        <v>3973.26486</v>
      </c>
      <c r="AG554" s="7"/>
    </row>
    <row r="555" ht="15.75" customHeight="1">
      <c r="A555" s="7" t="s">
        <v>466</v>
      </c>
      <c r="B555" s="7" t="s">
        <v>467</v>
      </c>
      <c r="C555" s="7">
        <v>2020.0</v>
      </c>
      <c r="D555" s="7"/>
      <c r="E555" s="7">
        <v>2020.0</v>
      </c>
      <c r="F555" s="7" t="b">
        <v>1</v>
      </c>
      <c r="G555" s="7" t="b">
        <v>0</v>
      </c>
      <c r="H555" s="7" t="b">
        <v>1</v>
      </c>
      <c r="I555" s="7" t="b">
        <v>0</v>
      </c>
      <c r="J555" s="9">
        <v>360.0</v>
      </c>
      <c r="K555" s="9">
        <v>4.0</v>
      </c>
      <c r="L555" s="7">
        <v>1800.0</v>
      </c>
      <c r="M555" s="7">
        <v>0.0</v>
      </c>
      <c r="N555" s="7">
        <v>2675.0</v>
      </c>
      <c r="O555" s="7">
        <v>3831.0</v>
      </c>
      <c r="P555" s="9">
        <v>311.5</v>
      </c>
      <c r="Q555" s="7">
        <v>358.0</v>
      </c>
      <c r="R555" s="7">
        <v>16.6</v>
      </c>
      <c r="S555" s="7">
        <v>0.9995</v>
      </c>
      <c r="T555" s="7">
        <v>0.9995</v>
      </c>
      <c r="U555" s="10">
        <f t="shared" si="1"/>
        <v>1800</v>
      </c>
      <c r="V555" s="10">
        <f t="shared" si="2"/>
        <v>146.0386094</v>
      </c>
      <c r="W555" s="11">
        <f t="shared" si="3"/>
        <v>0.2609399233</v>
      </c>
      <c r="X555" s="8">
        <f t="shared" ref="X555:X556" si="332">0.2*(8.17*POWER(N555*R555,0.46))+0.8*(0.146*POWER(N555*Q555,0.639))</f>
        <v>999.6608462</v>
      </c>
      <c r="Y555" s="12">
        <f t="shared" si="4"/>
        <v>4</v>
      </c>
      <c r="Z555" s="12">
        <f t="shared" si="5"/>
        <v>4998.304231</v>
      </c>
      <c r="AA555" s="12">
        <f t="shared" si="6"/>
        <v>1.304699617</v>
      </c>
      <c r="AB555" s="13">
        <f t="shared" si="7"/>
        <v>0.5553671368</v>
      </c>
      <c r="AC555" s="8">
        <f t="shared" ref="AC555:AC575" si="333">X555*IF(I555,1.5,1)*IF(S555*T555&gt;0,(S555*T555+0.02),1)</f>
        <v>1018.654652</v>
      </c>
      <c r="AD555" s="13">
        <f t="shared" ref="AD555:AD575" si="334">IFERROR(AC555/U555,#N/A)</f>
        <v>0.5659192512</v>
      </c>
      <c r="AE555" s="8">
        <f t="shared" ref="AE555:AE575" si="335">IF(I555,1.5,1)*IF(S555*T555&gt;0,(S555*T555+0.02),1)*(0.2*(8.17*POWER(N555*R555,0.46))+0.8*(0.146*POWER(N555*Q555,0.639)))</f>
        <v>1018.654652</v>
      </c>
      <c r="AF555" s="73">
        <f t="shared" ref="AF555:AF575" si="336">If(F555,$AT$2*O555*(1-log(O555)*0.04+1/(O555/80)^0.6),$AT$3*O555*(1+1/(O555/12)^0.9-log(O555)*0.03))</f>
        <v>438.9462553</v>
      </c>
      <c r="AG555" s="74" t="str">
        <f t="shared" ref="AG555:AG575" si="337">If(F555,VLOOKUP(E555,#REF!,2),VLOOKUP(E555,#REF!,3))</f>
        <v>#REF!</v>
      </c>
      <c r="AH555" s="73">
        <f t="shared" ref="AH555:AH575" si="338">If(I555,2,0)</f>
        <v>0</v>
      </c>
      <c r="AI555" s="73">
        <f t="shared" ref="AI555:AI575" si="339">1.5-1.5/K555^0.2</f>
        <v>0.3632125751</v>
      </c>
      <c r="AJ555" s="75">
        <f t="shared" ref="AJ555:AJ575" si="340">If(P555/Q555 &gt; 0.66,1+2.8*(P555/Q555-0.66)^1.5,1)</f>
        <v>1.269670528</v>
      </c>
      <c r="AK555" s="73">
        <f t="shared" ref="AK555:AK575" si="341">Max(0.8,Pow(V555/5,0.5))/4</f>
        <v>1.351104221</v>
      </c>
      <c r="AL555" s="73">
        <f t="shared" ref="AL555:AL575" si="342">IF(Q555&gt;300,IF(Q555&gt;460.39,7.5*8.5^((Q555/460.4-1)^0.6),6.5^((Q555/150-2)^1.1)),2.8^(Q555/150-2))</f>
        <v>1.931232287</v>
      </c>
      <c r="AM555" s="73">
        <f t="shared" ref="AM555:AM575" si="343">If(ISBLANK(J555),1,2.6*(1-1/((J555*0.05)^0.26)))</f>
        <v>1.373683712</v>
      </c>
      <c r="AN555" s="75">
        <v>2760.25</v>
      </c>
      <c r="AO555" s="76">
        <v>2800.0</v>
      </c>
      <c r="AP555" s="73">
        <f t="shared" ref="AP555:AP575" si="344">If(MOD(Log10(AO555),1)&gt;0.2,ROUND(AO555,1-INT(LOG10(AO555))), ROUND(2*AO555,1-INT(LOG10(2*AO555)))/2)</f>
        <v>2800</v>
      </c>
      <c r="AQ555" s="29" t="str">
        <f t="shared" ref="AQ555:AQ575" si="345">VLOOKUP(A555,#REF!,27,FALSE)</f>
        <v>#REF!</v>
      </c>
      <c r="AR555" s="77" t="str">
        <f t="shared" ref="AR555:AR575" si="346">AP555/AQ555-1</f>
        <v>#REF!</v>
      </c>
      <c r="AS555" s="73"/>
      <c r="AT555" s="39"/>
    </row>
    <row r="556" ht="15.75" customHeight="1">
      <c r="A556" s="16" t="s">
        <v>468</v>
      </c>
      <c r="B556" s="16" t="s">
        <v>469</v>
      </c>
      <c r="C556" s="16">
        <v>2020.0</v>
      </c>
      <c r="D556" s="16"/>
      <c r="E556" s="16">
        <v>2020.0</v>
      </c>
      <c r="F556" s="16" t="b">
        <v>1</v>
      </c>
      <c r="G556" s="16" t="b">
        <v>0</v>
      </c>
      <c r="H556" s="16" t="b">
        <v>1</v>
      </c>
      <c r="I556" s="16" t="b">
        <v>0</v>
      </c>
      <c r="J556" s="18">
        <v>720.0</v>
      </c>
      <c r="K556" s="18">
        <v>8.0</v>
      </c>
      <c r="L556" s="16">
        <v>1000.0</v>
      </c>
      <c r="M556" s="16">
        <v>0.0</v>
      </c>
      <c r="N556" s="16">
        <v>975.0</v>
      </c>
      <c r="O556" s="16">
        <v>716.0</v>
      </c>
      <c r="P556" s="18">
        <v>200.0</v>
      </c>
      <c r="Q556" s="16">
        <v>372.0</v>
      </c>
      <c r="R556" s="16">
        <v>16.6</v>
      </c>
      <c r="S556" s="16">
        <v>0.9995</v>
      </c>
      <c r="T556" s="16">
        <v>0.9995</v>
      </c>
      <c r="U556" s="19">
        <f t="shared" si="1"/>
        <v>1000</v>
      </c>
      <c r="V556" s="19">
        <f t="shared" si="2"/>
        <v>74.88377501</v>
      </c>
      <c r="W556" s="20">
        <f t="shared" si="3"/>
        <v>0.7792407317</v>
      </c>
      <c r="X556" s="17">
        <f t="shared" si="332"/>
        <v>557.9363639</v>
      </c>
      <c r="Y556" s="21">
        <f t="shared" si="4"/>
        <v>4</v>
      </c>
      <c r="Z556" s="21">
        <f t="shared" si="5"/>
        <v>2789.681819</v>
      </c>
      <c r="AA556" s="21">
        <f t="shared" si="6"/>
        <v>3.896203658</v>
      </c>
      <c r="AB556" s="22">
        <f t="shared" si="7"/>
        <v>0.5579363639</v>
      </c>
      <c r="AC556" s="8">
        <f t="shared" si="333"/>
        <v>568.5372943</v>
      </c>
      <c r="AD556" s="13">
        <f t="shared" si="334"/>
        <v>0.5685372943</v>
      </c>
      <c r="AE556" s="8">
        <f t="shared" si="335"/>
        <v>568.5372943</v>
      </c>
      <c r="AF556" s="73">
        <f t="shared" si="336"/>
        <v>99.17573056</v>
      </c>
      <c r="AG556" s="74" t="str">
        <f t="shared" si="337"/>
        <v>#REF!</v>
      </c>
      <c r="AH556" s="73">
        <f t="shared" si="338"/>
        <v>0</v>
      </c>
      <c r="AI556" s="73">
        <f t="shared" si="339"/>
        <v>0.5103690669</v>
      </c>
      <c r="AJ556" s="75">
        <f t="shared" si="340"/>
        <v>1</v>
      </c>
      <c r="AK556" s="73">
        <f t="shared" si="341"/>
        <v>0.9674953166</v>
      </c>
      <c r="AL556" s="73">
        <f t="shared" si="342"/>
        <v>2.304543033</v>
      </c>
      <c r="AM556" s="73">
        <f t="shared" si="343"/>
        <v>1.575918082</v>
      </c>
      <c r="AN556" s="75">
        <v>613.86</v>
      </c>
      <c r="AO556" s="76">
        <v>610.0</v>
      </c>
      <c r="AP556" s="73">
        <f t="shared" si="344"/>
        <v>610</v>
      </c>
      <c r="AQ556" s="29" t="str">
        <f t="shared" si="345"/>
        <v>#REF!</v>
      </c>
      <c r="AR556" s="77" t="str">
        <f t="shared" si="346"/>
        <v>#REF!</v>
      </c>
      <c r="AS556" s="73"/>
      <c r="AT556" s="39"/>
    </row>
    <row r="557" ht="15.75" customHeight="1">
      <c r="A557" s="7" t="s">
        <v>691</v>
      </c>
      <c r="B557" s="7" t="s">
        <v>691</v>
      </c>
      <c r="C557" s="7">
        <v>2020.0</v>
      </c>
      <c r="D557" s="7" t="b">
        <v>1</v>
      </c>
      <c r="E557" s="7">
        <v>2020.0</v>
      </c>
      <c r="F557" s="7" t="b">
        <v>1</v>
      </c>
      <c r="G557" s="7" t="b">
        <v>0</v>
      </c>
      <c r="H557" s="7" t="b">
        <v>1</v>
      </c>
      <c r="I557" s="7" t="b">
        <v>0</v>
      </c>
      <c r="J557" s="9">
        <v>430.0</v>
      </c>
      <c r="K557" s="9">
        <v>45.0</v>
      </c>
      <c r="L557" s="7">
        <v>4800.0</v>
      </c>
      <c r="M557" s="7">
        <v>0.0</v>
      </c>
      <c r="N557" s="7">
        <v>499.0</v>
      </c>
      <c r="O557" s="7">
        <v>289.1</v>
      </c>
      <c r="P557" s="9">
        <v>150.0</v>
      </c>
      <c r="Q557" s="7">
        <v>465.0</v>
      </c>
      <c r="R557" s="7">
        <v>8.27</v>
      </c>
      <c r="S557" s="7">
        <v>0.998454</v>
      </c>
      <c r="T557" s="7">
        <v>0.996939</v>
      </c>
      <c r="U557" s="10">
        <f t="shared" si="1"/>
        <v>4800</v>
      </c>
      <c r="V557" s="10">
        <f t="shared" si="2"/>
        <v>59.07814756</v>
      </c>
      <c r="W557" s="11">
        <f t="shared" si="3"/>
        <v>3.828753818</v>
      </c>
      <c r="X557" s="8">
        <f t="shared" ref="X557:X562" si="347">0.9*(0.00015*N557*Q557*R557+797)+0.1*(43.1*POWER(N557,0.549))</f>
        <v>1106.892729</v>
      </c>
      <c r="Y557" s="12">
        <f t="shared" si="4"/>
        <v>4</v>
      </c>
      <c r="Z557" s="12">
        <f t="shared" si="5"/>
        <v>5534.463644</v>
      </c>
      <c r="AA557" s="12">
        <f t="shared" si="6"/>
        <v>19.14376909</v>
      </c>
      <c r="AB557" s="13">
        <f t="shared" si="7"/>
        <v>0.2306026519</v>
      </c>
      <c r="AC557" s="8">
        <f t="shared" si="333"/>
        <v>1123.936367</v>
      </c>
      <c r="AD557" s="13">
        <f t="shared" si="334"/>
        <v>0.2341534098</v>
      </c>
      <c r="AE557" s="8">
        <f t="shared" si="335"/>
        <v>394.5715875</v>
      </c>
      <c r="AF557" s="73">
        <f t="shared" si="336"/>
        <v>47.32609291</v>
      </c>
      <c r="AG557" s="74" t="str">
        <f t="shared" si="337"/>
        <v>#REF!</v>
      </c>
      <c r="AH557" s="73">
        <f t="shared" si="338"/>
        <v>0</v>
      </c>
      <c r="AI557" s="73">
        <f t="shared" si="339"/>
        <v>0.7994344838</v>
      </c>
      <c r="AJ557" s="75">
        <f t="shared" si="340"/>
        <v>1</v>
      </c>
      <c r="AK557" s="73">
        <f t="shared" si="341"/>
        <v>0.8593467545</v>
      </c>
      <c r="AL557" s="73">
        <f t="shared" si="342"/>
        <v>8.583670901</v>
      </c>
      <c r="AM557" s="73">
        <f t="shared" si="343"/>
        <v>1.429047311</v>
      </c>
      <c r="AN557" s="75">
        <v>929.22</v>
      </c>
      <c r="AO557" s="76">
        <v>930.0</v>
      </c>
      <c r="AP557" s="73">
        <f t="shared" si="344"/>
        <v>930</v>
      </c>
      <c r="AQ557" s="29" t="str">
        <f t="shared" si="345"/>
        <v>#REF!</v>
      </c>
      <c r="AR557" s="77" t="str">
        <f t="shared" si="346"/>
        <v>#REF!</v>
      </c>
      <c r="AS557" s="73"/>
      <c r="AT557" s="39"/>
    </row>
    <row r="558" ht="15.75" customHeight="1">
      <c r="A558" s="16" t="s">
        <v>692</v>
      </c>
      <c r="B558" s="16" t="s">
        <v>691</v>
      </c>
      <c r="C558" s="16">
        <v>2020.0</v>
      </c>
      <c r="D558" s="16" t="b">
        <v>1</v>
      </c>
      <c r="E558" s="16">
        <v>2020.0</v>
      </c>
      <c r="F558" s="16" t="b">
        <v>1</v>
      </c>
      <c r="G558" s="16" t="b">
        <v>0</v>
      </c>
      <c r="H558" s="16" t="b">
        <v>1</v>
      </c>
      <c r="I558" s="16" t="b">
        <v>0</v>
      </c>
      <c r="J558" s="18">
        <v>900.0</v>
      </c>
      <c r="K558" s="18">
        <v>20.0</v>
      </c>
      <c r="L558" s="16">
        <v>4800.0</v>
      </c>
      <c r="M558" s="16">
        <v>0.0</v>
      </c>
      <c r="N558" s="16">
        <v>548.0</v>
      </c>
      <c r="O558" s="16">
        <v>180.0</v>
      </c>
      <c r="P558" s="18">
        <v>150.0</v>
      </c>
      <c r="Q558" s="16">
        <v>465.0</v>
      </c>
      <c r="R558" s="16">
        <v>6.08</v>
      </c>
      <c r="S558" s="16">
        <v>0.998454</v>
      </c>
      <c r="T558" s="16">
        <v>0.996939</v>
      </c>
      <c r="U558" s="19">
        <f t="shared" si="1"/>
        <v>4800</v>
      </c>
      <c r="V558" s="19">
        <f t="shared" si="2"/>
        <v>33.49432807</v>
      </c>
      <c r="W558" s="20">
        <f t="shared" si="3"/>
        <v>5.910455028</v>
      </c>
      <c r="X558" s="17">
        <f t="shared" si="347"/>
        <v>1063.881905</v>
      </c>
      <c r="Y558" s="21">
        <f t="shared" si="4"/>
        <v>4</v>
      </c>
      <c r="Z558" s="21">
        <f t="shared" si="5"/>
        <v>5319.409525</v>
      </c>
      <c r="AA558" s="21">
        <f t="shared" si="6"/>
        <v>29.55227514</v>
      </c>
      <c r="AB558" s="22">
        <f t="shared" si="7"/>
        <v>0.2216420636</v>
      </c>
      <c r="AC558" s="8">
        <f t="shared" si="333"/>
        <v>1080.263274</v>
      </c>
      <c r="AD558" s="13">
        <f t="shared" si="334"/>
        <v>0.2250548487</v>
      </c>
      <c r="AE558" s="8">
        <f t="shared" si="335"/>
        <v>407.036584</v>
      </c>
      <c r="AF558" s="73">
        <f t="shared" si="336"/>
        <v>32.92979848</v>
      </c>
      <c r="AG558" s="74" t="str">
        <f t="shared" si="337"/>
        <v>#REF!</v>
      </c>
      <c r="AH558" s="73">
        <f t="shared" si="338"/>
        <v>0</v>
      </c>
      <c r="AI558" s="73">
        <f t="shared" si="339"/>
        <v>0.6760795925</v>
      </c>
      <c r="AJ558" s="75">
        <f t="shared" si="340"/>
        <v>1</v>
      </c>
      <c r="AK558" s="73">
        <f t="shared" si="341"/>
        <v>0.6470541715</v>
      </c>
      <c r="AL558" s="73">
        <f t="shared" si="342"/>
        <v>8.583670901</v>
      </c>
      <c r="AM558" s="73">
        <f t="shared" si="343"/>
        <v>1.633641893</v>
      </c>
      <c r="AN558" s="75">
        <v>645.82</v>
      </c>
      <c r="AO558" s="76">
        <v>650.0</v>
      </c>
      <c r="AP558" s="73">
        <f t="shared" si="344"/>
        <v>650</v>
      </c>
      <c r="AQ558" s="29" t="str">
        <f t="shared" si="345"/>
        <v>#REF!</v>
      </c>
      <c r="AR558" s="77" t="str">
        <f t="shared" si="346"/>
        <v>#REF!</v>
      </c>
      <c r="AS558" s="73"/>
      <c r="AT558" s="39"/>
    </row>
    <row r="559" ht="15.75" customHeight="1">
      <c r="A559" s="16" t="s">
        <v>706</v>
      </c>
      <c r="B559" s="16" t="s">
        <v>702</v>
      </c>
      <c r="C559" s="16">
        <v>2020.0</v>
      </c>
      <c r="D559" s="16" t="b">
        <v>1</v>
      </c>
      <c r="E559" s="16">
        <v>2020.0</v>
      </c>
      <c r="F559" s="16" t="b">
        <v>1</v>
      </c>
      <c r="G559" s="16" t="b">
        <v>0</v>
      </c>
      <c r="H559" s="16" t="b">
        <v>0</v>
      </c>
      <c r="I559" s="16" t="b">
        <v>0</v>
      </c>
      <c r="J559" s="18">
        <v>450.0</v>
      </c>
      <c r="K559" s="16">
        <v>1.0</v>
      </c>
      <c r="L559" s="16">
        <v>2850.0</v>
      </c>
      <c r="M559" s="16">
        <v>2200.0</v>
      </c>
      <c r="N559" s="16">
        <v>4862.0</v>
      </c>
      <c r="O559" s="16">
        <v>4110.0</v>
      </c>
      <c r="P559" s="18">
        <v>364.0</v>
      </c>
      <c r="Q559" s="16">
        <v>435.0</v>
      </c>
      <c r="R559" s="16">
        <v>13.0</v>
      </c>
      <c r="S559" s="16">
        <v>0.995</v>
      </c>
      <c r="T559" s="16">
        <v>0.995</v>
      </c>
      <c r="U559" s="19">
        <f t="shared" si="1"/>
        <v>5050</v>
      </c>
      <c r="V559" s="19">
        <f t="shared" si="2"/>
        <v>86.19978657</v>
      </c>
      <c r="W559" s="20">
        <f t="shared" si="3"/>
        <v>1.188473262</v>
      </c>
      <c r="X559" s="17">
        <f t="shared" si="347"/>
        <v>4884.625108</v>
      </c>
      <c r="Y559" s="21">
        <f t="shared" si="4"/>
        <v>4</v>
      </c>
      <c r="Z559" s="21">
        <f t="shared" si="5"/>
        <v>24423.12554</v>
      </c>
      <c r="AA559" s="21">
        <f t="shared" si="6"/>
        <v>5.942366311</v>
      </c>
      <c r="AB559" s="22">
        <f t="shared" si="7"/>
        <v>0.9672524966</v>
      </c>
      <c r="AC559" s="8">
        <f t="shared" si="333"/>
        <v>4933.593475</v>
      </c>
      <c r="AD559" s="13">
        <f t="shared" si="334"/>
        <v>0.9769492029</v>
      </c>
      <c r="AE559" s="8">
        <f t="shared" si="335"/>
        <v>1565.750034</v>
      </c>
      <c r="AF559" s="73">
        <f t="shared" si="336"/>
        <v>468.3118968</v>
      </c>
      <c r="AG559" s="74" t="str">
        <f t="shared" si="337"/>
        <v>#REF!</v>
      </c>
      <c r="AH559" s="73">
        <f t="shared" si="338"/>
        <v>0</v>
      </c>
      <c r="AI559" s="73">
        <f t="shared" si="339"/>
        <v>0</v>
      </c>
      <c r="AJ559" s="75">
        <f t="shared" si="340"/>
        <v>1.208119923</v>
      </c>
      <c r="AK559" s="73">
        <f t="shared" si="341"/>
        <v>1.03802569</v>
      </c>
      <c r="AL559" s="73">
        <f t="shared" si="342"/>
        <v>5.296074424</v>
      </c>
      <c r="AM559" s="73">
        <f t="shared" si="343"/>
        <v>1.442806746</v>
      </c>
      <c r="AN559" s="75">
        <v>4793.96</v>
      </c>
      <c r="AO559" s="76">
        <v>4800.0</v>
      </c>
      <c r="AP559" s="73">
        <f t="shared" si="344"/>
        <v>4800</v>
      </c>
      <c r="AQ559" s="29" t="str">
        <f t="shared" si="345"/>
        <v>#REF!</v>
      </c>
      <c r="AR559" s="77" t="str">
        <f t="shared" si="346"/>
        <v>#REF!</v>
      </c>
      <c r="AS559" s="73"/>
      <c r="AT559" s="39"/>
    </row>
    <row r="560" ht="15.75" customHeight="1">
      <c r="A560" s="7" t="s">
        <v>120</v>
      </c>
      <c r="B560" s="7" t="s">
        <v>120</v>
      </c>
      <c r="C560" s="7">
        <v>2021.0</v>
      </c>
      <c r="D560" s="7" t="b">
        <v>1</v>
      </c>
      <c r="E560" s="7">
        <v>2021.0</v>
      </c>
      <c r="F560" s="7" t="b">
        <v>1</v>
      </c>
      <c r="G560" s="7" t="b">
        <v>0</v>
      </c>
      <c r="H560" s="7" t="b">
        <v>1</v>
      </c>
      <c r="I560" s="7" t="b">
        <v>0</v>
      </c>
      <c r="J560" s="9">
        <v>3600.0</v>
      </c>
      <c r="K560" s="9">
        <v>60.0</v>
      </c>
      <c r="L560" s="7">
        <v>17500.0</v>
      </c>
      <c r="M560" s="7">
        <v>0.0</v>
      </c>
      <c r="N560" s="7">
        <v>2270.0</v>
      </c>
      <c r="O560" s="7">
        <v>66.72</v>
      </c>
      <c r="P560" s="9">
        <v>291.0</v>
      </c>
      <c r="Q560" s="7">
        <v>925.0</v>
      </c>
      <c r="R560" s="7">
        <v>13.79</v>
      </c>
      <c r="S560" s="7">
        <v>1.0</v>
      </c>
      <c r="T560" s="7">
        <v>1.0</v>
      </c>
      <c r="U560" s="10">
        <f t="shared" si="1"/>
        <v>17500</v>
      </c>
      <c r="V560" s="10">
        <f t="shared" si="2"/>
        <v>2.997157072</v>
      </c>
      <c r="W560" s="11">
        <f t="shared" si="3"/>
        <v>73.83350235</v>
      </c>
      <c r="X560" s="8">
        <f t="shared" si="347"/>
        <v>4926.171276</v>
      </c>
      <c r="Y560" s="12">
        <f t="shared" si="4"/>
        <v>4</v>
      </c>
      <c r="Z560" s="12">
        <f t="shared" si="5"/>
        <v>24630.85638</v>
      </c>
      <c r="AA560" s="12">
        <f t="shared" si="6"/>
        <v>369.1675117</v>
      </c>
      <c r="AB560" s="13">
        <f t="shared" si="7"/>
        <v>0.2814955015</v>
      </c>
      <c r="AC560" s="8">
        <f t="shared" si="333"/>
        <v>5024.694702</v>
      </c>
      <c r="AD560" s="13">
        <f t="shared" si="334"/>
        <v>0.2871254115</v>
      </c>
      <c r="AE560" s="8">
        <f t="shared" si="335"/>
        <v>1500.79985</v>
      </c>
      <c r="AF560" s="73">
        <f t="shared" si="336"/>
        <v>16.34983128</v>
      </c>
      <c r="AG560" s="74" t="str">
        <f t="shared" si="337"/>
        <v>#REF!</v>
      </c>
      <c r="AH560" s="73">
        <f t="shared" si="338"/>
        <v>0</v>
      </c>
      <c r="AI560" s="73">
        <f t="shared" si="339"/>
        <v>0.8386048453</v>
      </c>
      <c r="AJ560" s="75">
        <f t="shared" si="340"/>
        <v>1</v>
      </c>
      <c r="AK560" s="73">
        <f t="shared" si="341"/>
        <v>0.2</v>
      </c>
      <c r="AL560" s="73">
        <f t="shared" si="342"/>
        <v>64.49976355</v>
      </c>
      <c r="AM560" s="73">
        <f t="shared" si="343"/>
        <v>1.926089075</v>
      </c>
      <c r="AN560" s="75">
        <v>2963.48</v>
      </c>
      <c r="AO560" s="76">
        <v>3000.0</v>
      </c>
      <c r="AP560" s="73">
        <f t="shared" si="344"/>
        <v>3000</v>
      </c>
      <c r="AQ560" s="29" t="str">
        <f t="shared" si="345"/>
        <v>#REF!</v>
      </c>
      <c r="AR560" s="77" t="str">
        <f t="shared" si="346"/>
        <v>#REF!</v>
      </c>
      <c r="AS560" s="78"/>
      <c r="AT560" s="39"/>
    </row>
    <row r="561" ht="15.75" customHeight="1">
      <c r="A561" s="16" t="s">
        <v>679</v>
      </c>
      <c r="B561" s="16" t="s">
        <v>660</v>
      </c>
      <c r="C561" s="16">
        <v>2021.0</v>
      </c>
      <c r="D561" s="16" t="b">
        <v>1</v>
      </c>
      <c r="E561" s="16">
        <v>2021.0</v>
      </c>
      <c r="F561" s="16" t="b">
        <v>1</v>
      </c>
      <c r="G561" s="16" t="b">
        <v>0</v>
      </c>
      <c r="H561" s="16" t="b">
        <v>1</v>
      </c>
      <c r="I561" s="16" t="b">
        <v>0</v>
      </c>
      <c r="J561" s="18">
        <v>1200.0</v>
      </c>
      <c r="K561" s="18">
        <v>20.0</v>
      </c>
      <c r="L561" s="16">
        <v>500.0</v>
      </c>
      <c r="M561" s="16">
        <v>1000.0</v>
      </c>
      <c r="N561" s="16">
        <v>188.0</v>
      </c>
      <c r="O561" s="16">
        <v>105.9</v>
      </c>
      <c r="P561" s="18">
        <v>123.0</v>
      </c>
      <c r="Q561" s="16">
        <v>453.8</v>
      </c>
      <c r="R561" s="16">
        <v>4.36</v>
      </c>
      <c r="S561" s="16">
        <v>0.998454</v>
      </c>
      <c r="T561" s="16">
        <v>0.996939</v>
      </c>
      <c r="U561" s="19">
        <f t="shared" si="1"/>
        <v>1500</v>
      </c>
      <c r="V561" s="19">
        <f t="shared" si="2"/>
        <v>57.44039715</v>
      </c>
      <c r="W561" s="20">
        <f t="shared" si="3"/>
        <v>7.968818348</v>
      </c>
      <c r="X561" s="17">
        <f t="shared" si="347"/>
        <v>843.897863</v>
      </c>
      <c r="Y561" s="21">
        <f t="shared" si="4"/>
        <v>4</v>
      </c>
      <c r="Z561" s="21">
        <f t="shared" si="5"/>
        <v>4219.489315</v>
      </c>
      <c r="AA561" s="21">
        <f t="shared" si="6"/>
        <v>39.84409174</v>
      </c>
      <c r="AB561" s="22">
        <f t="shared" si="7"/>
        <v>0.5625985753</v>
      </c>
      <c r="AC561" s="8">
        <f t="shared" si="333"/>
        <v>856.8919764</v>
      </c>
      <c r="AD561" s="13">
        <f t="shared" si="334"/>
        <v>0.5712613176</v>
      </c>
      <c r="AE561" s="8">
        <f t="shared" si="335"/>
        <v>204.2028659</v>
      </c>
      <c r="AF561" s="73">
        <f t="shared" si="336"/>
        <v>22.41844129</v>
      </c>
      <c r="AG561" s="74" t="str">
        <f t="shared" si="337"/>
        <v>#REF!</v>
      </c>
      <c r="AH561" s="73">
        <f t="shared" si="338"/>
        <v>0</v>
      </c>
      <c r="AI561" s="73">
        <f t="shared" si="339"/>
        <v>0.6760795925</v>
      </c>
      <c r="AJ561" s="75">
        <f t="shared" si="340"/>
        <v>1</v>
      </c>
      <c r="AK561" s="73">
        <f t="shared" si="341"/>
        <v>0.8473517359</v>
      </c>
      <c r="AL561" s="73">
        <f t="shared" si="342"/>
        <v>6.848493071</v>
      </c>
      <c r="AM561" s="73">
        <f t="shared" si="343"/>
        <v>1.70328585</v>
      </c>
      <c r="AN561" s="75">
        <v>396.06</v>
      </c>
      <c r="AO561" s="76">
        <v>400.0</v>
      </c>
      <c r="AP561" s="73">
        <f t="shared" si="344"/>
        <v>400</v>
      </c>
      <c r="AQ561" s="29" t="str">
        <f t="shared" si="345"/>
        <v>#REF!</v>
      </c>
      <c r="AR561" s="77" t="str">
        <f t="shared" si="346"/>
        <v>#REF!</v>
      </c>
      <c r="AS561" s="73"/>
      <c r="AT561" s="39"/>
    </row>
    <row r="562" ht="15.75" customHeight="1">
      <c r="A562" s="7" t="s">
        <v>680</v>
      </c>
      <c r="B562" s="7" t="s">
        <v>660</v>
      </c>
      <c r="C562" s="7">
        <v>2021.0</v>
      </c>
      <c r="D562" s="7" t="b">
        <v>1</v>
      </c>
      <c r="E562" s="7">
        <v>2021.0</v>
      </c>
      <c r="F562" s="7" t="b">
        <v>1</v>
      </c>
      <c r="G562" s="7" t="b">
        <v>0</v>
      </c>
      <c r="H562" s="7" t="b">
        <v>1</v>
      </c>
      <c r="I562" s="7" t="b">
        <v>0</v>
      </c>
      <c r="J562" s="9">
        <v>1130.0</v>
      </c>
      <c r="K562" s="9">
        <v>15.0</v>
      </c>
      <c r="L562" s="7">
        <v>500.0</v>
      </c>
      <c r="M562" s="7">
        <v>1100.0</v>
      </c>
      <c r="N562" s="7">
        <v>277.0</v>
      </c>
      <c r="O562" s="7">
        <v>111.2</v>
      </c>
      <c r="P562" s="9">
        <v>1.0</v>
      </c>
      <c r="Q562" s="7">
        <v>465.5</v>
      </c>
      <c r="R562" s="7">
        <v>4.44</v>
      </c>
      <c r="S562" s="7">
        <v>0.998454</v>
      </c>
      <c r="T562" s="7">
        <v>0.996939</v>
      </c>
      <c r="U562" s="10">
        <f t="shared" si="1"/>
        <v>1600</v>
      </c>
      <c r="V562" s="10">
        <f t="shared" si="2"/>
        <v>40.93589984</v>
      </c>
      <c r="W562" s="11">
        <f t="shared" si="3"/>
        <v>7.995337428</v>
      </c>
      <c r="X562" s="8">
        <f t="shared" si="347"/>
        <v>889.081522</v>
      </c>
      <c r="Y562" s="12">
        <f t="shared" si="4"/>
        <v>4</v>
      </c>
      <c r="Z562" s="12">
        <f t="shared" si="5"/>
        <v>4445.40761</v>
      </c>
      <c r="AA562" s="12">
        <f t="shared" si="6"/>
        <v>39.97668714</v>
      </c>
      <c r="AB562" s="13">
        <f t="shared" si="7"/>
        <v>0.5556759512</v>
      </c>
      <c r="AC562" s="8">
        <f t="shared" si="333"/>
        <v>902.7713613</v>
      </c>
      <c r="AD562" s="13">
        <f t="shared" si="334"/>
        <v>0.5642321008</v>
      </c>
      <c r="AE562" s="8">
        <f t="shared" si="335"/>
        <v>262.3618705</v>
      </c>
      <c r="AF562" s="73">
        <f t="shared" si="336"/>
        <v>23.20346052</v>
      </c>
      <c r="AG562" s="74" t="str">
        <f t="shared" si="337"/>
        <v>#REF!</v>
      </c>
      <c r="AH562" s="73">
        <f t="shared" si="338"/>
        <v>0</v>
      </c>
      <c r="AI562" s="73">
        <f t="shared" si="339"/>
        <v>0.6272838613</v>
      </c>
      <c r="AJ562" s="75">
        <f t="shared" si="340"/>
        <v>1</v>
      </c>
      <c r="AK562" s="73">
        <f t="shared" si="341"/>
        <v>0.7153312156</v>
      </c>
      <c r="AL562" s="73">
        <f t="shared" si="342"/>
        <v>8.657977</v>
      </c>
      <c r="AM562" s="73">
        <f t="shared" si="343"/>
        <v>1.689162817</v>
      </c>
      <c r="AN562" s="75">
        <v>477.12</v>
      </c>
      <c r="AO562" s="76">
        <v>480.0</v>
      </c>
      <c r="AP562" s="73">
        <f t="shared" si="344"/>
        <v>480</v>
      </c>
      <c r="AQ562" s="29" t="str">
        <f t="shared" si="345"/>
        <v>#REF!</v>
      </c>
      <c r="AR562" s="77" t="str">
        <f t="shared" si="346"/>
        <v>#REF!</v>
      </c>
      <c r="AS562" s="73"/>
      <c r="AT562" s="39"/>
    </row>
    <row r="563" ht="15.75" customHeight="1">
      <c r="A563" s="7" t="s">
        <v>142</v>
      </c>
      <c r="B563" s="7" t="s">
        <v>143</v>
      </c>
      <c r="C563" s="7">
        <v>2022.0</v>
      </c>
      <c r="D563" s="7"/>
      <c r="E563" s="7">
        <v>2022.0</v>
      </c>
      <c r="F563" s="7" t="b">
        <v>1</v>
      </c>
      <c r="G563" s="7" t="b">
        <v>0</v>
      </c>
      <c r="H563" s="7" t="b">
        <v>0</v>
      </c>
      <c r="I563" s="7" t="b">
        <v>0</v>
      </c>
      <c r="J563" s="9">
        <v>315.0</v>
      </c>
      <c r="K563" s="7">
        <v>1.0</v>
      </c>
      <c r="L563" s="7">
        <v>1488.0</v>
      </c>
      <c r="M563" s="7">
        <v>0.0</v>
      </c>
      <c r="N563" s="7">
        <v>9656.0</v>
      </c>
      <c r="O563" s="7">
        <v>8815.0</v>
      </c>
      <c r="P563" s="9">
        <v>272.3</v>
      </c>
      <c r="Q563" s="7">
        <v>299.0</v>
      </c>
      <c r="R563" s="7">
        <v>8.0</v>
      </c>
      <c r="S563" s="7">
        <v>0.998</v>
      </c>
      <c r="T563" s="7">
        <v>0.998</v>
      </c>
      <c r="U563" s="10">
        <f t="shared" si="1"/>
        <v>1488</v>
      </c>
      <c r="V563" s="10">
        <f t="shared" si="2"/>
        <v>93.09028988</v>
      </c>
      <c r="W563" s="11">
        <f t="shared" si="3"/>
        <v>0.2108604759</v>
      </c>
      <c r="X563" s="8">
        <f>0.2*(8.17*POWER(N563*R563,0.46))+0.8*(0.146*POWER(N563*Q563,0.639))</f>
        <v>1858.735095</v>
      </c>
      <c r="Y563" s="12">
        <f t="shared" si="4"/>
        <v>4</v>
      </c>
      <c r="Z563" s="12">
        <f t="shared" si="5"/>
        <v>9293.675477</v>
      </c>
      <c r="AA563" s="12">
        <f t="shared" si="6"/>
        <v>1.05430238</v>
      </c>
      <c r="AB563" s="13">
        <f t="shared" si="7"/>
        <v>1.24914993</v>
      </c>
      <c r="AC563" s="8">
        <f t="shared" si="333"/>
        <v>1888.482292</v>
      </c>
      <c r="AD563" s="13">
        <f t="shared" si="334"/>
        <v>1.269141325</v>
      </c>
      <c r="AE563" s="8">
        <f t="shared" si="335"/>
        <v>1888.482292</v>
      </c>
      <c r="AF563" s="73">
        <f t="shared" si="336"/>
        <v>953.8383718</v>
      </c>
      <c r="AG563" s="74" t="str">
        <f t="shared" si="337"/>
        <v>#REF!</v>
      </c>
      <c r="AH563" s="73">
        <f t="shared" si="338"/>
        <v>0</v>
      </c>
      <c r="AI563" s="73">
        <f t="shared" si="339"/>
        <v>0</v>
      </c>
      <c r="AJ563" s="75">
        <f t="shared" si="340"/>
        <v>1.351475952</v>
      </c>
      <c r="AK563" s="73">
        <f t="shared" si="341"/>
        <v>1.078716192</v>
      </c>
      <c r="AL563" s="73">
        <f t="shared" si="342"/>
        <v>0.9931593749</v>
      </c>
      <c r="AM563" s="73">
        <f t="shared" si="343"/>
        <v>1.330360566</v>
      </c>
      <c r="AN563" s="75">
        <v>2151.36</v>
      </c>
      <c r="AO563" s="76">
        <v>2200.0</v>
      </c>
      <c r="AP563" s="73">
        <f t="shared" si="344"/>
        <v>2200</v>
      </c>
      <c r="AQ563" s="29" t="str">
        <f t="shared" si="345"/>
        <v>#REF!</v>
      </c>
      <c r="AR563" s="77" t="str">
        <f t="shared" si="346"/>
        <v>#REF!</v>
      </c>
      <c r="AS563" s="73"/>
      <c r="AT563" s="39"/>
    </row>
    <row r="564" ht="15.75" customHeight="1">
      <c r="A564" s="7" t="s">
        <v>239</v>
      </c>
      <c r="B564" s="7" t="s">
        <v>235</v>
      </c>
      <c r="C564" s="7">
        <v>2022.0</v>
      </c>
      <c r="D564" s="7" t="b">
        <v>1</v>
      </c>
      <c r="E564" s="7">
        <v>2022.0</v>
      </c>
      <c r="F564" s="7" t="b">
        <v>1</v>
      </c>
      <c r="G564" s="7" t="b">
        <v>0</v>
      </c>
      <c r="H564" s="7" t="b">
        <v>1</v>
      </c>
      <c r="I564" s="7" t="b">
        <v>0</v>
      </c>
      <c r="J564" s="9">
        <v>740.0</v>
      </c>
      <c r="K564" s="9">
        <v>16.0</v>
      </c>
      <c r="L564" s="7">
        <v>2650.0</v>
      </c>
      <c r="M564" s="7">
        <v>-1000.0</v>
      </c>
      <c r="N564" s="7">
        <v>303.0</v>
      </c>
      <c r="O564" s="7">
        <v>137.2</v>
      </c>
      <c r="P564" s="9">
        <v>146.0</v>
      </c>
      <c r="Q564" s="7">
        <v>448.0</v>
      </c>
      <c r="R564" s="7">
        <v>3.61</v>
      </c>
      <c r="S564" s="7">
        <v>0.998598</v>
      </c>
      <c r="T564" s="7">
        <v>0.997222</v>
      </c>
      <c r="U564" s="10">
        <f t="shared" si="1"/>
        <v>1650</v>
      </c>
      <c r="V564" s="10">
        <f t="shared" si="2"/>
        <v>46.17328845</v>
      </c>
      <c r="W564" s="11">
        <f t="shared" si="3"/>
        <v>6.433806613</v>
      </c>
      <c r="X564" s="8">
        <f t="shared" ref="X564:X566" si="348">0.9*(0.00015*N564*Q564*R564+797)+0.1*(43.1*POWER(N564,0.549))</f>
        <v>882.7182673</v>
      </c>
      <c r="Y564" s="12">
        <f t="shared" si="4"/>
        <v>4</v>
      </c>
      <c r="Z564" s="12">
        <f t="shared" si="5"/>
        <v>4413.591337</v>
      </c>
      <c r="AA564" s="12">
        <f t="shared" si="6"/>
        <v>32.16903307</v>
      </c>
      <c r="AB564" s="13">
        <f t="shared" si="7"/>
        <v>0.5349807681</v>
      </c>
      <c r="AC564" s="8">
        <f t="shared" si="333"/>
        <v>896.6863083</v>
      </c>
      <c r="AD564" s="13">
        <f t="shared" si="334"/>
        <v>0.5434462474</v>
      </c>
      <c r="AE564" s="8">
        <f t="shared" si="335"/>
        <v>267.4740719</v>
      </c>
      <c r="AF564" s="73">
        <f t="shared" si="336"/>
        <v>26.96821008</v>
      </c>
      <c r="AG564" s="74" t="str">
        <f t="shared" si="337"/>
        <v>#REF!</v>
      </c>
      <c r="AH564" s="73">
        <f t="shared" si="338"/>
        <v>0</v>
      </c>
      <c r="AI564" s="73">
        <f t="shared" si="339"/>
        <v>0.6384762338</v>
      </c>
      <c r="AJ564" s="75">
        <f t="shared" si="340"/>
        <v>1</v>
      </c>
      <c r="AK564" s="73">
        <f t="shared" si="341"/>
        <v>0.7597144896</v>
      </c>
      <c r="AL564" s="73">
        <f t="shared" si="342"/>
        <v>6.324098242</v>
      </c>
      <c r="AM564" s="73">
        <f t="shared" si="343"/>
        <v>1.583187446</v>
      </c>
      <c r="AN564" s="75">
        <v>391.62</v>
      </c>
      <c r="AO564" s="76">
        <v>390.0</v>
      </c>
      <c r="AP564" s="73">
        <f t="shared" si="344"/>
        <v>390</v>
      </c>
      <c r="AQ564" s="29" t="str">
        <f t="shared" si="345"/>
        <v>#REF!</v>
      </c>
      <c r="AR564" s="77" t="str">
        <f t="shared" si="346"/>
        <v>#REF!</v>
      </c>
      <c r="AS564" s="73"/>
      <c r="AT564" s="39"/>
    </row>
    <row r="565" ht="15.75" customHeight="1">
      <c r="A565" s="7" t="s">
        <v>244</v>
      </c>
      <c r="B565" s="7" t="s">
        <v>245</v>
      </c>
      <c r="C565" s="7">
        <v>2022.0</v>
      </c>
      <c r="D565" s="7" t="b">
        <v>1</v>
      </c>
      <c r="E565" s="7">
        <v>2022.0</v>
      </c>
      <c r="F565" s="7" t="b">
        <v>1</v>
      </c>
      <c r="G565" s="7" t="b">
        <v>0</v>
      </c>
      <c r="H565" s="7" t="b">
        <v>0</v>
      </c>
      <c r="I565" s="7" t="b">
        <v>0</v>
      </c>
      <c r="J565" s="9">
        <v>350.0</v>
      </c>
      <c r="K565" s="7">
        <v>1.0</v>
      </c>
      <c r="L565" s="7"/>
      <c r="M565" s="7">
        <v>0.0</v>
      </c>
      <c r="N565" s="7">
        <v>2410.0</v>
      </c>
      <c r="O565" s="7">
        <v>1471.0</v>
      </c>
      <c r="P565" s="9">
        <v>349.0</v>
      </c>
      <c r="Q565" s="7">
        <v>425.0</v>
      </c>
      <c r="R565" s="7">
        <v>10.0</v>
      </c>
      <c r="S565" s="7">
        <v>0.997458</v>
      </c>
      <c r="T565" s="7">
        <v>0.997458</v>
      </c>
      <c r="U565" s="10">
        <f t="shared" si="1"/>
        <v>0</v>
      </c>
      <c r="V565" s="10">
        <f t="shared" si="2"/>
        <v>62.2407695</v>
      </c>
      <c r="W565" s="11">
        <f t="shared" si="3"/>
        <v>1.638290554</v>
      </c>
      <c r="X565" s="8">
        <f t="shared" si="348"/>
        <v>2409.925405</v>
      </c>
      <c r="Y565" s="12">
        <f t="shared" si="4"/>
        <v>4</v>
      </c>
      <c r="Z565" s="12">
        <f t="shared" si="5"/>
        <v>12049.62703</v>
      </c>
      <c r="AA565" s="12">
        <f t="shared" si="6"/>
        <v>8.191452772</v>
      </c>
      <c r="AB565" s="13" t="str">
        <f t="shared" si="7"/>
        <v>#N/A</v>
      </c>
      <c r="AC565" s="8">
        <f t="shared" si="333"/>
        <v>2445.887425</v>
      </c>
      <c r="AD565" s="13" t="str">
        <f t="shared" si="334"/>
        <v>#N/A</v>
      </c>
      <c r="AE565" s="8">
        <f t="shared" si="335"/>
        <v>993.2982527</v>
      </c>
      <c r="AF565" s="73">
        <f t="shared" si="336"/>
        <v>184.9207773</v>
      </c>
      <c r="AG565" s="74" t="str">
        <f t="shared" si="337"/>
        <v>#REF!</v>
      </c>
      <c r="AH565" s="73">
        <f t="shared" si="338"/>
        <v>0</v>
      </c>
      <c r="AI565" s="73">
        <f t="shared" si="339"/>
        <v>0</v>
      </c>
      <c r="AJ565" s="75">
        <f t="shared" si="340"/>
        <v>1.181180099</v>
      </c>
      <c r="AK565" s="73">
        <f t="shared" si="341"/>
        <v>0.8820485354</v>
      </c>
      <c r="AL565" s="73">
        <f t="shared" si="342"/>
        <v>4.625820105</v>
      </c>
      <c r="AM565" s="73">
        <f t="shared" si="343"/>
        <v>1.364668672</v>
      </c>
      <c r="AN565" s="75">
        <v>1535.44</v>
      </c>
      <c r="AO565" s="76">
        <v>1550.0</v>
      </c>
      <c r="AP565" s="73">
        <f t="shared" si="344"/>
        <v>1550</v>
      </c>
      <c r="AQ565" s="29" t="str">
        <f t="shared" si="345"/>
        <v>#REF!</v>
      </c>
      <c r="AR565" s="77" t="str">
        <f t="shared" si="346"/>
        <v>#REF!</v>
      </c>
      <c r="AS565" s="73"/>
      <c r="AT565" s="39"/>
    </row>
    <row r="566" ht="15.75" customHeight="1">
      <c r="A566" s="16" t="s">
        <v>682</v>
      </c>
      <c r="B566" s="16" t="s">
        <v>660</v>
      </c>
      <c r="C566" s="16">
        <v>2024.0</v>
      </c>
      <c r="D566" s="16" t="b">
        <v>1</v>
      </c>
      <c r="E566" s="16">
        <v>2024.0</v>
      </c>
      <c r="F566" s="16" t="b">
        <v>1</v>
      </c>
      <c r="G566" s="16" t="b">
        <v>0</v>
      </c>
      <c r="H566" s="16" t="b">
        <v>1</v>
      </c>
      <c r="I566" s="16" t="b">
        <v>0</v>
      </c>
      <c r="J566" s="18">
        <v>1350.0</v>
      </c>
      <c r="K566" s="18">
        <v>15.0</v>
      </c>
      <c r="L566" s="16">
        <v>500.0</v>
      </c>
      <c r="M566" s="16">
        <v>1100.0</v>
      </c>
      <c r="N566" s="16">
        <v>230.0</v>
      </c>
      <c r="O566" s="16">
        <v>108.5</v>
      </c>
      <c r="P566" s="18">
        <v>52.0</v>
      </c>
      <c r="Q566" s="16">
        <v>460.1</v>
      </c>
      <c r="R566" s="16">
        <v>4.44</v>
      </c>
      <c r="S566" s="16">
        <v>0.998454</v>
      </c>
      <c r="T566" s="16">
        <v>0.996939</v>
      </c>
      <c r="U566" s="19">
        <f t="shared" si="1"/>
        <v>1600</v>
      </c>
      <c r="V566" s="19">
        <f t="shared" si="2"/>
        <v>48.10400382</v>
      </c>
      <c r="W566" s="20">
        <f t="shared" si="3"/>
        <v>7.982057642</v>
      </c>
      <c r="X566" s="17">
        <f t="shared" si="348"/>
        <v>866.0532542</v>
      </c>
      <c r="Y566" s="21">
        <f t="shared" si="4"/>
        <v>4</v>
      </c>
      <c r="Z566" s="21">
        <f t="shared" si="5"/>
        <v>4330.266271</v>
      </c>
      <c r="AA566" s="21">
        <f t="shared" si="6"/>
        <v>39.91028821</v>
      </c>
      <c r="AB566" s="22">
        <f t="shared" si="7"/>
        <v>0.5412832838</v>
      </c>
      <c r="AC566" s="8">
        <f t="shared" si="333"/>
        <v>879.3885103</v>
      </c>
      <c r="AD566" s="13">
        <f t="shared" si="334"/>
        <v>0.549617819</v>
      </c>
      <c r="AE566" s="8">
        <f t="shared" si="335"/>
        <v>232.8438107</v>
      </c>
      <c r="AF566" s="73">
        <f t="shared" si="336"/>
        <v>22.80438827</v>
      </c>
      <c r="AG566" s="74" t="str">
        <f t="shared" si="337"/>
        <v>#REF!</v>
      </c>
      <c r="AH566" s="73">
        <f t="shared" si="338"/>
        <v>0</v>
      </c>
      <c r="AI566" s="73">
        <f t="shared" si="339"/>
        <v>0.6272838613</v>
      </c>
      <c r="AJ566" s="75">
        <f t="shared" si="340"/>
        <v>1</v>
      </c>
      <c r="AK566" s="73">
        <f t="shared" si="341"/>
        <v>0.7754353924</v>
      </c>
      <c r="AL566" s="73">
        <f t="shared" si="342"/>
        <v>7.470021932</v>
      </c>
      <c r="AM566" s="73">
        <f t="shared" si="343"/>
        <v>1.730330244</v>
      </c>
      <c r="AN566" s="75">
        <v>421.16</v>
      </c>
      <c r="AO566" s="76">
        <v>420.0</v>
      </c>
      <c r="AP566" s="73">
        <f t="shared" si="344"/>
        <v>420</v>
      </c>
      <c r="AQ566" s="29" t="str">
        <f t="shared" si="345"/>
        <v>#REF!</v>
      </c>
      <c r="AR566" s="77" t="str">
        <f t="shared" si="346"/>
        <v>#REF!</v>
      </c>
      <c r="AS566" s="73"/>
      <c r="AT566" s="39"/>
    </row>
    <row r="567" ht="15.75" customHeight="1">
      <c r="A567" s="16" t="s">
        <v>360</v>
      </c>
      <c r="B567" s="16" t="s">
        <v>360</v>
      </c>
      <c r="C567" s="16">
        <v>2026.0</v>
      </c>
      <c r="D567" s="16"/>
      <c r="E567" s="16">
        <v>2026.0</v>
      </c>
      <c r="F567" s="16" t="b">
        <v>1</v>
      </c>
      <c r="G567" s="16" t="b">
        <v>0</v>
      </c>
      <c r="H567" s="16" t="b">
        <v>1</v>
      </c>
      <c r="I567" s="16" t="b">
        <v>0</v>
      </c>
      <c r="J567" s="18">
        <v>370.0</v>
      </c>
      <c r="K567" s="18">
        <v>5.0</v>
      </c>
      <c r="L567" s="16"/>
      <c r="M567" s="16">
        <v>0.0</v>
      </c>
      <c r="N567" s="16">
        <v>242.0</v>
      </c>
      <c r="O567" s="16">
        <v>98.1</v>
      </c>
      <c r="P567" s="18">
        <v>266.0</v>
      </c>
      <c r="Q567" s="16">
        <v>362.0</v>
      </c>
      <c r="R567" s="16">
        <v>7.92</v>
      </c>
      <c r="S567" s="16">
        <v>0.9995</v>
      </c>
      <c r="T567" s="16">
        <v>0.9852</v>
      </c>
      <c r="U567" s="19">
        <f t="shared" si="1"/>
        <v>0</v>
      </c>
      <c r="V567" s="19">
        <f t="shared" si="2"/>
        <v>41.33642984</v>
      </c>
      <c r="W567" s="20">
        <f t="shared" si="3"/>
        <v>2.253095344</v>
      </c>
      <c r="X567" s="17">
        <f t="shared" ref="X567:X570" si="349">0.2*(8.17*POWER(N567*R567,0.46))+0.8*(0.146*POWER(N567*Q567,0.639))</f>
        <v>221.0286532</v>
      </c>
      <c r="Y567" s="21">
        <f t="shared" si="4"/>
        <v>4</v>
      </c>
      <c r="Z567" s="21">
        <f t="shared" si="5"/>
        <v>1105.143266</v>
      </c>
      <c r="AA567" s="21">
        <f t="shared" si="6"/>
        <v>11.26547672</v>
      </c>
      <c r="AB567" s="22" t="str">
        <f t="shared" si="7"/>
        <v>#N/A</v>
      </c>
      <c r="AC567" s="8">
        <f t="shared" si="333"/>
        <v>222.0691235</v>
      </c>
      <c r="AD567" s="13" t="str">
        <f t="shared" si="334"/>
        <v>#N/A</v>
      </c>
      <c r="AE567" s="8">
        <f t="shared" si="335"/>
        <v>222.0691235</v>
      </c>
      <c r="AF567" s="73">
        <f t="shared" si="336"/>
        <v>21.25020775</v>
      </c>
      <c r="AG567" s="74" t="str">
        <f t="shared" si="337"/>
        <v>#REF!</v>
      </c>
      <c r="AH567" s="73">
        <f t="shared" si="338"/>
        <v>0</v>
      </c>
      <c r="AI567" s="73">
        <f t="shared" si="339"/>
        <v>0.4128305045</v>
      </c>
      <c r="AJ567" s="75">
        <f t="shared" si="340"/>
        <v>1.057288594</v>
      </c>
      <c r="AK567" s="73">
        <f t="shared" si="341"/>
        <v>0.7188222123</v>
      </c>
      <c r="AL567" s="73">
        <f t="shared" si="342"/>
        <v>2.030447596</v>
      </c>
      <c r="AM567" s="73">
        <f t="shared" si="343"/>
        <v>1.38238862</v>
      </c>
      <c r="AN567" s="75">
        <v>66.82</v>
      </c>
      <c r="AO567" s="76">
        <v>67.0</v>
      </c>
      <c r="AP567" s="73">
        <f t="shared" si="344"/>
        <v>67</v>
      </c>
      <c r="AQ567" s="29" t="str">
        <f t="shared" si="345"/>
        <v>#REF!</v>
      </c>
      <c r="AR567" s="77" t="str">
        <f t="shared" si="346"/>
        <v>#REF!</v>
      </c>
      <c r="AS567" s="73"/>
      <c r="AT567" s="39"/>
    </row>
    <row r="568" ht="15.75" customHeight="1">
      <c r="A568" s="16" t="s">
        <v>97</v>
      </c>
      <c r="B568" s="16" t="s">
        <v>97</v>
      </c>
      <c r="C568" s="16"/>
      <c r="D568" s="16"/>
      <c r="E568" s="18">
        <v>2026.0</v>
      </c>
      <c r="F568" s="16" t="b">
        <v>0</v>
      </c>
      <c r="G568" s="16" t="b">
        <v>0</v>
      </c>
      <c r="H568" s="16" t="b">
        <v>0</v>
      </c>
      <c r="I568" s="16" t="b">
        <v>0</v>
      </c>
      <c r="J568" s="16"/>
      <c r="K568" s="16">
        <v>1.0</v>
      </c>
      <c r="L568" s="16">
        <v>1500.0</v>
      </c>
      <c r="M568" s="16">
        <v>0.0</v>
      </c>
      <c r="N568" s="16">
        <v>7931.0</v>
      </c>
      <c r="O568" s="16">
        <v>6521.1</v>
      </c>
      <c r="P568" s="16"/>
      <c r="Q568" s="16">
        <v>289.8</v>
      </c>
      <c r="R568" s="16">
        <v>1.72</v>
      </c>
      <c r="S568" s="18">
        <v>1.0</v>
      </c>
      <c r="T568" s="18">
        <v>1.0</v>
      </c>
      <c r="U568" s="19">
        <f t="shared" si="1"/>
        <v>1500</v>
      </c>
      <c r="V568" s="19">
        <f t="shared" si="2"/>
        <v>83.84404712</v>
      </c>
      <c r="W568" s="20">
        <f t="shared" si="3"/>
        <v>0.2280018378</v>
      </c>
      <c r="X568" s="17">
        <f t="shared" si="349"/>
        <v>1486.822784</v>
      </c>
      <c r="Y568" s="21">
        <f t="shared" si="4"/>
        <v>1.75</v>
      </c>
      <c r="Z568" s="21">
        <f t="shared" si="5"/>
        <v>4088.762657</v>
      </c>
      <c r="AA568" s="21">
        <f t="shared" si="6"/>
        <v>0.6270050539</v>
      </c>
      <c r="AB568" s="22">
        <f t="shared" si="7"/>
        <v>0.9912151895</v>
      </c>
      <c r="AC568" s="8">
        <f t="shared" si="333"/>
        <v>1516.55924</v>
      </c>
      <c r="AD568" s="13">
        <f t="shared" si="334"/>
        <v>1.011039493</v>
      </c>
      <c r="AE568" s="8">
        <f t="shared" si="335"/>
        <v>1516.55924</v>
      </c>
      <c r="AF568" s="73">
        <f t="shared" si="336"/>
        <v>1275.4323</v>
      </c>
      <c r="AG568" s="74" t="str">
        <f t="shared" si="337"/>
        <v>#REF!</v>
      </c>
      <c r="AH568" s="73">
        <f t="shared" si="338"/>
        <v>0</v>
      </c>
      <c r="AI568" s="73">
        <f t="shared" si="339"/>
        <v>0</v>
      </c>
      <c r="AJ568" s="75">
        <f t="shared" si="340"/>
        <v>1</v>
      </c>
      <c r="AK568" s="73">
        <f t="shared" si="341"/>
        <v>1.02374342</v>
      </c>
      <c r="AL568" s="73">
        <f t="shared" si="342"/>
        <v>0.9323806543</v>
      </c>
      <c r="AM568" s="73">
        <f t="shared" si="343"/>
        <v>1</v>
      </c>
      <c r="AN568" s="75">
        <v>1695.95</v>
      </c>
      <c r="AO568" s="76">
        <v>1700.0</v>
      </c>
      <c r="AP568" s="73">
        <f t="shared" si="344"/>
        <v>1700</v>
      </c>
      <c r="AQ568" s="29" t="str">
        <f t="shared" si="345"/>
        <v>#REF!</v>
      </c>
      <c r="AR568" s="77" t="str">
        <f t="shared" si="346"/>
        <v>#REF!</v>
      </c>
      <c r="AS568" s="73"/>
      <c r="AT568" s="39"/>
    </row>
    <row r="569" ht="15.75" customHeight="1">
      <c r="A569" s="7" t="s">
        <v>182</v>
      </c>
      <c r="B569" s="7" t="s">
        <v>183</v>
      </c>
      <c r="C569" s="7"/>
      <c r="D569" s="7"/>
      <c r="E569" s="18">
        <v>2026.0</v>
      </c>
      <c r="F569" s="7" t="b">
        <v>0</v>
      </c>
      <c r="G569" s="7" t="b">
        <v>0</v>
      </c>
      <c r="H569" s="7" t="b">
        <v>0</v>
      </c>
      <c r="I569" s="7" t="b">
        <v>1</v>
      </c>
      <c r="J569" s="7"/>
      <c r="K569" s="7">
        <v>1.0</v>
      </c>
      <c r="L569" s="7">
        <v>50.0</v>
      </c>
      <c r="M569" s="7">
        <v>0.0</v>
      </c>
      <c r="N569" s="7">
        <v>0.75</v>
      </c>
      <c r="O569" s="7">
        <v>0.445</v>
      </c>
      <c r="P569" s="7"/>
      <c r="Q569" s="7">
        <v>302.0</v>
      </c>
      <c r="R569" s="7">
        <v>1.61</v>
      </c>
      <c r="S569" s="7">
        <v>1.0</v>
      </c>
      <c r="T569" s="7">
        <v>1.0</v>
      </c>
      <c r="U569" s="10">
        <f t="shared" si="1"/>
        <v>50</v>
      </c>
      <c r="V569" s="10">
        <f t="shared" si="2"/>
        <v>60.50316179</v>
      </c>
      <c r="W569" s="11">
        <f t="shared" si="3"/>
        <v>12.39865643</v>
      </c>
      <c r="X569" s="8">
        <f t="shared" si="349"/>
        <v>5.51740211</v>
      </c>
      <c r="Y569" s="12">
        <f t="shared" si="4"/>
        <v>1.75</v>
      </c>
      <c r="Z569" s="12">
        <f t="shared" si="5"/>
        <v>15.1728558</v>
      </c>
      <c r="AA569" s="12">
        <f t="shared" si="6"/>
        <v>34.09630517</v>
      </c>
      <c r="AB569" s="13">
        <f t="shared" si="7"/>
        <v>0.1103480422</v>
      </c>
      <c r="AC569" s="8">
        <f t="shared" si="333"/>
        <v>8.441625228</v>
      </c>
      <c r="AD569" s="13">
        <f t="shared" si="334"/>
        <v>0.1688325046</v>
      </c>
      <c r="AE569" s="8">
        <f t="shared" si="335"/>
        <v>8.441625228</v>
      </c>
      <c r="AF569" s="73">
        <f t="shared" si="336"/>
        <v>1.997918943</v>
      </c>
      <c r="AG569" s="74" t="str">
        <f t="shared" si="337"/>
        <v>#REF!</v>
      </c>
      <c r="AH569" s="73">
        <f t="shared" si="338"/>
        <v>2</v>
      </c>
      <c r="AI569" s="73">
        <f t="shared" si="339"/>
        <v>0</v>
      </c>
      <c r="AJ569" s="75">
        <f t="shared" si="340"/>
        <v>1</v>
      </c>
      <c r="AK569" s="73">
        <f t="shared" si="341"/>
        <v>0.86964908</v>
      </c>
      <c r="AL569" s="73">
        <f t="shared" si="342"/>
        <v>1.016338664</v>
      </c>
      <c r="AM569" s="73">
        <f t="shared" si="343"/>
        <v>1</v>
      </c>
      <c r="AN569" s="75">
        <v>5.54</v>
      </c>
      <c r="AO569" s="76">
        <v>5.5</v>
      </c>
      <c r="AP569" s="73">
        <f t="shared" si="344"/>
        <v>5.5</v>
      </c>
      <c r="AQ569" s="29" t="str">
        <f t="shared" si="345"/>
        <v>#REF!</v>
      </c>
      <c r="AR569" s="77" t="str">
        <f t="shared" si="346"/>
        <v>#REF!</v>
      </c>
      <c r="AS569" s="73"/>
      <c r="AT569" s="39"/>
    </row>
    <row r="570" ht="15.75" customHeight="1">
      <c r="A570" s="16" t="s">
        <v>213</v>
      </c>
      <c r="B570" s="16" t="s">
        <v>214</v>
      </c>
      <c r="C570" s="16"/>
      <c r="D570" s="16"/>
      <c r="E570" s="18">
        <v>2026.0</v>
      </c>
      <c r="F570" s="16" t="b">
        <v>0</v>
      </c>
      <c r="G570" s="16" t="b">
        <v>0</v>
      </c>
      <c r="H570" s="16" t="b">
        <v>0</v>
      </c>
      <c r="I570" s="16" t="b">
        <v>0</v>
      </c>
      <c r="J570" s="18">
        <v>2700.0</v>
      </c>
      <c r="K570" s="18">
        <v>999.0</v>
      </c>
      <c r="L570" s="16"/>
      <c r="M570" s="16"/>
      <c r="N570" s="16">
        <v>38.5</v>
      </c>
      <c r="O570" s="16">
        <v>3.09</v>
      </c>
      <c r="P570" s="18">
        <v>146.0</v>
      </c>
      <c r="Q570" s="16">
        <v>293.7</v>
      </c>
      <c r="R570" s="16">
        <v>1.75</v>
      </c>
      <c r="S570" s="16">
        <v>0.99966</v>
      </c>
      <c r="T570" s="16">
        <v>0.99966</v>
      </c>
      <c r="U570" s="19">
        <f t="shared" si="1"/>
        <v>0</v>
      </c>
      <c r="V570" s="19">
        <f t="shared" si="2"/>
        <v>8.184215815</v>
      </c>
      <c r="W570" s="20">
        <f t="shared" si="3"/>
        <v>18.37681985</v>
      </c>
      <c r="X570" s="17">
        <f t="shared" si="349"/>
        <v>56.78437335</v>
      </c>
      <c r="Y570" s="21">
        <f t="shared" si="4"/>
        <v>1.75</v>
      </c>
      <c r="Z570" s="21">
        <f t="shared" si="5"/>
        <v>156.1570267</v>
      </c>
      <c r="AA570" s="21">
        <f t="shared" si="6"/>
        <v>50.5362546</v>
      </c>
      <c r="AB570" s="22" t="str">
        <f t="shared" si="7"/>
        <v>#N/A</v>
      </c>
      <c r="AC570" s="8">
        <f t="shared" si="333"/>
        <v>57.88145401</v>
      </c>
      <c r="AD570" s="13" t="str">
        <f t="shared" si="334"/>
        <v>#N/A</v>
      </c>
      <c r="AE570" s="8">
        <f t="shared" si="335"/>
        <v>57.88145401</v>
      </c>
      <c r="AF570" s="73">
        <f t="shared" si="336"/>
        <v>2.974864686</v>
      </c>
      <c r="AG570" s="74" t="str">
        <f t="shared" si="337"/>
        <v>#REF!</v>
      </c>
      <c r="AH570" s="73">
        <f t="shared" si="338"/>
        <v>0</v>
      </c>
      <c r="AI570" s="73">
        <f t="shared" si="339"/>
        <v>1.123141633</v>
      </c>
      <c r="AJ570" s="75">
        <f t="shared" si="340"/>
        <v>1</v>
      </c>
      <c r="AK570" s="73">
        <f t="shared" si="341"/>
        <v>0.319847929</v>
      </c>
      <c r="AL570" s="73">
        <f t="shared" si="342"/>
        <v>0.9576776733</v>
      </c>
      <c r="AM570" s="73">
        <f t="shared" si="343"/>
        <v>1.873749293</v>
      </c>
      <c r="AN570" s="75">
        <v>9.03</v>
      </c>
      <c r="AO570" s="76">
        <v>9.0</v>
      </c>
      <c r="AP570" s="73">
        <f t="shared" si="344"/>
        <v>9</v>
      </c>
      <c r="AQ570" s="29" t="str">
        <f t="shared" si="345"/>
        <v>#REF!</v>
      </c>
      <c r="AR570" s="77" t="str">
        <f t="shared" si="346"/>
        <v>#REF!</v>
      </c>
      <c r="AS570" s="73"/>
      <c r="AT570" s="39"/>
    </row>
    <row r="571" ht="15.75" customHeight="1">
      <c r="A571" s="7" t="s">
        <v>1058</v>
      </c>
      <c r="B571" s="7" t="s">
        <v>259</v>
      </c>
      <c r="C571" s="7"/>
      <c r="D571" s="7" t="b">
        <v>1</v>
      </c>
      <c r="E571" s="18">
        <v>2026.0</v>
      </c>
      <c r="F571" s="7" t="b">
        <v>0</v>
      </c>
      <c r="G571" s="7" t="b">
        <v>0</v>
      </c>
      <c r="H571" s="7" t="b">
        <v>1</v>
      </c>
      <c r="I571" s="7" t="b">
        <v>0</v>
      </c>
      <c r="J571" s="9">
        <v>3600.0</v>
      </c>
      <c r="K571" s="9">
        <v>100.0</v>
      </c>
      <c r="L571" s="7"/>
      <c r="M571" s="7">
        <v>0.0</v>
      </c>
      <c r="N571" s="7">
        <v>2277.0</v>
      </c>
      <c r="O571" s="7">
        <v>47.596</v>
      </c>
      <c r="P571" s="9">
        <v>1.0</v>
      </c>
      <c r="Q571" s="7">
        <v>1037.0</v>
      </c>
      <c r="R571" s="7">
        <v>0.103</v>
      </c>
      <c r="S571" s="7">
        <v>1.0</v>
      </c>
      <c r="T571" s="7">
        <v>1.0</v>
      </c>
      <c r="U571" s="10">
        <f t="shared" si="1"/>
        <v>0</v>
      </c>
      <c r="V571" s="10">
        <f t="shared" si="2"/>
        <v>2.131506927</v>
      </c>
      <c r="W571" s="11">
        <f t="shared" si="3"/>
        <v>22.07143819</v>
      </c>
      <c r="X571" s="8">
        <f t="shared" ref="X571:X572" si="350">0.9*(0.00015*N571*Q571*R571+797)+0.1*(43.1*POWER(N571,0.549))</f>
        <v>1050.512172</v>
      </c>
      <c r="Y571" s="12">
        <f t="shared" si="4"/>
        <v>1.75</v>
      </c>
      <c r="Z571" s="12">
        <f t="shared" si="5"/>
        <v>2888.908473</v>
      </c>
      <c r="AA571" s="12">
        <f t="shared" si="6"/>
        <v>60.69645502</v>
      </c>
      <c r="AB571" s="13" t="str">
        <f t="shared" si="7"/>
        <v>#N/A</v>
      </c>
      <c r="AC571" s="8">
        <f t="shared" si="333"/>
        <v>1071.522416</v>
      </c>
      <c r="AD571" s="13" t="str">
        <f t="shared" si="334"/>
        <v>#N/A</v>
      </c>
      <c r="AE571" s="8">
        <f t="shared" si="335"/>
        <v>1428.122842</v>
      </c>
      <c r="AF571" s="73">
        <f t="shared" si="336"/>
        <v>12.97414028</v>
      </c>
      <c r="AG571" s="74" t="str">
        <f t="shared" si="337"/>
        <v>#REF!</v>
      </c>
      <c r="AH571" s="73">
        <f t="shared" si="338"/>
        <v>0</v>
      </c>
      <c r="AI571" s="73">
        <f t="shared" si="339"/>
        <v>0.9028392442</v>
      </c>
      <c r="AJ571" s="75">
        <f t="shared" si="340"/>
        <v>1</v>
      </c>
      <c r="AK571" s="73">
        <f t="shared" si="341"/>
        <v>0.2</v>
      </c>
      <c r="AL571" s="73">
        <f t="shared" si="342"/>
        <v>86.86589707</v>
      </c>
      <c r="AM571" s="73">
        <f t="shared" si="343"/>
        <v>1.926089075</v>
      </c>
      <c r="AN571" s="75">
        <v>3216.76</v>
      </c>
      <c r="AO571" s="76">
        <v>3200.0</v>
      </c>
      <c r="AP571" s="73">
        <f t="shared" si="344"/>
        <v>3200</v>
      </c>
      <c r="AQ571" s="29" t="str">
        <f t="shared" si="345"/>
        <v>#REF!</v>
      </c>
      <c r="AR571" s="77" t="str">
        <f t="shared" si="346"/>
        <v>#REF!</v>
      </c>
      <c r="AS571" s="73"/>
      <c r="AT571" s="39"/>
    </row>
    <row r="572" ht="15.75" customHeight="1">
      <c r="A572" s="16" t="s">
        <v>1059</v>
      </c>
      <c r="B572" s="16" t="s">
        <v>259</v>
      </c>
      <c r="C572" s="16"/>
      <c r="D572" s="16" t="b">
        <v>1</v>
      </c>
      <c r="E572" s="18">
        <v>2026.0</v>
      </c>
      <c r="F572" s="16" t="b">
        <v>0</v>
      </c>
      <c r="G572" s="16" t="b">
        <v>0</v>
      </c>
      <c r="H572" s="16" t="b">
        <v>1</v>
      </c>
      <c r="I572" s="16" t="b">
        <v>0</v>
      </c>
      <c r="J572" s="18">
        <v>3600.0</v>
      </c>
      <c r="K572" s="18">
        <v>100.0</v>
      </c>
      <c r="L572" s="16"/>
      <c r="M572" s="16">
        <v>5000.0</v>
      </c>
      <c r="N572" s="16">
        <v>2277.0</v>
      </c>
      <c r="O572" s="16">
        <v>47.596</v>
      </c>
      <c r="P572" s="18">
        <v>1.0</v>
      </c>
      <c r="Q572" s="16">
        <v>1183.0</v>
      </c>
      <c r="R572" s="16">
        <v>0.103</v>
      </c>
      <c r="S572" s="16">
        <v>1.0</v>
      </c>
      <c r="T572" s="16">
        <v>1.0</v>
      </c>
      <c r="U572" s="19">
        <f t="shared" si="1"/>
        <v>5000</v>
      </c>
      <c r="V572" s="19">
        <f t="shared" si="2"/>
        <v>2.131506927</v>
      </c>
      <c r="W572" s="20">
        <f t="shared" si="3"/>
        <v>22.16855992</v>
      </c>
      <c r="X572" s="17">
        <f t="shared" si="350"/>
        <v>1055.134778</v>
      </c>
      <c r="Y572" s="21">
        <f t="shared" si="4"/>
        <v>1.75</v>
      </c>
      <c r="Z572" s="21">
        <f t="shared" si="5"/>
        <v>2901.62064</v>
      </c>
      <c r="AA572" s="21">
        <f t="shared" si="6"/>
        <v>60.96353979</v>
      </c>
      <c r="AB572" s="22">
        <f t="shared" si="7"/>
        <v>0.2110269556</v>
      </c>
      <c r="AC572" s="8">
        <f t="shared" si="333"/>
        <v>1076.237474</v>
      </c>
      <c r="AD572" s="13">
        <f t="shared" si="334"/>
        <v>0.2152474947</v>
      </c>
      <c r="AE572" s="8">
        <f t="shared" si="335"/>
        <v>1551.730154</v>
      </c>
      <c r="AF572" s="73">
        <f t="shared" si="336"/>
        <v>12.97414028</v>
      </c>
      <c r="AG572" s="74" t="str">
        <f t="shared" si="337"/>
        <v>#REF!</v>
      </c>
      <c r="AH572" s="73">
        <f t="shared" si="338"/>
        <v>0</v>
      </c>
      <c r="AI572" s="73">
        <f t="shared" si="339"/>
        <v>0.9028392442</v>
      </c>
      <c r="AJ572" s="75">
        <f t="shared" si="340"/>
        <v>1</v>
      </c>
      <c r="AK572" s="73">
        <f t="shared" si="341"/>
        <v>0.2</v>
      </c>
      <c r="AL572" s="73">
        <f t="shared" si="342"/>
        <v>123.9145856</v>
      </c>
      <c r="AM572" s="73">
        <f t="shared" si="343"/>
        <v>1.926089075</v>
      </c>
      <c r="AN572" s="75">
        <v>4588.72</v>
      </c>
      <c r="AO572" s="76">
        <v>4600.0</v>
      </c>
      <c r="AP572" s="73">
        <f t="shared" si="344"/>
        <v>4600</v>
      </c>
      <c r="AQ572" s="29" t="str">
        <f t="shared" si="345"/>
        <v>#REF!</v>
      </c>
      <c r="AR572" s="77" t="str">
        <f t="shared" si="346"/>
        <v>#REF!</v>
      </c>
      <c r="AS572" s="73"/>
      <c r="AT572" s="39"/>
    </row>
    <row r="573" ht="15.75" customHeight="1">
      <c r="A573" s="7" t="s">
        <v>1063</v>
      </c>
      <c r="B573" s="7" t="s">
        <v>430</v>
      </c>
      <c r="C573" s="7"/>
      <c r="D573" s="7"/>
      <c r="E573" s="18">
        <v>2026.0</v>
      </c>
      <c r="F573" s="7" t="b">
        <v>0</v>
      </c>
      <c r="G573" s="7" t="b">
        <v>0</v>
      </c>
      <c r="H573" s="7" t="b">
        <v>0</v>
      </c>
      <c r="I573" s="7" t="b">
        <v>0</v>
      </c>
      <c r="J573" s="9">
        <v>1800.0</v>
      </c>
      <c r="K573" s="9">
        <v>672.0</v>
      </c>
      <c r="L573" s="7"/>
      <c r="M573" s="7">
        <v>0.0</v>
      </c>
      <c r="N573" s="7">
        <v>5.44</v>
      </c>
      <c r="O573" s="7">
        <v>0.445</v>
      </c>
      <c r="P573" s="9">
        <v>1.0</v>
      </c>
      <c r="Q573" s="7">
        <v>329.0</v>
      </c>
      <c r="R573" s="7">
        <v>0.94</v>
      </c>
      <c r="S573" s="7">
        <v>0.999758</v>
      </c>
      <c r="T573" s="7">
        <v>0.99967</v>
      </c>
      <c r="U573" s="10">
        <f t="shared" si="1"/>
        <v>0</v>
      </c>
      <c r="V573" s="10">
        <f t="shared" si="2"/>
        <v>8.341428556</v>
      </c>
      <c r="W573" s="11">
        <f t="shared" si="3"/>
        <v>39.22854726</v>
      </c>
      <c r="X573" s="8">
        <f t="shared" ref="X573:X575" si="351">0.2*(8.17*POWER(N573*R573,0.46))+0.8*(0.146*POWER(N573*Q573,0.639))</f>
        <v>17.45670353</v>
      </c>
      <c r="Y573" s="12">
        <f t="shared" si="4"/>
        <v>1.75</v>
      </c>
      <c r="Z573" s="12">
        <f t="shared" si="5"/>
        <v>48.00593471</v>
      </c>
      <c r="AA573" s="12">
        <f t="shared" si="6"/>
        <v>107.878505</v>
      </c>
      <c r="AB573" s="13" t="str">
        <f t="shared" si="7"/>
        <v>#N/A</v>
      </c>
      <c r="AC573" s="8">
        <f t="shared" si="333"/>
        <v>17.79585376</v>
      </c>
      <c r="AD573" s="13" t="str">
        <f t="shared" si="334"/>
        <v>#N/A</v>
      </c>
      <c r="AE573" s="8">
        <f t="shared" si="335"/>
        <v>17.79585376</v>
      </c>
      <c r="AF573" s="73">
        <f t="shared" si="336"/>
        <v>1.997918943</v>
      </c>
      <c r="AG573" s="74" t="str">
        <f t="shared" si="337"/>
        <v>#REF!</v>
      </c>
      <c r="AH573" s="73">
        <f t="shared" si="338"/>
        <v>0</v>
      </c>
      <c r="AI573" s="73">
        <f t="shared" si="339"/>
        <v>1.092040168</v>
      </c>
      <c r="AJ573" s="75">
        <f t="shared" si="340"/>
        <v>1</v>
      </c>
      <c r="AK573" s="73">
        <f t="shared" si="341"/>
        <v>0.3229053374</v>
      </c>
      <c r="AL573" s="73">
        <f t="shared" si="342"/>
        <v>1.359397653</v>
      </c>
      <c r="AM573" s="73">
        <f t="shared" si="343"/>
        <v>1.793006019</v>
      </c>
      <c r="AN573" s="75">
        <v>8.22</v>
      </c>
      <c r="AO573" s="76">
        <v>8.2</v>
      </c>
      <c r="AP573" s="73">
        <f t="shared" si="344"/>
        <v>8.2</v>
      </c>
      <c r="AQ573" s="29" t="str">
        <f t="shared" si="345"/>
        <v>#REF!</v>
      </c>
      <c r="AR573" s="77" t="str">
        <f t="shared" si="346"/>
        <v>#REF!</v>
      </c>
      <c r="AS573" s="73"/>
      <c r="AT573" s="39"/>
    </row>
    <row r="574" ht="15.75" customHeight="1">
      <c r="A574" s="16" t="s">
        <v>1062</v>
      </c>
      <c r="B574" s="16" t="s">
        <v>430</v>
      </c>
      <c r="C574" s="16"/>
      <c r="D574" s="16"/>
      <c r="E574" s="18">
        <v>2026.0</v>
      </c>
      <c r="F574" s="16" t="b">
        <v>0</v>
      </c>
      <c r="G574" s="16" t="b">
        <v>0</v>
      </c>
      <c r="H574" s="16" t="b">
        <v>0</v>
      </c>
      <c r="I574" s="16" t="b">
        <v>0</v>
      </c>
      <c r="J574" s="18">
        <v>7200.0</v>
      </c>
      <c r="K574" s="18">
        <v>500.0</v>
      </c>
      <c r="L574" s="16"/>
      <c r="M574" s="16">
        <v>0.0</v>
      </c>
      <c r="N574" s="16">
        <v>5.44</v>
      </c>
      <c r="O574" s="16">
        <v>0.445</v>
      </c>
      <c r="P574" s="18">
        <v>1.0</v>
      </c>
      <c r="Q574" s="16">
        <v>322.2</v>
      </c>
      <c r="R574" s="16">
        <v>0.94</v>
      </c>
      <c r="S574" s="16">
        <v>0.999758</v>
      </c>
      <c r="T574" s="16">
        <v>0.99967</v>
      </c>
      <c r="U574" s="19">
        <f t="shared" si="1"/>
        <v>0</v>
      </c>
      <c r="V574" s="19">
        <f t="shared" si="2"/>
        <v>8.341428556</v>
      </c>
      <c r="W574" s="20">
        <f t="shared" si="3"/>
        <v>38.81161538</v>
      </c>
      <c r="X574" s="17">
        <f t="shared" si="351"/>
        <v>17.27116884</v>
      </c>
      <c r="Y574" s="21">
        <f t="shared" si="4"/>
        <v>1.75</v>
      </c>
      <c r="Z574" s="21">
        <f t="shared" si="5"/>
        <v>47.49571432</v>
      </c>
      <c r="AA574" s="21">
        <f t="shared" si="6"/>
        <v>106.7319423</v>
      </c>
      <c r="AB574" s="22" t="str">
        <f t="shared" si="7"/>
        <v>#N/A</v>
      </c>
      <c r="AC574" s="8">
        <f t="shared" si="333"/>
        <v>17.60671449</v>
      </c>
      <c r="AD574" s="13" t="str">
        <f t="shared" si="334"/>
        <v>#N/A</v>
      </c>
      <c r="AE574" s="8">
        <f t="shared" si="335"/>
        <v>17.60671449</v>
      </c>
      <c r="AF574" s="73">
        <f t="shared" si="336"/>
        <v>1.997918943</v>
      </c>
      <c r="AG574" s="74" t="str">
        <f t="shared" si="337"/>
        <v>#REF!</v>
      </c>
      <c r="AH574" s="73">
        <f t="shared" si="338"/>
        <v>0</v>
      </c>
      <c r="AI574" s="73">
        <f t="shared" si="339"/>
        <v>1.067190028</v>
      </c>
      <c r="AJ574" s="75">
        <f t="shared" si="340"/>
        <v>1</v>
      </c>
      <c r="AK574" s="73">
        <f t="shared" si="341"/>
        <v>0.3229053374</v>
      </c>
      <c r="AL574" s="73">
        <f t="shared" si="342"/>
        <v>1.25715141</v>
      </c>
      <c r="AM574" s="73">
        <f t="shared" si="343"/>
        <v>2.037225128</v>
      </c>
      <c r="AN574" s="75">
        <v>8.55</v>
      </c>
      <c r="AO574" s="76">
        <v>8.6</v>
      </c>
      <c r="AP574" s="73">
        <f t="shared" si="344"/>
        <v>8.6</v>
      </c>
      <c r="AQ574" s="29" t="str">
        <f t="shared" si="345"/>
        <v>#REF!</v>
      </c>
      <c r="AR574" s="77" t="str">
        <f t="shared" si="346"/>
        <v>#REF!</v>
      </c>
      <c r="AS574" s="73"/>
      <c r="AT574" s="39"/>
    </row>
    <row r="575" ht="15.75" customHeight="1">
      <c r="A575" s="7" t="s">
        <v>1060</v>
      </c>
      <c r="B575" s="7" t="s">
        <v>430</v>
      </c>
      <c r="C575" s="7"/>
      <c r="D575" s="7"/>
      <c r="E575" s="18">
        <v>2026.0</v>
      </c>
      <c r="F575" s="7" t="b">
        <v>0</v>
      </c>
      <c r="G575" s="7" t="b">
        <v>0</v>
      </c>
      <c r="H575" s="7" t="b">
        <v>0</v>
      </c>
      <c r="I575" s="7" t="b">
        <v>0</v>
      </c>
      <c r="J575" s="7">
        <v>12000.0</v>
      </c>
      <c r="K575" s="9">
        <v>85.0</v>
      </c>
      <c r="L575" s="7"/>
      <c r="M575" s="7">
        <v>0.0</v>
      </c>
      <c r="N575" s="7">
        <v>4.31</v>
      </c>
      <c r="O575" s="7">
        <v>0.49</v>
      </c>
      <c r="P575" s="9">
        <v>1.0</v>
      </c>
      <c r="Q575" s="7">
        <v>315.5</v>
      </c>
      <c r="R575" s="7">
        <v>0.745</v>
      </c>
      <c r="S575" s="7">
        <v>0.999758</v>
      </c>
      <c r="T575" s="7">
        <v>0.99967</v>
      </c>
      <c r="U575" s="10">
        <f t="shared" si="1"/>
        <v>0</v>
      </c>
      <c r="V575" s="10">
        <f t="shared" si="2"/>
        <v>11.59306132</v>
      </c>
      <c r="W575" s="11">
        <f t="shared" si="3"/>
        <v>29.66589534</v>
      </c>
      <c r="X575" s="8">
        <f t="shared" si="351"/>
        <v>14.53628872</v>
      </c>
      <c r="Y575" s="12">
        <f t="shared" si="4"/>
        <v>1.75</v>
      </c>
      <c r="Z575" s="12">
        <f t="shared" si="5"/>
        <v>39.97479397</v>
      </c>
      <c r="AA575" s="12">
        <f t="shared" si="6"/>
        <v>81.58121218</v>
      </c>
      <c r="AB575" s="13" t="str">
        <f t="shared" si="7"/>
        <v>#N/A</v>
      </c>
      <c r="AC575" s="8">
        <f t="shared" si="333"/>
        <v>14.81870089</v>
      </c>
      <c r="AD575" s="13" t="str">
        <f t="shared" si="334"/>
        <v>#N/A</v>
      </c>
      <c r="AE575" s="8">
        <f t="shared" si="335"/>
        <v>14.81870089</v>
      </c>
      <c r="AF575" s="73">
        <f t="shared" si="336"/>
        <v>2.02616962</v>
      </c>
      <c r="AG575" s="74" t="str">
        <f t="shared" si="337"/>
        <v>#REF!</v>
      </c>
      <c r="AH575" s="73">
        <f t="shared" si="338"/>
        <v>0</v>
      </c>
      <c r="AI575" s="73">
        <f t="shared" si="339"/>
        <v>0.8831103641</v>
      </c>
      <c r="AJ575" s="75">
        <f t="shared" si="340"/>
        <v>1</v>
      </c>
      <c r="AK575" s="73">
        <f t="shared" si="341"/>
        <v>0.3806747516</v>
      </c>
      <c r="AL575" s="73">
        <f t="shared" si="342"/>
        <v>1.166657965</v>
      </c>
      <c r="AM575" s="73">
        <f t="shared" si="343"/>
        <v>2.107218922</v>
      </c>
      <c r="AN575" s="75">
        <v>7.89</v>
      </c>
      <c r="AO575" s="76">
        <v>7.9</v>
      </c>
      <c r="AP575" s="73">
        <f t="shared" si="344"/>
        <v>7.9</v>
      </c>
      <c r="AQ575" s="29" t="str">
        <f t="shared" si="345"/>
        <v>#REF!</v>
      </c>
      <c r="AR575" s="77" t="str">
        <f t="shared" si="346"/>
        <v>#REF!</v>
      </c>
      <c r="AS575" s="73"/>
      <c r="AT575" s="39"/>
    </row>
    <row r="576" ht="15.75" hidden="1" customHeight="1">
      <c r="A576" s="7" t="s">
        <v>919</v>
      </c>
      <c r="B576" s="7" t="s">
        <v>920</v>
      </c>
      <c r="C576" s="7">
        <v>1967.0</v>
      </c>
      <c r="D576" s="7"/>
      <c r="E576" s="7">
        <v>1967.0</v>
      </c>
      <c r="F576" s="7" t="b">
        <v>0</v>
      </c>
      <c r="G576" s="7" t="b">
        <v>1</v>
      </c>
      <c r="H576" s="7" t="b">
        <v>0</v>
      </c>
      <c r="I576" s="7" t="b">
        <v>0</v>
      </c>
      <c r="J576" s="7"/>
      <c r="K576" s="7"/>
      <c r="L576" s="7">
        <v>50.0</v>
      </c>
      <c r="M576" s="7">
        <v>0.0</v>
      </c>
      <c r="N576" s="7">
        <v>5.58</v>
      </c>
      <c r="O576" s="7">
        <v>9.61</v>
      </c>
      <c r="P576" s="7"/>
      <c r="Q576" s="7">
        <v>286.6</v>
      </c>
      <c r="R576" s="7">
        <v>5.67</v>
      </c>
      <c r="S576" s="7"/>
      <c r="T576" s="7"/>
      <c r="U576" s="10">
        <f t="shared" si="1"/>
        <v>50</v>
      </c>
      <c r="V576" s="10">
        <f t="shared" si="2"/>
        <v>175.6177917</v>
      </c>
      <c r="W576" s="11">
        <f t="shared" si="3"/>
        <v>2.188214726</v>
      </c>
      <c r="X576" s="8">
        <f t="shared" ref="X576:X598" si="352">0.2*(8.17*POW(N576*R576,0.46))+0.8*(0.146*POW(N576*Q576,0.639))</f>
        <v>21.02874351</v>
      </c>
      <c r="Y576" s="12">
        <f t="shared" si="4"/>
        <v>1.05</v>
      </c>
      <c r="Z576" s="12">
        <f t="shared" si="5"/>
        <v>43.1089242</v>
      </c>
      <c r="AA576" s="12">
        <f t="shared" si="6"/>
        <v>4.485840188</v>
      </c>
      <c r="AB576" s="13">
        <f t="shared" si="7"/>
        <v>0.4205748703</v>
      </c>
      <c r="AC576" s="8">
        <f t="shared" ref="AC576:AC598" si="353">IF(I576,X576*1.5,X576)*IF(S576*T576&gt;0,(S576*T576+0.02),1)</f>
        <v>21.02874351</v>
      </c>
      <c r="AG576" s="7"/>
    </row>
    <row r="577" ht="15.75" hidden="1" customHeight="1">
      <c r="A577" s="16" t="s">
        <v>963</v>
      </c>
      <c r="B577" s="16" t="s">
        <v>964</v>
      </c>
      <c r="C577" s="16">
        <v>1997.0</v>
      </c>
      <c r="D577" s="16"/>
      <c r="E577" s="16">
        <v>1997.0</v>
      </c>
      <c r="F577" s="16" t="b">
        <v>0</v>
      </c>
      <c r="G577" s="16" t="b">
        <v>1</v>
      </c>
      <c r="H577" s="16" t="b">
        <v>0</v>
      </c>
      <c r="I577" s="16" t="b">
        <v>0</v>
      </c>
      <c r="J577" s="16"/>
      <c r="K577" s="16"/>
      <c r="L577" s="16">
        <v>60.0</v>
      </c>
      <c r="M577" s="16">
        <v>0.0</v>
      </c>
      <c r="N577" s="16">
        <v>12.84</v>
      </c>
      <c r="O577" s="16">
        <v>12.5</v>
      </c>
      <c r="P577" s="16"/>
      <c r="Q577" s="16">
        <v>281.8</v>
      </c>
      <c r="R577" s="16">
        <v>6.1</v>
      </c>
      <c r="S577" s="16"/>
      <c r="T577" s="16"/>
      <c r="U577" s="19">
        <f t="shared" si="1"/>
        <v>60</v>
      </c>
      <c r="V577" s="19">
        <f t="shared" si="2"/>
        <v>99.27143789</v>
      </c>
      <c r="W577" s="20">
        <f t="shared" si="3"/>
        <v>2.727273377</v>
      </c>
      <c r="X577" s="17">
        <f t="shared" si="352"/>
        <v>34.09091721</v>
      </c>
      <c r="Y577" s="21">
        <f t="shared" si="4"/>
        <v>1.05</v>
      </c>
      <c r="Z577" s="21">
        <f t="shared" si="5"/>
        <v>69.88638029</v>
      </c>
      <c r="AA577" s="21">
        <f t="shared" si="6"/>
        <v>5.590910423</v>
      </c>
      <c r="AB577" s="22">
        <f t="shared" si="7"/>
        <v>0.5681819535</v>
      </c>
      <c r="AC577" s="17">
        <f t="shared" si="353"/>
        <v>34.09091721</v>
      </c>
      <c r="AG577" s="16"/>
    </row>
    <row r="578" ht="15.75" hidden="1" customHeight="1">
      <c r="A578" s="7" t="s">
        <v>923</v>
      </c>
      <c r="B578" s="7" t="s">
        <v>924</v>
      </c>
      <c r="C578" s="7">
        <v>1968.0</v>
      </c>
      <c r="D578" s="7"/>
      <c r="E578" s="7">
        <v>1968.0</v>
      </c>
      <c r="F578" s="7" t="b">
        <v>0</v>
      </c>
      <c r="G578" s="7" t="b">
        <v>1</v>
      </c>
      <c r="H578" s="7" t="b">
        <v>0</v>
      </c>
      <c r="I578" s="7" t="b">
        <v>0</v>
      </c>
      <c r="J578" s="7"/>
      <c r="K578" s="7"/>
      <c r="L578" s="7"/>
      <c r="M578" s="7">
        <v>0.0</v>
      </c>
      <c r="N578" s="7">
        <v>8.53</v>
      </c>
      <c r="O578" s="7">
        <v>12.343</v>
      </c>
      <c r="P578" s="7"/>
      <c r="Q578" s="7">
        <v>286.2</v>
      </c>
      <c r="R578" s="7">
        <v>5.54</v>
      </c>
      <c r="S578" s="7"/>
      <c r="T578" s="7"/>
      <c r="U578" s="10">
        <f t="shared" si="1"/>
        <v>0</v>
      </c>
      <c r="V578" s="10">
        <f t="shared" si="2"/>
        <v>147.5540115</v>
      </c>
      <c r="W578" s="11">
        <f t="shared" si="3"/>
        <v>2.162622234</v>
      </c>
      <c r="X578" s="8">
        <f t="shared" si="352"/>
        <v>26.69324624</v>
      </c>
      <c r="Y578" s="12">
        <f t="shared" si="4"/>
        <v>1.05</v>
      </c>
      <c r="Z578" s="12">
        <f t="shared" si="5"/>
        <v>54.72115479</v>
      </c>
      <c r="AA578" s="12">
        <f t="shared" si="6"/>
        <v>4.433375581</v>
      </c>
      <c r="AB578" s="13" t="str">
        <f t="shared" si="7"/>
        <v>#N/A</v>
      </c>
      <c r="AC578" s="8">
        <f t="shared" si="353"/>
        <v>26.69324624</v>
      </c>
      <c r="AG578" s="7"/>
    </row>
    <row r="579" ht="15.75" hidden="1" customHeight="1">
      <c r="A579" s="16" t="s">
        <v>926</v>
      </c>
      <c r="B579" s="16" t="s">
        <v>927</v>
      </c>
      <c r="C579" s="16">
        <v>1969.0</v>
      </c>
      <c r="D579" s="16"/>
      <c r="E579" s="16">
        <v>1969.0</v>
      </c>
      <c r="F579" s="16" t="b">
        <v>0</v>
      </c>
      <c r="G579" s="16" t="b">
        <v>1</v>
      </c>
      <c r="H579" s="16" t="b">
        <v>0</v>
      </c>
      <c r="I579" s="16" t="b">
        <v>0</v>
      </c>
      <c r="J579" s="16"/>
      <c r="K579" s="16"/>
      <c r="L579" s="16">
        <v>172.0</v>
      </c>
      <c r="M579" s="16">
        <v>0.0</v>
      </c>
      <c r="N579" s="16">
        <v>12.02</v>
      </c>
      <c r="O579" s="16">
        <v>17.4</v>
      </c>
      <c r="P579" s="16"/>
      <c r="Q579" s="16">
        <v>286.7</v>
      </c>
      <c r="R579" s="16">
        <v>4.62</v>
      </c>
      <c r="S579" s="16"/>
      <c r="T579" s="16"/>
      <c r="U579" s="19">
        <f t="shared" si="1"/>
        <v>172</v>
      </c>
      <c r="V579" s="19">
        <f t="shared" si="2"/>
        <v>147.6128291</v>
      </c>
      <c r="W579" s="20">
        <f t="shared" si="3"/>
        <v>1.818428453</v>
      </c>
      <c r="X579" s="17">
        <f t="shared" si="352"/>
        <v>31.64065507</v>
      </c>
      <c r="Y579" s="21">
        <f t="shared" si="4"/>
        <v>1.05</v>
      </c>
      <c r="Z579" s="21">
        <f t="shared" si="5"/>
        <v>64.8633429</v>
      </c>
      <c r="AA579" s="21">
        <f t="shared" si="6"/>
        <v>3.727778328</v>
      </c>
      <c r="AB579" s="22">
        <f t="shared" si="7"/>
        <v>0.1839572969</v>
      </c>
      <c r="AC579" s="17">
        <f t="shared" si="353"/>
        <v>31.64065507</v>
      </c>
      <c r="AG579" s="16"/>
    </row>
    <row r="580" ht="15.75" hidden="1" customHeight="1">
      <c r="A580" s="7" t="s">
        <v>934</v>
      </c>
      <c r="B580" s="7" t="s">
        <v>935</v>
      </c>
      <c r="C580" s="7">
        <v>1974.0</v>
      </c>
      <c r="D580" s="7"/>
      <c r="E580" s="7">
        <v>1974.0</v>
      </c>
      <c r="F580" s="7" t="b">
        <v>0</v>
      </c>
      <c r="G580" s="7" t="b">
        <v>1</v>
      </c>
      <c r="H580" s="7" t="b">
        <v>0</v>
      </c>
      <c r="I580" s="7" t="b">
        <v>0</v>
      </c>
      <c r="J580" s="7"/>
      <c r="K580" s="7"/>
      <c r="L580" s="7">
        <v>90.0</v>
      </c>
      <c r="M580" s="7">
        <v>0.0</v>
      </c>
      <c r="N580" s="7">
        <v>26.58</v>
      </c>
      <c r="O580" s="7">
        <v>28.9</v>
      </c>
      <c r="P580" s="7"/>
      <c r="Q580" s="7">
        <v>286.5</v>
      </c>
      <c r="R580" s="7">
        <v>5.56</v>
      </c>
      <c r="S580" s="7"/>
      <c r="T580" s="7"/>
      <c r="U580" s="10">
        <f t="shared" si="1"/>
        <v>90</v>
      </c>
      <c r="V580" s="10">
        <f t="shared" si="2"/>
        <v>110.8720785</v>
      </c>
      <c r="W580" s="11">
        <f t="shared" si="3"/>
        <v>1.784464634</v>
      </c>
      <c r="X580" s="8">
        <f t="shared" si="352"/>
        <v>51.57102793</v>
      </c>
      <c r="Y580" s="12">
        <f t="shared" si="4"/>
        <v>1.05</v>
      </c>
      <c r="Z580" s="12">
        <f t="shared" si="5"/>
        <v>105.7206073</v>
      </c>
      <c r="AA580" s="12">
        <f t="shared" si="6"/>
        <v>3.6581525</v>
      </c>
      <c r="AB580" s="13">
        <f t="shared" si="7"/>
        <v>0.5730114215</v>
      </c>
      <c r="AC580" s="8">
        <f t="shared" si="353"/>
        <v>51.57102793</v>
      </c>
      <c r="AG580" s="7"/>
    </row>
    <row r="581" ht="15.75" hidden="1" customHeight="1">
      <c r="A581" s="16" t="s">
        <v>993</v>
      </c>
      <c r="B581" s="16" t="s">
        <v>994</v>
      </c>
      <c r="C581" s="16"/>
      <c r="D581" s="16"/>
      <c r="E581" s="16"/>
      <c r="F581" s="16" t="b">
        <v>0</v>
      </c>
      <c r="G581" s="16" t="b">
        <v>1</v>
      </c>
      <c r="H581" s="16" t="b">
        <v>0</v>
      </c>
      <c r="I581" s="16" t="b">
        <v>0</v>
      </c>
      <c r="J581" s="16"/>
      <c r="K581" s="16"/>
      <c r="L581" s="16"/>
      <c r="M581" s="16"/>
      <c r="N581" s="16">
        <v>17.55</v>
      </c>
      <c r="O581" s="16">
        <v>21.35</v>
      </c>
      <c r="P581" s="16"/>
      <c r="Q581" s="16">
        <v>282.0</v>
      </c>
      <c r="R581" s="16">
        <v>5.56</v>
      </c>
      <c r="S581" s="16"/>
      <c r="T581" s="16"/>
      <c r="U581" s="19">
        <f t="shared" si="1"/>
        <v>0</v>
      </c>
      <c r="V581" s="19">
        <f t="shared" si="2"/>
        <v>124.0509463</v>
      </c>
      <c r="W581" s="20">
        <f t="shared" si="3"/>
        <v>1.88503068</v>
      </c>
      <c r="X581" s="17">
        <f t="shared" si="352"/>
        <v>40.24540501</v>
      </c>
      <c r="Y581" s="21">
        <f t="shared" si="4"/>
        <v>1.05</v>
      </c>
      <c r="Z581" s="21">
        <f t="shared" si="5"/>
        <v>82.50308027</v>
      </c>
      <c r="AA581" s="21">
        <f t="shared" si="6"/>
        <v>3.864312893</v>
      </c>
      <c r="AB581" s="22" t="str">
        <f t="shared" si="7"/>
        <v>#N/A</v>
      </c>
      <c r="AC581" s="17">
        <f t="shared" si="353"/>
        <v>40.24540501</v>
      </c>
      <c r="AG581" s="16"/>
    </row>
    <row r="582" ht="15.75" hidden="1" customHeight="1">
      <c r="A582" s="7" t="s">
        <v>938</v>
      </c>
      <c r="B582" s="7" t="s">
        <v>939</v>
      </c>
      <c r="C582" s="7">
        <v>1976.0</v>
      </c>
      <c r="D582" s="7"/>
      <c r="E582" s="7">
        <v>1976.0</v>
      </c>
      <c r="F582" s="7" t="b">
        <v>0</v>
      </c>
      <c r="G582" s="7" t="b">
        <v>1</v>
      </c>
      <c r="H582" s="7" t="b">
        <v>0</v>
      </c>
      <c r="I582" s="7" t="b">
        <v>0</v>
      </c>
      <c r="J582" s="7"/>
      <c r="K582" s="7"/>
      <c r="L582" s="7">
        <v>220.0</v>
      </c>
      <c r="M582" s="7">
        <v>0.0</v>
      </c>
      <c r="N582" s="7">
        <v>24.31</v>
      </c>
      <c r="O582" s="7">
        <v>28.2</v>
      </c>
      <c r="P582" s="7"/>
      <c r="Q582" s="7">
        <v>287.9</v>
      </c>
      <c r="R582" s="7">
        <v>3.88</v>
      </c>
      <c r="S582" s="7"/>
      <c r="T582" s="7"/>
      <c r="U582" s="10">
        <f t="shared" si="1"/>
        <v>220</v>
      </c>
      <c r="V582" s="10">
        <f t="shared" si="2"/>
        <v>118.2887582</v>
      </c>
      <c r="W582" s="11">
        <f t="shared" si="3"/>
        <v>1.655387473</v>
      </c>
      <c r="X582" s="8">
        <f t="shared" si="352"/>
        <v>46.68192674</v>
      </c>
      <c r="Y582" s="12">
        <f t="shared" si="4"/>
        <v>1.05</v>
      </c>
      <c r="Z582" s="12">
        <f t="shared" si="5"/>
        <v>95.69794982</v>
      </c>
      <c r="AA582" s="12">
        <f t="shared" si="6"/>
        <v>3.39354432</v>
      </c>
      <c r="AB582" s="13">
        <f t="shared" si="7"/>
        <v>0.2121905761</v>
      </c>
      <c r="AC582" s="8">
        <f t="shared" si="353"/>
        <v>46.68192674</v>
      </c>
      <c r="AG582" s="7"/>
    </row>
    <row r="583" ht="15.75" hidden="1" customHeight="1">
      <c r="A583" s="16" t="s">
        <v>995</v>
      </c>
      <c r="B583" s="16" t="s">
        <v>939</v>
      </c>
      <c r="C583" s="16"/>
      <c r="D583" s="16"/>
      <c r="E583" s="16"/>
      <c r="F583" s="16" t="b">
        <v>0</v>
      </c>
      <c r="G583" s="16" t="b">
        <v>1</v>
      </c>
      <c r="H583" s="16" t="b">
        <v>0</v>
      </c>
      <c r="I583" s="16" t="b">
        <v>0</v>
      </c>
      <c r="J583" s="16"/>
      <c r="K583" s="16"/>
      <c r="L583" s="16">
        <v>220.0</v>
      </c>
      <c r="M583" s="16"/>
      <c r="N583" s="16">
        <v>26.67</v>
      </c>
      <c r="O583" s="16">
        <v>23.4</v>
      </c>
      <c r="P583" s="16"/>
      <c r="Q583" s="16">
        <v>291.4</v>
      </c>
      <c r="R583" s="16">
        <v>4.11</v>
      </c>
      <c r="S583" s="16"/>
      <c r="T583" s="16"/>
      <c r="U583" s="19">
        <f t="shared" si="1"/>
        <v>220</v>
      </c>
      <c r="V583" s="19">
        <f t="shared" si="2"/>
        <v>89.46891381</v>
      </c>
      <c r="W583" s="20">
        <f t="shared" si="3"/>
        <v>2.134359154</v>
      </c>
      <c r="X583" s="17">
        <f t="shared" si="352"/>
        <v>49.94400421</v>
      </c>
      <c r="Y583" s="21">
        <f t="shared" si="4"/>
        <v>1.05</v>
      </c>
      <c r="Z583" s="21">
        <f t="shared" si="5"/>
        <v>102.3852086</v>
      </c>
      <c r="AA583" s="21">
        <f t="shared" si="6"/>
        <v>4.375436266</v>
      </c>
      <c r="AB583" s="22">
        <f t="shared" si="7"/>
        <v>0.2270182009</v>
      </c>
      <c r="AC583" s="17">
        <f t="shared" si="353"/>
        <v>49.94400421</v>
      </c>
      <c r="AG583" s="16"/>
    </row>
    <row r="584" ht="15.75" hidden="1" customHeight="1">
      <c r="A584" s="7" t="s">
        <v>981</v>
      </c>
      <c r="B584" s="7" t="s">
        <v>982</v>
      </c>
      <c r="C584" s="7">
        <v>2003.0</v>
      </c>
      <c r="D584" s="7"/>
      <c r="E584" s="7">
        <v>2003.0</v>
      </c>
      <c r="F584" s="7" t="b">
        <v>0</v>
      </c>
      <c r="G584" s="7" t="b">
        <v>1</v>
      </c>
      <c r="H584" s="7" t="b">
        <v>0</v>
      </c>
      <c r="I584" s="7" t="b">
        <v>0</v>
      </c>
      <c r="J584" s="7"/>
      <c r="K584" s="7"/>
      <c r="L584" s="7">
        <v>50.0</v>
      </c>
      <c r="M584" s="7">
        <v>0.0</v>
      </c>
      <c r="N584" s="7">
        <v>0.675</v>
      </c>
      <c r="O584" s="7">
        <v>2.0</v>
      </c>
      <c r="P584" s="7"/>
      <c r="Q584" s="7">
        <v>266.0</v>
      </c>
      <c r="R584" s="7">
        <v>10.35</v>
      </c>
      <c r="S584" s="7"/>
      <c r="T584" s="7"/>
      <c r="U584" s="10">
        <f t="shared" si="1"/>
        <v>50</v>
      </c>
      <c r="V584" s="10">
        <f t="shared" si="2"/>
        <v>302.1381363</v>
      </c>
      <c r="W584" s="11">
        <f t="shared" si="3"/>
        <v>3.607945227</v>
      </c>
      <c r="X584" s="8">
        <f t="shared" si="352"/>
        <v>7.215890454</v>
      </c>
      <c r="Y584" s="12">
        <f t="shared" si="4"/>
        <v>1.05</v>
      </c>
      <c r="Z584" s="12">
        <f t="shared" si="5"/>
        <v>14.79257543</v>
      </c>
      <c r="AA584" s="12">
        <f t="shared" si="6"/>
        <v>7.396287716</v>
      </c>
      <c r="AB584" s="13">
        <f t="shared" si="7"/>
        <v>0.1443178091</v>
      </c>
      <c r="AC584" s="8">
        <f t="shared" si="353"/>
        <v>7.215890454</v>
      </c>
      <c r="AG584" s="7"/>
    </row>
    <row r="585" ht="15.75" hidden="1" customHeight="1">
      <c r="A585" s="16" t="s">
        <v>996</v>
      </c>
      <c r="B585" s="16" t="s">
        <v>997</v>
      </c>
      <c r="C585" s="16"/>
      <c r="D585" s="16"/>
      <c r="E585" s="16"/>
      <c r="F585" s="16" t="b">
        <v>0</v>
      </c>
      <c r="G585" s="16" t="b">
        <v>1</v>
      </c>
      <c r="H585" s="16" t="b">
        <v>0</v>
      </c>
      <c r="I585" s="16" t="b">
        <v>0</v>
      </c>
      <c r="J585" s="16"/>
      <c r="K585" s="16"/>
      <c r="L585" s="16"/>
      <c r="M585" s="16"/>
      <c r="N585" s="16">
        <v>32.84</v>
      </c>
      <c r="O585" s="16">
        <v>30.9</v>
      </c>
      <c r="P585" s="16"/>
      <c r="Q585" s="16">
        <v>292.3</v>
      </c>
      <c r="R585" s="16">
        <v>3.56</v>
      </c>
      <c r="S585" s="16"/>
      <c r="T585" s="16"/>
      <c r="U585" s="19">
        <f t="shared" si="1"/>
        <v>0</v>
      </c>
      <c r="V585" s="19">
        <f t="shared" si="2"/>
        <v>95.94771891</v>
      </c>
      <c r="W585" s="20">
        <f t="shared" si="3"/>
        <v>1.7973532</v>
      </c>
      <c r="X585" s="17">
        <f t="shared" si="352"/>
        <v>55.53821388</v>
      </c>
      <c r="Y585" s="21">
        <f t="shared" si="4"/>
        <v>1.05</v>
      </c>
      <c r="Z585" s="21">
        <f t="shared" si="5"/>
        <v>113.8533385</v>
      </c>
      <c r="AA585" s="21">
        <f t="shared" si="6"/>
        <v>3.68457406</v>
      </c>
      <c r="AB585" s="22" t="str">
        <f t="shared" si="7"/>
        <v>#N/A</v>
      </c>
      <c r="AC585" s="17">
        <f t="shared" si="353"/>
        <v>55.53821388</v>
      </c>
      <c r="AG585" s="16"/>
    </row>
    <row r="586" ht="15.75" hidden="1" customHeight="1">
      <c r="A586" s="7" t="s">
        <v>913</v>
      </c>
      <c r="B586" s="7" t="s">
        <v>914</v>
      </c>
      <c r="C586" s="7">
        <v>1966.0</v>
      </c>
      <c r="D586" s="7"/>
      <c r="E586" s="7">
        <v>1966.0</v>
      </c>
      <c r="F586" s="7" t="b">
        <v>0</v>
      </c>
      <c r="G586" s="7" t="b">
        <v>1</v>
      </c>
      <c r="H586" s="7" t="b">
        <v>0</v>
      </c>
      <c r="I586" s="7" t="b">
        <v>0</v>
      </c>
      <c r="J586" s="7"/>
      <c r="K586" s="7"/>
      <c r="L586" s="7"/>
      <c r="M586" s="7">
        <v>0.0</v>
      </c>
      <c r="N586" s="7">
        <v>63.0</v>
      </c>
      <c r="O586" s="7">
        <v>43.5</v>
      </c>
      <c r="P586" s="7"/>
      <c r="Q586" s="7">
        <v>289.0</v>
      </c>
      <c r="R586" s="7"/>
      <c r="S586" s="7"/>
      <c r="T586" s="7"/>
      <c r="U586" s="10">
        <f t="shared" si="1"/>
        <v>0</v>
      </c>
      <c r="V586" s="10">
        <f t="shared" si="2"/>
        <v>70.4089764</v>
      </c>
      <c r="W586" s="11">
        <f t="shared" si="3"/>
        <v>1.416595698</v>
      </c>
      <c r="X586" s="8">
        <f t="shared" si="352"/>
        <v>61.62191284</v>
      </c>
      <c r="Y586" s="12">
        <f t="shared" si="4"/>
        <v>1.05</v>
      </c>
      <c r="Z586" s="12">
        <f t="shared" si="5"/>
        <v>126.3249213</v>
      </c>
      <c r="AA586" s="12">
        <f t="shared" si="6"/>
        <v>2.90402118</v>
      </c>
      <c r="AB586" s="13" t="str">
        <f t="shared" si="7"/>
        <v>#N/A</v>
      </c>
      <c r="AC586" s="8">
        <f t="shared" si="353"/>
        <v>61.62191284</v>
      </c>
      <c r="AG586" s="7"/>
    </row>
    <row r="587" ht="15.75" hidden="1" customHeight="1">
      <c r="A587" s="16" t="s">
        <v>915</v>
      </c>
      <c r="B587" s="16" t="s">
        <v>916</v>
      </c>
      <c r="C587" s="16">
        <v>1966.0</v>
      </c>
      <c r="D587" s="16"/>
      <c r="E587" s="16">
        <v>1966.0</v>
      </c>
      <c r="F587" s="16" t="b">
        <v>0</v>
      </c>
      <c r="G587" s="16" t="b">
        <v>1</v>
      </c>
      <c r="H587" s="16" t="b">
        <v>0</v>
      </c>
      <c r="I587" s="16" t="b">
        <v>0</v>
      </c>
      <c r="J587" s="16"/>
      <c r="K587" s="16"/>
      <c r="L587" s="16">
        <v>220.0</v>
      </c>
      <c r="M587" s="16">
        <v>0.0</v>
      </c>
      <c r="N587" s="16">
        <v>83.0</v>
      </c>
      <c r="O587" s="16">
        <v>68.8</v>
      </c>
      <c r="P587" s="16"/>
      <c r="Q587" s="16">
        <v>284.0</v>
      </c>
      <c r="R587" s="16"/>
      <c r="S587" s="16"/>
      <c r="T587" s="16"/>
      <c r="U587" s="19">
        <f t="shared" si="1"/>
        <v>220</v>
      </c>
      <c r="V587" s="19">
        <f t="shared" si="2"/>
        <v>84.52587379</v>
      </c>
      <c r="W587" s="20">
        <f t="shared" si="3"/>
        <v>1.056369187</v>
      </c>
      <c r="X587" s="17">
        <f t="shared" si="352"/>
        <v>72.67820006</v>
      </c>
      <c r="Y587" s="21">
        <f t="shared" si="4"/>
        <v>1.05</v>
      </c>
      <c r="Z587" s="21">
        <f t="shared" si="5"/>
        <v>148.9903101</v>
      </c>
      <c r="AA587" s="21">
        <f t="shared" si="6"/>
        <v>2.165556833</v>
      </c>
      <c r="AB587" s="22">
        <f t="shared" si="7"/>
        <v>0.3303554548</v>
      </c>
      <c r="AC587" s="17">
        <f t="shared" si="353"/>
        <v>72.67820006</v>
      </c>
      <c r="AG587" s="16"/>
    </row>
    <row r="588" ht="15.75" hidden="1" customHeight="1">
      <c r="A588" s="7" t="s">
        <v>941</v>
      </c>
      <c r="B588" s="7" t="s">
        <v>942</v>
      </c>
      <c r="C588" s="7">
        <v>1984.0</v>
      </c>
      <c r="D588" s="7"/>
      <c r="E588" s="7">
        <v>1984.0</v>
      </c>
      <c r="F588" s="7" t="b">
        <v>0</v>
      </c>
      <c r="G588" s="7" t="b">
        <v>1</v>
      </c>
      <c r="H588" s="7" t="b">
        <v>0</v>
      </c>
      <c r="I588" s="7" t="b">
        <v>0</v>
      </c>
      <c r="J588" s="7"/>
      <c r="K588" s="7"/>
      <c r="L588" s="7">
        <v>180.0</v>
      </c>
      <c r="M588" s="7">
        <v>0.0</v>
      </c>
      <c r="N588" s="7">
        <v>73.71</v>
      </c>
      <c r="O588" s="7">
        <v>54.8</v>
      </c>
      <c r="P588" s="7"/>
      <c r="Q588" s="7">
        <v>290.0</v>
      </c>
      <c r="R588" s="7">
        <v>3.72</v>
      </c>
      <c r="S588" s="7"/>
      <c r="T588" s="7"/>
      <c r="U588" s="10">
        <f t="shared" si="1"/>
        <v>180</v>
      </c>
      <c r="V588" s="10">
        <f t="shared" si="2"/>
        <v>75.81121735</v>
      </c>
      <c r="W588" s="11">
        <f t="shared" si="3"/>
        <v>1.640344504</v>
      </c>
      <c r="X588" s="8">
        <f t="shared" si="352"/>
        <v>89.89087881</v>
      </c>
      <c r="Y588" s="12">
        <f t="shared" si="4"/>
        <v>1.05</v>
      </c>
      <c r="Z588" s="12">
        <f t="shared" si="5"/>
        <v>184.2763016</v>
      </c>
      <c r="AA588" s="12">
        <f t="shared" si="6"/>
        <v>3.362706233</v>
      </c>
      <c r="AB588" s="13">
        <f t="shared" si="7"/>
        <v>0.4993937712</v>
      </c>
      <c r="AC588" s="8">
        <f t="shared" si="353"/>
        <v>89.89087881</v>
      </c>
      <c r="AG588" s="7"/>
    </row>
    <row r="589" ht="15.75" hidden="1" customHeight="1">
      <c r="A589" s="16" t="s">
        <v>943</v>
      </c>
      <c r="B589" s="16" t="s">
        <v>944</v>
      </c>
      <c r="C589" s="16">
        <v>1985.0</v>
      </c>
      <c r="D589" s="16"/>
      <c r="E589" s="16">
        <v>1985.0</v>
      </c>
      <c r="F589" s="16" t="b">
        <v>0</v>
      </c>
      <c r="G589" s="16" t="b">
        <v>1</v>
      </c>
      <c r="H589" s="16" t="b">
        <v>0</v>
      </c>
      <c r="I589" s="16" t="b">
        <v>0</v>
      </c>
      <c r="J589" s="16"/>
      <c r="K589" s="16"/>
      <c r="L589" s="16">
        <v>1203.0</v>
      </c>
      <c r="M589" s="16">
        <v>0.0</v>
      </c>
      <c r="N589" s="16">
        <v>116.93</v>
      </c>
      <c r="O589" s="16">
        <v>78.0</v>
      </c>
      <c r="P589" s="16"/>
      <c r="Q589" s="16">
        <v>292.1</v>
      </c>
      <c r="R589" s="16">
        <v>3.99</v>
      </c>
      <c r="S589" s="16"/>
      <c r="T589" s="16"/>
      <c r="U589" s="19">
        <f t="shared" si="1"/>
        <v>1203</v>
      </c>
      <c r="V589" s="19">
        <f t="shared" si="2"/>
        <v>68.02177746</v>
      </c>
      <c r="W589" s="20">
        <f t="shared" si="3"/>
        <v>1.534815175</v>
      </c>
      <c r="X589" s="17">
        <f t="shared" si="352"/>
        <v>119.7155836</v>
      </c>
      <c r="Y589" s="21">
        <f t="shared" si="4"/>
        <v>1.05</v>
      </c>
      <c r="Z589" s="21">
        <f t="shared" si="5"/>
        <v>245.4169465</v>
      </c>
      <c r="AA589" s="21">
        <f t="shared" si="6"/>
        <v>3.146371108</v>
      </c>
      <c r="AB589" s="22">
        <f t="shared" si="7"/>
        <v>0.09951420086</v>
      </c>
      <c r="AC589" s="17">
        <f t="shared" si="353"/>
        <v>119.7155836</v>
      </c>
      <c r="AG589" s="16"/>
    </row>
    <row r="590" ht="15.75" hidden="1" customHeight="1">
      <c r="A590" s="7" t="s">
        <v>945</v>
      </c>
      <c r="B590" s="7" t="s">
        <v>944</v>
      </c>
      <c r="C590" s="7">
        <v>1985.0</v>
      </c>
      <c r="D590" s="7"/>
      <c r="E590" s="7">
        <v>1985.0</v>
      </c>
      <c r="F590" s="7" t="b">
        <v>0</v>
      </c>
      <c r="G590" s="7" t="b">
        <v>1</v>
      </c>
      <c r="H590" s="7" t="b">
        <v>0</v>
      </c>
      <c r="I590" s="7" t="b">
        <v>0</v>
      </c>
      <c r="J590" s="7"/>
      <c r="K590" s="7"/>
      <c r="L590" s="7">
        <v>1203.0</v>
      </c>
      <c r="M590" s="7">
        <v>0.0</v>
      </c>
      <c r="N590" s="7">
        <v>111.31</v>
      </c>
      <c r="O590" s="7">
        <v>76.1</v>
      </c>
      <c r="P590" s="7"/>
      <c r="Q590" s="7">
        <v>286.0</v>
      </c>
      <c r="R590" s="7">
        <v>3.99</v>
      </c>
      <c r="S590" s="7"/>
      <c r="T590" s="7"/>
      <c r="U590" s="10">
        <f t="shared" si="1"/>
        <v>1203</v>
      </c>
      <c r="V590" s="10">
        <f t="shared" si="2"/>
        <v>69.71557235</v>
      </c>
      <c r="W590" s="11">
        <f t="shared" si="3"/>
        <v>1.511793229</v>
      </c>
      <c r="X590" s="8">
        <f t="shared" si="352"/>
        <v>115.0474647</v>
      </c>
      <c r="Y590" s="12">
        <f t="shared" si="4"/>
        <v>1.05</v>
      </c>
      <c r="Z590" s="12">
        <f t="shared" si="5"/>
        <v>235.8473027</v>
      </c>
      <c r="AA590" s="12">
        <f t="shared" si="6"/>
        <v>3.09917612</v>
      </c>
      <c r="AB590" s="13">
        <f t="shared" si="7"/>
        <v>0.09563380278</v>
      </c>
      <c r="AC590" s="8">
        <f t="shared" si="353"/>
        <v>115.0474647</v>
      </c>
      <c r="AG590" s="7"/>
    </row>
    <row r="591" ht="15.75" hidden="1" customHeight="1">
      <c r="A591" s="16" t="s">
        <v>946</v>
      </c>
      <c r="B591" s="16" t="s">
        <v>944</v>
      </c>
      <c r="C591" s="16">
        <v>1985.0</v>
      </c>
      <c r="D591" s="16"/>
      <c r="E591" s="16">
        <v>1985.0</v>
      </c>
      <c r="F591" s="16" t="b">
        <v>0</v>
      </c>
      <c r="G591" s="16" t="b">
        <v>1</v>
      </c>
      <c r="H591" s="16" t="b">
        <v>0</v>
      </c>
      <c r="I591" s="16" t="b">
        <v>0</v>
      </c>
      <c r="J591" s="16"/>
      <c r="K591" s="16"/>
      <c r="L591" s="16">
        <v>1203.0</v>
      </c>
      <c r="M591" s="16">
        <v>0.0</v>
      </c>
      <c r="N591" s="16">
        <v>138.57</v>
      </c>
      <c r="O591" s="16">
        <v>78.0</v>
      </c>
      <c r="P591" s="16"/>
      <c r="Q591" s="16">
        <v>282.1</v>
      </c>
      <c r="R591" s="16">
        <v>3.99</v>
      </c>
      <c r="S591" s="16"/>
      <c r="T591" s="16"/>
      <c r="U591" s="19">
        <f t="shared" si="1"/>
        <v>1203</v>
      </c>
      <c r="V591" s="19">
        <f t="shared" si="2"/>
        <v>57.39905057</v>
      </c>
      <c r="W591" s="20">
        <f t="shared" si="3"/>
        <v>1.669932462</v>
      </c>
      <c r="X591" s="17">
        <f t="shared" si="352"/>
        <v>130.2547321</v>
      </c>
      <c r="Y591" s="21">
        <f t="shared" si="4"/>
        <v>1.05</v>
      </c>
      <c r="Z591" s="21">
        <f t="shared" si="5"/>
        <v>267.0222007</v>
      </c>
      <c r="AA591" s="21">
        <f t="shared" si="6"/>
        <v>3.423361548</v>
      </c>
      <c r="AB591" s="22">
        <f t="shared" si="7"/>
        <v>0.1082749228</v>
      </c>
      <c r="AC591" s="17">
        <f t="shared" si="353"/>
        <v>130.2547321</v>
      </c>
      <c r="AG591" s="16"/>
    </row>
    <row r="592" ht="15.75" hidden="1" customHeight="1">
      <c r="A592" s="7" t="s">
        <v>969</v>
      </c>
      <c r="B592" s="7" t="s">
        <v>970</v>
      </c>
      <c r="C592" s="7">
        <v>2000.0</v>
      </c>
      <c r="D592" s="7"/>
      <c r="E592" s="7">
        <v>2000.0</v>
      </c>
      <c r="F592" s="7" t="b">
        <v>0</v>
      </c>
      <c r="G592" s="7" t="b">
        <v>1</v>
      </c>
      <c r="H592" s="7" t="b">
        <v>0</v>
      </c>
      <c r="I592" s="7" t="b">
        <v>0</v>
      </c>
      <c r="J592" s="7"/>
      <c r="K592" s="7"/>
      <c r="L592" s="7">
        <v>2700.0</v>
      </c>
      <c r="M592" s="7">
        <v>0.0</v>
      </c>
      <c r="N592" s="7">
        <v>0.4853</v>
      </c>
      <c r="O592" s="7">
        <v>0.3</v>
      </c>
      <c r="P592" s="7"/>
      <c r="Q592" s="7">
        <v>269.4</v>
      </c>
      <c r="R592" s="7">
        <v>15.06</v>
      </c>
      <c r="S592" s="7"/>
      <c r="T592" s="7"/>
      <c r="U592" s="10">
        <f t="shared" si="1"/>
        <v>2700</v>
      </c>
      <c r="V592" s="10">
        <f t="shared" si="2"/>
        <v>63.036238</v>
      </c>
      <c r="W592" s="11">
        <f t="shared" si="3"/>
        <v>22.36270347</v>
      </c>
      <c r="X592" s="8">
        <f t="shared" si="352"/>
        <v>6.708811041</v>
      </c>
      <c r="Y592" s="12">
        <f t="shared" si="4"/>
        <v>1.05</v>
      </c>
      <c r="Z592" s="12">
        <f t="shared" si="5"/>
        <v>13.75306263</v>
      </c>
      <c r="AA592" s="12">
        <f t="shared" si="6"/>
        <v>45.84354211</v>
      </c>
      <c r="AB592" s="13">
        <f t="shared" si="7"/>
        <v>0.00248474483</v>
      </c>
      <c r="AC592" s="8">
        <f t="shared" si="353"/>
        <v>6.708811041</v>
      </c>
      <c r="AG592" s="7"/>
    </row>
    <row r="593" ht="15.75" hidden="1" customHeight="1">
      <c r="A593" s="16" t="s">
        <v>901</v>
      </c>
      <c r="B593" s="16" t="s">
        <v>902</v>
      </c>
      <c r="C593" s="16">
        <v>1964.0</v>
      </c>
      <c r="D593" s="16"/>
      <c r="E593" s="16">
        <v>1964.0</v>
      </c>
      <c r="F593" s="16" t="b">
        <v>0</v>
      </c>
      <c r="G593" s="16" t="b">
        <v>1</v>
      </c>
      <c r="H593" s="16" t="b">
        <v>0</v>
      </c>
      <c r="I593" s="16" t="b">
        <v>0</v>
      </c>
      <c r="J593" s="16"/>
      <c r="K593" s="16"/>
      <c r="L593" s="16">
        <v>2700.0</v>
      </c>
      <c r="M593" s="16">
        <v>0.0</v>
      </c>
      <c r="N593" s="16">
        <v>2.34</v>
      </c>
      <c r="O593" s="16">
        <v>2.468</v>
      </c>
      <c r="P593" s="16"/>
      <c r="Q593" s="16">
        <v>268.1</v>
      </c>
      <c r="R593" s="16">
        <v>9.29</v>
      </c>
      <c r="S593" s="16"/>
      <c r="T593" s="16"/>
      <c r="U593" s="19">
        <f t="shared" si="1"/>
        <v>2700</v>
      </c>
      <c r="V593" s="19">
        <f t="shared" si="2"/>
        <v>107.5495558</v>
      </c>
      <c r="W593" s="20">
        <f t="shared" si="3"/>
        <v>5.631260468</v>
      </c>
      <c r="X593" s="17">
        <f t="shared" si="352"/>
        <v>13.89795083</v>
      </c>
      <c r="Y593" s="21">
        <f t="shared" si="4"/>
        <v>1.05</v>
      </c>
      <c r="Z593" s="21">
        <f t="shared" si="5"/>
        <v>28.49079921</v>
      </c>
      <c r="AA593" s="21">
        <f t="shared" si="6"/>
        <v>11.54408396</v>
      </c>
      <c r="AB593" s="22">
        <f t="shared" si="7"/>
        <v>0.005147389198</v>
      </c>
      <c r="AC593" s="17">
        <f t="shared" si="353"/>
        <v>13.89795083</v>
      </c>
      <c r="AG593" s="16"/>
    </row>
    <row r="594" ht="15.75" hidden="1" customHeight="1">
      <c r="A594" s="7" t="s">
        <v>961</v>
      </c>
      <c r="B594" s="7" t="s">
        <v>962</v>
      </c>
      <c r="C594" s="7">
        <v>1996.0</v>
      </c>
      <c r="D594" s="7"/>
      <c r="E594" s="7">
        <v>1996.0</v>
      </c>
      <c r="F594" s="7" t="b">
        <v>0</v>
      </c>
      <c r="G594" s="7" t="b">
        <v>1</v>
      </c>
      <c r="H594" s="7" t="b">
        <v>0</v>
      </c>
      <c r="I594" s="7" t="b">
        <v>0</v>
      </c>
      <c r="J594" s="7"/>
      <c r="K594" s="7"/>
      <c r="L594" s="7">
        <v>50.0</v>
      </c>
      <c r="M594" s="7">
        <v>0.0</v>
      </c>
      <c r="N594" s="7">
        <v>3.23</v>
      </c>
      <c r="O594" s="7">
        <v>6.272</v>
      </c>
      <c r="P594" s="7"/>
      <c r="Q594" s="7">
        <v>256.0</v>
      </c>
      <c r="R594" s="7">
        <v>8.96</v>
      </c>
      <c r="S594" s="7"/>
      <c r="T594" s="7"/>
      <c r="U594" s="10">
        <f t="shared" si="1"/>
        <v>50</v>
      </c>
      <c r="V594" s="10">
        <f t="shared" si="2"/>
        <v>198.0080517</v>
      </c>
      <c r="W594" s="11">
        <f t="shared" si="3"/>
        <v>2.58734412</v>
      </c>
      <c r="X594" s="8">
        <f t="shared" si="352"/>
        <v>16.22782232</v>
      </c>
      <c r="Y594" s="12">
        <f t="shared" si="4"/>
        <v>1.05</v>
      </c>
      <c r="Z594" s="12">
        <f t="shared" si="5"/>
        <v>33.26703575</v>
      </c>
      <c r="AA594" s="12">
        <f t="shared" si="6"/>
        <v>5.304055446</v>
      </c>
      <c r="AB594" s="13">
        <f t="shared" si="7"/>
        <v>0.3245564464</v>
      </c>
      <c r="AC594" s="8">
        <f t="shared" si="353"/>
        <v>16.22782232</v>
      </c>
      <c r="AG594" s="7"/>
    </row>
    <row r="595" ht="15.75" hidden="1" customHeight="1">
      <c r="A595" s="16" t="s">
        <v>947</v>
      </c>
      <c r="B595" s="16" t="s">
        <v>948</v>
      </c>
      <c r="C595" s="16">
        <v>1985.0</v>
      </c>
      <c r="D595" s="16"/>
      <c r="E595" s="16">
        <v>1985.0</v>
      </c>
      <c r="F595" s="16" t="b">
        <v>0</v>
      </c>
      <c r="G595" s="16" t="b">
        <v>1</v>
      </c>
      <c r="H595" s="16" t="b">
        <v>0</v>
      </c>
      <c r="I595" s="16" t="b">
        <v>0</v>
      </c>
      <c r="J595" s="16"/>
      <c r="K595" s="16"/>
      <c r="L595" s="16">
        <v>150.0</v>
      </c>
      <c r="M595" s="16">
        <v>0.0</v>
      </c>
      <c r="N595" s="16">
        <v>230.42</v>
      </c>
      <c r="O595" s="16">
        <v>119.0</v>
      </c>
      <c r="P595" s="16"/>
      <c r="Q595" s="16">
        <v>283.0</v>
      </c>
      <c r="R595" s="16">
        <v>4.18</v>
      </c>
      <c r="S595" s="16"/>
      <c r="T595" s="16"/>
      <c r="U595" s="19">
        <f t="shared" si="1"/>
        <v>150</v>
      </c>
      <c r="V595" s="19">
        <f t="shared" si="2"/>
        <v>52.66306266</v>
      </c>
      <c r="W595" s="20">
        <f t="shared" si="3"/>
        <v>1.493886723</v>
      </c>
      <c r="X595" s="17">
        <f t="shared" si="352"/>
        <v>177.77252</v>
      </c>
      <c r="Y595" s="21">
        <f t="shared" si="4"/>
        <v>1.05</v>
      </c>
      <c r="Z595" s="21">
        <f t="shared" si="5"/>
        <v>364.4336661</v>
      </c>
      <c r="AA595" s="21">
        <f t="shared" si="6"/>
        <v>3.062467782</v>
      </c>
      <c r="AB595" s="22">
        <f t="shared" si="7"/>
        <v>1.185150134</v>
      </c>
      <c r="AC595" s="17">
        <f t="shared" si="353"/>
        <v>177.77252</v>
      </c>
      <c r="AG595" s="16"/>
    </row>
    <row r="596" ht="15.75" hidden="1" customHeight="1">
      <c r="A596" s="7" t="s">
        <v>949</v>
      </c>
      <c r="B596" s="7" t="s">
        <v>950</v>
      </c>
      <c r="C596" s="7">
        <v>1985.0</v>
      </c>
      <c r="D596" s="7"/>
      <c r="E596" s="7">
        <v>1985.0</v>
      </c>
      <c r="F596" s="7" t="b">
        <v>0</v>
      </c>
      <c r="G596" s="7" t="b">
        <v>1</v>
      </c>
      <c r="H596" s="7" t="b">
        <v>0</v>
      </c>
      <c r="I596" s="7" t="b">
        <v>0</v>
      </c>
      <c r="J596" s="7"/>
      <c r="K596" s="7"/>
      <c r="L596" s="7">
        <v>5.0</v>
      </c>
      <c r="M596" s="7">
        <v>0.0</v>
      </c>
      <c r="N596" s="7">
        <v>4.04</v>
      </c>
      <c r="O596" s="7">
        <v>2.82</v>
      </c>
      <c r="P596" s="7"/>
      <c r="Q596" s="7">
        <v>269.0</v>
      </c>
      <c r="R596" s="7">
        <v>6.25</v>
      </c>
      <c r="S596" s="7"/>
      <c r="T596" s="7"/>
      <c r="U596" s="10">
        <f t="shared" si="1"/>
        <v>5</v>
      </c>
      <c r="V596" s="10">
        <f t="shared" si="2"/>
        <v>71.1782107</v>
      </c>
      <c r="W596" s="11">
        <f t="shared" si="3"/>
        <v>6.166978238</v>
      </c>
      <c r="X596" s="8">
        <f t="shared" si="352"/>
        <v>17.39087863</v>
      </c>
      <c r="Y596" s="12">
        <f t="shared" si="4"/>
        <v>1.05</v>
      </c>
      <c r="Z596" s="12">
        <f t="shared" si="5"/>
        <v>35.6513012</v>
      </c>
      <c r="AA596" s="12">
        <f t="shared" si="6"/>
        <v>12.64230539</v>
      </c>
      <c r="AB596" s="13">
        <f t="shared" si="7"/>
        <v>3.478175726</v>
      </c>
      <c r="AC596" s="8">
        <f t="shared" si="353"/>
        <v>17.39087863</v>
      </c>
      <c r="AG596" s="7"/>
    </row>
    <row r="597" ht="15.75" hidden="1" customHeight="1">
      <c r="A597" s="16" t="s">
        <v>979</v>
      </c>
      <c r="B597" s="16" t="s">
        <v>980</v>
      </c>
      <c r="C597" s="16">
        <v>2002.0</v>
      </c>
      <c r="D597" s="16"/>
      <c r="E597" s="16">
        <v>2002.0</v>
      </c>
      <c r="F597" s="16" t="b">
        <v>0</v>
      </c>
      <c r="G597" s="16" t="b">
        <v>1</v>
      </c>
      <c r="H597" s="16" t="b">
        <v>0</v>
      </c>
      <c r="I597" s="16" t="b">
        <v>0</v>
      </c>
      <c r="J597" s="16"/>
      <c r="K597" s="16"/>
      <c r="L597" s="16">
        <v>50.0</v>
      </c>
      <c r="M597" s="16">
        <v>0.0</v>
      </c>
      <c r="N597" s="16">
        <v>5.08</v>
      </c>
      <c r="O597" s="16">
        <v>7.749</v>
      </c>
      <c r="P597" s="16"/>
      <c r="Q597" s="16">
        <v>273.0</v>
      </c>
      <c r="R597" s="16">
        <v>10.34</v>
      </c>
      <c r="S597" s="16"/>
      <c r="T597" s="16"/>
      <c r="U597" s="19">
        <f t="shared" si="1"/>
        <v>50</v>
      </c>
      <c r="V597" s="19">
        <f t="shared" si="2"/>
        <v>155.5468683</v>
      </c>
      <c r="W597" s="20">
        <f t="shared" si="3"/>
        <v>2.838764446</v>
      </c>
      <c r="X597" s="17">
        <f t="shared" si="352"/>
        <v>21.99758569</v>
      </c>
      <c r="Y597" s="21">
        <f t="shared" si="4"/>
        <v>1.05</v>
      </c>
      <c r="Z597" s="21">
        <f t="shared" si="5"/>
        <v>45.09505067</v>
      </c>
      <c r="AA597" s="21">
        <f t="shared" si="6"/>
        <v>5.819467115</v>
      </c>
      <c r="AB597" s="22">
        <f t="shared" si="7"/>
        <v>0.4399517139</v>
      </c>
      <c r="AC597" s="17">
        <f t="shared" si="353"/>
        <v>21.99758569</v>
      </c>
      <c r="AG597" s="16"/>
    </row>
    <row r="598" ht="15.75" hidden="1" customHeight="1">
      <c r="A598" s="7" t="s">
        <v>959</v>
      </c>
      <c r="B598" s="7" t="s">
        <v>960</v>
      </c>
      <c r="C598" s="7">
        <v>1993.0</v>
      </c>
      <c r="D598" s="7"/>
      <c r="E598" s="7">
        <v>1993.0</v>
      </c>
      <c r="F598" s="7" t="b">
        <v>0</v>
      </c>
      <c r="G598" s="7" t="b">
        <v>1</v>
      </c>
      <c r="H598" s="7" t="b">
        <v>0</v>
      </c>
      <c r="I598" s="7" t="b">
        <v>0</v>
      </c>
      <c r="J598" s="7"/>
      <c r="K598" s="7"/>
      <c r="L598" s="7">
        <v>20.0</v>
      </c>
      <c r="M598" s="7">
        <v>0.0</v>
      </c>
      <c r="N598" s="7">
        <v>4.13</v>
      </c>
      <c r="O598" s="7">
        <v>5.83</v>
      </c>
      <c r="P598" s="7"/>
      <c r="Q598" s="7">
        <v>289.1</v>
      </c>
      <c r="R598" s="7">
        <v>7.39</v>
      </c>
      <c r="S598" s="7"/>
      <c r="T598" s="7"/>
      <c r="U598" s="10">
        <f t="shared" si="1"/>
        <v>20</v>
      </c>
      <c r="V598" s="10">
        <f t="shared" si="2"/>
        <v>143.9454117</v>
      </c>
      <c r="W598" s="11">
        <f t="shared" si="3"/>
        <v>3.203937013</v>
      </c>
      <c r="X598" s="8">
        <f t="shared" si="352"/>
        <v>18.67895279</v>
      </c>
      <c r="Y598" s="12">
        <f t="shared" si="4"/>
        <v>1.05</v>
      </c>
      <c r="Z598" s="12">
        <f t="shared" si="5"/>
        <v>38.29185321</v>
      </c>
      <c r="AA598" s="12">
        <f t="shared" si="6"/>
        <v>6.568070877</v>
      </c>
      <c r="AB598" s="13">
        <f t="shared" si="7"/>
        <v>0.9339476394</v>
      </c>
      <c r="AC598" s="8">
        <f t="shared" si="353"/>
        <v>18.67895279</v>
      </c>
      <c r="AG598" s="7"/>
    </row>
    <row r="599" ht="15.75" customHeight="1">
      <c r="A599" s="16" t="s">
        <v>1061</v>
      </c>
      <c r="B599" s="16" t="s">
        <v>430</v>
      </c>
      <c r="C599" s="16"/>
      <c r="D599" s="16"/>
      <c r="E599" s="18">
        <v>2026.0</v>
      </c>
      <c r="F599" s="16" t="b">
        <v>0</v>
      </c>
      <c r="G599" s="16" t="b">
        <v>0</v>
      </c>
      <c r="H599" s="16" t="b">
        <v>0</v>
      </c>
      <c r="I599" s="16" t="b">
        <v>0</v>
      </c>
      <c r="J599" s="18">
        <v>12000.0</v>
      </c>
      <c r="K599" s="18">
        <v>999.0</v>
      </c>
      <c r="L599" s="16"/>
      <c r="M599" s="16">
        <v>0.0</v>
      </c>
      <c r="N599" s="16">
        <v>3.4</v>
      </c>
      <c r="O599" s="16">
        <v>0.49</v>
      </c>
      <c r="P599" s="18">
        <v>1.0</v>
      </c>
      <c r="Q599" s="16">
        <v>300.0</v>
      </c>
      <c r="R599" s="16">
        <v>0.745</v>
      </c>
      <c r="S599" s="16">
        <v>0.999758</v>
      </c>
      <c r="T599" s="16">
        <v>0.99967</v>
      </c>
      <c r="U599" s="19">
        <f t="shared" si="1"/>
        <v>0</v>
      </c>
      <c r="V599" s="19">
        <f t="shared" si="2"/>
        <v>14.69591009</v>
      </c>
      <c r="W599" s="20">
        <f t="shared" si="3"/>
        <v>25.05440254</v>
      </c>
      <c r="X599" s="17">
        <f t="shared" ref="X599:X606" si="354">0.2*(8.17*POWER(N599*R599,0.46))+0.8*(0.146*POWER(N599*Q599,0.639))</f>
        <v>12.27665725</v>
      </c>
      <c r="Y599" s="21">
        <f t="shared" si="4"/>
        <v>1.75</v>
      </c>
      <c r="Z599" s="21">
        <f t="shared" si="5"/>
        <v>33.76080743</v>
      </c>
      <c r="AA599" s="21">
        <f t="shared" si="6"/>
        <v>68.899607</v>
      </c>
      <c r="AB599" s="22" t="str">
        <f t="shared" si="7"/>
        <v>#N/A</v>
      </c>
      <c r="AC599" s="8">
        <f t="shared" ref="AC599:AC607" si="355">X599*IF(I599,1.5,1)*IF(S599*T599&gt;0,(S599*T599+0.02),1)</f>
        <v>12.51516912</v>
      </c>
      <c r="AD599" s="13" t="str">
        <f t="shared" ref="AD599:AD607" si="356">IFERROR(AC599/U599,#N/A)</f>
        <v>#N/A</v>
      </c>
      <c r="AE599" s="8">
        <f t="shared" ref="AE599:AE607" si="357">IF(I599,1.5,1)*IF(S599*T599&gt;0,(S599*T599+0.02),1)*(0.2*(8.17*POWER(N599*R599,0.46))+0.8*(0.146*POWER(N599*Q599,0.639)))</f>
        <v>12.51516912</v>
      </c>
      <c r="AF599" s="73">
        <f t="shared" ref="AF599:AF607" si="358">If(F599,$AT$2*O599*(1-log(O599)*0.04+1/(O599/80)^0.6),$AT$3*O599*(1+1/(O599/12)^0.9-log(O599)*0.03))</f>
        <v>2.02616962</v>
      </c>
      <c r="AG599" s="74" t="str">
        <f t="shared" ref="AG599:AG607" si="359">If(F599,VLOOKUP(E599,#REF!,2),VLOOKUP(E599,#REF!,3))</f>
        <v>#REF!</v>
      </c>
      <c r="AH599" s="73">
        <f t="shared" ref="AH599:AH607" si="360">If(I599,2,0)</f>
        <v>0</v>
      </c>
      <c r="AI599" s="73">
        <f t="shared" ref="AI599:AI607" si="361">1.5-1.5/K599^0.2</f>
        <v>1.123141633</v>
      </c>
      <c r="AJ599" s="75">
        <f t="shared" ref="AJ599:AJ607" si="362">If(P599/Q599 &gt; 0.66,1+2.8*(P599/Q599-0.66)^1.5,1)</f>
        <v>1</v>
      </c>
      <c r="AK599" s="73">
        <f t="shared" ref="AK599:AK607" si="363">Max(0.8,Pow(V599/5,0.5))/4</f>
        <v>0.4286010687</v>
      </c>
      <c r="AL599" s="73">
        <f t="shared" ref="AL599:AL607" si="364">IF(Q599&gt;300,IF(Q599&gt;460.39,7.5*8.5^((Q599/460.4-1)^0.6),6.5^((Q599/150-2)^1.1)),2.8^(Q599/150-2))</f>
        <v>1</v>
      </c>
      <c r="AM599" s="73">
        <f t="shared" ref="AM599:AM607" si="365">If(ISBLANK(J599),1,2.6*(1-1/((J599*0.05)^0.26)))</f>
        <v>2.107218922</v>
      </c>
      <c r="AN599" s="75">
        <v>7.62</v>
      </c>
      <c r="AO599" s="76">
        <v>7.6</v>
      </c>
      <c r="AP599" s="73">
        <f t="shared" ref="AP599:AP607" si="366">If(MOD(Log10(AO599),1)&gt;0.2,ROUND(AO599,1-INT(LOG10(AO599))), ROUND(2*AO599,1-INT(LOG10(2*AO599)))/2)</f>
        <v>7.6</v>
      </c>
      <c r="AQ599" s="29" t="str">
        <f t="shared" ref="AQ599:AQ607" si="367">VLOOKUP(A599,#REF!,27,FALSE)</f>
        <v>#REF!</v>
      </c>
      <c r="AR599" s="77" t="str">
        <f t="shared" ref="AR599:AR607" si="368">AP599/AQ599-1</f>
        <v>#REF!</v>
      </c>
      <c r="AS599" s="73"/>
      <c r="AT599" s="39"/>
    </row>
    <row r="600" ht="15.75" customHeight="1">
      <c r="A600" s="16" t="s">
        <v>788</v>
      </c>
      <c r="B600" s="16" t="s">
        <v>786</v>
      </c>
      <c r="C600" s="16"/>
      <c r="D600" s="16"/>
      <c r="E600" s="18">
        <v>2026.0</v>
      </c>
      <c r="F600" s="16" t="b">
        <v>0</v>
      </c>
      <c r="G600" s="16" t="b">
        <v>0</v>
      </c>
      <c r="H600" s="16" t="b">
        <v>0</v>
      </c>
      <c r="I600" s="16" t="b">
        <v>0</v>
      </c>
      <c r="J600" s="16"/>
      <c r="K600" s="16">
        <v>1.0</v>
      </c>
      <c r="L600" s="16">
        <v>50.0</v>
      </c>
      <c r="M600" s="16">
        <v>5.0</v>
      </c>
      <c r="N600" s="16">
        <v>6.03</v>
      </c>
      <c r="O600" s="16">
        <v>0.5026</v>
      </c>
      <c r="P600" s="16"/>
      <c r="Q600" s="16">
        <v>325.0</v>
      </c>
      <c r="R600" s="16">
        <v>1.06</v>
      </c>
      <c r="S600" s="18">
        <v>1.0</v>
      </c>
      <c r="T600" s="18">
        <v>1.0</v>
      </c>
      <c r="U600" s="19">
        <f t="shared" si="1"/>
        <v>55</v>
      </c>
      <c r="V600" s="19">
        <f t="shared" si="2"/>
        <v>8.499326155</v>
      </c>
      <c r="W600" s="20">
        <f t="shared" si="3"/>
        <v>37.13939459</v>
      </c>
      <c r="X600" s="17">
        <f t="shared" si="354"/>
        <v>18.66625972</v>
      </c>
      <c r="Y600" s="21">
        <f t="shared" si="4"/>
        <v>1.75</v>
      </c>
      <c r="Z600" s="21">
        <f t="shared" si="5"/>
        <v>51.33221424</v>
      </c>
      <c r="AA600" s="21">
        <f t="shared" si="6"/>
        <v>102.1333351</v>
      </c>
      <c r="AB600" s="22">
        <f t="shared" si="7"/>
        <v>0.3393865404</v>
      </c>
      <c r="AC600" s="8">
        <f t="shared" si="355"/>
        <v>19.03958492</v>
      </c>
      <c r="AD600" s="13">
        <f t="shared" si="356"/>
        <v>0.3461742712</v>
      </c>
      <c r="AE600" s="8">
        <f t="shared" si="357"/>
        <v>19.03958492</v>
      </c>
      <c r="AF600" s="73">
        <f t="shared" si="358"/>
        <v>2.033805042</v>
      </c>
      <c r="AG600" s="74" t="str">
        <f t="shared" si="359"/>
        <v>#REF!</v>
      </c>
      <c r="AH600" s="73">
        <f t="shared" si="360"/>
        <v>0</v>
      </c>
      <c r="AI600" s="73">
        <f t="shared" si="361"/>
        <v>0</v>
      </c>
      <c r="AJ600" s="75">
        <f t="shared" si="362"/>
        <v>1</v>
      </c>
      <c r="AK600" s="73">
        <f t="shared" si="363"/>
        <v>0.3259471996</v>
      </c>
      <c r="AL600" s="73">
        <f t="shared" si="364"/>
        <v>1.297957123</v>
      </c>
      <c r="AM600" s="73">
        <f t="shared" si="365"/>
        <v>1</v>
      </c>
      <c r="AN600" s="75">
        <v>2.47</v>
      </c>
      <c r="AO600" s="76">
        <v>2.5</v>
      </c>
      <c r="AP600" s="73">
        <f t="shared" si="366"/>
        <v>2.5</v>
      </c>
      <c r="AQ600" s="29" t="str">
        <f t="shared" si="367"/>
        <v>#REF!</v>
      </c>
      <c r="AR600" s="77" t="str">
        <f t="shared" si="368"/>
        <v>#REF!</v>
      </c>
      <c r="AS600" s="73"/>
      <c r="AT600" s="39"/>
    </row>
    <row r="601" ht="15.75" customHeight="1">
      <c r="A601" s="7" t="s">
        <v>787</v>
      </c>
      <c r="B601" s="7" t="s">
        <v>786</v>
      </c>
      <c r="C601" s="7"/>
      <c r="D601" s="7"/>
      <c r="E601" s="18">
        <v>2026.0</v>
      </c>
      <c r="F601" s="7" t="b">
        <v>0</v>
      </c>
      <c r="G601" s="7" t="b">
        <v>0</v>
      </c>
      <c r="H601" s="7" t="b">
        <v>0</v>
      </c>
      <c r="I601" s="7" t="b">
        <v>0</v>
      </c>
      <c r="J601" s="7"/>
      <c r="K601" s="7">
        <v>1.0</v>
      </c>
      <c r="L601" s="7">
        <v>50.0</v>
      </c>
      <c r="M601" s="7">
        <v>10.0</v>
      </c>
      <c r="N601" s="7">
        <v>6.03</v>
      </c>
      <c r="O601" s="7">
        <v>0.556</v>
      </c>
      <c r="P601" s="7"/>
      <c r="Q601" s="7">
        <v>330.0</v>
      </c>
      <c r="R601" s="7">
        <v>1.06</v>
      </c>
      <c r="S601" s="9">
        <v>1.0</v>
      </c>
      <c r="T601" s="9">
        <v>1.0</v>
      </c>
      <c r="U601" s="10">
        <f t="shared" si="1"/>
        <v>60</v>
      </c>
      <c r="V601" s="10">
        <f t="shared" si="2"/>
        <v>9.402358421</v>
      </c>
      <c r="W601" s="11">
        <f t="shared" si="3"/>
        <v>33.83391004</v>
      </c>
      <c r="X601" s="8">
        <f t="shared" si="354"/>
        <v>18.81165398</v>
      </c>
      <c r="Y601" s="12">
        <f t="shared" si="4"/>
        <v>1.75</v>
      </c>
      <c r="Z601" s="12">
        <f t="shared" si="5"/>
        <v>51.73204845</v>
      </c>
      <c r="AA601" s="12">
        <f t="shared" si="6"/>
        <v>93.04325261</v>
      </c>
      <c r="AB601" s="13">
        <f t="shared" si="7"/>
        <v>0.3135275664</v>
      </c>
      <c r="AC601" s="8">
        <f t="shared" si="355"/>
        <v>19.18788706</v>
      </c>
      <c r="AD601" s="13">
        <f t="shared" si="356"/>
        <v>0.3197981177</v>
      </c>
      <c r="AE601" s="8">
        <f t="shared" si="357"/>
        <v>19.18788706</v>
      </c>
      <c r="AF601" s="73">
        <f t="shared" si="358"/>
        <v>2.065005329</v>
      </c>
      <c r="AG601" s="74" t="str">
        <f t="shared" si="359"/>
        <v>#REF!</v>
      </c>
      <c r="AH601" s="73">
        <f t="shared" si="360"/>
        <v>0</v>
      </c>
      <c r="AI601" s="73">
        <f t="shared" si="361"/>
        <v>0</v>
      </c>
      <c r="AJ601" s="75">
        <f t="shared" si="362"/>
        <v>1</v>
      </c>
      <c r="AK601" s="73">
        <f t="shared" si="363"/>
        <v>0.3428257287</v>
      </c>
      <c r="AL601" s="73">
        <f t="shared" si="364"/>
        <v>1.375349642</v>
      </c>
      <c r="AM601" s="73">
        <f t="shared" si="365"/>
        <v>1</v>
      </c>
      <c r="AN601" s="75">
        <v>2.69</v>
      </c>
      <c r="AO601" s="76">
        <v>2.7</v>
      </c>
      <c r="AP601" s="73">
        <f t="shared" si="366"/>
        <v>2.7</v>
      </c>
      <c r="AQ601" s="29" t="str">
        <f t="shared" si="367"/>
        <v>#REF!</v>
      </c>
      <c r="AR601" s="77" t="str">
        <f t="shared" si="368"/>
        <v>#REF!</v>
      </c>
      <c r="AS601" s="73"/>
      <c r="AT601" s="39"/>
    </row>
    <row r="602" ht="15.75" customHeight="1">
      <c r="A602" s="16" t="s">
        <v>785</v>
      </c>
      <c r="B602" s="16" t="s">
        <v>786</v>
      </c>
      <c r="C602" s="16"/>
      <c r="D602" s="16"/>
      <c r="E602" s="18">
        <v>2026.0</v>
      </c>
      <c r="F602" s="16" t="b">
        <v>0</v>
      </c>
      <c r="G602" s="16" t="b">
        <v>0</v>
      </c>
      <c r="H602" s="16" t="b">
        <v>0</v>
      </c>
      <c r="I602" s="16" t="b">
        <v>0</v>
      </c>
      <c r="J602" s="16"/>
      <c r="K602" s="16">
        <v>1.0</v>
      </c>
      <c r="L602" s="16">
        <v>50.0</v>
      </c>
      <c r="M602" s="16">
        <v>0.0</v>
      </c>
      <c r="N602" s="16">
        <v>4.76</v>
      </c>
      <c r="O602" s="16">
        <v>0.4715</v>
      </c>
      <c r="P602" s="16"/>
      <c r="Q602" s="16">
        <v>322.0</v>
      </c>
      <c r="R602" s="16">
        <v>0.94</v>
      </c>
      <c r="S602" s="18">
        <v>1.0</v>
      </c>
      <c r="T602" s="18">
        <v>1.0</v>
      </c>
      <c r="U602" s="19">
        <f t="shared" si="1"/>
        <v>50</v>
      </c>
      <c r="V602" s="19">
        <f t="shared" si="2"/>
        <v>10.10076036</v>
      </c>
      <c r="W602" s="20">
        <f t="shared" si="3"/>
        <v>33.78675896</v>
      </c>
      <c r="X602" s="17">
        <f t="shared" si="354"/>
        <v>15.93045685</v>
      </c>
      <c r="Y602" s="21">
        <f t="shared" si="4"/>
        <v>1.75</v>
      </c>
      <c r="Z602" s="21">
        <f t="shared" si="5"/>
        <v>43.80875634</v>
      </c>
      <c r="AA602" s="21">
        <f t="shared" si="6"/>
        <v>92.91358715</v>
      </c>
      <c r="AB602" s="22">
        <f t="shared" si="7"/>
        <v>0.318609137</v>
      </c>
      <c r="AC602" s="8">
        <f t="shared" si="355"/>
        <v>16.24906599</v>
      </c>
      <c r="AD602" s="13">
        <f t="shared" si="356"/>
        <v>0.3249813198</v>
      </c>
      <c r="AE602" s="8">
        <f t="shared" si="357"/>
        <v>16.24906599</v>
      </c>
      <c r="AF602" s="73">
        <f t="shared" si="358"/>
        <v>2.014748752</v>
      </c>
      <c r="AG602" s="74" t="str">
        <f t="shared" si="359"/>
        <v>#REF!</v>
      </c>
      <c r="AH602" s="73">
        <f t="shared" si="360"/>
        <v>0</v>
      </c>
      <c r="AI602" s="73">
        <f t="shared" si="361"/>
        <v>0</v>
      </c>
      <c r="AJ602" s="75">
        <f t="shared" si="362"/>
        <v>1</v>
      </c>
      <c r="AK602" s="73">
        <f t="shared" si="363"/>
        <v>0.3553301345</v>
      </c>
      <c r="AL602" s="73">
        <f t="shared" si="364"/>
        <v>1.254304874</v>
      </c>
      <c r="AM602" s="73">
        <f t="shared" si="365"/>
        <v>1</v>
      </c>
      <c r="AN602" s="75">
        <v>2.41</v>
      </c>
      <c r="AO602" s="76">
        <v>2.4</v>
      </c>
      <c r="AP602" s="73">
        <f t="shared" si="366"/>
        <v>2.4</v>
      </c>
      <c r="AQ602" s="29" t="str">
        <f t="shared" si="367"/>
        <v>#REF!</v>
      </c>
      <c r="AR602" s="77" t="str">
        <f t="shared" si="368"/>
        <v>#REF!</v>
      </c>
      <c r="AS602" s="73"/>
      <c r="AT602" s="39"/>
    </row>
    <row r="603" ht="15.75" customHeight="1">
      <c r="A603" s="7" t="s">
        <v>1065</v>
      </c>
      <c r="B603" s="7" t="s">
        <v>797</v>
      </c>
      <c r="C603" s="7"/>
      <c r="D603" s="7"/>
      <c r="E603" s="18">
        <v>2026.0</v>
      </c>
      <c r="F603" s="7" t="b">
        <v>0</v>
      </c>
      <c r="G603" s="7" t="b">
        <v>0</v>
      </c>
      <c r="H603" s="7" t="b">
        <v>0</v>
      </c>
      <c r="I603" s="7" t="b">
        <v>0</v>
      </c>
      <c r="J603" s="9">
        <v>96.0</v>
      </c>
      <c r="K603" s="7">
        <v>1.0</v>
      </c>
      <c r="L603" s="7">
        <v>500.0</v>
      </c>
      <c r="M603" s="7"/>
      <c r="N603" s="7">
        <v>192.0</v>
      </c>
      <c r="O603" s="7">
        <v>262.0</v>
      </c>
      <c r="P603" s="9">
        <v>150.0</v>
      </c>
      <c r="Q603" s="7">
        <v>281.0</v>
      </c>
      <c r="R603" s="7">
        <v>1.38</v>
      </c>
      <c r="S603" s="7">
        <v>0.978571</v>
      </c>
      <c r="T603" s="7">
        <v>0.921429</v>
      </c>
      <c r="U603" s="10">
        <f t="shared" si="1"/>
        <v>500</v>
      </c>
      <c r="V603" s="10">
        <f t="shared" si="2"/>
        <v>139.1487745</v>
      </c>
      <c r="W603" s="11">
        <f t="shared" si="3"/>
        <v>0.5520735782</v>
      </c>
      <c r="X603" s="8">
        <f t="shared" si="354"/>
        <v>144.6432775</v>
      </c>
      <c r="Y603" s="12">
        <f t="shared" si="4"/>
        <v>1.75</v>
      </c>
      <c r="Z603" s="12">
        <f t="shared" si="5"/>
        <v>397.7690131</v>
      </c>
      <c r="AA603" s="12">
        <f t="shared" si="6"/>
        <v>1.51820234</v>
      </c>
      <c r="AB603" s="13">
        <f t="shared" si="7"/>
        <v>0.289286555</v>
      </c>
      <c r="AC603" s="8">
        <f t="shared" si="355"/>
        <v>133.3153509</v>
      </c>
      <c r="AD603" s="13">
        <f t="shared" si="356"/>
        <v>0.2666307018</v>
      </c>
      <c r="AE603" s="8">
        <f t="shared" si="357"/>
        <v>133.3153509</v>
      </c>
      <c r="AF603" s="73">
        <f t="shared" si="358"/>
        <v>57.05175919</v>
      </c>
      <c r="AG603" s="74" t="str">
        <f t="shared" si="359"/>
        <v>#REF!</v>
      </c>
      <c r="AH603" s="73">
        <f t="shared" si="360"/>
        <v>0</v>
      </c>
      <c r="AI603" s="73">
        <f t="shared" si="361"/>
        <v>0</v>
      </c>
      <c r="AJ603" s="75">
        <f t="shared" si="362"/>
        <v>1</v>
      </c>
      <c r="AK603" s="73">
        <f t="shared" si="363"/>
        <v>1.318847861</v>
      </c>
      <c r="AL603" s="73">
        <f t="shared" si="364"/>
        <v>0.8777280604</v>
      </c>
      <c r="AM603" s="73">
        <f t="shared" si="365"/>
        <v>0.8707785015</v>
      </c>
      <c r="AN603" s="75">
        <v>26.97</v>
      </c>
      <c r="AO603" s="76">
        <v>27.0</v>
      </c>
      <c r="AP603" s="73">
        <f t="shared" si="366"/>
        <v>27</v>
      </c>
      <c r="AQ603" s="29" t="str">
        <f t="shared" si="367"/>
        <v>#REF!</v>
      </c>
      <c r="AR603" s="77" t="str">
        <f t="shared" si="368"/>
        <v>#REF!</v>
      </c>
      <c r="AS603" s="73"/>
      <c r="AT603" s="39"/>
    </row>
    <row r="604" ht="15.75" customHeight="1">
      <c r="A604" s="16" t="s">
        <v>1064</v>
      </c>
      <c r="B604" s="16" t="s">
        <v>797</v>
      </c>
      <c r="C604" s="16"/>
      <c r="D604" s="16"/>
      <c r="E604" s="18">
        <v>2026.0</v>
      </c>
      <c r="F604" s="16" t="b">
        <v>0</v>
      </c>
      <c r="G604" s="16" t="b">
        <v>0</v>
      </c>
      <c r="H604" s="16" t="b">
        <v>0</v>
      </c>
      <c r="I604" s="16" t="b">
        <v>0</v>
      </c>
      <c r="J604" s="18">
        <v>110.0</v>
      </c>
      <c r="K604" s="16">
        <v>1.0</v>
      </c>
      <c r="L604" s="16">
        <v>500.0</v>
      </c>
      <c r="M604" s="16"/>
      <c r="N604" s="16">
        <v>252.0</v>
      </c>
      <c r="O604" s="16">
        <v>373.5</v>
      </c>
      <c r="P604" s="18">
        <v>212.0</v>
      </c>
      <c r="Q604" s="16">
        <v>250.0</v>
      </c>
      <c r="R604" s="16">
        <v>1.96</v>
      </c>
      <c r="S604" s="16">
        <v>0.983333</v>
      </c>
      <c r="T604" s="16">
        <v>0.983333</v>
      </c>
      <c r="U604" s="19">
        <f t="shared" si="1"/>
        <v>500</v>
      </c>
      <c r="V604" s="19">
        <f t="shared" si="2"/>
        <v>151.1365097</v>
      </c>
      <c r="W604" s="20">
        <f t="shared" si="3"/>
        <v>0.440561226</v>
      </c>
      <c r="X604" s="17">
        <f t="shared" si="354"/>
        <v>164.5496179</v>
      </c>
      <c r="Y604" s="21">
        <f t="shared" si="4"/>
        <v>1.75</v>
      </c>
      <c r="Z604" s="21">
        <f t="shared" si="5"/>
        <v>452.5114492</v>
      </c>
      <c r="AA604" s="21">
        <f t="shared" si="6"/>
        <v>1.211543371</v>
      </c>
      <c r="AB604" s="22">
        <f t="shared" si="7"/>
        <v>0.3290992358</v>
      </c>
      <c r="AC604" s="8">
        <f t="shared" si="355"/>
        <v>162.4012233</v>
      </c>
      <c r="AD604" s="13">
        <f t="shared" si="356"/>
        <v>0.3248024467</v>
      </c>
      <c r="AE604" s="8">
        <f t="shared" si="357"/>
        <v>162.4012233</v>
      </c>
      <c r="AF604" s="73">
        <f t="shared" si="358"/>
        <v>79.55223354</v>
      </c>
      <c r="AG604" s="74" t="str">
        <f t="shared" si="359"/>
        <v>#REF!</v>
      </c>
      <c r="AH604" s="73">
        <f t="shared" si="360"/>
        <v>0</v>
      </c>
      <c r="AI604" s="73">
        <f t="shared" si="361"/>
        <v>0</v>
      </c>
      <c r="AJ604" s="75">
        <f t="shared" si="362"/>
        <v>1.228241601</v>
      </c>
      <c r="AK604" s="73">
        <f t="shared" si="363"/>
        <v>1.374484038</v>
      </c>
      <c r="AL604" s="73">
        <f t="shared" si="364"/>
        <v>0.709491706</v>
      </c>
      <c r="AM604" s="73">
        <f t="shared" si="365"/>
        <v>0.9309127151</v>
      </c>
      <c r="AN604" s="75">
        <v>63.91</v>
      </c>
      <c r="AO604" s="76">
        <v>64.0</v>
      </c>
      <c r="AP604" s="73">
        <f t="shared" si="366"/>
        <v>64</v>
      </c>
      <c r="AQ604" s="29" t="str">
        <f t="shared" si="367"/>
        <v>#REF!</v>
      </c>
      <c r="AR604" s="77" t="str">
        <f t="shared" si="368"/>
        <v>#REF!</v>
      </c>
      <c r="AS604" s="73"/>
      <c r="AT604" s="39"/>
    </row>
    <row r="605" ht="15.75" customHeight="1">
      <c r="A605" s="16" t="s">
        <v>45</v>
      </c>
      <c r="B605" s="16" t="s">
        <v>44</v>
      </c>
      <c r="C605" s="16"/>
      <c r="D605" s="16"/>
      <c r="E605" s="18">
        <v>2026.0</v>
      </c>
      <c r="F605" s="16" t="b">
        <v>1</v>
      </c>
      <c r="G605" s="16" t="b">
        <v>0</v>
      </c>
      <c r="H605" s="16" t="b">
        <v>0</v>
      </c>
      <c r="I605" s="16" t="b">
        <v>0</v>
      </c>
      <c r="J605" s="16"/>
      <c r="K605" s="16">
        <v>1.0</v>
      </c>
      <c r="L605" s="16">
        <v>50.0</v>
      </c>
      <c r="M605" s="16">
        <v>0.0</v>
      </c>
      <c r="N605" s="16">
        <v>117.8</v>
      </c>
      <c r="O605" s="16">
        <v>113.0</v>
      </c>
      <c r="P605" s="16"/>
      <c r="Q605" s="16">
        <v>310.0</v>
      </c>
      <c r="R605" s="16">
        <v>10.0</v>
      </c>
      <c r="S605" s="18">
        <v>1.0</v>
      </c>
      <c r="T605" s="18">
        <v>1.0</v>
      </c>
      <c r="U605" s="19">
        <f t="shared" si="1"/>
        <v>50</v>
      </c>
      <c r="V605" s="19">
        <f t="shared" si="2"/>
        <v>97.81658042</v>
      </c>
      <c r="W605" s="20">
        <f t="shared" si="3"/>
        <v>1.224783465</v>
      </c>
      <c r="X605" s="17">
        <f t="shared" si="354"/>
        <v>138.4005316</v>
      </c>
      <c r="Y605" s="21">
        <f t="shared" si="4"/>
        <v>4</v>
      </c>
      <c r="Z605" s="21">
        <f t="shared" si="5"/>
        <v>692.0026578</v>
      </c>
      <c r="AA605" s="21">
        <f t="shared" si="6"/>
        <v>6.123917325</v>
      </c>
      <c r="AB605" s="22">
        <f t="shared" si="7"/>
        <v>2.768010631</v>
      </c>
      <c r="AC605" s="8">
        <f t="shared" si="355"/>
        <v>141.1685422</v>
      </c>
      <c r="AD605" s="13">
        <f t="shared" si="356"/>
        <v>2.823370844</v>
      </c>
      <c r="AE605" s="8">
        <f t="shared" si="357"/>
        <v>141.1685422</v>
      </c>
      <c r="AF605" s="73">
        <f t="shared" si="358"/>
        <v>23.46856783</v>
      </c>
      <c r="AG605" s="74" t="str">
        <f t="shared" si="359"/>
        <v>#REF!</v>
      </c>
      <c r="AH605" s="73">
        <f t="shared" si="360"/>
        <v>0</v>
      </c>
      <c r="AI605" s="73">
        <f t="shared" si="361"/>
        <v>0</v>
      </c>
      <c r="AJ605" s="75">
        <f t="shared" si="362"/>
        <v>1</v>
      </c>
      <c r="AK605" s="73">
        <f t="shared" si="363"/>
        <v>1.105760939</v>
      </c>
      <c r="AL605" s="73">
        <f t="shared" si="364"/>
        <v>1.099860153</v>
      </c>
      <c r="AM605" s="73">
        <f t="shared" si="365"/>
        <v>1</v>
      </c>
      <c r="AN605" s="75">
        <v>38.3</v>
      </c>
      <c r="AO605" s="76">
        <v>38.0</v>
      </c>
      <c r="AP605" s="73">
        <f t="shared" si="366"/>
        <v>38</v>
      </c>
      <c r="AQ605" s="29" t="str">
        <f t="shared" si="367"/>
        <v>#REF!</v>
      </c>
      <c r="AR605" s="77" t="str">
        <f t="shared" si="368"/>
        <v>#REF!</v>
      </c>
      <c r="AS605" s="73"/>
      <c r="AT605" s="39"/>
    </row>
    <row r="606" ht="15.75" customHeight="1">
      <c r="A606" s="7" t="s">
        <v>43</v>
      </c>
      <c r="B606" s="7" t="s">
        <v>44</v>
      </c>
      <c r="C606" s="7"/>
      <c r="D606" s="7"/>
      <c r="E606" s="18">
        <v>2026.0</v>
      </c>
      <c r="F606" s="7" t="b">
        <v>1</v>
      </c>
      <c r="G606" s="7" t="b">
        <v>0</v>
      </c>
      <c r="H606" s="7" t="b">
        <v>0</v>
      </c>
      <c r="I606" s="7" t="b">
        <v>0</v>
      </c>
      <c r="J606" s="7"/>
      <c r="K606" s="7">
        <v>1.0</v>
      </c>
      <c r="L606" s="7">
        <v>50.0</v>
      </c>
      <c r="M606" s="7">
        <v>10.0</v>
      </c>
      <c r="N606" s="7">
        <v>117.8</v>
      </c>
      <c r="O606" s="7">
        <v>132.5</v>
      </c>
      <c r="P606" s="7"/>
      <c r="Q606" s="7">
        <v>363.5</v>
      </c>
      <c r="R606" s="7">
        <v>10.0</v>
      </c>
      <c r="S606" s="9">
        <v>1.0</v>
      </c>
      <c r="T606" s="9">
        <v>1.0</v>
      </c>
      <c r="U606" s="10">
        <f t="shared" si="1"/>
        <v>60</v>
      </c>
      <c r="V606" s="10">
        <f t="shared" si="2"/>
        <v>114.6964328</v>
      </c>
      <c r="W606" s="11">
        <f t="shared" si="3"/>
        <v>1.122230398</v>
      </c>
      <c r="X606" s="8">
        <f t="shared" si="354"/>
        <v>148.6955277</v>
      </c>
      <c r="Y606" s="12">
        <f t="shared" si="4"/>
        <v>4</v>
      </c>
      <c r="Z606" s="12">
        <f t="shared" si="5"/>
        <v>743.4776385</v>
      </c>
      <c r="AA606" s="12">
        <f t="shared" si="6"/>
        <v>5.611151988</v>
      </c>
      <c r="AB606" s="13">
        <f t="shared" si="7"/>
        <v>2.478258795</v>
      </c>
      <c r="AC606" s="8">
        <f t="shared" si="355"/>
        <v>151.6694382</v>
      </c>
      <c r="AD606" s="13">
        <f t="shared" si="356"/>
        <v>2.527823971</v>
      </c>
      <c r="AE606" s="8">
        <f t="shared" si="357"/>
        <v>151.6694382</v>
      </c>
      <c r="AF606" s="73">
        <f t="shared" si="358"/>
        <v>26.2971252</v>
      </c>
      <c r="AG606" s="74" t="str">
        <f t="shared" si="359"/>
        <v>#REF!</v>
      </c>
      <c r="AH606" s="73">
        <f t="shared" si="360"/>
        <v>0</v>
      </c>
      <c r="AI606" s="73">
        <f t="shared" si="361"/>
        <v>0</v>
      </c>
      <c r="AJ606" s="75">
        <f t="shared" si="362"/>
        <v>1</v>
      </c>
      <c r="AK606" s="73">
        <f t="shared" si="363"/>
        <v>1.197374382</v>
      </c>
      <c r="AL606" s="73">
        <f t="shared" si="364"/>
        <v>2.069128806</v>
      </c>
      <c r="AM606" s="73">
        <f t="shared" si="365"/>
        <v>1</v>
      </c>
      <c r="AN606" s="75">
        <v>84.26</v>
      </c>
      <c r="AO606" s="76">
        <v>84.0</v>
      </c>
      <c r="AP606" s="73">
        <f t="shared" si="366"/>
        <v>84</v>
      </c>
      <c r="AQ606" s="29" t="str">
        <f t="shared" si="367"/>
        <v>#REF!</v>
      </c>
      <c r="AR606" s="77" t="str">
        <f t="shared" si="368"/>
        <v>#REF!</v>
      </c>
      <c r="AS606" s="73"/>
      <c r="AT606" s="39"/>
    </row>
    <row r="607" ht="15.75" customHeight="1">
      <c r="A607" s="7" t="s">
        <v>98</v>
      </c>
      <c r="B607" s="7" t="s">
        <v>98</v>
      </c>
      <c r="C607" s="7"/>
      <c r="D607" s="7" t="b">
        <v>1</v>
      </c>
      <c r="E607" s="18">
        <v>2026.0</v>
      </c>
      <c r="F607" s="7" t="b">
        <v>1</v>
      </c>
      <c r="G607" s="7" t="b">
        <v>0</v>
      </c>
      <c r="H607" s="7" t="b">
        <v>0</v>
      </c>
      <c r="I607" s="7" t="b">
        <v>0</v>
      </c>
      <c r="J607" s="7"/>
      <c r="K607" s="7">
        <v>1.0</v>
      </c>
      <c r="L607" s="9" t="s">
        <v>1100</v>
      </c>
      <c r="M607" s="7">
        <v>0.0</v>
      </c>
      <c r="N607" s="7">
        <v>2001.6</v>
      </c>
      <c r="O607" s="7">
        <v>2165.7</v>
      </c>
      <c r="P607" s="7"/>
      <c r="Q607" s="7">
        <v>457.2</v>
      </c>
      <c r="R607" s="7">
        <v>27.58</v>
      </c>
      <c r="S607" s="9">
        <v>1.0</v>
      </c>
      <c r="T607" s="9">
        <v>1.0</v>
      </c>
      <c r="U607" s="10" t="str">
        <f t="shared" si="1"/>
        <v>#VALUE!</v>
      </c>
      <c r="V607" s="10">
        <f t="shared" si="2"/>
        <v>110.3317044</v>
      </c>
      <c r="W607" s="11">
        <f t="shared" si="3"/>
        <v>2.033737084</v>
      </c>
      <c r="X607" s="8">
        <f>0.9*(0.00015*N607*Q607*R607+797)+0.1*(43.1*POWER(N607,0.549))</f>
        <v>4404.464403</v>
      </c>
      <c r="Y607" s="12">
        <f t="shared" si="4"/>
        <v>4</v>
      </c>
      <c r="Z607" s="12">
        <f t="shared" si="5"/>
        <v>22022.32202</v>
      </c>
      <c r="AA607" s="12">
        <f t="shared" si="6"/>
        <v>10.16868542</v>
      </c>
      <c r="AB607" s="13" t="str">
        <f t="shared" si="7"/>
        <v>#N/A</v>
      </c>
      <c r="AC607" s="8">
        <f t="shared" si="355"/>
        <v>4492.553691</v>
      </c>
      <c r="AD607" s="13" t="str">
        <f t="shared" si="356"/>
        <v>#N/A</v>
      </c>
      <c r="AE607" s="8">
        <f t="shared" si="357"/>
        <v>1021.14587</v>
      </c>
      <c r="AF607" s="73">
        <f t="shared" si="358"/>
        <v>261.1241462</v>
      </c>
      <c r="AG607" s="74" t="str">
        <f t="shared" si="359"/>
        <v>#REF!</v>
      </c>
      <c r="AH607" s="73">
        <f t="shared" si="360"/>
        <v>0</v>
      </c>
      <c r="AI607" s="73">
        <f t="shared" si="361"/>
        <v>0</v>
      </c>
      <c r="AJ607" s="75">
        <f t="shared" si="362"/>
        <v>1</v>
      </c>
      <c r="AK607" s="73">
        <f t="shared" si="363"/>
        <v>1.1743706</v>
      </c>
      <c r="AL607" s="73">
        <f t="shared" si="364"/>
        <v>7.176897501</v>
      </c>
      <c r="AM607" s="73">
        <f t="shared" si="365"/>
        <v>1</v>
      </c>
      <c r="AN607" s="75">
        <v>2871.61</v>
      </c>
      <c r="AO607" s="76">
        <v>2900.0</v>
      </c>
      <c r="AP607" s="73">
        <f t="shared" si="366"/>
        <v>2900</v>
      </c>
      <c r="AQ607" s="29" t="str">
        <f t="shared" si="367"/>
        <v>#REF!</v>
      </c>
      <c r="AR607" s="77" t="str">
        <f t="shared" si="368"/>
        <v>#REF!</v>
      </c>
      <c r="AS607" s="73"/>
      <c r="AT607" s="39"/>
    </row>
    <row r="608" ht="15.75" hidden="1" customHeight="1">
      <c r="A608" s="7" t="s">
        <v>878</v>
      </c>
      <c r="B608" s="7" t="s">
        <v>878</v>
      </c>
      <c r="C608" s="7">
        <v>1943.0</v>
      </c>
      <c r="D608" s="7"/>
      <c r="E608" s="7">
        <v>1943.0</v>
      </c>
      <c r="F608" s="7" t="b">
        <v>0</v>
      </c>
      <c r="G608" s="7" t="b">
        <v>1</v>
      </c>
      <c r="H608" s="7" t="b">
        <v>0</v>
      </c>
      <c r="I608" s="7" t="b">
        <v>0</v>
      </c>
      <c r="J608" s="7"/>
      <c r="K608" s="7"/>
      <c r="L608" s="7">
        <v>36.0</v>
      </c>
      <c r="M608" s="7"/>
      <c r="N608" s="7">
        <v>181.437</v>
      </c>
      <c r="O608" s="7">
        <v>146.6</v>
      </c>
      <c r="P608" s="7"/>
      <c r="Q608" s="7">
        <v>200.0</v>
      </c>
      <c r="R608" s="7"/>
      <c r="S608" s="7"/>
      <c r="T608" s="7"/>
      <c r="U608" s="10">
        <f t="shared" si="1"/>
        <v>36</v>
      </c>
      <c r="V608" s="10">
        <f t="shared" si="2"/>
        <v>82.39245379</v>
      </c>
      <c r="W608" s="11">
        <f t="shared" si="3"/>
        <v>0.6531198178</v>
      </c>
      <c r="X608" s="8">
        <f t="shared" ref="X608:X609" si="369">0.2*(8.17*POW(N608*R608,0.46))+0.8*(0.146*POW(N608*Q608,0.639))</f>
        <v>95.7473653</v>
      </c>
      <c r="Y608" s="12">
        <f t="shared" si="4"/>
        <v>1.05</v>
      </c>
      <c r="Z608" s="12">
        <f t="shared" si="5"/>
        <v>196.2820989</v>
      </c>
      <c r="AA608" s="12">
        <f t="shared" si="6"/>
        <v>1.338895627</v>
      </c>
      <c r="AB608" s="13">
        <f t="shared" si="7"/>
        <v>2.659649036</v>
      </c>
      <c r="AC608" s="8">
        <f t="shared" ref="AC608:AC609" si="370">IF(I608,X608*1.5,X608)*IF(S608*T608&gt;0,(S608*T608+0.02),1)</f>
        <v>95.7473653</v>
      </c>
      <c r="AG608" s="7"/>
    </row>
    <row r="609" ht="15.75" hidden="1" customHeight="1">
      <c r="A609" s="16" t="s">
        <v>908</v>
      </c>
      <c r="B609" s="16" t="s">
        <v>908</v>
      </c>
      <c r="C609" s="16">
        <v>1965.0</v>
      </c>
      <c r="D609" s="16"/>
      <c r="E609" s="16">
        <v>1965.0</v>
      </c>
      <c r="F609" s="16" t="b">
        <v>0</v>
      </c>
      <c r="G609" s="16" t="b">
        <v>1</v>
      </c>
      <c r="H609" s="16" t="b">
        <v>0</v>
      </c>
      <c r="I609" s="16" t="b">
        <v>0</v>
      </c>
      <c r="J609" s="16"/>
      <c r="K609" s="16"/>
      <c r="L609" s="16">
        <v>200.0</v>
      </c>
      <c r="M609" s="16">
        <v>0.0</v>
      </c>
      <c r="N609" s="16">
        <v>456.0</v>
      </c>
      <c r="O609" s="16">
        <v>156.0</v>
      </c>
      <c r="P609" s="16"/>
      <c r="Q609" s="16">
        <v>259.0</v>
      </c>
      <c r="R609" s="16">
        <v>3.5</v>
      </c>
      <c r="S609" s="16"/>
      <c r="T609" s="16"/>
      <c r="U609" s="19">
        <f t="shared" si="1"/>
        <v>200</v>
      </c>
      <c r="V609" s="19">
        <f t="shared" si="2"/>
        <v>34.88502824</v>
      </c>
      <c r="W609" s="20">
        <f t="shared" si="3"/>
        <v>1.616200222</v>
      </c>
      <c r="X609" s="17">
        <f t="shared" si="369"/>
        <v>252.1272347</v>
      </c>
      <c r="Y609" s="21">
        <f t="shared" si="4"/>
        <v>1.05</v>
      </c>
      <c r="Z609" s="21">
        <f t="shared" si="5"/>
        <v>516.8608311</v>
      </c>
      <c r="AA609" s="21">
        <f t="shared" si="6"/>
        <v>3.313210456</v>
      </c>
      <c r="AB609" s="22">
        <f t="shared" si="7"/>
        <v>1.260636174</v>
      </c>
      <c r="AC609" s="17">
        <f t="shared" si="370"/>
        <v>252.1272347</v>
      </c>
      <c r="AG609" s="16"/>
    </row>
    <row r="610" ht="15.75" customHeight="1">
      <c r="A610" s="16" t="s">
        <v>121</v>
      </c>
      <c r="B610" s="16" t="s">
        <v>121</v>
      </c>
      <c r="C610" s="16"/>
      <c r="D610" s="16" t="b">
        <v>1</v>
      </c>
      <c r="E610" s="18">
        <v>2026.0</v>
      </c>
      <c r="F610" s="16" t="b">
        <v>1</v>
      </c>
      <c r="G610" s="16" t="b">
        <v>0</v>
      </c>
      <c r="H610" s="16" t="b">
        <v>1</v>
      </c>
      <c r="I610" s="16" t="b">
        <v>0</v>
      </c>
      <c r="J610" s="9">
        <v>3600.0</v>
      </c>
      <c r="K610" s="18">
        <v>60.0</v>
      </c>
      <c r="L610" s="16"/>
      <c r="M610" s="16"/>
      <c r="N610" s="16">
        <v>3670.0</v>
      </c>
      <c r="O610" s="16">
        <v>111.6</v>
      </c>
      <c r="P610" s="18">
        <v>1.0</v>
      </c>
      <c r="Q610" s="16">
        <v>894.0</v>
      </c>
      <c r="R610" s="16">
        <v>6.89</v>
      </c>
      <c r="S610" s="16">
        <v>1.0</v>
      </c>
      <c r="T610" s="16">
        <v>1.0</v>
      </c>
      <c r="U610" s="19">
        <f t="shared" si="1"/>
        <v>0</v>
      </c>
      <c r="V610" s="19">
        <f t="shared" si="2"/>
        <v>3.100826404</v>
      </c>
      <c r="W610" s="20">
        <f t="shared" si="3"/>
        <v>37.27128852</v>
      </c>
      <c r="X610" s="17">
        <f t="shared" ref="X610:X611" si="371">0.9*(0.00015*N610*Q610*R610+797)+0.1*(43.1*POWER(N610,0.549))</f>
        <v>4159.475798</v>
      </c>
      <c r="Y610" s="21">
        <f t="shared" si="4"/>
        <v>4</v>
      </c>
      <c r="Z610" s="21">
        <f t="shared" si="5"/>
        <v>20797.37899</v>
      </c>
      <c r="AA610" s="21">
        <f t="shared" si="6"/>
        <v>186.3564426</v>
      </c>
      <c r="AB610" s="22" t="str">
        <f t="shared" si="7"/>
        <v>#N/A</v>
      </c>
      <c r="AC610" s="8">
        <f t="shared" ref="AC610:AC616" si="372">X610*IF(I610,1.5,1)*IF(S610*T610&gt;0,(S610*T610+0.02),1)</f>
        <v>4242.665314</v>
      </c>
      <c r="AD610" s="13" t="str">
        <f t="shared" ref="AD610:AD616" si="373">IFERROR(AC610/U610,#N/A)</f>
        <v>#N/A</v>
      </c>
      <c r="AE610" s="8">
        <f t="shared" ref="AE610:AE616" si="374">IF(I610,1.5,1)*IF(S610*T610&gt;0,(S610*T610+0.02),1)*(0.2*(8.17*POWER(N610*R610,0.46))+0.8*(0.146*POWER(N610*Q610,0.639)))</f>
        <v>1913.554731</v>
      </c>
      <c r="AF610" s="73">
        <f t="shared" ref="AF610:AF616" si="375">If(F610,$AT$2*O610*(1-log(O610)*0.04+1/(O610/80)^0.6),$AT$3*O610*(1+1/(O610/12)^0.9-log(O610)*0.03))</f>
        <v>23.26243736</v>
      </c>
      <c r="AG610" s="74" t="str">
        <f t="shared" ref="AG610:AG616" si="376">If(F610,VLOOKUP(E610,#REF!,2),VLOOKUP(E610,#REF!,3))</f>
        <v>#REF!</v>
      </c>
      <c r="AH610" s="73">
        <f t="shared" ref="AH610:AH616" si="377">If(I610,2,0)</f>
        <v>0</v>
      </c>
      <c r="AI610" s="73">
        <f t="shared" ref="AI610:AI616" si="378">1.5-1.5/K610^0.2</f>
        <v>0.8386048453</v>
      </c>
      <c r="AJ610" s="75">
        <f t="shared" ref="AJ610:AJ616" si="379">If(P610/Q610 &gt; 0.66,1+2.8*(P610/Q610-0.66)^1.5,1)</f>
        <v>1</v>
      </c>
      <c r="AK610" s="73">
        <f t="shared" ref="AK610:AK616" si="380">Max(0.8,Pow(V610/5,0.5))/4</f>
        <v>0.2</v>
      </c>
      <c r="AL610" s="73">
        <f t="shared" ref="AL610:AL616" si="381">IF(Q610&gt;300,IF(Q610&gt;460.39,7.5*8.5^((Q610/460.4-1)^0.6),6.5^((Q610/150-2)^1.1)),2.8^(Q610/150-2))</f>
        <v>59.10586956</v>
      </c>
      <c r="AM610" s="73">
        <f t="shared" ref="AM610:AM616" si="382">If(ISBLANK(J610),1,2.6*(1-1/((J610*0.05)^0.26)))</f>
        <v>1.926089075</v>
      </c>
      <c r="AN610" s="75">
        <v>3804.55</v>
      </c>
      <c r="AO610" s="76">
        <v>3800.0</v>
      </c>
      <c r="AP610" s="73">
        <f t="shared" ref="AP610:AP616" si="383">If(MOD(Log10(AO610),1)&gt;0.2,ROUND(AO610,1-INT(LOG10(AO610))), ROUND(2*AO610,1-INT(LOG10(2*AO610)))/2)</f>
        <v>3800</v>
      </c>
      <c r="AQ610" s="29" t="str">
        <f t="shared" ref="AQ610:AQ616" si="384">VLOOKUP(A610,#REF!,27,FALSE)</f>
        <v>#REF!</v>
      </c>
      <c r="AR610" s="77" t="str">
        <f t="shared" ref="AR610:AR616" si="385">AP610/AQ610-1</f>
        <v>#REF!</v>
      </c>
      <c r="AS610" s="73"/>
      <c r="AT610" s="39"/>
    </row>
    <row r="611" ht="15.75" customHeight="1">
      <c r="A611" s="7" t="s">
        <v>128</v>
      </c>
      <c r="B611" s="7" t="s">
        <v>127</v>
      </c>
      <c r="C611" s="7"/>
      <c r="D611" s="7" t="b">
        <v>1</v>
      </c>
      <c r="E611" s="18">
        <v>2026.0</v>
      </c>
      <c r="F611" s="7" t="b">
        <v>1</v>
      </c>
      <c r="G611" s="7" t="b">
        <v>0</v>
      </c>
      <c r="H611" s="7" t="b">
        <v>0</v>
      </c>
      <c r="I611" s="7" t="b">
        <v>0</v>
      </c>
      <c r="J611" s="9">
        <v>3600.0</v>
      </c>
      <c r="K611" s="9">
        <v>3.0</v>
      </c>
      <c r="L611" s="7"/>
      <c r="M611" s="7"/>
      <c r="N611" s="7">
        <v>4183.4</v>
      </c>
      <c r="O611" s="7">
        <v>2292.0</v>
      </c>
      <c r="P611" s="9">
        <v>200.0</v>
      </c>
      <c r="Q611" s="7">
        <v>459.2</v>
      </c>
      <c r="R611" s="7">
        <v>20.7</v>
      </c>
      <c r="S611" s="7">
        <v>1.0</v>
      </c>
      <c r="T611" s="7">
        <v>1.0</v>
      </c>
      <c r="U611" s="10">
        <f t="shared" si="1"/>
        <v>0</v>
      </c>
      <c r="V611" s="10">
        <f t="shared" si="2"/>
        <v>55.86818266</v>
      </c>
      <c r="W611" s="11">
        <f t="shared" si="3"/>
        <v>2.838153982</v>
      </c>
      <c r="X611" s="8">
        <f t="shared" si="371"/>
        <v>6505.048926</v>
      </c>
      <c r="Y611" s="12">
        <f t="shared" si="4"/>
        <v>4</v>
      </c>
      <c r="Z611" s="12">
        <f t="shared" si="5"/>
        <v>32525.24463</v>
      </c>
      <c r="AA611" s="12">
        <f t="shared" si="6"/>
        <v>14.19076991</v>
      </c>
      <c r="AB611" s="13" t="str">
        <f t="shared" si="7"/>
        <v>#N/A</v>
      </c>
      <c r="AC611" s="8">
        <f t="shared" si="372"/>
        <v>6635.149904</v>
      </c>
      <c r="AD611" s="13" t="str">
        <f t="shared" si="373"/>
        <v>#N/A</v>
      </c>
      <c r="AE611" s="8">
        <f t="shared" si="374"/>
        <v>1544.973014</v>
      </c>
      <c r="AF611" s="73">
        <f t="shared" si="375"/>
        <v>274.8107344</v>
      </c>
      <c r="AG611" s="74" t="str">
        <f t="shared" si="376"/>
        <v>#REF!</v>
      </c>
      <c r="AH611" s="73">
        <f t="shared" si="377"/>
        <v>0</v>
      </c>
      <c r="AI611" s="73">
        <f t="shared" si="378"/>
        <v>0.2958876574</v>
      </c>
      <c r="AJ611" s="75">
        <f t="shared" si="379"/>
        <v>1</v>
      </c>
      <c r="AK611" s="73">
        <f t="shared" si="380"/>
        <v>0.8356747473</v>
      </c>
      <c r="AL611" s="73">
        <f t="shared" si="381"/>
        <v>7.377735708</v>
      </c>
      <c r="AM611" s="73">
        <f t="shared" si="382"/>
        <v>1.926089075</v>
      </c>
      <c r="AN611" s="75">
        <v>5865.96</v>
      </c>
      <c r="AO611" s="76">
        <v>5900.0</v>
      </c>
      <c r="AP611" s="73">
        <f t="shared" si="383"/>
        <v>5900</v>
      </c>
      <c r="AQ611" s="29" t="str">
        <f t="shared" si="384"/>
        <v>#REF!</v>
      </c>
      <c r="AR611" s="77" t="str">
        <f t="shared" si="385"/>
        <v>#REF!</v>
      </c>
      <c r="AS611" s="73"/>
      <c r="AT611" s="39"/>
    </row>
    <row r="612" ht="15.75" customHeight="1">
      <c r="A612" s="16" t="s">
        <v>126</v>
      </c>
      <c r="B612" s="16" t="s">
        <v>127</v>
      </c>
      <c r="C612" s="16"/>
      <c r="D612" s="16"/>
      <c r="E612" s="18">
        <v>2026.0</v>
      </c>
      <c r="F612" s="16" t="b">
        <v>1</v>
      </c>
      <c r="G612" s="16" t="b">
        <v>0</v>
      </c>
      <c r="H612" s="16" t="b">
        <v>0</v>
      </c>
      <c r="I612" s="16" t="b">
        <v>0</v>
      </c>
      <c r="J612" s="18">
        <v>3600.0</v>
      </c>
      <c r="K612" s="16">
        <v>1.0</v>
      </c>
      <c r="L612" s="16"/>
      <c r="M612" s="16"/>
      <c r="N612" s="16">
        <v>4183.4</v>
      </c>
      <c r="O612" s="16">
        <v>2926.0</v>
      </c>
      <c r="P612" s="18">
        <v>322.9</v>
      </c>
      <c r="Q612" s="16">
        <v>249.9</v>
      </c>
      <c r="R612" s="16">
        <v>27.6</v>
      </c>
      <c r="S612" s="16">
        <v>1.0</v>
      </c>
      <c r="T612" s="16">
        <v>1.0</v>
      </c>
      <c r="U612" s="19">
        <f t="shared" si="1"/>
        <v>0</v>
      </c>
      <c r="V612" s="19">
        <f t="shared" si="2"/>
        <v>71.32212149</v>
      </c>
      <c r="W612" s="20">
        <f t="shared" si="3"/>
        <v>0.3992613402</v>
      </c>
      <c r="X612" s="17">
        <f>0.2*(8.17*POWER(N612*R612,0.46))+0.8*(0.146*POWER(N612*Q612,0.639))</f>
        <v>1168.238681</v>
      </c>
      <c r="Y612" s="21">
        <f t="shared" si="4"/>
        <v>4</v>
      </c>
      <c r="Z612" s="21">
        <f t="shared" si="5"/>
        <v>5841.193407</v>
      </c>
      <c r="AA612" s="21">
        <f t="shared" si="6"/>
        <v>1.996306701</v>
      </c>
      <c r="AB612" s="22" t="str">
        <f t="shared" si="7"/>
        <v>#N/A</v>
      </c>
      <c r="AC612" s="8">
        <f t="shared" si="372"/>
        <v>1191.603455</v>
      </c>
      <c r="AD612" s="13" t="str">
        <f t="shared" si="373"/>
        <v>#N/A</v>
      </c>
      <c r="AE612" s="8">
        <f t="shared" si="374"/>
        <v>1191.603455</v>
      </c>
      <c r="AF612" s="73">
        <f t="shared" si="375"/>
        <v>342.945259</v>
      </c>
      <c r="AG612" s="74" t="str">
        <f t="shared" si="376"/>
        <v>#REF!</v>
      </c>
      <c r="AH612" s="73">
        <f t="shared" si="377"/>
        <v>0</v>
      </c>
      <c r="AI612" s="73">
        <f t="shared" si="378"/>
        <v>0</v>
      </c>
      <c r="AJ612" s="75">
        <f t="shared" si="379"/>
        <v>2.407194337</v>
      </c>
      <c r="AK612" s="73">
        <f t="shared" si="380"/>
        <v>0.9442068198</v>
      </c>
      <c r="AL612" s="73">
        <f t="shared" si="381"/>
        <v>0.7090048688</v>
      </c>
      <c r="AM612" s="73">
        <f t="shared" si="382"/>
        <v>1.926089075</v>
      </c>
      <c r="AN612" s="75">
        <v>1544.59</v>
      </c>
      <c r="AO612" s="76">
        <v>1550.0</v>
      </c>
      <c r="AP612" s="73">
        <f t="shared" si="383"/>
        <v>1550</v>
      </c>
      <c r="AQ612" s="29" t="str">
        <f t="shared" si="384"/>
        <v>#REF!</v>
      </c>
      <c r="AR612" s="77" t="str">
        <f t="shared" si="385"/>
        <v>#REF!</v>
      </c>
      <c r="AS612" s="73"/>
      <c r="AT612" s="39"/>
    </row>
    <row r="613" ht="15.75" customHeight="1">
      <c r="A613" s="16" t="s">
        <v>181</v>
      </c>
      <c r="B613" s="16" t="s">
        <v>181</v>
      </c>
      <c r="C613" s="16"/>
      <c r="D613" s="16" t="b">
        <v>1</v>
      </c>
      <c r="E613" s="18">
        <v>2026.0</v>
      </c>
      <c r="F613" s="16" t="b">
        <v>1</v>
      </c>
      <c r="G613" s="16" t="b">
        <v>0</v>
      </c>
      <c r="H613" s="16" t="b">
        <v>1</v>
      </c>
      <c r="I613" s="16" t="b">
        <v>0</v>
      </c>
      <c r="J613" s="18">
        <v>3600.0</v>
      </c>
      <c r="K613" s="18">
        <v>60.0</v>
      </c>
      <c r="L613" s="16"/>
      <c r="M613" s="16"/>
      <c r="N613" s="16">
        <v>2900.0</v>
      </c>
      <c r="O613" s="16">
        <v>266.89</v>
      </c>
      <c r="P613" s="18">
        <v>363.0</v>
      </c>
      <c r="Q613" s="16">
        <v>1082.0</v>
      </c>
      <c r="R613" s="16">
        <v>11.19</v>
      </c>
      <c r="S613" s="16">
        <v>1.0</v>
      </c>
      <c r="T613" s="16">
        <v>1.0</v>
      </c>
      <c r="U613" s="19">
        <f t="shared" si="1"/>
        <v>0</v>
      </c>
      <c r="V613" s="19">
        <f t="shared" si="2"/>
        <v>9.384553769</v>
      </c>
      <c r="W613" s="20">
        <f t="shared" si="3"/>
        <v>21.73348154</v>
      </c>
      <c r="X613" s="17">
        <f t="shared" ref="X613:X615" si="386">0.9*(0.00015*N613*Q613*R613+797)+0.1*(43.1*POWER(N613,0.549))</f>
        <v>5800.448887</v>
      </c>
      <c r="Y613" s="21">
        <f t="shared" si="4"/>
        <v>4</v>
      </c>
      <c r="Z613" s="21">
        <f t="shared" si="5"/>
        <v>29002.24444</v>
      </c>
      <c r="AA613" s="21">
        <f t="shared" si="6"/>
        <v>108.6674077</v>
      </c>
      <c r="AB613" s="22" t="str">
        <f t="shared" si="7"/>
        <v>#N/A</v>
      </c>
      <c r="AC613" s="8">
        <f t="shared" si="372"/>
        <v>5916.457865</v>
      </c>
      <c r="AD613" s="13" t="str">
        <f t="shared" si="373"/>
        <v>#N/A</v>
      </c>
      <c r="AE613" s="8">
        <f t="shared" si="374"/>
        <v>1886.215377</v>
      </c>
      <c r="AF613" s="73">
        <f t="shared" si="375"/>
        <v>44.46268587</v>
      </c>
      <c r="AG613" s="74" t="str">
        <f t="shared" si="376"/>
        <v>#REF!</v>
      </c>
      <c r="AH613" s="73">
        <f t="shared" si="377"/>
        <v>0</v>
      </c>
      <c r="AI613" s="73">
        <f t="shared" si="378"/>
        <v>0.8386048453</v>
      </c>
      <c r="AJ613" s="75">
        <f t="shared" si="379"/>
        <v>1</v>
      </c>
      <c r="AK613" s="73">
        <f t="shared" si="380"/>
        <v>0.3425009812</v>
      </c>
      <c r="AL613" s="73">
        <f t="shared" si="381"/>
        <v>97.25501881</v>
      </c>
      <c r="AM613" s="73">
        <f t="shared" si="382"/>
        <v>1.926089075</v>
      </c>
      <c r="AN613" s="75">
        <v>12801.74</v>
      </c>
      <c r="AO613" s="76">
        <v>13000.0</v>
      </c>
      <c r="AP613" s="73">
        <f t="shared" si="383"/>
        <v>13000</v>
      </c>
      <c r="AQ613" s="29" t="str">
        <f t="shared" si="384"/>
        <v>#REF!</v>
      </c>
      <c r="AR613" s="77" t="str">
        <f t="shared" si="385"/>
        <v>#REF!</v>
      </c>
      <c r="AS613" s="73"/>
      <c r="AT613" s="39"/>
    </row>
    <row r="614" ht="15.75" customHeight="1">
      <c r="A614" s="16" t="s">
        <v>207</v>
      </c>
      <c r="B614" s="16" t="s">
        <v>207</v>
      </c>
      <c r="C614" s="16"/>
      <c r="D614" s="16" t="b">
        <v>1</v>
      </c>
      <c r="E614" s="18">
        <v>2026.0</v>
      </c>
      <c r="F614" s="16" t="b">
        <v>1</v>
      </c>
      <c r="G614" s="16" t="b">
        <v>0</v>
      </c>
      <c r="H614" s="16" t="b">
        <v>1</v>
      </c>
      <c r="I614" s="16" t="b">
        <v>0</v>
      </c>
      <c r="J614" s="18">
        <v>360.0</v>
      </c>
      <c r="K614" s="18">
        <v>2.0</v>
      </c>
      <c r="L614" s="16">
        <v>769.0</v>
      </c>
      <c r="M614" s="16">
        <v>0.0</v>
      </c>
      <c r="N614" s="16">
        <v>12080.0</v>
      </c>
      <c r="O614" s="16">
        <v>29.3</v>
      </c>
      <c r="P614" s="18">
        <v>369.0</v>
      </c>
      <c r="Q614" s="16">
        <v>768.0</v>
      </c>
      <c r="R614" s="16">
        <v>1.415</v>
      </c>
      <c r="S614" s="16">
        <v>1.0</v>
      </c>
      <c r="T614" s="16">
        <v>1.0</v>
      </c>
      <c r="U614" s="19">
        <f t="shared" si="1"/>
        <v>769</v>
      </c>
      <c r="V614" s="19">
        <f t="shared" si="2"/>
        <v>0.2473318291</v>
      </c>
      <c r="W614" s="20">
        <f t="shared" si="3"/>
        <v>110.5916853</v>
      </c>
      <c r="X614" s="17">
        <f t="shared" si="386"/>
        <v>3240.33638</v>
      </c>
      <c r="Y614" s="21">
        <f t="shared" si="4"/>
        <v>4</v>
      </c>
      <c r="Z614" s="21">
        <f t="shared" si="5"/>
        <v>16201.6819</v>
      </c>
      <c r="AA614" s="21">
        <f t="shared" si="6"/>
        <v>552.9584266</v>
      </c>
      <c r="AB614" s="22">
        <f t="shared" si="7"/>
        <v>4.213701404</v>
      </c>
      <c r="AC614" s="8">
        <f t="shared" si="372"/>
        <v>3305.143107</v>
      </c>
      <c r="AD614" s="13">
        <f t="shared" si="373"/>
        <v>4.297975432</v>
      </c>
      <c r="AE614" s="8">
        <f t="shared" si="374"/>
        <v>3522.210743</v>
      </c>
      <c r="AF614" s="73">
        <f t="shared" si="375"/>
        <v>9.733355898</v>
      </c>
      <c r="AG614" s="74" t="str">
        <f t="shared" si="376"/>
        <v>#REF!</v>
      </c>
      <c r="AH614" s="73">
        <f t="shared" si="377"/>
        <v>0</v>
      </c>
      <c r="AI614" s="73">
        <f t="shared" si="378"/>
        <v>0.1941741551</v>
      </c>
      <c r="AJ614" s="75">
        <f t="shared" si="379"/>
        <v>1</v>
      </c>
      <c r="AK614" s="73">
        <f t="shared" si="380"/>
        <v>0.2</v>
      </c>
      <c r="AL614" s="73">
        <f t="shared" si="381"/>
        <v>40.24611115</v>
      </c>
      <c r="AM614" s="73">
        <f t="shared" si="382"/>
        <v>1.373683712</v>
      </c>
      <c r="AN614" s="75">
        <v>528.69</v>
      </c>
      <c r="AO614" s="76">
        <v>530.0</v>
      </c>
      <c r="AP614" s="73">
        <f t="shared" si="383"/>
        <v>530</v>
      </c>
      <c r="AQ614" s="29" t="str">
        <f t="shared" si="384"/>
        <v>#REF!</v>
      </c>
      <c r="AR614" s="77" t="str">
        <f t="shared" si="385"/>
        <v>#REF!</v>
      </c>
      <c r="AS614" s="73"/>
      <c r="AT614" s="39"/>
    </row>
    <row r="615" ht="15.75" customHeight="1">
      <c r="A615" s="7" t="s">
        <v>208</v>
      </c>
      <c r="B615" s="7" t="s">
        <v>208</v>
      </c>
      <c r="C615" s="7"/>
      <c r="D615" s="7" t="b">
        <v>1</v>
      </c>
      <c r="E615" s="18">
        <v>2026.0</v>
      </c>
      <c r="F615" s="7" t="b">
        <v>1</v>
      </c>
      <c r="G615" s="7" t="b">
        <v>0</v>
      </c>
      <c r="H615" s="7" t="b">
        <v>1</v>
      </c>
      <c r="I615" s="7" t="b">
        <v>0</v>
      </c>
      <c r="J615" s="9">
        <v>750.0</v>
      </c>
      <c r="K615" s="9">
        <v>4.0</v>
      </c>
      <c r="L615" s="7">
        <v>1646.0</v>
      </c>
      <c r="M615" s="7">
        <v>0.0</v>
      </c>
      <c r="N615" s="7">
        <v>14890.0</v>
      </c>
      <c r="O615" s="7">
        <v>220.0</v>
      </c>
      <c r="P615" s="9">
        <v>431.0</v>
      </c>
      <c r="Q615" s="7">
        <v>830.0</v>
      </c>
      <c r="R615" s="7">
        <v>3.61</v>
      </c>
      <c r="S615" s="7">
        <v>1.0</v>
      </c>
      <c r="T615" s="7">
        <v>1.0</v>
      </c>
      <c r="U615" s="10">
        <f t="shared" si="1"/>
        <v>1646</v>
      </c>
      <c r="V615" s="10">
        <f t="shared" si="2"/>
        <v>1.506632412</v>
      </c>
      <c r="W615" s="11">
        <f t="shared" si="3"/>
        <v>34.46580014</v>
      </c>
      <c r="X615" s="8">
        <f t="shared" si="386"/>
        <v>7582.476031</v>
      </c>
      <c r="Y615" s="12">
        <f t="shared" si="4"/>
        <v>4</v>
      </c>
      <c r="Z615" s="12">
        <f t="shared" si="5"/>
        <v>37912.38016</v>
      </c>
      <c r="AA615" s="12">
        <f t="shared" si="6"/>
        <v>172.3290007</v>
      </c>
      <c r="AB615" s="13">
        <f t="shared" si="7"/>
        <v>4.606607552</v>
      </c>
      <c r="AC615" s="8">
        <f t="shared" si="372"/>
        <v>7734.125552</v>
      </c>
      <c r="AD615" s="13">
        <f t="shared" si="373"/>
        <v>4.698739703</v>
      </c>
      <c r="AE615" s="8">
        <f t="shared" si="374"/>
        <v>4303.286301</v>
      </c>
      <c r="AF615" s="73">
        <f t="shared" si="375"/>
        <v>38.31453024</v>
      </c>
      <c r="AG615" s="74" t="str">
        <f t="shared" si="376"/>
        <v>#REF!</v>
      </c>
      <c r="AH615" s="73">
        <f t="shared" si="377"/>
        <v>0</v>
      </c>
      <c r="AI615" s="73">
        <f t="shared" si="378"/>
        <v>0.3632125751</v>
      </c>
      <c r="AJ615" s="75">
        <f t="shared" si="379"/>
        <v>1</v>
      </c>
      <c r="AK615" s="73">
        <f t="shared" si="380"/>
        <v>0.2</v>
      </c>
      <c r="AL615" s="73">
        <f t="shared" si="381"/>
        <v>48.94500016</v>
      </c>
      <c r="AM615" s="73">
        <f t="shared" si="382"/>
        <v>1.586729921</v>
      </c>
      <c r="AN615" s="75">
        <v>3277.94</v>
      </c>
      <c r="AO615" s="76">
        <v>3300.0</v>
      </c>
      <c r="AP615" s="73">
        <f t="shared" si="383"/>
        <v>3300</v>
      </c>
      <c r="AQ615" s="29" t="str">
        <f t="shared" si="384"/>
        <v>#REF!</v>
      </c>
      <c r="AR615" s="77" t="str">
        <f t="shared" si="385"/>
        <v>#REF!</v>
      </c>
      <c r="AS615" s="73"/>
      <c r="AT615" s="39"/>
    </row>
    <row r="616" ht="15.75" customHeight="1">
      <c r="A616" s="16" t="s">
        <v>209</v>
      </c>
      <c r="B616" s="16" t="s">
        <v>210</v>
      </c>
      <c r="C616" s="16"/>
      <c r="D616" s="16"/>
      <c r="E616" s="18">
        <v>2026.0</v>
      </c>
      <c r="F616" s="16" t="b">
        <v>1</v>
      </c>
      <c r="G616" s="16" t="b">
        <v>0</v>
      </c>
      <c r="H616" s="16" t="b">
        <v>0</v>
      </c>
      <c r="I616" s="16" t="b">
        <v>0</v>
      </c>
      <c r="J616" s="18">
        <v>2600.0</v>
      </c>
      <c r="K616" s="18">
        <v>100.0</v>
      </c>
      <c r="L616" s="16"/>
      <c r="M616" s="16"/>
      <c r="N616" s="16">
        <v>52.0</v>
      </c>
      <c r="O616" s="16">
        <v>4.38</v>
      </c>
      <c r="P616" s="18">
        <v>125.0</v>
      </c>
      <c r="Q616" s="16">
        <v>317.0</v>
      </c>
      <c r="R616" s="16">
        <v>3.92</v>
      </c>
      <c r="S616" s="16">
        <v>0.99966</v>
      </c>
      <c r="T616" s="16">
        <v>0.99966</v>
      </c>
      <c r="U616" s="19">
        <f t="shared" si="1"/>
        <v>0</v>
      </c>
      <c r="V616" s="19">
        <f t="shared" si="2"/>
        <v>8.589148077</v>
      </c>
      <c r="W616" s="20">
        <f t="shared" si="3"/>
        <v>17.50874548</v>
      </c>
      <c r="X616" s="17">
        <f>0.2*(8.17*POWER(N616*R616,0.46))+0.8*(0.146*POWER(N616*Q616,0.639))</f>
        <v>76.6883052</v>
      </c>
      <c r="Y616" s="21">
        <f t="shared" si="4"/>
        <v>4</v>
      </c>
      <c r="Z616" s="21">
        <f t="shared" si="5"/>
        <v>383.441526</v>
      </c>
      <c r="AA616" s="21">
        <f t="shared" si="6"/>
        <v>87.54372739</v>
      </c>
      <c r="AB616" s="22" t="str">
        <f t="shared" si="7"/>
        <v>#N/A</v>
      </c>
      <c r="AC616" s="8">
        <f t="shared" si="372"/>
        <v>78.16993212</v>
      </c>
      <c r="AD616" s="13" t="str">
        <f t="shared" si="373"/>
        <v>#N/A</v>
      </c>
      <c r="AE616" s="8">
        <f t="shared" si="374"/>
        <v>78.16993212</v>
      </c>
      <c r="AF616" s="73">
        <f t="shared" si="375"/>
        <v>3.515594603</v>
      </c>
      <c r="AG616" s="74" t="str">
        <f t="shared" si="376"/>
        <v>#REF!</v>
      </c>
      <c r="AH616" s="73">
        <f t="shared" si="377"/>
        <v>0</v>
      </c>
      <c r="AI616" s="73">
        <f t="shared" si="378"/>
        <v>0.9028392442</v>
      </c>
      <c r="AJ616" s="75">
        <f t="shared" si="379"/>
        <v>1</v>
      </c>
      <c r="AK616" s="73">
        <f t="shared" si="380"/>
        <v>0.3276649981</v>
      </c>
      <c r="AL616" s="73">
        <f t="shared" si="381"/>
        <v>1.18605089</v>
      </c>
      <c r="AM616" s="73">
        <f t="shared" si="382"/>
        <v>1.866587891</v>
      </c>
      <c r="AN616" s="75">
        <v>12.02</v>
      </c>
      <c r="AO616" s="76">
        <v>12.0</v>
      </c>
      <c r="AP616" s="73">
        <f t="shared" si="383"/>
        <v>12</v>
      </c>
      <c r="AQ616" s="29" t="str">
        <f t="shared" si="384"/>
        <v>#REF!</v>
      </c>
      <c r="AR616" s="77" t="str">
        <f t="shared" si="385"/>
        <v>#REF!</v>
      </c>
      <c r="AS616" s="73"/>
      <c r="AT616" s="39"/>
    </row>
    <row r="617" ht="15.75" hidden="1" customHeight="1">
      <c r="A617" s="16" t="s">
        <v>909</v>
      </c>
      <c r="B617" s="16" t="s">
        <v>909</v>
      </c>
      <c r="C617" s="16">
        <v>1965.0</v>
      </c>
      <c r="D617" s="16"/>
      <c r="E617" s="16">
        <v>1965.0</v>
      </c>
      <c r="F617" s="16" t="b">
        <v>0</v>
      </c>
      <c r="G617" s="16" t="b">
        <v>1</v>
      </c>
      <c r="H617" s="16" t="b">
        <v>0</v>
      </c>
      <c r="I617" s="16" t="b">
        <v>0</v>
      </c>
      <c r="J617" s="16"/>
      <c r="K617" s="16"/>
      <c r="L617" s="16">
        <v>1692.0</v>
      </c>
      <c r="M617" s="16">
        <v>0.0</v>
      </c>
      <c r="N617" s="16">
        <v>27839.0</v>
      </c>
      <c r="O617" s="16">
        <v>4151.3</v>
      </c>
      <c r="P617" s="16"/>
      <c r="Q617" s="16">
        <v>266.0</v>
      </c>
      <c r="R617" s="16">
        <v>5.5</v>
      </c>
      <c r="S617" s="16"/>
      <c r="T617" s="16"/>
      <c r="U617" s="19">
        <f t="shared" si="1"/>
        <v>1692</v>
      </c>
      <c r="V617" s="19">
        <f t="shared" si="2"/>
        <v>15.20581882</v>
      </c>
      <c r="W617" s="20">
        <f t="shared" si="3"/>
        <v>0.7856056393</v>
      </c>
      <c r="X617" s="17">
        <f t="shared" ref="X617:X621" si="387">0.2*(8.17*POW(N617*R617,0.46))+0.8*(0.146*POW(N617*Q617,0.639))</f>
        <v>3261.284691</v>
      </c>
      <c r="Y617" s="21">
        <f t="shared" si="4"/>
        <v>1.05</v>
      </c>
      <c r="Z617" s="21">
        <f t="shared" si="5"/>
        <v>6685.633616</v>
      </c>
      <c r="AA617" s="21">
        <f t="shared" si="6"/>
        <v>1.610491561</v>
      </c>
      <c r="AB617" s="22">
        <f t="shared" si="7"/>
        <v>1.927473221</v>
      </c>
      <c r="AC617" s="17">
        <f t="shared" ref="AC617:AC621" si="388">IF(I617,X617*1.5,X617)*IF(S617*T617&gt;0,(S617*T617+0.02),1)</f>
        <v>3261.284691</v>
      </c>
      <c r="AG617" s="16"/>
    </row>
    <row r="618" ht="15.75" hidden="1" customHeight="1">
      <c r="A618" s="7" t="s">
        <v>910</v>
      </c>
      <c r="B618" s="7" t="s">
        <v>910</v>
      </c>
      <c r="C618" s="7">
        <v>1965.0</v>
      </c>
      <c r="D618" s="7"/>
      <c r="E618" s="7">
        <v>1965.0</v>
      </c>
      <c r="F618" s="7" t="b">
        <v>0</v>
      </c>
      <c r="G618" s="7" t="b">
        <v>1</v>
      </c>
      <c r="H618" s="7" t="b">
        <v>0</v>
      </c>
      <c r="I618" s="7" t="b">
        <v>0</v>
      </c>
      <c r="J618" s="7"/>
      <c r="K618" s="7"/>
      <c r="L618" s="7">
        <v>1866.0</v>
      </c>
      <c r="M618" s="7">
        <v>0.0</v>
      </c>
      <c r="N618" s="7">
        <v>33798.0</v>
      </c>
      <c r="O618" s="7">
        <v>5338.0</v>
      </c>
      <c r="P618" s="7"/>
      <c r="Q618" s="7">
        <v>266.0</v>
      </c>
      <c r="R618" s="7">
        <v>5.5</v>
      </c>
      <c r="S618" s="7"/>
      <c r="T618" s="7"/>
      <c r="U618" s="10">
        <f t="shared" si="1"/>
        <v>1866</v>
      </c>
      <c r="V618" s="10">
        <f t="shared" si="2"/>
        <v>16.1052285</v>
      </c>
      <c r="W618" s="11">
        <f t="shared" si="3"/>
        <v>0.6887027831</v>
      </c>
      <c r="X618" s="8">
        <f t="shared" si="387"/>
        <v>3676.295456</v>
      </c>
      <c r="Y618" s="12">
        <f t="shared" si="4"/>
        <v>1.05</v>
      </c>
      <c r="Z618" s="12">
        <f t="shared" si="5"/>
        <v>7536.405685</v>
      </c>
      <c r="AA618" s="12">
        <f t="shared" si="6"/>
        <v>1.411840705</v>
      </c>
      <c r="AB618" s="13">
        <f t="shared" si="7"/>
        <v>1.970147619</v>
      </c>
      <c r="AC618" s="8">
        <f t="shared" si="388"/>
        <v>3676.295456</v>
      </c>
      <c r="AG618" s="7"/>
    </row>
    <row r="619" ht="15.75" hidden="1" customHeight="1">
      <c r="A619" s="16" t="s">
        <v>921</v>
      </c>
      <c r="B619" s="16" t="s">
        <v>921</v>
      </c>
      <c r="C619" s="16">
        <v>1967.0</v>
      </c>
      <c r="D619" s="16"/>
      <c r="E619" s="16">
        <v>1967.0</v>
      </c>
      <c r="F619" s="16" t="b">
        <v>0</v>
      </c>
      <c r="G619" s="16" t="b">
        <v>1</v>
      </c>
      <c r="H619" s="16" t="b">
        <v>0</v>
      </c>
      <c r="I619" s="16" t="b">
        <v>0</v>
      </c>
      <c r="J619" s="16"/>
      <c r="K619" s="16"/>
      <c r="L619" s="16">
        <v>2004.0</v>
      </c>
      <c r="M619" s="16">
        <v>0.0</v>
      </c>
      <c r="N619" s="16">
        <v>39757.0</v>
      </c>
      <c r="O619" s="16">
        <v>6227.0</v>
      </c>
      <c r="P619" s="16"/>
      <c r="Q619" s="16">
        <v>265.0</v>
      </c>
      <c r="R619" s="16">
        <v>5.5</v>
      </c>
      <c r="S619" s="16"/>
      <c r="T619" s="16"/>
      <c r="U619" s="19">
        <f t="shared" si="1"/>
        <v>2004</v>
      </c>
      <c r="V619" s="19">
        <f t="shared" si="2"/>
        <v>15.97145871</v>
      </c>
      <c r="W619" s="20">
        <f t="shared" si="3"/>
        <v>0.6513291583</v>
      </c>
      <c r="X619" s="17">
        <f t="shared" si="387"/>
        <v>4055.826669</v>
      </c>
      <c r="Y619" s="21">
        <f t="shared" si="4"/>
        <v>1.05</v>
      </c>
      <c r="Z619" s="21">
        <f t="shared" si="5"/>
        <v>8314.444671</v>
      </c>
      <c r="AA619" s="21">
        <f t="shared" si="6"/>
        <v>1.335224775</v>
      </c>
      <c r="AB619" s="22">
        <f t="shared" si="7"/>
        <v>2.023865603</v>
      </c>
      <c r="AC619" s="17">
        <f t="shared" si="388"/>
        <v>4055.826669</v>
      </c>
      <c r="AG619" s="16"/>
    </row>
    <row r="620" ht="15.75" hidden="1" customHeight="1">
      <c r="A620" s="7" t="s">
        <v>929</v>
      </c>
      <c r="B620" s="7" t="s">
        <v>929</v>
      </c>
      <c r="C620" s="7">
        <v>1970.0</v>
      </c>
      <c r="D620" s="7"/>
      <c r="E620" s="7">
        <v>1970.0</v>
      </c>
      <c r="F620" s="7" t="b">
        <v>0</v>
      </c>
      <c r="G620" s="7" t="b">
        <v>1</v>
      </c>
      <c r="H620" s="7" t="b">
        <v>0</v>
      </c>
      <c r="I620" s="7" t="b">
        <v>0</v>
      </c>
      <c r="J620" s="7"/>
      <c r="K620" s="7"/>
      <c r="L620" s="7">
        <v>2178.0</v>
      </c>
      <c r="M620" s="7">
        <v>0.0</v>
      </c>
      <c r="N620" s="7">
        <v>40782.0</v>
      </c>
      <c r="O620" s="7">
        <v>7450.0</v>
      </c>
      <c r="P620" s="7"/>
      <c r="Q620" s="7">
        <v>269.5</v>
      </c>
      <c r="R620" s="7">
        <v>5.5</v>
      </c>
      <c r="S620" s="7"/>
      <c r="T620" s="7"/>
      <c r="U620" s="10">
        <f t="shared" si="1"/>
        <v>2178</v>
      </c>
      <c r="V620" s="10">
        <f t="shared" si="2"/>
        <v>18.6280363</v>
      </c>
      <c r="W620" s="11">
        <f t="shared" si="3"/>
        <v>0.5583403342</v>
      </c>
      <c r="X620" s="8">
        <f t="shared" si="387"/>
        <v>4159.63549</v>
      </c>
      <c r="Y620" s="12">
        <f t="shared" si="4"/>
        <v>1.05</v>
      </c>
      <c r="Z620" s="12">
        <f t="shared" si="5"/>
        <v>8527.252754</v>
      </c>
      <c r="AA620" s="12">
        <f t="shared" si="6"/>
        <v>1.144597685</v>
      </c>
      <c r="AB620" s="13">
        <f t="shared" si="7"/>
        <v>1.909841823</v>
      </c>
      <c r="AC620" s="8">
        <f t="shared" si="388"/>
        <v>4159.63549</v>
      </c>
      <c r="AG620" s="7"/>
    </row>
    <row r="621" ht="15.75" hidden="1" customHeight="1">
      <c r="A621" s="16" t="s">
        <v>954</v>
      </c>
      <c r="B621" s="16" t="s">
        <v>954</v>
      </c>
      <c r="C621" s="16">
        <v>1989.0</v>
      </c>
      <c r="D621" s="16"/>
      <c r="E621" s="16">
        <v>1989.0</v>
      </c>
      <c r="F621" s="16" t="b">
        <v>0</v>
      </c>
      <c r="G621" s="16" t="b">
        <v>1</v>
      </c>
      <c r="H621" s="16" t="b">
        <v>0</v>
      </c>
      <c r="I621" s="16" t="b">
        <v>0</v>
      </c>
      <c r="J621" s="16"/>
      <c r="K621" s="16"/>
      <c r="L621" s="16">
        <v>2472.0</v>
      </c>
      <c r="M621" s="16">
        <v>0.0</v>
      </c>
      <c r="N621" s="16">
        <v>44734.74</v>
      </c>
      <c r="O621" s="16">
        <v>8487.0</v>
      </c>
      <c r="P621" s="16"/>
      <c r="Q621" s="16">
        <v>269.5</v>
      </c>
      <c r="R621" s="16">
        <v>5.5</v>
      </c>
      <c r="S621" s="16"/>
      <c r="T621" s="16"/>
      <c r="U621" s="19">
        <f t="shared" si="1"/>
        <v>2472</v>
      </c>
      <c r="V621" s="19">
        <f t="shared" si="2"/>
        <v>19.34588527</v>
      </c>
      <c r="W621" s="20">
        <f t="shared" si="3"/>
        <v>0.518994102</v>
      </c>
      <c r="X621" s="17">
        <f t="shared" si="387"/>
        <v>4404.702944</v>
      </c>
      <c r="Y621" s="21">
        <f t="shared" si="4"/>
        <v>1.05</v>
      </c>
      <c r="Z621" s="21">
        <f t="shared" si="5"/>
        <v>9029.641035</v>
      </c>
      <c r="AA621" s="21">
        <f t="shared" si="6"/>
        <v>1.063937909</v>
      </c>
      <c r="AB621" s="22">
        <f t="shared" si="7"/>
        <v>1.78183776</v>
      </c>
      <c r="AC621" s="17">
        <f t="shared" si="388"/>
        <v>4404.702944</v>
      </c>
      <c r="AG621" s="16"/>
    </row>
    <row r="622" ht="15.75" customHeight="1">
      <c r="A622" s="7" t="s">
        <v>211</v>
      </c>
      <c r="B622" s="7" t="s">
        <v>212</v>
      </c>
      <c r="C622" s="7"/>
      <c r="D622" s="7"/>
      <c r="E622" s="18">
        <v>2026.0</v>
      </c>
      <c r="F622" s="7" t="b">
        <v>1</v>
      </c>
      <c r="G622" s="7" t="b">
        <v>0</v>
      </c>
      <c r="H622" s="7" t="b">
        <v>0</v>
      </c>
      <c r="I622" s="7" t="b">
        <v>0</v>
      </c>
      <c r="J622" s="9">
        <v>53.0</v>
      </c>
      <c r="K622" s="7">
        <v>1.0</v>
      </c>
      <c r="L622" s="7"/>
      <c r="M622" s="7"/>
      <c r="N622" s="7">
        <v>42.0</v>
      </c>
      <c r="O622" s="7">
        <v>18.81</v>
      </c>
      <c r="P622" s="9">
        <v>215.0</v>
      </c>
      <c r="Q622" s="7">
        <v>313.0</v>
      </c>
      <c r="R622" s="7">
        <v>9.22</v>
      </c>
      <c r="S622" s="7">
        <v>0.996512</v>
      </c>
      <c r="T622" s="7">
        <v>0.991176</v>
      </c>
      <c r="U622" s="10">
        <f t="shared" si="1"/>
        <v>0</v>
      </c>
      <c r="V622" s="10">
        <f t="shared" si="2"/>
        <v>45.66871883</v>
      </c>
      <c r="W622" s="11">
        <f t="shared" si="3"/>
        <v>4.007395744</v>
      </c>
      <c r="X622" s="8">
        <f t="shared" ref="X622:X626" si="389">0.2*(8.17*POWER(N622*R622,0.46))+0.8*(0.146*POWER(N622*Q622,0.639))</f>
        <v>75.37911394</v>
      </c>
      <c r="Y622" s="12">
        <f t="shared" si="4"/>
        <v>4</v>
      </c>
      <c r="Z622" s="12">
        <f t="shared" si="5"/>
        <v>376.8955697</v>
      </c>
      <c r="AA622" s="12">
        <f t="shared" si="6"/>
        <v>20.03697872</v>
      </c>
      <c r="AB622" s="13" t="str">
        <f t="shared" si="7"/>
        <v>#N/A</v>
      </c>
      <c r="AC622" s="8">
        <f t="shared" ref="AC622:AC644" si="390">X622*IF(I622,1.5,1)*IF(S622*T622&gt;0,(S622*T622+0.02),1)</f>
        <v>75.96094859</v>
      </c>
      <c r="AD622" s="13" t="str">
        <f t="shared" ref="AD622:AD644" si="391">IFERROR(AC622/U622,#N/A)</f>
        <v>#N/A</v>
      </c>
      <c r="AE622" s="8">
        <f t="shared" ref="AE622:AE644" si="392">IF(I622,1.5,1)*IF(S622*T622&gt;0,(S622*T622+0.02),1)*(0.2*(8.17*POWER(N622*R622,0.46))+0.8*(0.146*POWER(N622*Q622,0.639)))</f>
        <v>75.96094859</v>
      </c>
      <c r="AF622" s="73">
        <f t="shared" ref="AF622:AF644" si="393">If(F622,$AT$2*O622*(1-log(O622)*0.04+1/(O622/80)^0.6),$AT$3*O622*(1+1/(O622/12)^0.9-log(O622)*0.03))</f>
        <v>7.522243045</v>
      </c>
      <c r="AG622" s="74" t="str">
        <f t="shared" ref="AG622:AG644" si="394">If(F622,VLOOKUP(E622,#REF!,2),VLOOKUP(E622,#REF!,3))</f>
        <v>#REF!</v>
      </c>
      <c r="AH622" s="73">
        <f t="shared" ref="AH622:AH644" si="395">If(I622,2,0)</f>
        <v>0</v>
      </c>
      <c r="AI622" s="73">
        <f t="shared" ref="AI622:AI644" si="396">1.5-1.5/K622^0.2</f>
        <v>0</v>
      </c>
      <c r="AJ622" s="75">
        <f t="shared" ref="AJ622:AJ644" si="397">If(P622/Q622 &gt; 0.66,1+2.8*(P622/Q622-0.66)^1.5,1)</f>
        <v>1.012354059</v>
      </c>
      <c r="AK622" s="73">
        <f t="shared" ref="AK622:AK644" si="398">Max(0.8,Pow(V622/5,0.5))/4</f>
        <v>0.7555521064</v>
      </c>
      <c r="AL622" s="73">
        <f t="shared" ref="AL622:AL644" si="399">IF(Q622&gt;300,IF(Q622&gt;460.39,7.5*8.5^((Q622/460.4-1)^0.6),6.5^((Q622/150-2)^1.1)),2.8^(Q622/150-2))</f>
        <v>1.135448076</v>
      </c>
      <c r="AM622" s="73">
        <f t="shared" ref="AM622:AM644" si="400">If(ISBLANK(J622),1,2.6*(1-1/((J622*0.05)^0.26)))</f>
        <v>0.5819616239</v>
      </c>
      <c r="AN622" s="75">
        <v>4.56</v>
      </c>
      <c r="AO622" s="76">
        <v>4.6</v>
      </c>
      <c r="AP622" s="73">
        <f t="shared" ref="AP622:AP644" si="401">If(MOD(Log10(AO622),1)&gt;0.2,ROUND(AO622,1-INT(LOG10(AO622))), ROUND(2*AO622,1-INT(LOG10(2*AO622)))/2)</f>
        <v>4.6</v>
      </c>
      <c r="AQ622" s="29" t="str">
        <f t="shared" ref="AQ622:AQ644" si="402">VLOOKUP(A622,#REF!,27,FALSE)</f>
        <v>#REF!</v>
      </c>
      <c r="AR622" s="77" t="str">
        <f t="shared" ref="AR622:AR644" si="403">AP622/AQ622-1</f>
        <v>#REF!</v>
      </c>
      <c r="AS622" s="73"/>
      <c r="AT622" s="39"/>
    </row>
    <row r="623" ht="15.75" customHeight="1">
      <c r="A623" s="7" t="s">
        <v>218</v>
      </c>
      <c r="B623" s="7" t="s">
        <v>219</v>
      </c>
      <c r="C623" s="7"/>
      <c r="D623" s="7"/>
      <c r="E623" s="18">
        <v>2026.0</v>
      </c>
      <c r="F623" s="7" t="b">
        <v>1</v>
      </c>
      <c r="G623" s="7" t="b">
        <v>0</v>
      </c>
      <c r="H623" s="7" t="b">
        <v>0</v>
      </c>
      <c r="I623" s="7" t="b">
        <v>1</v>
      </c>
      <c r="J623" s="9">
        <v>650.0</v>
      </c>
      <c r="K623" s="9">
        <v>11.0</v>
      </c>
      <c r="L623" s="7"/>
      <c r="M623" s="7"/>
      <c r="N623" s="7">
        <v>40.0</v>
      </c>
      <c r="O623" s="7">
        <v>16.37</v>
      </c>
      <c r="P623" s="9">
        <v>215.0</v>
      </c>
      <c r="Q623" s="7">
        <v>314.0</v>
      </c>
      <c r="R623" s="7">
        <v>8.3</v>
      </c>
      <c r="S623" s="7">
        <v>0.996521</v>
      </c>
      <c r="T623" s="7">
        <v>0.998177</v>
      </c>
      <c r="U623" s="10">
        <f t="shared" si="1"/>
        <v>0</v>
      </c>
      <c r="V623" s="10">
        <f t="shared" si="2"/>
        <v>41.73188589</v>
      </c>
      <c r="W623" s="11">
        <f t="shared" si="3"/>
        <v>4.411134762</v>
      </c>
      <c r="X623" s="8">
        <f t="shared" si="389"/>
        <v>72.21027606</v>
      </c>
      <c r="Y623" s="12">
        <f t="shared" si="4"/>
        <v>4</v>
      </c>
      <c r="Z623" s="12">
        <f t="shared" si="5"/>
        <v>361.0513803</v>
      </c>
      <c r="AA623" s="12">
        <f t="shared" si="6"/>
        <v>22.05567381</v>
      </c>
      <c r="AB623" s="13" t="str">
        <f t="shared" si="7"/>
        <v>#N/A</v>
      </c>
      <c r="AC623" s="8">
        <f t="shared" si="390"/>
        <v>109.908121</v>
      </c>
      <c r="AD623" s="13" t="str">
        <f t="shared" si="391"/>
        <v>#N/A</v>
      </c>
      <c r="AE623" s="8">
        <f t="shared" si="392"/>
        <v>109.908121</v>
      </c>
      <c r="AF623" s="73">
        <f t="shared" si="393"/>
        <v>6.958265747</v>
      </c>
      <c r="AG623" s="74" t="str">
        <f t="shared" si="394"/>
        <v>#REF!</v>
      </c>
      <c r="AH623" s="73">
        <f t="shared" si="395"/>
        <v>2</v>
      </c>
      <c r="AI623" s="73">
        <f t="shared" si="396"/>
        <v>0.571434119</v>
      </c>
      <c r="AJ623" s="75">
        <f t="shared" si="397"/>
        <v>1.010878178</v>
      </c>
      <c r="AK623" s="73">
        <f t="shared" si="398"/>
        <v>0.7222524307</v>
      </c>
      <c r="AL623" s="73">
        <f t="shared" si="399"/>
        <v>1.14776462</v>
      </c>
      <c r="AM623" s="73">
        <f t="shared" si="400"/>
        <v>1.548319857</v>
      </c>
      <c r="AN623" s="75">
        <v>31.21</v>
      </c>
      <c r="AO623" s="76">
        <v>31.0</v>
      </c>
      <c r="AP623" s="73">
        <f t="shared" si="401"/>
        <v>31</v>
      </c>
      <c r="AQ623" s="29" t="str">
        <f t="shared" si="402"/>
        <v>#REF!</v>
      </c>
      <c r="AR623" s="77" t="str">
        <f t="shared" si="403"/>
        <v>#REF!</v>
      </c>
      <c r="AS623" s="73"/>
      <c r="AT623" s="39"/>
    </row>
    <row r="624" ht="15.75" customHeight="1">
      <c r="A624" s="16" t="s">
        <v>226</v>
      </c>
      <c r="B624" s="16" t="s">
        <v>227</v>
      </c>
      <c r="C624" s="16"/>
      <c r="D624" s="16"/>
      <c r="E624" s="18">
        <v>2026.0</v>
      </c>
      <c r="F624" s="16" t="b">
        <v>1</v>
      </c>
      <c r="G624" s="16" t="b">
        <v>0</v>
      </c>
      <c r="H624" s="16" t="b">
        <v>0</v>
      </c>
      <c r="I624" s="16" t="b">
        <v>0</v>
      </c>
      <c r="J624" s="18">
        <v>43.0</v>
      </c>
      <c r="K624" s="18">
        <v>2.0</v>
      </c>
      <c r="L624" s="16">
        <v>100.0</v>
      </c>
      <c r="M624" s="16"/>
      <c r="N624" s="16">
        <v>48.0</v>
      </c>
      <c r="O624" s="16">
        <v>45.77</v>
      </c>
      <c r="P624" s="18">
        <v>117.0</v>
      </c>
      <c r="Q624" s="16">
        <v>287.0</v>
      </c>
      <c r="R624" s="16">
        <v>5.47</v>
      </c>
      <c r="S624" s="16">
        <v>0.981579</v>
      </c>
      <c r="T624" s="16">
        <v>0.980556</v>
      </c>
      <c r="U624" s="19">
        <f t="shared" si="1"/>
        <v>100</v>
      </c>
      <c r="V624" s="19">
        <f t="shared" si="2"/>
        <v>97.23418944</v>
      </c>
      <c r="W624" s="20">
        <f t="shared" si="3"/>
        <v>1.589509916</v>
      </c>
      <c r="X624" s="17">
        <f t="shared" si="389"/>
        <v>72.75186886</v>
      </c>
      <c r="Y624" s="21">
        <f t="shared" si="4"/>
        <v>4</v>
      </c>
      <c r="Z624" s="21">
        <f t="shared" si="5"/>
        <v>363.7593443</v>
      </c>
      <c r="AA624" s="21">
        <f t="shared" si="6"/>
        <v>7.947549581</v>
      </c>
      <c r="AB624" s="22">
        <f t="shared" si="7"/>
        <v>0.7275186886</v>
      </c>
      <c r="AC624" s="8">
        <f t="shared" si="390"/>
        <v>71.47821484</v>
      </c>
      <c r="AD624" s="13">
        <f t="shared" si="391"/>
        <v>0.7147821484</v>
      </c>
      <c r="AE624" s="8">
        <f t="shared" si="392"/>
        <v>71.47821484</v>
      </c>
      <c r="AF624" s="73">
        <f t="shared" si="393"/>
        <v>12.80592169</v>
      </c>
      <c r="AG624" s="74" t="str">
        <f t="shared" si="394"/>
        <v>#REF!</v>
      </c>
      <c r="AH624" s="73">
        <f t="shared" si="395"/>
        <v>0</v>
      </c>
      <c r="AI624" s="73">
        <f t="shared" si="396"/>
        <v>0.1941741551</v>
      </c>
      <c r="AJ624" s="75">
        <f t="shared" si="397"/>
        <v>1</v>
      </c>
      <c r="AK624" s="73">
        <f t="shared" si="398"/>
        <v>1.102464225</v>
      </c>
      <c r="AL624" s="73">
        <f t="shared" si="399"/>
        <v>0.9146318149</v>
      </c>
      <c r="AM624" s="73">
        <f t="shared" si="400"/>
        <v>0.4692163858</v>
      </c>
      <c r="AN624" s="75">
        <v>5.08</v>
      </c>
      <c r="AO624" s="76">
        <v>5.1</v>
      </c>
      <c r="AP624" s="73">
        <f t="shared" si="401"/>
        <v>5.1</v>
      </c>
      <c r="AQ624" s="29" t="str">
        <f t="shared" si="402"/>
        <v>#REF!</v>
      </c>
      <c r="AR624" s="77" t="str">
        <f t="shared" si="403"/>
        <v>#REF!</v>
      </c>
      <c r="AS624" s="73"/>
      <c r="AT624" s="39"/>
    </row>
    <row r="625" ht="15.75" customHeight="1">
      <c r="A625" s="16" t="s">
        <v>351</v>
      </c>
      <c r="B625" s="16" t="s">
        <v>351</v>
      </c>
      <c r="C625" s="16"/>
      <c r="D625" s="16"/>
      <c r="E625" s="18">
        <v>2026.0</v>
      </c>
      <c r="F625" s="16" t="b">
        <v>1</v>
      </c>
      <c r="G625" s="16" t="b">
        <v>0</v>
      </c>
      <c r="H625" s="16" t="b">
        <v>0</v>
      </c>
      <c r="I625" s="16" t="b">
        <v>0</v>
      </c>
      <c r="J625" s="18">
        <v>500.0</v>
      </c>
      <c r="K625" s="16">
        <v>1.0</v>
      </c>
      <c r="L625" s="16"/>
      <c r="M625" s="16"/>
      <c r="N625" s="16">
        <v>3370.0</v>
      </c>
      <c r="O625" s="16">
        <v>2429.0</v>
      </c>
      <c r="P625" s="18">
        <v>325.0</v>
      </c>
      <c r="Q625" s="16">
        <v>355.0</v>
      </c>
      <c r="R625" s="16">
        <v>22.27</v>
      </c>
      <c r="S625" s="16">
        <v>0.990984</v>
      </c>
      <c r="T625" s="16">
        <v>0.994262</v>
      </c>
      <c r="U625" s="19">
        <f t="shared" si="1"/>
        <v>0</v>
      </c>
      <c r="V625" s="19">
        <f t="shared" si="2"/>
        <v>73.49823959</v>
      </c>
      <c r="W625" s="20">
        <f t="shared" si="3"/>
        <v>0.4855525108</v>
      </c>
      <c r="X625" s="17">
        <f t="shared" si="389"/>
        <v>1179.407049</v>
      </c>
      <c r="Y625" s="21">
        <f t="shared" si="4"/>
        <v>4</v>
      </c>
      <c r="Z625" s="21">
        <f t="shared" si="5"/>
        <v>5897.035244</v>
      </c>
      <c r="AA625" s="21">
        <f t="shared" si="6"/>
        <v>2.427762554</v>
      </c>
      <c r="AB625" s="22" t="str">
        <f t="shared" si="7"/>
        <v>#N/A</v>
      </c>
      <c r="AC625" s="8">
        <f t="shared" si="390"/>
        <v>1185.655233</v>
      </c>
      <c r="AD625" s="13" t="str">
        <f t="shared" si="391"/>
        <v>#N/A</v>
      </c>
      <c r="AE625" s="8">
        <f t="shared" si="392"/>
        <v>1185.655233</v>
      </c>
      <c r="AF625" s="73">
        <f t="shared" si="393"/>
        <v>289.6102165</v>
      </c>
      <c r="AG625" s="74" t="str">
        <f t="shared" si="394"/>
        <v>#REF!</v>
      </c>
      <c r="AH625" s="73">
        <f t="shared" si="395"/>
        <v>0</v>
      </c>
      <c r="AI625" s="73">
        <f t="shared" si="396"/>
        <v>0</v>
      </c>
      <c r="AJ625" s="75">
        <f t="shared" si="397"/>
        <v>1.361598344</v>
      </c>
      <c r="AK625" s="73">
        <f t="shared" si="398"/>
        <v>0.9585029968</v>
      </c>
      <c r="AL625" s="73">
        <f t="shared" si="399"/>
        <v>1.860433898</v>
      </c>
      <c r="AM625" s="73">
        <f t="shared" si="400"/>
        <v>1.474076339</v>
      </c>
      <c r="AN625" s="75">
        <v>1060.36</v>
      </c>
      <c r="AO625" s="76">
        <v>1050.0</v>
      </c>
      <c r="AP625" s="73">
        <f t="shared" si="401"/>
        <v>1050</v>
      </c>
      <c r="AQ625" s="29" t="str">
        <f t="shared" si="402"/>
        <v>#REF!</v>
      </c>
      <c r="AR625" s="77" t="str">
        <f t="shared" si="403"/>
        <v>#REF!</v>
      </c>
      <c r="AS625" s="73"/>
      <c r="AT625" s="39"/>
    </row>
    <row r="626" ht="15.75" customHeight="1">
      <c r="A626" s="7" t="s">
        <v>352</v>
      </c>
      <c r="B626" s="7" t="s">
        <v>351</v>
      </c>
      <c r="C626" s="7"/>
      <c r="D626" s="7"/>
      <c r="E626" s="18">
        <v>2026.0</v>
      </c>
      <c r="F626" s="7" t="b">
        <v>1</v>
      </c>
      <c r="G626" s="7" t="b">
        <v>0</v>
      </c>
      <c r="H626" s="7" t="b">
        <v>0</v>
      </c>
      <c r="I626" s="7" t="b">
        <v>0</v>
      </c>
      <c r="J626" s="9">
        <v>500.0</v>
      </c>
      <c r="K626" s="7">
        <v>1.0</v>
      </c>
      <c r="L626" s="7"/>
      <c r="M626" s="7"/>
      <c r="N626" s="7">
        <v>3586.0</v>
      </c>
      <c r="O626" s="7">
        <v>2473.5</v>
      </c>
      <c r="P626" s="9">
        <v>327.7</v>
      </c>
      <c r="Q626" s="7">
        <v>352.7</v>
      </c>
      <c r="R626" s="7">
        <v>21.02</v>
      </c>
      <c r="S626" s="7">
        <v>0.998404</v>
      </c>
      <c r="T626" s="7">
        <v>0.998404</v>
      </c>
      <c r="U626" s="10">
        <f t="shared" si="1"/>
        <v>0</v>
      </c>
      <c r="V626" s="10">
        <f t="shared" si="2"/>
        <v>70.33653222</v>
      </c>
      <c r="W626" s="11">
        <f t="shared" si="3"/>
        <v>0.490122392</v>
      </c>
      <c r="X626" s="8">
        <f t="shared" si="389"/>
        <v>1212.317737</v>
      </c>
      <c r="Y626" s="12">
        <f t="shared" si="4"/>
        <v>4</v>
      </c>
      <c r="Z626" s="12">
        <f t="shared" si="5"/>
        <v>6061.588683</v>
      </c>
      <c r="AA626" s="12">
        <f t="shared" si="6"/>
        <v>2.45061196</v>
      </c>
      <c r="AB626" s="13" t="str">
        <f t="shared" si="7"/>
        <v>#N/A</v>
      </c>
      <c r="AC626" s="8">
        <f t="shared" si="390"/>
        <v>1232.697461</v>
      </c>
      <c r="AD626" s="13" t="str">
        <f t="shared" si="391"/>
        <v>#N/A</v>
      </c>
      <c r="AE626" s="8">
        <f t="shared" si="392"/>
        <v>1232.697461</v>
      </c>
      <c r="AF626" s="73">
        <f t="shared" si="393"/>
        <v>294.4075284</v>
      </c>
      <c r="AG626" s="74" t="str">
        <f t="shared" si="394"/>
        <v>#REF!</v>
      </c>
      <c r="AH626" s="73">
        <f t="shared" si="395"/>
        <v>0</v>
      </c>
      <c r="AI626" s="73">
        <f t="shared" si="396"/>
        <v>0</v>
      </c>
      <c r="AJ626" s="75">
        <f t="shared" si="397"/>
        <v>1.390906336</v>
      </c>
      <c r="AK626" s="73">
        <f t="shared" si="398"/>
        <v>0.9376602011</v>
      </c>
      <c r="AL626" s="73">
        <f t="shared" si="399"/>
        <v>1.808165809</v>
      </c>
      <c r="AM626" s="73">
        <f t="shared" si="400"/>
        <v>1.474076339</v>
      </c>
      <c r="AN626" s="75">
        <v>1298.84</v>
      </c>
      <c r="AO626" s="76">
        <v>1300.0</v>
      </c>
      <c r="AP626" s="73">
        <f t="shared" si="401"/>
        <v>1300</v>
      </c>
      <c r="AQ626" s="29" t="str">
        <f t="shared" si="402"/>
        <v>#REF!</v>
      </c>
      <c r="AR626" s="77" t="str">
        <f t="shared" si="403"/>
        <v>#REF!</v>
      </c>
      <c r="AS626" s="73"/>
      <c r="AT626" s="39"/>
    </row>
    <row r="627" ht="15.75" customHeight="1">
      <c r="A627" s="16" t="s">
        <v>353</v>
      </c>
      <c r="B627" s="16" t="s">
        <v>353</v>
      </c>
      <c r="C627" s="16"/>
      <c r="D627" s="16" t="b">
        <v>1</v>
      </c>
      <c r="E627" s="18">
        <v>2026.0</v>
      </c>
      <c r="F627" s="16" t="b">
        <v>1</v>
      </c>
      <c r="G627" s="16" t="b">
        <v>0</v>
      </c>
      <c r="H627" s="16" t="b">
        <v>1</v>
      </c>
      <c r="I627" s="16" t="b">
        <v>0</v>
      </c>
      <c r="J627" s="18">
        <v>3600.0</v>
      </c>
      <c r="K627" s="18">
        <v>10.0</v>
      </c>
      <c r="L627" s="16">
        <v>18000.0</v>
      </c>
      <c r="M627" s="16">
        <v>0.0</v>
      </c>
      <c r="N627" s="16">
        <v>7424.0</v>
      </c>
      <c r="O627" s="16">
        <v>145.6</v>
      </c>
      <c r="P627" s="18">
        <v>989.0</v>
      </c>
      <c r="Q627" s="16">
        <v>1400.0</v>
      </c>
      <c r="R627" s="16">
        <v>20.0</v>
      </c>
      <c r="S627" s="16">
        <v>1.0</v>
      </c>
      <c r="T627" s="16">
        <v>1.0</v>
      </c>
      <c r="U627" s="19">
        <f t="shared" si="1"/>
        <v>18000</v>
      </c>
      <c r="V627" s="19">
        <f t="shared" si="2"/>
        <v>1.999874464</v>
      </c>
      <c r="W627" s="20">
        <f t="shared" si="3"/>
        <v>201.6122362</v>
      </c>
      <c r="X627" s="17">
        <f t="shared" ref="X627:X636" si="404">0.9*(0.00015*N627*Q627*R627+797)+0.1*(43.1*POWER(N627,0.549))</f>
        <v>29354.74159</v>
      </c>
      <c r="Y627" s="21">
        <f t="shared" si="4"/>
        <v>4</v>
      </c>
      <c r="Z627" s="21">
        <f t="shared" si="5"/>
        <v>146773.7079</v>
      </c>
      <c r="AA627" s="21">
        <f t="shared" si="6"/>
        <v>1008.061181</v>
      </c>
      <c r="AB627" s="22">
        <f t="shared" si="7"/>
        <v>1.630818977</v>
      </c>
      <c r="AC627" s="8">
        <f t="shared" si="390"/>
        <v>29941.83642</v>
      </c>
      <c r="AD627" s="13">
        <f t="shared" si="391"/>
        <v>1.663435357</v>
      </c>
      <c r="AE627" s="8">
        <f t="shared" si="392"/>
        <v>4027.604394</v>
      </c>
      <c r="AF627" s="73">
        <f t="shared" si="393"/>
        <v>28.15852321</v>
      </c>
      <c r="AG627" s="74" t="str">
        <f t="shared" si="394"/>
        <v>#REF!</v>
      </c>
      <c r="AH627" s="73">
        <f t="shared" si="395"/>
        <v>0</v>
      </c>
      <c r="AI627" s="73">
        <f t="shared" si="396"/>
        <v>0.5535639833</v>
      </c>
      <c r="AJ627" s="75">
        <f t="shared" si="397"/>
        <v>1.028011477</v>
      </c>
      <c r="AK627" s="73">
        <f t="shared" si="398"/>
        <v>0.2</v>
      </c>
      <c r="AL627" s="73">
        <f t="shared" si="399"/>
        <v>199.9790214</v>
      </c>
      <c r="AM627" s="73">
        <f t="shared" si="400"/>
        <v>1.926089075</v>
      </c>
      <c r="AN627" s="75">
        <v>13778.39</v>
      </c>
      <c r="AO627" s="76">
        <v>14000.0</v>
      </c>
      <c r="AP627" s="73">
        <f t="shared" si="401"/>
        <v>14000</v>
      </c>
      <c r="AQ627" s="29" t="str">
        <f t="shared" si="402"/>
        <v>#REF!</v>
      </c>
      <c r="AR627" s="77" t="str">
        <f t="shared" si="403"/>
        <v>#REF!</v>
      </c>
      <c r="AS627" s="73"/>
      <c r="AT627" s="39"/>
    </row>
    <row r="628" ht="15.75" customHeight="1">
      <c r="A628" s="7" t="s">
        <v>386</v>
      </c>
      <c r="B628" s="7" t="s">
        <v>387</v>
      </c>
      <c r="C628" s="7"/>
      <c r="D628" s="7" t="b">
        <v>1</v>
      </c>
      <c r="E628" s="18">
        <v>2026.0</v>
      </c>
      <c r="F628" s="7" t="b">
        <v>1</v>
      </c>
      <c r="G628" s="7" t="b">
        <v>0</v>
      </c>
      <c r="H628" s="7" t="b">
        <v>1</v>
      </c>
      <c r="I628" s="7" t="b">
        <v>0</v>
      </c>
      <c r="J628" s="9">
        <v>3600.0</v>
      </c>
      <c r="K628" s="9">
        <v>60.0</v>
      </c>
      <c r="L628" s="7">
        <v>2100.0</v>
      </c>
      <c r="M628" s="7">
        <v>0.0</v>
      </c>
      <c r="N628" s="7">
        <v>10117.0</v>
      </c>
      <c r="O628" s="7">
        <v>334.0</v>
      </c>
      <c r="P628" s="9">
        <v>285.0</v>
      </c>
      <c r="Q628" s="7">
        <v>900.0</v>
      </c>
      <c r="R628" s="7">
        <v>3.1</v>
      </c>
      <c r="S628" s="7">
        <v>1.0</v>
      </c>
      <c r="T628" s="7">
        <v>1.0</v>
      </c>
      <c r="U628" s="10">
        <f t="shared" si="1"/>
        <v>2100</v>
      </c>
      <c r="V628" s="10">
        <f t="shared" si="2"/>
        <v>3.366464507</v>
      </c>
      <c r="W628" s="11">
        <f t="shared" si="3"/>
        <v>15.59589962</v>
      </c>
      <c r="X628" s="8">
        <f t="shared" si="404"/>
        <v>5209.030472</v>
      </c>
      <c r="Y628" s="12">
        <f t="shared" si="4"/>
        <v>4</v>
      </c>
      <c r="Z628" s="12">
        <f t="shared" si="5"/>
        <v>26045.15236</v>
      </c>
      <c r="AA628" s="12">
        <f t="shared" si="6"/>
        <v>77.97949808</v>
      </c>
      <c r="AB628" s="13">
        <f t="shared" si="7"/>
        <v>2.480490701</v>
      </c>
      <c r="AC628" s="8">
        <f t="shared" si="390"/>
        <v>5313.211081</v>
      </c>
      <c r="AD628" s="13">
        <f t="shared" si="391"/>
        <v>2.530100515</v>
      </c>
      <c r="AE628" s="8">
        <f t="shared" si="392"/>
        <v>3529.585526</v>
      </c>
      <c r="AF628" s="73">
        <f t="shared" si="393"/>
        <v>53.03725345</v>
      </c>
      <c r="AG628" s="74" t="str">
        <f t="shared" si="394"/>
        <v>#REF!</v>
      </c>
      <c r="AH628" s="73">
        <f t="shared" si="395"/>
        <v>0</v>
      </c>
      <c r="AI628" s="73">
        <f t="shared" si="396"/>
        <v>0.8386048453</v>
      </c>
      <c r="AJ628" s="75">
        <f t="shared" si="397"/>
        <v>1</v>
      </c>
      <c r="AK628" s="73">
        <f t="shared" si="398"/>
        <v>0.2051360679</v>
      </c>
      <c r="AL628" s="73">
        <f t="shared" si="399"/>
        <v>60.12484688</v>
      </c>
      <c r="AM628" s="73">
        <f t="shared" si="400"/>
        <v>1.926089075</v>
      </c>
      <c r="AN628" s="75">
        <v>8845.97</v>
      </c>
      <c r="AO628" s="76">
        <v>8800.0</v>
      </c>
      <c r="AP628" s="73">
        <f t="shared" si="401"/>
        <v>8800</v>
      </c>
      <c r="AQ628" s="29" t="str">
        <f t="shared" si="402"/>
        <v>#REF!</v>
      </c>
      <c r="AR628" s="77" t="str">
        <f t="shared" si="403"/>
        <v>#REF!</v>
      </c>
      <c r="AS628" s="73"/>
      <c r="AT628" s="39"/>
    </row>
    <row r="629" ht="15.75" customHeight="1">
      <c r="A629" s="16" t="s">
        <v>388</v>
      </c>
      <c r="B629" s="16" t="s">
        <v>388</v>
      </c>
      <c r="C629" s="16"/>
      <c r="D629" s="16" t="b">
        <v>1</v>
      </c>
      <c r="E629" s="18">
        <v>2026.0</v>
      </c>
      <c r="F629" s="16" t="b">
        <v>1</v>
      </c>
      <c r="G629" s="16" t="b">
        <v>0</v>
      </c>
      <c r="H629" s="16" t="b">
        <v>1</v>
      </c>
      <c r="I629" s="16" t="b">
        <v>0</v>
      </c>
      <c r="J629" s="18">
        <v>3720.0</v>
      </c>
      <c r="K629" s="18">
        <v>30.0</v>
      </c>
      <c r="L629" s="16">
        <v>1657.0</v>
      </c>
      <c r="M629" s="16">
        <v>0.0</v>
      </c>
      <c r="N629" s="16">
        <v>11330.0</v>
      </c>
      <c r="O629" s="16">
        <v>243.0</v>
      </c>
      <c r="P629" s="18">
        <v>529.0</v>
      </c>
      <c r="Q629" s="16">
        <v>848.0</v>
      </c>
      <c r="R629" s="16">
        <v>4.15</v>
      </c>
      <c r="S629" s="16">
        <v>1.0</v>
      </c>
      <c r="T629" s="16">
        <v>1.0</v>
      </c>
      <c r="U629" s="19">
        <f t="shared" si="1"/>
        <v>1657</v>
      </c>
      <c r="V629" s="19">
        <f t="shared" si="2"/>
        <v>2.187034766</v>
      </c>
      <c r="W629" s="20">
        <f t="shared" si="3"/>
        <v>28.08619181</v>
      </c>
      <c r="X629" s="17">
        <f t="shared" si="404"/>
        <v>6824.944609</v>
      </c>
      <c r="Y629" s="21">
        <f t="shared" si="4"/>
        <v>4</v>
      </c>
      <c r="Z629" s="21">
        <f t="shared" si="5"/>
        <v>34124.72304</v>
      </c>
      <c r="AA629" s="21">
        <f t="shared" si="6"/>
        <v>140.430959</v>
      </c>
      <c r="AB629" s="22">
        <f t="shared" si="7"/>
        <v>4.118856131</v>
      </c>
      <c r="AC629" s="8">
        <f t="shared" si="390"/>
        <v>6961.443501</v>
      </c>
      <c r="AD629" s="13">
        <f t="shared" si="391"/>
        <v>4.201233254</v>
      </c>
      <c r="AE629" s="8">
        <f t="shared" si="392"/>
        <v>3685.985006</v>
      </c>
      <c r="AF629" s="73">
        <f t="shared" si="393"/>
        <v>41.34935745</v>
      </c>
      <c r="AG629" s="74" t="str">
        <f t="shared" si="394"/>
        <v>#REF!</v>
      </c>
      <c r="AH629" s="73">
        <f t="shared" si="395"/>
        <v>0</v>
      </c>
      <c r="AI629" s="73">
        <f t="shared" si="396"/>
        <v>0.7402564738</v>
      </c>
      <c r="AJ629" s="75">
        <f t="shared" si="397"/>
        <v>1</v>
      </c>
      <c r="AK629" s="73">
        <f t="shared" si="398"/>
        <v>0.2</v>
      </c>
      <c r="AL629" s="73">
        <f t="shared" si="399"/>
        <v>51.67568162</v>
      </c>
      <c r="AM629" s="73">
        <f t="shared" si="400"/>
        <v>1.931809984</v>
      </c>
      <c r="AN629" s="75">
        <v>5644.0</v>
      </c>
      <c r="AO629" s="76">
        <v>5600.0</v>
      </c>
      <c r="AP629" s="73">
        <f t="shared" si="401"/>
        <v>5600</v>
      </c>
      <c r="AQ629" s="29" t="str">
        <f t="shared" si="402"/>
        <v>#REF!</v>
      </c>
      <c r="AR629" s="77" t="str">
        <f t="shared" si="403"/>
        <v>#REF!</v>
      </c>
      <c r="AS629" s="73"/>
      <c r="AT629" s="39"/>
    </row>
    <row r="630" ht="15.75" customHeight="1">
      <c r="A630" s="7" t="s">
        <v>389</v>
      </c>
      <c r="B630" s="7" t="s">
        <v>389</v>
      </c>
      <c r="C630" s="7"/>
      <c r="D630" s="7" t="b">
        <v>1</v>
      </c>
      <c r="E630" s="18">
        <v>2026.0</v>
      </c>
      <c r="F630" s="7" t="b">
        <v>1</v>
      </c>
      <c r="G630" s="7" t="b">
        <v>0</v>
      </c>
      <c r="H630" s="7" t="b">
        <v>1</v>
      </c>
      <c r="I630" s="7" t="b">
        <v>0</v>
      </c>
      <c r="J630" s="9">
        <v>3720.0</v>
      </c>
      <c r="K630" s="9">
        <v>60.0</v>
      </c>
      <c r="L630" s="7">
        <v>1969.0</v>
      </c>
      <c r="M630" s="7">
        <v>0.0</v>
      </c>
      <c r="N630" s="7">
        <v>10380.0</v>
      </c>
      <c r="O630" s="7">
        <v>239.0</v>
      </c>
      <c r="P630" s="9">
        <v>348.0</v>
      </c>
      <c r="Q630" s="7">
        <v>850.0</v>
      </c>
      <c r="R630" s="7">
        <v>3.81</v>
      </c>
      <c r="S630" s="7">
        <v>1.0</v>
      </c>
      <c r="T630" s="7">
        <v>1.0</v>
      </c>
      <c r="U630" s="10">
        <f t="shared" si="1"/>
        <v>1969</v>
      </c>
      <c r="V630" s="10">
        <f t="shared" si="2"/>
        <v>2.347901485</v>
      </c>
      <c r="W630" s="11">
        <f t="shared" si="3"/>
        <v>24.87965502</v>
      </c>
      <c r="X630" s="8">
        <f t="shared" si="404"/>
        <v>5946.23755</v>
      </c>
      <c r="Y630" s="12">
        <f t="shared" si="4"/>
        <v>4</v>
      </c>
      <c r="Z630" s="12">
        <f t="shared" si="5"/>
        <v>29731.18775</v>
      </c>
      <c r="AA630" s="12">
        <f t="shared" si="6"/>
        <v>124.3982751</v>
      </c>
      <c r="AB630" s="13">
        <f t="shared" si="7"/>
        <v>3.019927654</v>
      </c>
      <c r="AC630" s="8">
        <f t="shared" si="390"/>
        <v>6065.162301</v>
      </c>
      <c r="AD630" s="13">
        <f t="shared" si="391"/>
        <v>3.080326207</v>
      </c>
      <c r="AE630" s="8">
        <f t="shared" si="392"/>
        <v>3485.107872</v>
      </c>
      <c r="AF630" s="73">
        <f t="shared" si="393"/>
        <v>40.8243588</v>
      </c>
      <c r="AG630" s="74" t="str">
        <f t="shared" si="394"/>
        <v>#REF!</v>
      </c>
      <c r="AH630" s="73">
        <f t="shared" si="395"/>
        <v>0</v>
      </c>
      <c r="AI630" s="73">
        <f t="shared" si="396"/>
        <v>0.8386048453</v>
      </c>
      <c r="AJ630" s="75">
        <f t="shared" si="397"/>
        <v>1</v>
      </c>
      <c r="AK630" s="73">
        <f t="shared" si="398"/>
        <v>0.2</v>
      </c>
      <c r="AL630" s="73">
        <f t="shared" si="399"/>
        <v>51.98507391</v>
      </c>
      <c r="AM630" s="73">
        <f t="shared" si="400"/>
        <v>1.931809984</v>
      </c>
      <c r="AN630" s="75">
        <v>5889.84</v>
      </c>
      <c r="AO630" s="76">
        <v>5900.0</v>
      </c>
      <c r="AP630" s="73">
        <f t="shared" si="401"/>
        <v>5900</v>
      </c>
      <c r="AQ630" s="29" t="str">
        <f t="shared" si="402"/>
        <v>#REF!</v>
      </c>
      <c r="AR630" s="77" t="str">
        <f t="shared" si="403"/>
        <v>#REF!</v>
      </c>
      <c r="AS630" s="73"/>
      <c r="AT630" s="39"/>
    </row>
    <row r="631" ht="15.75" customHeight="1">
      <c r="A631" s="16" t="s">
        <v>390</v>
      </c>
      <c r="B631" s="16" t="s">
        <v>391</v>
      </c>
      <c r="C631" s="16"/>
      <c r="D631" s="16" t="b">
        <v>1</v>
      </c>
      <c r="E631" s="18">
        <v>2026.0</v>
      </c>
      <c r="F631" s="16" t="b">
        <v>1</v>
      </c>
      <c r="G631" s="16" t="b">
        <v>0</v>
      </c>
      <c r="H631" s="16" t="b">
        <v>1</v>
      </c>
      <c r="I631" s="16" t="b">
        <v>0</v>
      </c>
      <c r="J631" s="18">
        <v>3600.0</v>
      </c>
      <c r="K631" s="18">
        <v>60.0</v>
      </c>
      <c r="L631" s="16">
        <v>7200.0</v>
      </c>
      <c r="M631" s="16">
        <v>0.0</v>
      </c>
      <c r="N631" s="16">
        <v>12940.0</v>
      </c>
      <c r="O631" s="16">
        <v>867.0</v>
      </c>
      <c r="P631" s="18">
        <v>390.0</v>
      </c>
      <c r="Q631" s="16">
        <v>850.0</v>
      </c>
      <c r="R631" s="16">
        <v>4.3</v>
      </c>
      <c r="S631" s="16">
        <v>1.0</v>
      </c>
      <c r="T631" s="16">
        <v>1.0</v>
      </c>
      <c r="U631" s="19">
        <f t="shared" si="1"/>
        <v>7200</v>
      </c>
      <c r="V631" s="19">
        <f t="shared" si="2"/>
        <v>6.832256214</v>
      </c>
      <c r="W631" s="20">
        <f t="shared" si="3"/>
        <v>9.091029376</v>
      </c>
      <c r="X631" s="17">
        <f t="shared" si="404"/>
        <v>7881.922469</v>
      </c>
      <c r="Y631" s="21">
        <f t="shared" si="4"/>
        <v>4</v>
      </c>
      <c r="Z631" s="21">
        <f t="shared" si="5"/>
        <v>39409.61234</v>
      </c>
      <c r="AA631" s="21">
        <f t="shared" si="6"/>
        <v>45.45514688</v>
      </c>
      <c r="AB631" s="22">
        <f t="shared" si="7"/>
        <v>1.094711454</v>
      </c>
      <c r="AC631" s="8">
        <f t="shared" si="390"/>
        <v>8039.560918</v>
      </c>
      <c r="AD631" s="13">
        <f t="shared" si="391"/>
        <v>1.116605683</v>
      </c>
      <c r="AE631" s="8">
        <f t="shared" si="392"/>
        <v>4016.367502</v>
      </c>
      <c r="AF631" s="73">
        <f t="shared" si="393"/>
        <v>116.7156356</v>
      </c>
      <c r="AG631" s="74" t="str">
        <f t="shared" si="394"/>
        <v>#REF!</v>
      </c>
      <c r="AH631" s="73">
        <f t="shared" si="395"/>
        <v>0</v>
      </c>
      <c r="AI631" s="73">
        <f t="shared" si="396"/>
        <v>0.8386048453</v>
      </c>
      <c r="AJ631" s="75">
        <f t="shared" si="397"/>
        <v>1</v>
      </c>
      <c r="AK631" s="73">
        <f t="shared" si="398"/>
        <v>0.2922382635</v>
      </c>
      <c r="AL631" s="73">
        <f t="shared" si="399"/>
        <v>51.98507391</v>
      </c>
      <c r="AM631" s="73">
        <f t="shared" si="400"/>
        <v>1.926089075</v>
      </c>
      <c r="AN631" s="75">
        <v>17548.65</v>
      </c>
      <c r="AO631" s="76">
        <v>18000.0</v>
      </c>
      <c r="AP631" s="73">
        <f t="shared" si="401"/>
        <v>18000</v>
      </c>
      <c r="AQ631" s="29" t="str">
        <f t="shared" si="402"/>
        <v>#REF!</v>
      </c>
      <c r="AR631" s="77" t="str">
        <f t="shared" si="403"/>
        <v>#REF!</v>
      </c>
      <c r="AS631" s="73"/>
      <c r="AT631" s="39"/>
    </row>
    <row r="632" ht="15.75" customHeight="1">
      <c r="A632" s="16" t="s">
        <v>417</v>
      </c>
      <c r="B632" s="16" t="s">
        <v>417</v>
      </c>
      <c r="C632" s="16"/>
      <c r="D632" s="16" t="b">
        <v>1</v>
      </c>
      <c r="E632" s="18">
        <v>2026.0</v>
      </c>
      <c r="F632" s="16" t="b">
        <v>1</v>
      </c>
      <c r="G632" s="16" t="b">
        <v>0</v>
      </c>
      <c r="H632" s="16" t="b">
        <v>1</v>
      </c>
      <c r="I632" s="16" t="b">
        <v>0</v>
      </c>
      <c r="J632" s="18">
        <v>2400.0</v>
      </c>
      <c r="K632" s="18">
        <v>12.0</v>
      </c>
      <c r="L632" s="16">
        <v>673.0</v>
      </c>
      <c r="M632" s="16">
        <v>0.0</v>
      </c>
      <c r="N632" s="16">
        <v>2230.0</v>
      </c>
      <c r="O632" s="16">
        <v>111.0</v>
      </c>
      <c r="P632" s="18">
        <v>415.0</v>
      </c>
      <c r="Q632" s="16">
        <v>901.0</v>
      </c>
      <c r="R632" s="16">
        <v>4.34</v>
      </c>
      <c r="S632" s="16">
        <v>1.0</v>
      </c>
      <c r="T632" s="16">
        <v>1.0</v>
      </c>
      <c r="U632" s="19">
        <f t="shared" si="1"/>
        <v>673</v>
      </c>
      <c r="V632" s="19">
        <f t="shared" si="2"/>
        <v>5.075717458</v>
      </c>
      <c r="W632" s="20">
        <f t="shared" si="3"/>
        <v>19.74294557</v>
      </c>
      <c r="X632" s="17">
        <f t="shared" si="404"/>
        <v>2191.466958</v>
      </c>
      <c r="Y632" s="21">
        <f t="shared" si="4"/>
        <v>4</v>
      </c>
      <c r="Z632" s="21">
        <f t="shared" si="5"/>
        <v>10957.33479</v>
      </c>
      <c r="AA632" s="21">
        <f t="shared" si="6"/>
        <v>98.71472784</v>
      </c>
      <c r="AB632" s="22">
        <f t="shared" si="7"/>
        <v>3.256265911</v>
      </c>
      <c r="AC632" s="8">
        <f t="shared" si="390"/>
        <v>2235.296297</v>
      </c>
      <c r="AD632" s="13">
        <f t="shared" si="391"/>
        <v>3.321391229</v>
      </c>
      <c r="AE632" s="8">
        <f t="shared" si="392"/>
        <v>1383.219377</v>
      </c>
      <c r="AF632" s="73">
        <f t="shared" si="393"/>
        <v>23.17395823</v>
      </c>
      <c r="AG632" s="74" t="str">
        <f t="shared" si="394"/>
        <v>#REF!</v>
      </c>
      <c r="AH632" s="73">
        <f t="shared" si="395"/>
        <v>0</v>
      </c>
      <c r="AI632" s="73">
        <f t="shared" si="396"/>
        <v>0.5874534872</v>
      </c>
      <c r="AJ632" s="75">
        <f t="shared" si="397"/>
        <v>1</v>
      </c>
      <c r="AK632" s="73">
        <f t="shared" si="398"/>
        <v>0.2518858238</v>
      </c>
      <c r="AL632" s="73">
        <f t="shared" si="399"/>
        <v>60.29582775</v>
      </c>
      <c r="AM632" s="73">
        <f t="shared" si="400"/>
        <v>1.851164846</v>
      </c>
      <c r="AN632" s="75">
        <v>3352.76</v>
      </c>
      <c r="AO632" s="76">
        <v>3400.0</v>
      </c>
      <c r="AP632" s="73">
        <f t="shared" si="401"/>
        <v>3400</v>
      </c>
      <c r="AQ632" s="29" t="str">
        <f t="shared" si="402"/>
        <v>#REF!</v>
      </c>
      <c r="AR632" s="77" t="str">
        <f t="shared" si="403"/>
        <v>#REF!</v>
      </c>
      <c r="AS632" s="73"/>
      <c r="AT632" s="39"/>
    </row>
    <row r="633" ht="15.75" customHeight="1">
      <c r="A633" s="7" t="s">
        <v>418</v>
      </c>
      <c r="B633" s="7" t="s">
        <v>418</v>
      </c>
      <c r="C633" s="7"/>
      <c r="D633" s="7" t="b">
        <v>1</v>
      </c>
      <c r="E633" s="18">
        <v>2026.0</v>
      </c>
      <c r="F633" s="7" t="b">
        <v>1</v>
      </c>
      <c r="G633" s="7" t="b">
        <v>0</v>
      </c>
      <c r="H633" s="7" t="b">
        <v>1</v>
      </c>
      <c r="I633" s="7" t="b">
        <v>0</v>
      </c>
      <c r="J633" s="9">
        <v>2700.0</v>
      </c>
      <c r="K633" s="9">
        <v>4.0</v>
      </c>
      <c r="L633" s="7">
        <v>1988.0</v>
      </c>
      <c r="M633" s="7">
        <v>0.0</v>
      </c>
      <c r="N633" s="7">
        <v>9140.0</v>
      </c>
      <c r="O633" s="7">
        <v>299.0</v>
      </c>
      <c r="P633" s="9">
        <v>501.0</v>
      </c>
      <c r="Q633" s="7">
        <v>828.0</v>
      </c>
      <c r="R633" s="7">
        <v>3.77</v>
      </c>
      <c r="S633" s="7">
        <v>1.0</v>
      </c>
      <c r="T633" s="7">
        <v>1.0</v>
      </c>
      <c r="U633" s="10">
        <f t="shared" si="1"/>
        <v>1988</v>
      </c>
      <c r="V633" s="10">
        <f t="shared" si="2"/>
        <v>3.335833116</v>
      </c>
      <c r="W633" s="11">
        <f t="shared" si="3"/>
        <v>17.43550714</v>
      </c>
      <c r="X633" s="8">
        <f t="shared" si="404"/>
        <v>5213.216634</v>
      </c>
      <c r="Y633" s="12">
        <f t="shared" si="4"/>
        <v>4</v>
      </c>
      <c r="Z633" s="12">
        <f t="shared" si="5"/>
        <v>26066.08317</v>
      </c>
      <c r="AA633" s="12">
        <f t="shared" si="6"/>
        <v>87.17753569</v>
      </c>
      <c r="AB633" s="13">
        <f t="shared" si="7"/>
        <v>2.622342371</v>
      </c>
      <c r="AC633" s="8">
        <f t="shared" si="390"/>
        <v>5317.480967</v>
      </c>
      <c r="AD633" s="13">
        <f t="shared" si="391"/>
        <v>2.674789219</v>
      </c>
      <c r="AE633" s="8">
        <f t="shared" si="392"/>
        <v>3166.551908</v>
      </c>
      <c r="AF633" s="73">
        <f t="shared" si="393"/>
        <v>48.59377613</v>
      </c>
      <c r="AG633" s="74" t="str">
        <f t="shared" si="394"/>
        <v>#REF!</v>
      </c>
      <c r="AH633" s="73">
        <f t="shared" si="395"/>
        <v>0</v>
      </c>
      <c r="AI633" s="73">
        <f t="shared" si="396"/>
        <v>0.3632125751</v>
      </c>
      <c r="AJ633" s="75">
        <f t="shared" si="397"/>
        <v>1</v>
      </c>
      <c r="AK633" s="73">
        <f t="shared" si="398"/>
        <v>0.2042006708</v>
      </c>
      <c r="AL633" s="73">
        <f t="shared" si="399"/>
        <v>48.64749773</v>
      </c>
      <c r="AM633" s="73">
        <f t="shared" si="400"/>
        <v>1.873749293</v>
      </c>
      <c r="AN633" s="75">
        <v>4892.65</v>
      </c>
      <c r="AO633" s="76">
        <v>4900.0</v>
      </c>
      <c r="AP633" s="73">
        <f t="shared" si="401"/>
        <v>4900</v>
      </c>
      <c r="AQ633" s="29" t="str">
        <f t="shared" si="402"/>
        <v>#REF!</v>
      </c>
      <c r="AR633" s="77" t="str">
        <f t="shared" si="403"/>
        <v>#REF!</v>
      </c>
      <c r="AS633" s="73"/>
      <c r="AT633" s="39"/>
    </row>
    <row r="634" ht="15.75" customHeight="1">
      <c r="A634" s="16" t="s">
        <v>419</v>
      </c>
      <c r="B634" s="16" t="s">
        <v>419</v>
      </c>
      <c r="C634" s="16"/>
      <c r="D634" s="16" t="b">
        <v>1</v>
      </c>
      <c r="E634" s="18">
        <v>2026.0</v>
      </c>
      <c r="F634" s="16" t="b">
        <v>1</v>
      </c>
      <c r="G634" s="16" t="b">
        <v>0</v>
      </c>
      <c r="H634" s="16" t="b">
        <v>1</v>
      </c>
      <c r="I634" s="16" t="b">
        <v>0</v>
      </c>
      <c r="J634" s="18">
        <v>2700.0</v>
      </c>
      <c r="K634" s="18">
        <v>8.0</v>
      </c>
      <c r="L634" s="16">
        <v>6628.0</v>
      </c>
      <c r="M634" s="16">
        <v>0.0</v>
      </c>
      <c r="N634" s="16">
        <v>16970.0</v>
      </c>
      <c r="O634" s="16">
        <v>913.0</v>
      </c>
      <c r="P634" s="18">
        <v>336.0</v>
      </c>
      <c r="Q634" s="16">
        <v>813.0</v>
      </c>
      <c r="R634" s="16">
        <v>3.83</v>
      </c>
      <c r="S634" s="16">
        <v>1.0</v>
      </c>
      <c r="T634" s="16">
        <v>1.0</v>
      </c>
      <c r="U634" s="19">
        <f t="shared" si="1"/>
        <v>6628</v>
      </c>
      <c r="V634" s="19">
        <f t="shared" si="2"/>
        <v>5.486157335</v>
      </c>
      <c r="W634" s="20">
        <f t="shared" si="3"/>
        <v>9.590009736</v>
      </c>
      <c r="X634" s="17">
        <f t="shared" si="404"/>
        <v>8755.678889</v>
      </c>
      <c r="Y634" s="21">
        <f t="shared" si="4"/>
        <v>4</v>
      </c>
      <c r="Z634" s="21">
        <f t="shared" si="5"/>
        <v>43778.39445</v>
      </c>
      <c r="AA634" s="21">
        <f t="shared" si="6"/>
        <v>47.95004868</v>
      </c>
      <c r="AB634" s="22">
        <f t="shared" si="7"/>
        <v>1.321013713</v>
      </c>
      <c r="AC634" s="8">
        <f t="shared" si="390"/>
        <v>8930.792467</v>
      </c>
      <c r="AD634" s="13">
        <f t="shared" si="391"/>
        <v>1.347433987</v>
      </c>
      <c r="AE634" s="8">
        <f t="shared" si="392"/>
        <v>4621.439076</v>
      </c>
      <c r="AF634" s="73">
        <f t="shared" si="393"/>
        <v>122.0088427</v>
      </c>
      <c r="AG634" s="74" t="str">
        <f t="shared" si="394"/>
        <v>#REF!</v>
      </c>
      <c r="AH634" s="73">
        <f t="shared" si="395"/>
        <v>0</v>
      </c>
      <c r="AI634" s="73">
        <f t="shared" si="396"/>
        <v>0.5103690669</v>
      </c>
      <c r="AJ634" s="75">
        <f t="shared" si="397"/>
        <v>1</v>
      </c>
      <c r="AK634" s="73">
        <f t="shared" si="398"/>
        <v>0.2618720426</v>
      </c>
      <c r="AL634" s="73">
        <f t="shared" si="399"/>
        <v>46.45311151</v>
      </c>
      <c r="AM634" s="73">
        <f t="shared" si="400"/>
        <v>1.873749293</v>
      </c>
      <c r="AN634" s="75">
        <v>13263.21</v>
      </c>
      <c r="AO634" s="76">
        <v>13500.0</v>
      </c>
      <c r="AP634" s="73">
        <f t="shared" si="401"/>
        <v>13500</v>
      </c>
      <c r="AQ634" s="29" t="str">
        <f t="shared" si="402"/>
        <v>#REF!</v>
      </c>
      <c r="AR634" s="77" t="str">
        <f t="shared" si="403"/>
        <v>#REF!</v>
      </c>
      <c r="AS634" s="73"/>
      <c r="AT634" s="39"/>
    </row>
    <row r="635" ht="15.75" customHeight="1">
      <c r="A635" s="7" t="s">
        <v>420</v>
      </c>
      <c r="B635" s="7" t="s">
        <v>421</v>
      </c>
      <c r="C635" s="7"/>
      <c r="D635" s="7" t="b">
        <v>1</v>
      </c>
      <c r="E635" s="18">
        <v>2026.0</v>
      </c>
      <c r="F635" s="7" t="b">
        <v>1</v>
      </c>
      <c r="G635" s="7" t="b">
        <v>0</v>
      </c>
      <c r="H635" s="7" t="b">
        <v>1</v>
      </c>
      <c r="I635" s="7" t="b">
        <v>0</v>
      </c>
      <c r="J635" s="9">
        <v>3600.0</v>
      </c>
      <c r="K635" s="9">
        <v>3.0</v>
      </c>
      <c r="L635" s="7">
        <v>12600.0</v>
      </c>
      <c r="M635" s="7">
        <v>0.0</v>
      </c>
      <c r="N635" s="7">
        <v>3629.0</v>
      </c>
      <c r="O635" s="7">
        <v>40.88</v>
      </c>
      <c r="P635" s="9">
        <v>545.0</v>
      </c>
      <c r="Q635" s="7">
        <v>1414.0</v>
      </c>
      <c r="R635" s="7">
        <v>10.0</v>
      </c>
      <c r="S635" s="7">
        <v>1.0</v>
      </c>
      <c r="T635" s="7">
        <v>1.0</v>
      </c>
      <c r="U635" s="10">
        <f t="shared" si="1"/>
        <v>12600</v>
      </c>
      <c r="V635" s="10">
        <f t="shared" si="2"/>
        <v>1.148691063</v>
      </c>
      <c r="W635" s="11">
        <f t="shared" si="3"/>
        <v>196.4938855</v>
      </c>
      <c r="X635" s="8">
        <f t="shared" si="404"/>
        <v>8032.670039</v>
      </c>
      <c r="Y635" s="12">
        <f t="shared" si="4"/>
        <v>4</v>
      </c>
      <c r="Z635" s="12">
        <f t="shared" si="5"/>
        <v>40163.3502</v>
      </c>
      <c r="AA635" s="12">
        <f t="shared" si="6"/>
        <v>982.4694275</v>
      </c>
      <c r="AB635" s="13">
        <f t="shared" si="7"/>
        <v>0.6375134952</v>
      </c>
      <c r="AC635" s="8">
        <f t="shared" si="390"/>
        <v>8193.32344</v>
      </c>
      <c r="AD635" s="13">
        <f t="shared" si="391"/>
        <v>0.6502637651</v>
      </c>
      <c r="AE635" s="8">
        <f t="shared" si="392"/>
        <v>2520.066817</v>
      </c>
      <c r="AF635" s="73">
        <f t="shared" si="393"/>
        <v>11.92842861</v>
      </c>
      <c r="AG635" s="74" t="str">
        <f t="shared" si="394"/>
        <v>#REF!</v>
      </c>
      <c r="AH635" s="73">
        <f t="shared" si="395"/>
        <v>0</v>
      </c>
      <c r="AI635" s="73">
        <f t="shared" si="396"/>
        <v>0.2958876574</v>
      </c>
      <c r="AJ635" s="75">
        <f t="shared" si="397"/>
        <v>1</v>
      </c>
      <c r="AK635" s="73">
        <f t="shared" si="398"/>
        <v>0.2</v>
      </c>
      <c r="AL635" s="73">
        <f t="shared" si="399"/>
        <v>205.9180559</v>
      </c>
      <c r="AM635" s="73">
        <f t="shared" si="400"/>
        <v>1.926089075</v>
      </c>
      <c r="AN635" s="75">
        <v>4987.25</v>
      </c>
      <c r="AO635" s="76">
        <v>5000.0</v>
      </c>
      <c r="AP635" s="73">
        <f t="shared" si="401"/>
        <v>5000</v>
      </c>
      <c r="AQ635" s="29" t="str">
        <f t="shared" si="402"/>
        <v>#REF!</v>
      </c>
      <c r="AR635" s="77" t="str">
        <f t="shared" si="403"/>
        <v>#REF!</v>
      </c>
      <c r="AS635" s="73"/>
      <c r="AT635" s="39"/>
    </row>
    <row r="636" ht="15.75" customHeight="1">
      <c r="A636" s="16" t="s">
        <v>422</v>
      </c>
      <c r="B636" s="16" t="s">
        <v>421</v>
      </c>
      <c r="C636" s="16"/>
      <c r="D636" s="16" t="b">
        <v>1</v>
      </c>
      <c r="E636" s="18">
        <v>2026.0</v>
      </c>
      <c r="F636" s="16" t="b">
        <v>1</v>
      </c>
      <c r="G636" s="16" t="b">
        <v>0</v>
      </c>
      <c r="H636" s="16" t="b">
        <v>1</v>
      </c>
      <c r="I636" s="16" t="b">
        <v>0</v>
      </c>
      <c r="J636" s="18">
        <v>3600.0</v>
      </c>
      <c r="K636" s="18">
        <v>3.0</v>
      </c>
      <c r="L636" s="16">
        <v>12600.0</v>
      </c>
      <c r="M636" s="16">
        <v>0.0</v>
      </c>
      <c r="N636" s="16">
        <v>3629.0</v>
      </c>
      <c r="O636" s="16">
        <v>39.03</v>
      </c>
      <c r="P636" s="18">
        <v>570.0</v>
      </c>
      <c r="Q636" s="16">
        <v>1350.0</v>
      </c>
      <c r="R636" s="16">
        <v>10.0</v>
      </c>
      <c r="S636" s="16">
        <v>1.0</v>
      </c>
      <c r="T636" s="16">
        <v>1.0</v>
      </c>
      <c r="U636" s="19">
        <f t="shared" si="1"/>
        <v>12600</v>
      </c>
      <c r="V636" s="19">
        <f t="shared" si="2"/>
        <v>1.096707734</v>
      </c>
      <c r="W636" s="20">
        <f t="shared" si="3"/>
        <v>197.7741337</v>
      </c>
      <c r="X636" s="17">
        <f t="shared" si="404"/>
        <v>7719.124439</v>
      </c>
      <c r="Y636" s="21">
        <f t="shared" si="4"/>
        <v>4</v>
      </c>
      <c r="Z636" s="21">
        <f t="shared" si="5"/>
        <v>38595.6222</v>
      </c>
      <c r="AA636" s="21">
        <f t="shared" si="6"/>
        <v>988.8706686</v>
      </c>
      <c r="AB636" s="22">
        <f t="shared" si="7"/>
        <v>0.6126289238</v>
      </c>
      <c r="AC636" s="8">
        <f t="shared" si="390"/>
        <v>7873.506928</v>
      </c>
      <c r="AD636" s="13">
        <f t="shared" si="391"/>
        <v>0.6248815022</v>
      </c>
      <c r="AE636" s="8">
        <f t="shared" si="392"/>
        <v>2452.656963</v>
      </c>
      <c r="AF636" s="73">
        <f t="shared" si="393"/>
        <v>11.58980863</v>
      </c>
      <c r="AG636" s="74" t="str">
        <f t="shared" si="394"/>
        <v>#REF!</v>
      </c>
      <c r="AH636" s="73">
        <f t="shared" si="395"/>
        <v>0</v>
      </c>
      <c r="AI636" s="73">
        <f t="shared" si="396"/>
        <v>0.2958876574</v>
      </c>
      <c r="AJ636" s="75">
        <f t="shared" si="397"/>
        <v>1</v>
      </c>
      <c r="AK636" s="73">
        <f t="shared" si="398"/>
        <v>0.2</v>
      </c>
      <c r="AL636" s="73">
        <f t="shared" si="399"/>
        <v>179.870485</v>
      </c>
      <c r="AM636" s="73">
        <f t="shared" si="400"/>
        <v>1.926089075</v>
      </c>
      <c r="AN636" s="75">
        <v>4232.72</v>
      </c>
      <c r="AO636" s="76">
        <v>4200.0</v>
      </c>
      <c r="AP636" s="73">
        <f t="shared" si="401"/>
        <v>4200</v>
      </c>
      <c r="AQ636" s="29" t="str">
        <f t="shared" si="402"/>
        <v>#REF!</v>
      </c>
      <c r="AR636" s="77" t="str">
        <f t="shared" si="403"/>
        <v>#REF!</v>
      </c>
      <c r="AS636" s="73"/>
      <c r="AT636" s="39"/>
    </row>
    <row r="637" ht="15.75" customHeight="1">
      <c r="A637" s="16" t="s">
        <v>440</v>
      </c>
      <c r="B637" s="16" t="s">
        <v>440</v>
      </c>
      <c r="C637" s="16"/>
      <c r="D637" s="18" t="b">
        <v>0</v>
      </c>
      <c r="E637" s="18">
        <v>2026.0</v>
      </c>
      <c r="F637" s="16" t="b">
        <v>1</v>
      </c>
      <c r="G637" s="16" t="b">
        <v>0</v>
      </c>
      <c r="H637" s="16" t="b">
        <v>0</v>
      </c>
      <c r="I637" s="16" t="b">
        <v>0</v>
      </c>
      <c r="J637" s="18">
        <v>1800.0</v>
      </c>
      <c r="K637" s="18">
        <v>999.0</v>
      </c>
      <c r="L637" s="16"/>
      <c r="M637" s="16"/>
      <c r="N637" s="18">
        <v>1500.0</v>
      </c>
      <c r="O637" s="18">
        <v>1650.0</v>
      </c>
      <c r="P637" s="18">
        <v>325.0</v>
      </c>
      <c r="Q637" s="18">
        <v>350.0</v>
      </c>
      <c r="R637" s="16">
        <v>30.0</v>
      </c>
      <c r="S637" s="18">
        <v>0.995</v>
      </c>
      <c r="T637" s="18">
        <v>0.99995</v>
      </c>
      <c r="U637" s="19">
        <f t="shared" si="1"/>
        <v>0</v>
      </c>
      <c r="V637" s="19">
        <f t="shared" si="2"/>
        <v>112.1687831</v>
      </c>
      <c r="W637" s="20">
        <f t="shared" si="3"/>
        <v>0.4568434935</v>
      </c>
      <c r="X637" s="17">
        <f t="shared" ref="X637:X639" si="405">0.2*(8.17*POWER(N637*R637,0.46))+0.8*(0.146*POWER(N637*Q637,0.639))</f>
        <v>753.7917644</v>
      </c>
      <c r="Y637" s="21">
        <f t="shared" si="4"/>
        <v>4</v>
      </c>
      <c r="Z637" s="21">
        <f t="shared" si="5"/>
        <v>3768.958822</v>
      </c>
      <c r="AA637" s="21">
        <f t="shared" si="6"/>
        <v>2.284217468</v>
      </c>
      <c r="AB637" s="22" t="str">
        <f t="shared" si="7"/>
        <v>#N/A</v>
      </c>
      <c r="AC637" s="8">
        <f t="shared" si="390"/>
        <v>765.0611397</v>
      </c>
      <c r="AD637" s="13" t="str">
        <f t="shared" si="391"/>
        <v>#N/A</v>
      </c>
      <c r="AE637" s="8">
        <f t="shared" si="392"/>
        <v>765.0611397</v>
      </c>
      <c r="AF637" s="73">
        <f t="shared" si="393"/>
        <v>204.7303524</v>
      </c>
      <c r="AG637" s="74" t="str">
        <f t="shared" si="394"/>
        <v>#REF!</v>
      </c>
      <c r="AH637" s="73">
        <f t="shared" si="395"/>
        <v>0</v>
      </c>
      <c r="AI637" s="73">
        <f t="shared" si="396"/>
        <v>1.123141633</v>
      </c>
      <c r="AJ637" s="75">
        <f t="shared" si="397"/>
        <v>1.389715559</v>
      </c>
      <c r="AK637" s="73">
        <f t="shared" si="398"/>
        <v>1.184107169</v>
      </c>
      <c r="AL637" s="73">
        <f t="shared" si="399"/>
        <v>1.74895593</v>
      </c>
      <c r="AM637" s="73">
        <f t="shared" si="400"/>
        <v>1.793006019</v>
      </c>
      <c r="AN637" s="75">
        <v>1725.51</v>
      </c>
      <c r="AO637" s="76">
        <v>1700.0</v>
      </c>
      <c r="AP637" s="73">
        <f t="shared" si="401"/>
        <v>1700</v>
      </c>
      <c r="AQ637" s="29" t="str">
        <f t="shared" si="402"/>
        <v>#REF!</v>
      </c>
      <c r="AR637" s="77" t="str">
        <f t="shared" si="403"/>
        <v>#REF!</v>
      </c>
      <c r="AS637" s="73"/>
      <c r="AT637" s="39"/>
    </row>
    <row r="638" ht="15.75" customHeight="1">
      <c r="A638" s="9" t="s">
        <v>1101</v>
      </c>
      <c r="B638" s="7" t="s">
        <v>440</v>
      </c>
      <c r="C638" s="7"/>
      <c r="D638" s="9" t="b">
        <v>0</v>
      </c>
      <c r="E638" s="18">
        <v>2026.0</v>
      </c>
      <c r="F638" s="7" t="b">
        <v>1</v>
      </c>
      <c r="G638" s="7" t="b">
        <v>0</v>
      </c>
      <c r="H638" s="7" t="b">
        <v>0</v>
      </c>
      <c r="I638" s="7" t="b">
        <v>0</v>
      </c>
      <c r="J638" s="9">
        <v>1800.0</v>
      </c>
      <c r="K638" s="9">
        <v>999.0</v>
      </c>
      <c r="L638" s="7"/>
      <c r="M638" s="7"/>
      <c r="N638" s="9">
        <v>1725.0</v>
      </c>
      <c r="O638" s="9">
        <v>3000.0</v>
      </c>
      <c r="P638" s="9">
        <v>325.0</v>
      </c>
      <c r="Q638" s="9">
        <v>350.0</v>
      </c>
      <c r="R638" s="7">
        <v>30.0</v>
      </c>
      <c r="S638" s="9">
        <v>0.995</v>
      </c>
      <c r="T638" s="9">
        <v>0.99995</v>
      </c>
      <c r="U638" s="10">
        <f t="shared" si="1"/>
        <v>0</v>
      </c>
      <c r="V638" s="10">
        <f t="shared" si="2"/>
        <v>177.3419496</v>
      </c>
      <c r="W638" s="11">
        <f t="shared" si="3"/>
        <v>0.2727029405</v>
      </c>
      <c r="X638" s="8">
        <f t="shared" si="405"/>
        <v>818.1088215</v>
      </c>
      <c r="Y638" s="12">
        <f t="shared" si="4"/>
        <v>4</v>
      </c>
      <c r="Z638" s="12">
        <f t="shared" si="5"/>
        <v>4090.544107</v>
      </c>
      <c r="AA638" s="12">
        <f t="shared" si="6"/>
        <v>1.363514702</v>
      </c>
      <c r="AB638" s="13" t="str">
        <f t="shared" si="7"/>
        <v>#N/A</v>
      </c>
      <c r="AC638" s="8">
        <f t="shared" si="390"/>
        <v>830.3397529</v>
      </c>
      <c r="AD638" s="13" t="str">
        <f t="shared" si="391"/>
        <v>#N/A</v>
      </c>
      <c r="AE638" s="8">
        <f t="shared" si="392"/>
        <v>830.3397529</v>
      </c>
      <c r="AF638" s="73">
        <f t="shared" si="393"/>
        <v>350.8445655</v>
      </c>
      <c r="AG638" s="74" t="str">
        <f t="shared" si="394"/>
        <v>#REF!</v>
      </c>
      <c r="AH638" s="73">
        <f t="shared" si="395"/>
        <v>0</v>
      </c>
      <c r="AI638" s="73">
        <f t="shared" si="396"/>
        <v>1.123141633</v>
      </c>
      <c r="AJ638" s="75">
        <f t="shared" si="397"/>
        <v>1.389715559</v>
      </c>
      <c r="AK638" s="73">
        <f t="shared" si="398"/>
        <v>1.488883598</v>
      </c>
      <c r="AL638" s="73">
        <f t="shared" si="399"/>
        <v>1.74895593</v>
      </c>
      <c r="AM638" s="73">
        <f t="shared" si="400"/>
        <v>1.793006019</v>
      </c>
      <c r="AN638" s="75">
        <v>3229.49</v>
      </c>
      <c r="AO638" s="76">
        <v>3200.0</v>
      </c>
      <c r="AP638" s="73">
        <f t="shared" si="401"/>
        <v>3200</v>
      </c>
      <c r="AQ638" s="29" t="str">
        <f t="shared" si="402"/>
        <v>#REF!</v>
      </c>
      <c r="AR638" s="77" t="str">
        <f t="shared" si="403"/>
        <v>#REF!</v>
      </c>
      <c r="AS638" s="73"/>
      <c r="AT638" s="39"/>
    </row>
    <row r="639" ht="15.75" customHeight="1">
      <c r="A639" s="18" t="s">
        <v>1102</v>
      </c>
      <c r="B639" s="16" t="s">
        <v>440</v>
      </c>
      <c r="C639" s="16"/>
      <c r="D639" s="18" t="b">
        <v>0</v>
      </c>
      <c r="E639" s="18">
        <v>2026.0</v>
      </c>
      <c r="F639" s="16" t="b">
        <v>1</v>
      </c>
      <c r="G639" s="16" t="b">
        <v>0</v>
      </c>
      <c r="H639" s="16" t="b">
        <v>0</v>
      </c>
      <c r="I639" s="16" t="b">
        <v>0</v>
      </c>
      <c r="J639" s="18">
        <v>3600.0</v>
      </c>
      <c r="K639" s="18">
        <v>999.0</v>
      </c>
      <c r="L639" s="16"/>
      <c r="M639" s="16"/>
      <c r="N639" s="18">
        <v>1875.0</v>
      </c>
      <c r="O639" s="18">
        <v>2240.0</v>
      </c>
      <c r="P639" s="18">
        <v>240.0</v>
      </c>
      <c r="Q639" s="18">
        <v>380.0</v>
      </c>
      <c r="R639" s="16">
        <v>35.0</v>
      </c>
      <c r="S639" s="18">
        <v>0.995</v>
      </c>
      <c r="T639" s="18">
        <v>0.99995</v>
      </c>
      <c r="U639" s="19">
        <f t="shared" si="1"/>
        <v>0</v>
      </c>
      <c r="V639" s="19">
        <f t="shared" si="2"/>
        <v>121.8220966</v>
      </c>
      <c r="W639" s="20">
        <f t="shared" si="3"/>
        <v>0.406409964</v>
      </c>
      <c r="X639" s="17">
        <f t="shared" si="405"/>
        <v>910.3583193</v>
      </c>
      <c r="Y639" s="21">
        <f t="shared" si="4"/>
        <v>4</v>
      </c>
      <c r="Z639" s="21">
        <f t="shared" si="5"/>
        <v>4551.791596</v>
      </c>
      <c r="AA639" s="21">
        <f t="shared" si="6"/>
        <v>2.03204982</v>
      </c>
      <c r="AB639" s="22" t="str">
        <f t="shared" si="7"/>
        <v>#N/A</v>
      </c>
      <c r="AC639" s="8">
        <f t="shared" si="390"/>
        <v>923.9684037</v>
      </c>
      <c r="AD639" s="13" t="str">
        <f t="shared" si="391"/>
        <v>#N/A</v>
      </c>
      <c r="AE639" s="8">
        <f t="shared" si="392"/>
        <v>923.9684037</v>
      </c>
      <c r="AF639" s="73">
        <f t="shared" si="393"/>
        <v>269.1809045</v>
      </c>
      <c r="AG639" s="74" t="str">
        <f t="shared" si="394"/>
        <v>#REF!</v>
      </c>
      <c r="AH639" s="73">
        <f t="shared" si="395"/>
        <v>0</v>
      </c>
      <c r="AI639" s="73">
        <f t="shared" si="396"/>
        <v>1.123141633</v>
      </c>
      <c r="AJ639" s="75">
        <f t="shared" si="397"/>
        <v>1</v>
      </c>
      <c r="AK639" s="73">
        <f t="shared" si="398"/>
        <v>1.234008188</v>
      </c>
      <c r="AL639" s="73">
        <f t="shared" si="399"/>
        <v>2.553519301</v>
      </c>
      <c r="AM639" s="73">
        <f t="shared" si="400"/>
        <v>1.926089075</v>
      </c>
      <c r="AN639" s="75">
        <v>2599.04</v>
      </c>
      <c r="AO639" s="76">
        <v>2600.0</v>
      </c>
      <c r="AP639" s="73">
        <f t="shared" si="401"/>
        <v>2600</v>
      </c>
      <c r="AQ639" s="29" t="str">
        <f t="shared" si="402"/>
        <v>#REF!</v>
      </c>
      <c r="AR639" s="77" t="str">
        <f t="shared" si="403"/>
        <v>#REF!</v>
      </c>
      <c r="AS639" s="73"/>
      <c r="AT639" s="39"/>
    </row>
    <row r="640" ht="15.75" customHeight="1">
      <c r="A640" s="7" t="s">
        <v>456</v>
      </c>
      <c r="B640" s="7" t="s">
        <v>457</v>
      </c>
      <c r="C640" s="7"/>
      <c r="D640" s="7" t="b">
        <v>1</v>
      </c>
      <c r="E640" s="18">
        <v>2026.0</v>
      </c>
      <c r="F640" s="7" t="b">
        <v>1</v>
      </c>
      <c r="G640" s="7" t="b">
        <v>0</v>
      </c>
      <c r="H640" s="7" t="b">
        <v>0</v>
      </c>
      <c r="I640" s="7" t="b">
        <v>0</v>
      </c>
      <c r="J640" s="9">
        <v>600.0</v>
      </c>
      <c r="K640" s="7">
        <v>1.0</v>
      </c>
      <c r="L640" s="7"/>
      <c r="M640" s="7"/>
      <c r="N640" s="7">
        <v>3800.0</v>
      </c>
      <c r="O640" s="7">
        <v>1809.8</v>
      </c>
      <c r="P640" s="9">
        <v>322.5</v>
      </c>
      <c r="Q640" s="7">
        <v>418.7</v>
      </c>
      <c r="R640" s="7">
        <v>19.38</v>
      </c>
      <c r="S640" s="7">
        <v>0.995</v>
      </c>
      <c r="T640" s="7">
        <v>0.995</v>
      </c>
      <c r="U640" s="10">
        <f t="shared" si="1"/>
        <v>0</v>
      </c>
      <c r="V640" s="10">
        <f t="shared" si="2"/>
        <v>48.56532623</v>
      </c>
      <c r="W640" s="11">
        <f t="shared" si="3"/>
        <v>2.916286012</v>
      </c>
      <c r="X640" s="8">
        <f>0.9*(0.00015*N640*Q640*R640+797)+0.1*(43.1*POWER(N640,0.549))</f>
        <v>5277.894424</v>
      </c>
      <c r="Y640" s="12">
        <f t="shared" si="4"/>
        <v>4</v>
      </c>
      <c r="Z640" s="12">
        <f t="shared" si="5"/>
        <v>26389.47212</v>
      </c>
      <c r="AA640" s="12">
        <f t="shared" si="6"/>
        <v>14.58143006</v>
      </c>
      <c r="AB640" s="13" t="str">
        <f t="shared" si="7"/>
        <v>#N/A</v>
      </c>
      <c r="AC640" s="8">
        <f t="shared" si="390"/>
        <v>5330.805316</v>
      </c>
      <c r="AD640" s="13" t="str">
        <f t="shared" si="391"/>
        <v>#N/A</v>
      </c>
      <c r="AE640" s="8">
        <f t="shared" si="392"/>
        <v>1369.127138</v>
      </c>
      <c r="AF640" s="73">
        <f t="shared" si="393"/>
        <v>222.3030686</v>
      </c>
      <c r="AG640" s="74" t="str">
        <f t="shared" si="394"/>
        <v>#REF!</v>
      </c>
      <c r="AH640" s="73">
        <f t="shared" si="395"/>
        <v>0</v>
      </c>
      <c r="AI640" s="73">
        <f t="shared" si="396"/>
        <v>0</v>
      </c>
      <c r="AJ640" s="75">
        <f t="shared" si="397"/>
        <v>1.102488247</v>
      </c>
      <c r="AK640" s="73">
        <f t="shared" si="398"/>
        <v>0.7791447734</v>
      </c>
      <c r="AL640" s="73">
        <f t="shared" si="399"/>
        <v>4.250157735</v>
      </c>
      <c r="AM640" s="73">
        <f t="shared" si="400"/>
        <v>1.526203901</v>
      </c>
      <c r="AN640" s="75">
        <v>1510.72</v>
      </c>
      <c r="AO640" s="76">
        <v>1500.0</v>
      </c>
      <c r="AP640" s="73">
        <f t="shared" si="401"/>
        <v>1500</v>
      </c>
      <c r="AQ640" s="29" t="str">
        <f t="shared" si="402"/>
        <v>#REF!</v>
      </c>
      <c r="AR640" s="77" t="str">
        <f t="shared" si="403"/>
        <v>#REF!</v>
      </c>
      <c r="AS640" s="73"/>
      <c r="AT640" s="39"/>
    </row>
    <row r="641" ht="15.75" customHeight="1">
      <c r="A641" s="16" t="s">
        <v>495</v>
      </c>
      <c r="B641" s="16" t="s">
        <v>496</v>
      </c>
      <c r="C641" s="16"/>
      <c r="D641" s="16"/>
      <c r="E641" s="18">
        <v>2026.0</v>
      </c>
      <c r="F641" s="16" t="b">
        <v>1</v>
      </c>
      <c r="G641" s="16" t="b">
        <v>0</v>
      </c>
      <c r="H641" s="16" t="b">
        <v>0</v>
      </c>
      <c r="I641" s="16" t="b">
        <v>0</v>
      </c>
      <c r="J641" s="18">
        <v>1200.0</v>
      </c>
      <c r="K641" s="18">
        <v>999.0</v>
      </c>
      <c r="L641" s="16">
        <v>40.0</v>
      </c>
      <c r="M641" s="16"/>
      <c r="N641" s="16">
        <v>23.0</v>
      </c>
      <c r="O641" s="16">
        <v>3.92</v>
      </c>
      <c r="P641" s="18">
        <v>1.0</v>
      </c>
      <c r="Q641" s="16">
        <v>287.0</v>
      </c>
      <c r="R641" s="16">
        <v>0.88</v>
      </c>
      <c r="S641" s="16">
        <v>0.99966</v>
      </c>
      <c r="T641" s="16">
        <v>0.99966</v>
      </c>
      <c r="U641" s="19">
        <f t="shared" si="1"/>
        <v>40</v>
      </c>
      <c r="V641" s="19">
        <f t="shared" si="2"/>
        <v>17.37951106</v>
      </c>
      <c r="W641" s="20">
        <f t="shared" si="3"/>
        <v>9.883029002</v>
      </c>
      <c r="X641" s="17">
        <f t="shared" ref="X641:X644" si="406">0.2*(8.17*POWER(N641*R641,0.46))+0.8*(0.146*POWER(N641*Q641,0.639))</f>
        <v>38.74147369</v>
      </c>
      <c r="Y641" s="21">
        <f t="shared" si="4"/>
        <v>4</v>
      </c>
      <c r="Z641" s="21">
        <f t="shared" si="5"/>
        <v>193.7073684</v>
      </c>
      <c r="AA641" s="21">
        <f t="shared" si="6"/>
        <v>49.41514501</v>
      </c>
      <c r="AB641" s="22">
        <f t="shared" si="7"/>
        <v>0.9685368422</v>
      </c>
      <c r="AC641" s="8">
        <f t="shared" si="390"/>
        <v>39.48996344</v>
      </c>
      <c r="AD641" s="13">
        <f t="shared" si="391"/>
        <v>0.987249086</v>
      </c>
      <c r="AE641" s="8">
        <f t="shared" si="392"/>
        <v>39.48996344</v>
      </c>
      <c r="AF641" s="73">
        <f t="shared" si="393"/>
        <v>3.332329604</v>
      </c>
      <c r="AG641" s="74" t="str">
        <f t="shared" si="394"/>
        <v>#REF!</v>
      </c>
      <c r="AH641" s="73">
        <f t="shared" si="395"/>
        <v>0</v>
      </c>
      <c r="AI641" s="73">
        <f t="shared" si="396"/>
        <v>1.123141633</v>
      </c>
      <c r="AJ641" s="75">
        <f t="shared" si="397"/>
        <v>1</v>
      </c>
      <c r="AK641" s="73">
        <f t="shared" si="398"/>
        <v>0.4660942911</v>
      </c>
      <c r="AL641" s="73">
        <f t="shared" si="399"/>
        <v>0.9146318149</v>
      </c>
      <c r="AM641" s="73">
        <f t="shared" si="400"/>
        <v>1.70328585</v>
      </c>
      <c r="AN641" s="75">
        <v>9.3</v>
      </c>
      <c r="AO641" s="76">
        <v>9.3</v>
      </c>
      <c r="AP641" s="73">
        <f t="shared" si="401"/>
        <v>9.3</v>
      </c>
      <c r="AQ641" s="29" t="str">
        <f t="shared" si="402"/>
        <v>#REF!</v>
      </c>
      <c r="AR641" s="77" t="str">
        <f t="shared" si="403"/>
        <v>#REF!</v>
      </c>
      <c r="AS641" s="73"/>
      <c r="AT641" s="39"/>
    </row>
    <row r="642" ht="15.75" customHeight="1">
      <c r="A642" s="7" t="s">
        <v>591</v>
      </c>
      <c r="B642" s="7" t="s">
        <v>590</v>
      </c>
      <c r="C642" s="7"/>
      <c r="D642" s="7"/>
      <c r="E642" s="18">
        <v>2026.0</v>
      </c>
      <c r="F642" s="7" t="b">
        <v>1</v>
      </c>
      <c r="G642" s="7" t="b">
        <v>0</v>
      </c>
      <c r="H642" s="7" t="b">
        <v>0</v>
      </c>
      <c r="I642" s="7" t="b">
        <v>0</v>
      </c>
      <c r="J642" s="9">
        <v>110.0</v>
      </c>
      <c r="K642" s="7">
        <v>1.0</v>
      </c>
      <c r="L642" s="7"/>
      <c r="M642" s="7"/>
      <c r="N642" s="7">
        <v>790.0</v>
      </c>
      <c r="O642" s="7">
        <v>1088.5</v>
      </c>
      <c r="P642" s="9">
        <v>304.0</v>
      </c>
      <c r="Q642" s="7">
        <v>344.0</v>
      </c>
      <c r="R642" s="7">
        <v>14.7</v>
      </c>
      <c r="S642" s="7">
        <v>0.997966</v>
      </c>
      <c r="T642" s="7">
        <v>0.997966</v>
      </c>
      <c r="U642" s="10">
        <f t="shared" si="1"/>
        <v>0</v>
      </c>
      <c r="V642" s="10">
        <f t="shared" si="2"/>
        <v>140.5014044</v>
      </c>
      <c r="W642" s="11">
        <f t="shared" si="3"/>
        <v>0.4297124846</v>
      </c>
      <c r="X642" s="8">
        <f t="shared" si="406"/>
        <v>467.7420395</v>
      </c>
      <c r="Y642" s="12">
        <f t="shared" si="4"/>
        <v>4</v>
      </c>
      <c r="Z642" s="12">
        <f t="shared" si="5"/>
        <v>2338.710198</v>
      </c>
      <c r="AA642" s="12">
        <f t="shared" si="6"/>
        <v>2.148562423</v>
      </c>
      <c r="AB642" s="13" t="str">
        <f t="shared" si="7"/>
        <v>#N/A</v>
      </c>
      <c r="AC642" s="8">
        <f t="shared" si="390"/>
        <v>475.1960408</v>
      </c>
      <c r="AD642" s="13" t="str">
        <f t="shared" si="391"/>
        <v>#N/A</v>
      </c>
      <c r="AE642" s="8">
        <f t="shared" si="392"/>
        <v>475.1960408</v>
      </c>
      <c r="AF642" s="73">
        <f t="shared" si="393"/>
        <v>142.0282951</v>
      </c>
      <c r="AG642" s="74" t="str">
        <f t="shared" si="394"/>
        <v>#REF!</v>
      </c>
      <c r="AH642" s="73">
        <f t="shared" si="395"/>
        <v>0</v>
      </c>
      <c r="AI642" s="73">
        <f t="shared" si="396"/>
        <v>0</v>
      </c>
      <c r="AJ642" s="75">
        <f t="shared" si="397"/>
        <v>1.296290656</v>
      </c>
      <c r="AK642" s="73">
        <f t="shared" si="398"/>
        <v>1.325242451</v>
      </c>
      <c r="AL642" s="73">
        <f t="shared" si="399"/>
        <v>1.625293069</v>
      </c>
      <c r="AM642" s="73">
        <f t="shared" si="400"/>
        <v>0.9309127151</v>
      </c>
      <c r="AN642" s="75">
        <v>388.04</v>
      </c>
      <c r="AO642" s="76">
        <v>390.0</v>
      </c>
      <c r="AP642" s="73">
        <f t="shared" si="401"/>
        <v>390</v>
      </c>
      <c r="AQ642" s="29" t="str">
        <f t="shared" si="402"/>
        <v>#REF!</v>
      </c>
      <c r="AR642" s="77" t="str">
        <f t="shared" si="403"/>
        <v>#REF!</v>
      </c>
      <c r="AS642" s="73"/>
      <c r="AT642" s="39"/>
    </row>
    <row r="643" ht="15.75" customHeight="1">
      <c r="A643" s="7" t="s">
        <v>594</v>
      </c>
      <c r="B643" s="7" t="s">
        <v>593</v>
      </c>
      <c r="C643" s="7"/>
      <c r="D643" s="7"/>
      <c r="E643" s="18">
        <v>2026.0</v>
      </c>
      <c r="F643" s="7" t="b">
        <v>1</v>
      </c>
      <c r="G643" s="7" t="b">
        <v>0</v>
      </c>
      <c r="H643" s="7" t="b">
        <v>0</v>
      </c>
      <c r="I643" s="7" t="b">
        <v>0</v>
      </c>
      <c r="J643" s="9">
        <v>250.0</v>
      </c>
      <c r="K643" s="7">
        <v>1.0</v>
      </c>
      <c r="L643" s="7"/>
      <c r="M643" s="7"/>
      <c r="N643" s="7">
        <v>1100.0</v>
      </c>
      <c r="O643" s="7">
        <v>1137.6</v>
      </c>
      <c r="P643" s="9">
        <v>251.0</v>
      </c>
      <c r="Q643" s="7">
        <v>360.0</v>
      </c>
      <c r="R643" s="7">
        <v>14.7</v>
      </c>
      <c r="S643" s="7">
        <v>0.998397</v>
      </c>
      <c r="T643" s="7">
        <v>0.998397</v>
      </c>
      <c r="U643" s="10">
        <f t="shared" si="1"/>
        <v>0</v>
      </c>
      <c r="V643" s="10">
        <f t="shared" si="2"/>
        <v>105.4571964</v>
      </c>
      <c r="W643" s="11">
        <f t="shared" si="3"/>
        <v>0.5115535032</v>
      </c>
      <c r="X643" s="8">
        <f t="shared" si="406"/>
        <v>581.9432653</v>
      </c>
      <c r="Y643" s="12">
        <f t="shared" si="4"/>
        <v>4</v>
      </c>
      <c r="Z643" s="12">
        <f t="shared" si="5"/>
        <v>2909.716326</v>
      </c>
      <c r="AA643" s="12">
        <f t="shared" si="6"/>
        <v>2.557767516</v>
      </c>
      <c r="AB643" s="13" t="str">
        <f t="shared" si="7"/>
        <v>#N/A</v>
      </c>
      <c r="AC643" s="8">
        <f t="shared" si="390"/>
        <v>591.7179158</v>
      </c>
      <c r="AD643" s="13" t="str">
        <f t="shared" si="391"/>
        <v>#N/A</v>
      </c>
      <c r="AE643" s="8">
        <f t="shared" si="392"/>
        <v>591.7179158</v>
      </c>
      <c r="AF643" s="73">
        <f t="shared" si="393"/>
        <v>147.5855721</v>
      </c>
      <c r="AG643" s="74" t="str">
        <f t="shared" si="394"/>
        <v>#REF!</v>
      </c>
      <c r="AH643" s="73">
        <f t="shared" si="395"/>
        <v>0</v>
      </c>
      <c r="AI643" s="73">
        <f t="shared" si="396"/>
        <v>0</v>
      </c>
      <c r="AJ643" s="75">
        <f t="shared" si="397"/>
        <v>1.020107657</v>
      </c>
      <c r="AK643" s="73">
        <f t="shared" si="398"/>
        <v>1.148135425</v>
      </c>
      <c r="AL643" s="73">
        <f t="shared" si="399"/>
        <v>1.98013598</v>
      </c>
      <c r="AM643" s="73">
        <f t="shared" si="400"/>
        <v>1.251730393</v>
      </c>
      <c r="AN643" s="75">
        <v>492.09</v>
      </c>
      <c r="AO643" s="76">
        <v>490.0</v>
      </c>
      <c r="AP643" s="73">
        <f t="shared" si="401"/>
        <v>490</v>
      </c>
      <c r="AQ643" s="29" t="str">
        <f t="shared" si="402"/>
        <v>#REF!</v>
      </c>
      <c r="AR643" s="77" t="str">
        <f t="shared" si="403"/>
        <v>#REF!</v>
      </c>
      <c r="AS643" s="73"/>
      <c r="AT643" s="39"/>
    </row>
    <row r="644" ht="15.75" customHeight="1">
      <c r="A644" s="16" t="s">
        <v>602</v>
      </c>
      <c r="B644" s="16" t="s">
        <v>596</v>
      </c>
      <c r="C644" s="16"/>
      <c r="D644" s="16"/>
      <c r="E644" s="18">
        <v>2026.0</v>
      </c>
      <c r="F644" s="16" t="b">
        <v>1</v>
      </c>
      <c r="G644" s="16" t="b">
        <v>0</v>
      </c>
      <c r="H644" s="16" t="b">
        <v>0</v>
      </c>
      <c r="I644" s="16" t="b">
        <v>0</v>
      </c>
      <c r="J644" s="18">
        <v>148.0</v>
      </c>
      <c r="K644" s="16">
        <v>1.0</v>
      </c>
      <c r="L644" s="16">
        <v>515.0</v>
      </c>
      <c r="M644" s="16"/>
      <c r="N644" s="16">
        <v>1090.0</v>
      </c>
      <c r="O644" s="16">
        <v>1653.4</v>
      </c>
      <c r="P644" s="18">
        <v>307.0</v>
      </c>
      <c r="Q644" s="16">
        <v>341.0</v>
      </c>
      <c r="R644" s="16">
        <v>14.7</v>
      </c>
      <c r="S644" s="16">
        <v>0.997966</v>
      </c>
      <c r="T644" s="16">
        <v>0.997966</v>
      </c>
      <c r="U644" s="19">
        <f t="shared" si="1"/>
        <v>515</v>
      </c>
      <c r="V644" s="19">
        <f t="shared" si="2"/>
        <v>154.6787873</v>
      </c>
      <c r="W644" s="20">
        <f t="shared" si="3"/>
        <v>0.3410295905</v>
      </c>
      <c r="X644" s="17">
        <f t="shared" si="406"/>
        <v>563.858325</v>
      </c>
      <c r="Y644" s="21">
        <f t="shared" si="4"/>
        <v>4</v>
      </c>
      <c r="Z644" s="21">
        <f t="shared" si="5"/>
        <v>2819.291625</v>
      </c>
      <c r="AA644" s="21">
        <f t="shared" si="6"/>
        <v>1.705147953</v>
      </c>
      <c r="AB644" s="22">
        <f t="shared" si="7"/>
        <v>1.094870534</v>
      </c>
      <c r="AC644" s="8">
        <f t="shared" si="390"/>
        <v>572.8440486</v>
      </c>
      <c r="AD644" s="13">
        <f t="shared" si="391"/>
        <v>1.112318541</v>
      </c>
      <c r="AE644" s="8">
        <f t="shared" si="392"/>
        <v>572.8440486</v>
      </c>
      <c r="AF644" s="73">
        <f t="shared" si="393"/>
        <v>205.1052828</v>
      </c>
      <c r="AG644" s="74" t="str">
        <f t="shared" si="394"/>
        <v>#REF!</v>
      </c>
      <c r="AH644" s="73">
        <f t="shared" si="395"/>
        <v>0</v>
      </c>
      <c r="AI644" s="73">
        <f t="shared" si="396"/>
        <v>0</v>
      </c>
      <c r="AJ644" s="75">
        <f t="shared" si="397"/>
        <v>1.329814999</v>
      </c>
      <c r="AK644" s="73">
        <f t="shared" si="398"/>
        <v>1.390498055</v>
      </c>
      <c r="AL644" s="73">
        <f t="shared" si="399"/>
        <v>1.567353214</v>
      </c>
      <c r="AM644" s="73">
        <f t="shared" si="400"/>
        <v>1.054841267</v>
      </c>
      <c r="AN644" s="75">
        <v>645.8</v>
      </c>
      <c r="AO644" s="76">
        <v>650.0</v>
      </c>
      <c r="AP644" s="73">
        <f t="shared" si="401"/>
        <v>650</v>
      </c>
      <c r="AQ644" s="29" t="str">
        <f t="shared" si="402"/>
        <v>#REF!</v>
      </c>
      <c r="AR644" s="77" t="str">
        <f t="shared" si="403"/>
        <v>#REF!</v>
      </c>
      <c r="AS644" s="73"/>
      <c r="AT644" s="39"/>
    </row>
    <row r="645" ht="15.75" hidden="1" customHeight="1">
      <c r="A645" s="16" t="s">
        <v>922</v>
      </c>
      <c r="B645" s="16" t="s">
        <v>922</v>
      </c>
      <c r="C645" s="16">
        <v>1967.0</v>
      </c>
      <c r="D645" s="16"/>
      <c r="E645" s="16">
        <v>1967.0</v>
      </c>
      <c r="F645" s="16" t="b">
        <v>0</v>
      </c>
      <c r="G645" s="16" t="b">
        <v>1</v>
      </c>
      <c r="H645" s="16" t="b">
        <v>0</v>
      </c>
      <c r="I645" s="16" t="b">
        <v>0</v>
      </c>
      <c r="J645" s="16"/>
      <c r="K645" s="16"/>
      <c r="L645" s="16">
        <v>300.0</v>
      </c>
      <c r="M645" s="16">
        <v>0.0</v>
      </c>
      <c r="N645" s="16">
        <v>35.0</v>
      </c>
      <c r="O645" s="16">
        <v>34.35</v>
      </c>
      <c r="P645" s="16"/>
      <c r="Q645" s="16">
        <v>278.0</v>
      </c>
      <c r="R645" s="16"/>
      <c r="S645" s="16"/>
      <c r="T645" s="16"/>
      <c r="U645" s="19">
        <f t="shared" si="1"/>
        <v>300</v>
      </c>
      <c r="V645" s="19">
        <f t="shared" si="2"/>
        <v>100.0778623</v>
      </c>
      <c r="W645" s="20">
        <f t="shared" si="3"/>
        <v>1.202043561</v>
      </c>
      <c r="X645" s="17">
        <f>0.2*(8.17*POW(N645*R645,0.46))+0.8*(0.146*POW(N645*Q645,0.639))</f>
        <v>41.29019631</v>
      </c>
      <c r="Y645" s="21">
        <f t="shared" si="4"/>
        <v>1.05</v>
      </c>
      <c r="Z645" s="21">
        <f t="shared" si="5"/>
        <v>84.64490244</v>
      </c>
      <c r="AA645" s="21">
        <f t="shared" si="6"/>
        <v>2.4641893</v>
      </c>
      <c r="AB645" s="22">
        <f t="shared" si="7"/>
        <v>0.1376339877</v>
      </c>
      <c r="AC645" s="17">
        <f>IF(I645,X645*1.5,X645)*IF(S645*T645&gt;0,(S645*T645+0.02),1)</f>
        <v>41.29019631</v>
      </c>
      <c r="AG645" s="16"/>
    </row>
    <row r="646" ht="15.75" customHeight="1">
      <c r="A646" s="7" t="s">
        <v>603</v>
      </c>
      <c r="B646" s="7" t="s">
        <v>596</v>
      </c>
      <c r="C646" s="7"/>
      <c r="D646" s="7"/>
      <c r="E646" s="18">
        <v>2026.0</v>
      </c>
      <c r="F646" s="7" t="b">
        <v>1</v>
      </c>
      <c r="G646" s="7" t="b">
        <v>0</v>
      </c>
      <c r="H646" s="7" t="b">
        <v>0</v>
      </c>
      <c r="I646" s="7" t="b">
        <v>0</v>
      </c>
      <c r="J646" s="9">
        <v>148.0</v>
      </c>
      <c r="K646" s="7">
        <v>1.0</v>
      </c>
      <c r="L646" s="7">
        <v>515.0</v>
      </c>
      <c r="M646" s="7"/>
      <c r="N646" s="7">
        <v>1080.0</v>
      </c>
      <c r="O646" s="7">
        <v>1633.8</v>
      </c>
      <c r="P646" s="9">
        <v>272.0</v>
      </c>
      <c r="Q646" s="7">
        <v>302.0</v>
      </c>
      <c r="R646" s="7">
        <v>14.7</v>
      </c>
      <c r="S646" s="7">
        <v>0.997966</v>
      </c>
      <c r="T646" s="7">
        <v>0.997966</v>
      </c>
      <c r="U646" s="10">
        <f t="shared" si="1"/>
        <v>515</v>
      </c>
      <c r="V646" s="10">
        <f t="shared" si="2"/>
        <v>154.2604022</v>
      </c>
      <c r="W646" s="11">
        <f t="shared" si="3"/>
        <v>0.323995225</v>
      </c>
      <c r="X646" s="8">
        <f t="shared" ref="X646:X649" si="407">0.2*(8.17*POWER(N646*R646,0.46))+0.8*(0.146*POWER(N646*Q646,0.639))</f>
        <v>529.3433985</v>
      </c>
      <c r="Y646" s="12">
        <f t="shared" si="4"/>
        <v>4</v>
      </c>
      <c r="Z646" s="12">
        <f t="shared" si="5"/>
        <v>2646.716993</v>
      </c>
      <c r="AA646" s="12">
        <f t="shared" si="6"/>
        <v>1.619976125</v>
      </c>
      <c r="AB646" s="13">
        <f t="shared" si="7"/>
        <v>1.027851259</v>
      </c>
      <c r="AC646" s="8">
        <f t="shared" ref="AC646:AC663" si="408">X646*IF(I646,1.5,1)*IF(S646*T646&gt;0,(S646*T646+0.02),1)</f>
        <v>537.7790875</v>
      </c>
      <c r="AD646" s="13">
        <f t="shared" ref="AD646:AD663" si="409">IFERROR(AC646/U646,#N/A)</f>
        <v>1.044231238</v>
      </c>
      <c r="AE646" s="8">
        <f t="shared" ref="AE646:AE663" si="410">IF(I646,1.5,1)*IF(S646*T646&gt;0,(S646*T646+0.02),1)*(0.2*(8.17*POWER(N646*R646,0.46))+0.8*(0.146*POWER(N646*Q646,0.639)))</f>
        <v>537.7790875</v>
      </c>
      <c r="AF646" s="73">
        <f t="shared" ref="AF646:AF663" si="411">If(F646,$AT$2*O646*(1-log(O646)*0.04+1/(O646/80)^0.6),$AT$3*O646*(1+1/(O646/12)^0.9-log(O646)*0.03))</f>
        <v>202.9432652</v>
      </c>
      <c r="AG646" s="74" t="str">
        <f t="shared" ref="AG646:AG663" si="412">If(F646,VLOOKUP(E646,#REF!,2),VLOOKUP(E646,#REF!,3))</f>
        <v>#REF!</v>
      </c>
      <c r="AH646" s="73">
        <f t="shared" ref="AH646:AH663" si="413">If(I646,2,0)</f>
        <v>0</v>
      </c>
      <c r="AI646" s="73">
        <f t="shared" ref="AI646:AI663" si="414">1.5-1.5/K646^0.2</f>
        <v>0</v>
      </c>
      <c r="AJ646" s="75">
        <f t="shared" ref="AJ646:AJ663" si="415">If(P646/Q646 &gt; 0.66,1+2.8*(P646/Q646-0.66)^1.5,1)</f>
        <v>1.330574991</v>
      </c>
      <c r="AK646" s="73">
        <f t="shared" ref="AK646:AK663" si="416">Max(0.8,Pow(V646/5,0.5))/4</f>
        <v>1.388616228</v>
      </c>
      <c r="AL646" s="73">
        <f t="shared" ref="AL646:AL663" si="417">IF(Q646&gt;300,IF(Q646&gt;460.39,7.5*8.5^((Q646/460.4-1)^0.6),6.5^((Q646/150-2)^1.1)),2.8^(Q646/150-2))</f>
        <v>1.016338664</v>
      </c>
      <c r="AM646" s="73">
        <f t="shared" ref="AM646:AM663" si="418">If(ISBLANK(J646),1,2.6*(1-1/((J646*0.05)^0.26)))</f>
        <v>1.054841267</v>
      </c>
      <c r="AN646" s="75">
        <v>414.26</v>
      </c>
      <c r="AO646" s="76">
        <v>410.0</v>
      </c>
      <c r="AP646" s="73">
        <f t="shared" ref="AP646:AP663" si="419">If(MOD(Log10(AO646),1)&gt;0.2,ROUND(AO646,1-INT(LOG10(AO646))), ROUND(2*AO646,1-INT(LOG10(2*AO646)))/2)</f>
        <v>410</v>
      </c>
      <c r="AQ646" s="29" t="str">
        <f t="shared" ref="AQ646:AQ663" si="420">VLOOKUP(A646,#REF!,27,FALSE)</f>
        <v>#REF!</v>
      </c>
      <c r="AR646" s="77" t="str">
        <f t="shared" ref="AR646:AR663" si="421">AP646/AQ646-1</f>
        <v>#REF!</v>
      </c>
      <c r="AS646" s="73"/>
      <c r="AT646" s="39"/>
    </row>
    <row r="647" ht="15.75" customHeight="1">
      <c r="A647" s="16" t="s">
        <v>611</v>
      </c>
      <c r="B647" s="16" t="s">
        <v>605</v>
      </c>
      <c r="C647" s="16"/>
      <c r="D647" s="16"/>
      <c r="E647" s="18">
        <v>2026.0</v>
      </c>
      <c r="F647" s="16" t="b">
        <v>1</v>
      </c>
      <c r="G647" s="16" t="b">
        <v>0</v>
      </c>
      <c r="H647" s="16" t="b">
        <v>1</v>
      </c>
      <c r="I647" s="16" t="b">
        <v>0</v>
      </c>
      <c r="J647" s="18">
        <v>225.0</v>
      </c>
      <c r="K647" s="16">
        <v>1.0</v>
      </c>
      <c r="L647" s="16">
        <v>525.0</v>
      </c>
      <c r="M647" s="16"/>
      <c r="N647" s="16">
        <v>1450.0</v>
      </c>
      <c r="O647" s="16">
        <v>1726.0</v>
      </c>
      <c r="P647" s="18">
        <v>259.0</v>
      </c>
      <c r="Q647" s="16">
        <v>357.0</v>
      </c>
      <c r="R647" s="16">
        <v>14.71</v>
      </c>
      <c r="S647" s="16">
        <v>0.997966</v>
      </c>
      <c r="T647" s="16">
        <v>0.997966</v>
      </c>
      <c r="U647" s="19">
        <f t="shared" si="1"/>
        <v>525</v>
      </c>
      <c r="V647" s="19">
        <f t="shared" si="2"/>
        <v>121.3813916</v>
      </c>
      <c r="W647" s="20">
        <f t="shared" si="3"/>
        <v>0.3959583113</v>
      </c>
      <c r="X647" s="17">
        <f t="shared" si="407"/>
        <v>683.4240453</v>
      </c>
      <c r="Y647" s="21">
        <f t="shared" si="4"/>
        <v>4</v>
      </c>
      <c r="Z647" s="21">
        <f t="shared" si="5"/>
        <v>3417.120226</v>
      </c>
      <c r="AA647" s="21">
        <f t="shared" si="6"/>
        <v>1.979791556</v>
      </c>
      <c r="AB647" s="22">
        <f t="shared" si="7"/>
        <v>1.301760086</v>
      </c>
      <c r="AC647" s="8">
        <f t="shared" si="408"/>
        <v>694.3151846</v>
      </c>
      <c r="AD647" s="13">
        <f t="shared" si="409"/>
        <v>1.322505114</v>
      </c>
      <c r="AE647" s="8">
        <f t="shared" si="410"/>
        <v>694.3151846</v>
      </c>
      <c r="AF647" s="73">
        <f t="shared" si="411"/>
        <v>213.1000811</v>
      </c>
      <c r="AG647" s="74" t="str">
        <f t="shared" si="412"/>
        <v>#REF!</v>
      </c>
      <c r="AH647" s="73">
        <f t="shared" si="413"/>
        <v>0</v>
      </c>
      <c r="AI647" s="73">
        <f t="shared" si="414"/>
        <v>0</v>
      </c>
      <c r="AJ647" s="75">
        <f t="shared" si="415"/>
        <v>1.046926965</v>
      </c>
      <c r="AK647" s="73">
        <f t="shared" si="416"/>
        <v>1.231774084</v>
      </c>
      <c r="AL647" s="73">
        <f t="shared" si="417"/>
        <v>1.9072965</v>
      </c>
      <c r="AM647" s="73">
        <f t="shared" si="418"/>
        <v>1.214285721</v>
      </c>
      <c r="AN647" s="75">
        <v>690.84</v>
      </c>
      <c r="AO647" s="76">
        <v>690.0</v>
      </c>
      <c r="AP647" s="73">
        <f t="shared" si="419"/>
        <v>690</v>
      </c>
      <c r="AQ647" s="29" t="str">
        <f t="shared" si="420"/>
        <v>#REF!</v>
      </c>
      <c r="AR647" s="77" t="str">
        <f t="shared" si="421"/>
        <v>#REF!</v>
      </c>
      <c r="AS647" s="73"/>
      <c r="AT647" s="39"/>
    </row>
    <row r="648" ht="15.75" customHeight="1">
      <c r="A648" s="7" t="s">
        <v>612</v>
      </c>
      <c r="B648" s="7" t="s">
        <v>605</v>
      </c>
      <c r="C648" s="7"/>
      <c r="D648" s="7"/>
      <c r="E648" s="18">
        <v>2026.0</v>
      </c>
      <c r="F648" s="7" t="b">
        <v>1</v>
      </c>
      <c r="G648" s="7" t="b">
        <v>0</v>
      </c>
      <c r="H648" s="7" t="b">
        <v>1</v>
      </c>
      <c r="I648" s="7" t="b">
        <v>0</v>
      </c>
      <c r="J648" s="9">
        <v>225.0</v>
      </c>
      <c r="K648" s="7">
        <v>1.0</v>
      </c>
      <c r="L648" s="7">
        <v>525.0</v>
      </c>
      <c r="M648" s="7"/>
      <c r="N648" s="7">
        <v>1440.0</v>
      </c>
      <c r="O648" s="7">
        <v>1696.6</v>
      </c>
      <c r="P648" s="9">
        <v>230.0</v>
      </c>
      <c r="Q648" s="7">
        <v>314.0</v>
      </c>
      <c r="R648" s="7">
        <v>14.71</v>
      </c>
      <c r="S648" s="7">
        <v>0.997966</v>
      </c>
      <c r="T648" s="7">
        <v>0.997966</v>
      </c>
      <c r="U648" s="10">
        <f t="shared" si="1"/>
        <v>525</v>
      </c>
      <c r="V648" s="10">
        <f t="shared" si="2"/>
        <v>120.1423974</v>
      </c>
      <c r="W648" s="11">
        <f t="shared" si="3"/>
        <v>0.3769821542</v>
      </c>
      <c r="X648" s="8">
        <f t="shared" si="407"/>
        <v>639.5879228</v>
      </c>
      <c r="Y648" s="12">
        <f t="shared" si="4"/>
        <v>4</v>
      </c>
      <c r="Z648" s="12">
        <f t="shared" si="5"/>
        <v>3197.939614</v>
      </c>
      <c r="AA648" s="12">
        <f t="shared" si="6"/>
        <v>1.884910771</v>
      </c>
      <c r="AB648" s="13">
        <f t="shared" si="7"/>
        <v>1.21826271</v>
      </c>
      <c r="AC648" s="8">
        <f t="shared" si="408"/>
        <v>649.7804836</v>
      </c>
      <c r="AD648" s="13">
        <f t="shared" si="409"/>
        <v>1.237677112</v>
      </c>
      <c r="AE648" s="8">
        <f t="shared" si="410"/>
        <v>649.7804836</v>
      </c>
      <c r="AF648" s="73">
        <f t="shared" si="411"/>
        <v>209.8650332</v>
      </c>
      <c r="AG648" s="74" t="str">
        <f t="shared" si="412"/>
        <v>#REF!</v>
      </c>
      <c r="AH648" s="73">
        <f t="shared" si="413"/>
        <v>0</v>
      </c>
      <c r="AI648" s="73">
        <f t="shared" si="414"/>
        <v>0</v>
      </c>
      <c r="AJ648" s="75">
        <f t="shared" si="415"/>
        <v>1.054641416</v>
      </c>
      <c r="AK648" s="73">
        <f t="shared" si="416"/>
        <v>1.225471324</v>
      </c>
      <c r="AL648" s="73">
        <f t="shared" si="417"/>
        <v>1.14776462</v>
      </c>
      <c r="AM648" s="73">
        <f t="shared" si="418"/>
        <v>1.214285721</v>
      </c>
      <c r="AN648" s="75">
        <v>411.27</v>
      </c>
      <c r="AO648" s="76">
        <v>410.0</v>
      </c>
      <c r="AP648" s="73">
        <f t="shared" si="419"/>
        <v>410</v>
      </c>
      <c r="AQ648" s="29" t="str">
        <f t="shared" si="420"/>
        <v>#REF!</v>
      </c>
      <c r="AR648" s="77" t="str">
        <f t="shared" si="421"/>
        <v>#REF!</v>
      </c>
      <c r="AS648" s="73"/>
      <c r="AT648" s="39"/>
    </row>
    <row r="649" ht="15.75" customHeight="1">
      <c r="A649" s="7" t="s">
        <v>623</v>
      </c>
      <c r="B649" s="7" t="s">
        <v>624</v>
      </c>
      <c r="C649" s="7"/>
      <c r="D649" s="7"/>
      <c r="E649" s="18">
        <v>2026.0</v>
      </c>
      <c r="F649" s="7" t="b">
        <v>1</v>
      </c>
      <c r="G649" s="7" t="b">
        <v>0</v>
      </c>
      <c r="H649" s="7" t="b">
        <v>1</v>
      </c>
      <c r="I649" s="7" t="b">
        <v>1</v>
      </c>
      <c r="J649" s="9">
        <v>910.0</v>
      </c>
      <c r="K649" s="9">
        <v>12.0</v>
      </c>
      <c r="L649" s="7"/>
      <c r="M649" s="7"/>
      <c r="N649" s="7">
        <v>222.0</v>
      </c>
      <c r="O649" s="7">
        <v>117.68</v>
      </c>
      <c r="P649" s="9">
        <v>227.0</v>
      </c>
      <c r="Q649" s="7">
        <v>331.0</v>
      </c>
      <c r="R649" s="7">
        <v>14.71</v>
      </c>
      <c r="S649" s="7">
        <v>0.996512</v>
      </c>
      <c r="T649" s="7">
        <v>0.99625</v>
      </c>
      <c r="U649" s="10">
        <f t="shared" si="1"/>
        <v>0</v>
      </c>
      <c r="V649" s="10">
        <f t="shared" si="2"/>
        <v>54.05414576</v>
      </c>
      <c r="W649" s="11">
        <f t="shared" si="3"/>
        <v>1.851196009</v>
      </c>
      <c r="X649" s="8">
        <f t="shared" si="407"/>
        <v>217.8487464</v>
      </c>
      <c r="Y649" s="12">
        <f t="shared" si="4"/>
        <v>4</v>
      </c>
      <c r="Z649" s="12">
        <f t="shared" si="5"/>
        <v>1089.243732</v>
      </c>
      <c r="AA649" s="12">
        <f t="shared" si="6"/>
        <v>9.255980047</v>
      </c>
      <c r="AB649" s="13" t="str">
        <f t="shared" si="7"/>
        <v>#N/A</v>
      </c>
      <c r="AC649" s="8">
        <f t="shared" si="408"/>
        <v>330.9476723</v>
      </c>
      <c r="AD649" s="13" t="str">
        <f t="shared" si="409"/>
        <v>#N/A</v>
      </c>
      <c r="AE649" s="8">
        <f t="shared" si="410"/>
        <v>330.9476723</v>
      </c>
      <c r="AF649" s="73">
        <f t="shared" si="411"/>
        <v>24.15446942</v>
      </c>
      <c r="AG649" s="74" t="str">
        <f t="shared" si="412"/>
        <v>#REF!</v>
      </c>
      <c r="AH649" s="73">
        <f t="shared" si="413"/>
        <v>2</v>
      </c>
      <c r="AI649" s="73">
        <f t="shared" si="414"/>
        <v>0.5874534872</v>
      </c>
      <c r="AJ649" s="75">
        <f t="shared" si="415"/>
        <v>1.01160387</v>
      </c>
      <c r="AK649" s="73">
        <f t="shared" si="416"/>
        <v>0.8219956338</v>
      </c>
      <c r="AL649" s="73">
        <f t="shared" si="417"/>
        <v>1.391543035</v>
      </c>
      <c r="AM649" s="73">
        <f t="shared" si="418"/>
        <v>1.636414214</v>
      </c>
      <c r="AN649" s="75">
        <v>137.22</v>
      </c>
      <c r="AO649" s="76">
        <v>135.0</v>
      </c>
      <c r="AP649" s="73">
        <f t="shared" si="419"/>
        <v>135</v>
      </c>
      <c r="AQ649" s="29" t="str">
        <f t="shared" si="420"/>
        <v>#REF!</v>
      </c>
      <c r="AR649" s="77" t="str">
        <f t="shared" si="421"/>
        <v>#REF!</v>
      </c>
      <c r="AS649" s="73"/>
      <c r="AT649" s="39"/>
    </row>
    <row r="650" ht="15.75" customHeight="1">
      <c r="A650" s="7" t="s">
        <v>690</v>
      </c>
      <c r="B650" s="7" t="s">
        <v>687</v>
      </c>
      <c r="C650" s="7"/>
      <c r="D650" s="7" t="b">
        <v>1</v>
      </c>
      <c r="E650" s="18">
        <v>2026.0</v>
      </c>
      <c r="F650" s="7" t="b">
        <v>1</v>
      </c>
      <c r="G650" s="7" t="b">
        <v>0</v>
      </c>
      <c r="H650" s="7" t="b">
        <v>1</v>
      </c>
      <c r="I650" s="7" t="b">
        <v>0</v>
      </c>
      <c r="J650" s="7"/>
      <c r="K650" s="7">
        <v>1.0</v>
      </c>
      <c r="L650" s="7">
        <v>1300.0</v>
      </c>
      <c r="M650" s="7">
        <v>0.0</v>
      </c>
      <c r="N650" s="7">
        <v>1780.0</v>
      </c>
      <c r="O650" s="7">
        <v>889.644</v>
      </c>
      <c r="P650" s="7"/>
      <c r="Q650" s="7">
        <v>422.0</v>
      </c>
      <c r="R650" s="7">
        <v>2.5</v>
      </c>
      <c r="S650" s="9">
        <v>1.0</v>
      </c>
      <c r="T650" s="9">
        <v>1.0</v>
      </c>
      <c r="U650" s="10">
        <f t="shared" si="1"/>
        <v>1300</v>
      </c>
      <c r="V650" s="10">
        <f t="shared" si="2"/>
        <v>50.96541618</v>
      </c>
      <c r="W650" s="11">
        <f t="shared" si="3"/>
        <v>1.386186932</v>
      </c>
      <c r="X650" s="8">
        <f t="shared" ref="X650:X656" si="422">0.9*(0.00015*N650*Q650*R650+797)+0.1*(43.1*POWER(N650,0.549))</f>
        <v>1233.212887</v>
      </c>
      <c r="Y650" s="12">
        <f t="shared" si="4"/>
        <v>4</v>
      </c>
      <c r="Z650" s="12">
        <f t="shared" si="5"/>
        <v>6166.064437</v>
      </c>
      <c r="AA650" s="12">
        <f t="shared" si="6"/>
        <v>6.930934662</v>
      </c>
      <c r="AB650" s="13">
        <f t="shared" si="7"/>
        <v>0.948625298</v>
      </c>
      <c r="AC650" s="8">
        <f t="shared" si="408"/>
        <v>1257.877145</v>
      </c>
      <c r="AD650" s="13">
        <f t="shared" si="409"/>
        <v>0.9675978039</v>
      </c>
      <c r="AE650" s="8">
        <f t="shared" si="410"/>
        <v>756.5245863</v>
      </c>
      <c r="AF650" s="73">
        <f t="shared" si="411"/>
        <v>119.323911</v>
      </c>
      <c r="AG650" s="74" t="str">
        <f t="shared" si="412"/>
        <v>#REF!</v>
      </c>
      <c r="AH650" s="73">
        <f t="shared" si="413"/>
        <v>0</v>
      </c>
      <c r="AI650" s="73">
        <f t="shared" si="414"/>
        <v>0</v>
      </c>
      <c r="AJ650" s="75">
        <f t="shared" si="415"/>
        <v>1</v>
      </c>
      <c r="AK650" s="73">
        <f t="shared" si="416"/>
        <v>0.7981652098</v>
      </c>
      <c r="AL650" s="73">
        <f t="shared" si="417"/>
        <v>4.442720413</v>
      </c>
      <c r="AM650" s="73">
        <f t="shared" si="418"/>
        <v>1</v>
      </c>
      <c r="AN650" s="75">
        <v>671.76</v>
      </c>
      <c r="AO650" s="76">
        <v>670.0</v>
      </c>
      <c r="AP650" s="73">
        <f t="shared" si="419"/>
        <v>670</v>
      </c>
      <c r="AQ650" s="29" t="str">
        <f t="shared" si="420"/>
        <v>#REF!</v>
      </c>
      <c r="AR650" s="77" t="str">
        <f t="shared" si="421"/>
        <v>#REF!</v>
      </c>
      <c r="AS650" s="73"/>
      <c r="AT650" s="39"/>
    </row>
    <row r="651" ht="15.75" customHeight="1">
      <c r="A651" s="16" t="s">
        <v>689</v>
      </c>
      <c r="B651" s="16" t="s">
        <v>687</v>
      </c>
      <c r="C651" s="16"/>
      <c r="D651" s="16" t="b">
        <v>1</v>
      </c>
      <c r="E651" s="18">
        <v>2026.0</v>
      </c>
      <c r="F651" s="16" t="b">
        <v>1</v>
      </c>
      <c r="G651" s="16" t="b">
        <v>0</v>
      </c>
      <c r="H651" s="16" t="b">
        <v>1</v>
      </c>
      <c r="I651" s="16" t="b">
        <v>0</v>
      </c>
      <c r="J651" s="16"/>
      <c r="K651" s="16">
        <v>1.0</v>
      </c>
      <c r="L651" s="16">
        <v>1300.0</v>
      </c>
      <c r="M651" s="16">
        <v>5.0</v>
      </c>
      <c r="N651" s="16">
        <v>1780.0</v>
      </c>
      <c r="O651" s="16">
        <v>1000.8495</v>
      </c>
      <c r="P651" s="16"/>
      <c r="Q651" s="16">
        <v>427.0</v>
      </c>
      <c r="R651" s="16">
        <v>2.5</v>
      </c>
      <c r="S651" s="18">
        <v>1.0</v>
      </c>
      <c r="T651" s="18">
        <v>1.0</v>
      </c>
      <c r="U651" s="19">
        <f t="shared" si="1"/>
        <v>1305</v>
      </c>
      <c r="V651" s="19">
        <f t="shared" si="2"/>
        <v>57.3360932</v>
      </c>
      <c r="W651" s="20">
        <f t="shared" si="3"/>
        <v>1.235167363</v>
      </c>
      <c r="X651" s="17">
        <f t="shared" si="422"/>
        <v>1236.216637</v>
      </c>
      <c r="Y651" s="21">
        <f t="shared" si="4"/>
        <v>4</v>
      </c>
      <c r="Z651" s="21">
        <f t="shared" si="5"/>
        <v>6181.083187</v>
      </c>
      <c r="AA651" s="21">
        <f t="shared" si="6"/>
        <v>6.175836813</v>
      </c>
      <c r="AB651" s="22">
        <f t="shared" si="7"/>
        <v>0.9472924424</v>
      </c>
      <c r="AC651" s="8">
        <f t="shared" si="408"/>
        <v>1260.94097</v>
      </c>
      <c r="AD651" s="13">
        <f t="shared" si="409"/>
        <v>0.9662382913</v>
      </c>
      <c r="AE651" s="8">
        <f t="shared" si="410"/>
        <v>761.639869</v>
      </c>
      <c r="AF651" s="73">
        <f t="shared" si="411"/>
        <v>132.0623453</v>
      </c>
      <c r="AG651" s="74" t="str">
        <f t="shared" si="412"/>
        <v>#REF!</v>
      </c>
      <c r="AH651" s="73">
        <f t="shared" si="413"/>
        <v>0</v>
      </c>
      <c r="AI651" s="73">
        <f t="shared" si="414"/>
        <v>0</v>
      </c>
      <c r="AJ651" s="75">
        <f t="shared" si="415"/>
        <v>1</v>
      </c>
      <c r="AK651" s="73">
        <f t="shared" si="416"/>
        <v>0.8465820486</v>
      </c>
      <c r="AL651" s="73">
        <f t="shared" si="417"/>
        <v>4.752316783</v>
      </c>
      <c r="AM651" s="73">
        <f t="shared" si="418"/>
        <v>1</v>
      </c>
      <c r="AN651" s="75">
        <v>816.7</v>
      </c>
      <c r="AO651" s="76">
        <v>820.0</v>
      </c>
      <c r="AP651" s="73">
        <f t="shared" si="419"/>
        <v>820</v>
      </c>
      <c r="AQ651" s="29" t="str">
        <f t="shared" si="420"/>
        <v>#REF!</v>
      </c>
      <c r="AR651" s="77" t="str">
        <f t="shared" si="421"/>
        <v>#REF!</v>
      </c>
      <c r="AS651" s="73"/>
      <c r="AT651" s="39"/>
    </row>
    <row r="652" ht="15.75" customHeight="1">
      <c r="A652" s="7" t="s">
        <v>688</v>
      </c>
      <c r="B652" s="7" t="s">
        <v>687</v>
      </c>
      <c r="C652" s="7"/>
      <c r="D652" s="7" t="b">
        <v>1</v>
      </c>
      <c r="E652" s="18">
        <v>2026.0</v>
      </c>
      <c r="F652" s="7" t="b">
        <v>1</v>
      </c>
      <c r="G652" s="7" t="b">
        <v>0</v>
      </c>
      <c r="H652" s="7" t="b">
        <v>1</v>
      </c>
      <c r="I652" s="7" t="b">
        <v>0</v>
      </c>
      <c r="J652" s="7"/>
      <c r="K652" s="7">
        <v>1.0</v>
      </c>
      <c r="L652" s="7">
        <v>1300.0</v>
      </c>
      <c r="M652" s="7">
        <v>10.0</v>
      </c>
      <c r="N652" s="7">
        <v>1780.0</v>
      </c>
      <c r="O652" s="7">
        <v>1023.0906</v>
      </c>
      <c r="P652" s="7"/>
      <c r="Q652" s="7">
        <v>435.0</v>
      </c>
      <c r="R652" s="7">
        <v>2.5</v>
      </c>
      <c r="S652" s="9">
        <v>1.0</v>
      </c>
      <c r="T652" s="9">
        <v>1.0</v>
      </c>
      <c r="U652" s="10">
        <f t="shared" si="1"/>
        <v>1310</v>
      </c>
      <c r="V652" s="10">
        <f t="shared" si="2"/>
        <v>58.6102286</v>
      </c>
      <c r="W652" s="11">
        <f t="shared" si="3"/>
        <v>1.213013429</v>
      </c>
      <c r="X652" s="8">
        <f t="shared" si="422"/>
        <v>1241.022637</v>
      </c>
      <c r="Y652" s="12">
        <f t="shared" si="4"/>
        <v>4</v>
      </c>
      <c r="Z652" s="12">
        <f t="shared" si="5"/>
        <v>6205.113187</v>
      </c>
      <c r="AA652" s="12">
        <f t="shared" si="6"/>
        <v>6.065067147</v>
      </c>
      <c r="AB652" s="13">
        <f t="shared" si="7"/>
        <v>0.9473455247</v>
      </c>
      <c r="AC652" s="8">
        <f t="shared" si="408"/>
        <v>1265.84309</v>
      </c>
      <c r="AD652" s="13">
        <f t="shared" si="409"/>
        <v>0.9662924352</v>
      </c>
      <c r="AE652" s="8">
        <f t="shared" si="410"/>
        <v>769.7795805</v>
      </c>
      <c r="AF652" s="73">
        <f t="shared" si="411"/>
        <v>134.5969851</v>
      </c>
      <c r="AG652" s="74" t="str">
        <f t="shared" si="412"/>
        <v>#REF!</v>
      </c>
      <c r="AH652" s="73">
        <f t="shared" si="413"/>
        <v>0</v>
      </c>
      <c r="AI652" s="73">
        <f t="shared" si="414"/>
        <v>0</v>
      </c>
      <c r="AJ652" s="75">
        <f t="shared" si="415"/>
        <v>1</v>
      </c>
      <c r="AK652" s="73">
        <f t="shared" si="416"/>
        <v>0.8559368303</v>
      </c>
      <c r="AL652" s="73">
        <f t="shared" si="417"/>
        <v>5.296074424</v>
      </c>
      <c r="AM652" s="73">
        <f t="shared" si="418"/>
        <v>1</v>
      </c>
      <c r="AN652" s="75">
        <v>932.31</v>
      </c>
      <c r="AO652" s="76">
        <v>930.0</v>
      </c>
      <c r="AP652" s="73">
        <f t="shared" si="419"/>
        <v>930</v>
      </c>
      <c r="AQ652" s="29" t="str">
        <f t="shared" si="420"/>
        <v>#REF!</v>
      </c>
      <c r="AR652" s="77" t="str">
        <f t="shared" si="421"/>
        <v>#REF!</v>
      </c>
      <c r="AS652" s="73"/>
      <c r="AT652" s="39"/>
    </row>
    <row r="653" ht="15.75" customHeight="1">
      <c r="A653" s="16" t="s">
        <v>686</v>
      </c>
      <c r="B653" s="16" t="s">
        <v>687</v>
      </c>
      <c r="C653" s="16"/>
      <c r="D653" s="16" t="b">
        <v>1</v>
      </c>
      <c r="E653" s="18">
        <v>2026.0</v>
      </c>
      <c r="F653" s="16" t="b">
        <v>1</v>
      </c>
      <c r="G653" s="16" t="b">
        <v>0</v>
      </c>
      <c r="H653" s="16" t="b">
        <v>1</v>
      </c>
      <c r="I653" s="16" t="b">
        <v>0</v>
      </c>
      <c r="J653" s="18"/>
      <c r="K653" s="16">
        <v>1.0</v>
      </c>
      <c r="L653" s="16">
        <v>1300.0</v>
      </c>
      <c r="M653" s="16">
        <v>-284.0</v>
      </c>
      <c r="N653" s="16">
        <v>1845.0</v>
      </c>
      <c r="O653" s="16">
        <v>1178.7783</v>
      </c>
      <c r="P653" s="16"/>
      <c r="Q653" s="16">
        <v>444.0</v>
      </c>
      <c r="R653" s="16">
        <v>4.0</v>
      </c>
      <c r="S653" s="18">
        <v>1.0</v>
      </c>
      <c r="T653" s="18">
        <v>1.0</v>
      </c>
      <c r="U653" s="19">
        <f t="shared" si="1"/>
        <v>1016</v>
      </c>
      <c r="V653" s="19">
        <f t="shared" si="2"/>
        <v>65.15009976</v>
      </c>
      <c r="W653" s="20">
        <f t="shared" si="3"/>
        <v>1.210805693</v>
      </c>
      <c r="X653" s="17">
        <f t="shared" si="422"/>
        <v>1427.271476</v>
      </c>
      <c r="Y653" s="21">
        <f t="shared" si="4"/>
        <v>4</v>
      </c>
      <c r="Z653" s="21">
        <f t="shared" si="5"/>
        <v>7136.357381</v>
      </c>
      <c r="AA653" s="21">
        <f t="shared" si="6"/>
        <v>6.054028464</v>
      </c>
      <c r="AB653" s="22">
        <f t="shared" si="7"/>
        <v>1.40479476</v>
      </c>
      <c r="AC653" s="8">
        <f t="shared" si="408"/>
        <v>1455.816906</v>
      </c>
      <c r="AD653" s="13">
        <f t="shared" si="409"/>
        <v>1.432890655</v>
      </c>
      <c r="AE653" s="8">
        <f t="shared" si="410"/>
        <v>815.9034148</v>
      </c>
      <c r="AF653" s="73">
        <f t="shared" si="411"/>
        <v>152.2332234</v>
      </c>
      <c r="AG653" s="74" t="str">
        <f t="shared" si="412"/>
        <v>#REF!</v>
      </c>
      <c r="AH653" s="73">
        <f t="shared" si="413"/>
        <v>0</v>
      </c>
      <c r="AI653" s="73">
        <f t="shared" si="414"/>
        <v>0</v>
      </c>
      <c r="AJ653" s="75">
        <f t="shared" si="415"/>
        <v>1</v>
      </c>
      <c r="AK653" s="73">
        <f t="shared" si="416"/>
        <v>0.9024279733</v>
      </c>
      <c r="AL653" s="73">
        <f t="shared" si="417"/>
        <v>5.987114729</v>
      </c>
      <c r="AM653" s="73">
        <f t="shared" si="418"/>
        <v>1</v>
      </c>
      <c r="AN653" s="75">
        <v>1221.92</v>
      </c>
      <c r="AO653" s="76">
        <v>1200.0</v>
      </c>
      <c r="AP653" s="73">
        <f t="shared" si="419"/>
        <v>1200</v>
      </c>
      <c r="AQ653" s="29" t="str">
        <f t="shared" si="420"/>
        <v>#REF!</v>
      </c>
      <c r="AR653" s="77" t="str">
        <f t="shared" si="421"/>
        <v>#REF!</v>
      </c>
      <c r="AS653" s="73"/>
      <c r="AT653" s="39"/>
    </row>
    <row r="654" ht="15.75" customHeight="1">
      <c r="A654" s="16" t="s">
        <v>745</v>
      </c>
      <c r="B654" s="16" t="s">
        <v>745</v>
      </c>
      <c r="C654" s="16"/>
      <c r="D654" s="16" t="b">
        <v>1</v>
      </c>
      <c r="E654" s="18">
        <v>2026.0</v>
      </c>
      <c r="F654" s="16" t="b">
        <v>1</v>
      </c>
      <c r="G654" s="16" t="b">
        <v>0</v>
      </c>
      <c r="H654" s="16" t="b">
        <v>1</v>
      </c>
      <c r="I654" s="16" t="b">
        <v>0</v>
      </c>
      <c r="J654" s="18">
        <v>3600.0</v>
      </c>
      <c r="K654" s="18">
        <v>60.0</v>
      </c>
      <c r="L654" s="16"/>
      <c r="M654" s="16"/>
      <c r="N654" s="16">
        <v>2500.0</v>
      </c>
      <c r="O654" s="16">
        <v>72.95</v>
      </c>
      <c r="P654" s="18">
        <v>270.0</v>
      </c>
      <c r="Q654" s="16">
        <v>875.0</v>
      </c>
      <c r="R654" s="16">
        <v>3.1</v>
      </c>
      <c r="S654" s="16">
        <v>1.0</v>
      </c>
      <c r="T654" s="16">
        <v>1.0</v>
      </c>
      <c r="U654" s="19">
        <f t="shared" si="1"/>
        <v>0</v>
      </c>
      <c r="V654" s="19">
        <f t="shared" si="2"/>
        <v>2.975531901</v>
      </c>
      <c r="W654" s="20">
        <f t="shared" si="3"/>
        <v>26.71634603</v>
      </c>
      <c r="X654" s="17">
        <f t="shared" si="422"/>
        <v>1948.957443</v>
      </c>
      <c r="Y654" s="21">
        <f t="shared" si="4"/>
        <v>4</v>
      </c>
      <c r="Z654" s="21">
        <f t="shared" si="5"/>
        <v>9744.787213</v>
      </c>
      <c r="AA654" s="21">
        <f t="shared" si="6"/>
        <v>133.5817301</v>
      </c>
      <c r="AB654" s="22" t="str">
        <f t="shared" si="7"/>
        <v>#N/A</v>
      </c>
      <c r="AC654" s="8">
        <f t="shared" si="408"/>
        <v>1987.936592</v>
      </c>
      <c r="AD654" s="13" t="str">
        <f t="shared" si="409"/>
        <v>#N/A</v>
      </c>
      <c r="AE654" s="8">
        <f t="shared" si="410"/>
        <v>1443.058184</v>
      </c>
      <c r="AF654" s="73">
        <f t="shared" si="411"/>
        <v>17.3538504</v>
      </c>
      <c r="AG654" s="74" t="str">
        <f t="shared" si="412"/>
        <v>#REF!</v>
      </c>
      <c r="AH654" s="73">
        <f t="shared" si="413"/>
        <v>0</v>
      </c>
      <c r="AI654" s="73">
        <f t="shared" si="414"/>
        <v>0.8386048453</v>
      </c>
      <c r="AJ654" s="75">
        <f t="shared" si="415"/>
        <v>1</v>
      </c>
      <c r="AK654" s="73">
        <f t="shared" si="416"/>
        <v>0.2</v>
      </c>
      <c r="AL654" s="73">
        <f t="shared" si="417"/>
        <v>55.95611125</v>
      </c>
      <c r="AM654" s="73">
        <f t="shared" si="418"/>
        <v>1.926089075</v>
      </c>
      <c r="AN654" s="75">
        <v>2686.96</v>
      </c>
      <c r="AO654" s="76">
        <v>2700.0</v>
      </c>
      <c r="AP654" s="73">
        <f t="shared" si="419"/>
        <v>2700</v>
      </c>
      <c r="AQ654" s="29" t="str">
        <f t="shared" si="420"/>
        <v>#REF!</v>
      </c>
      <c r="AR654" s="77" t="str">
        <f t="shared" si="421"/>
        <v>#REF!</v>
      </c>
      <c r="AS654" s="73"/>
      <c r="AT654" s="39"/>
    </row>
    <row r="655" ht="15.75" customHeight="1">
      <c r="A655" s="7" t="s">
        <v>746</v>
      </c>
      <c r="B655" s="7" t="s">
        <v>747</v>
      </c>
      <c r="C655" s="7"/>
      <c r="D655" s="7" t="b">
        <v>1</v>
      </c>
      <c r="E655" s="18">
        <v>2026.0</v>
      </c>
      <c r="F655" s="7" t="b">
        <v>1</v>
      </c>
      <c r="G655" s="7" t="b">
        <v>0</v>
      </c>
      <c r="H655" s="7" t="b">
        <v>1</v>
      </c>
      <c r="I655" s="7" t="b">
        <v>0</v>
      </c>
      <c r="J655" s="9">
        <v>1000.0</v>
      </c>
      <c r="K655" s="9">
        <v>15.0</v>
      </c>
      <c r="L655" s="7">
        <v>6751.0</v>
      </c>
      <c r="M655" s="7">
        <v>0.0</v>
      </c>
      <c r="N655" s="7">
        <v>1504.0</v>
      </c>
      <c r="O655" s="7">
        <v>245.0</v>
      </c>
      <c r="P655" s="9">
        <v>578.0</v>
      </c>
      <c r="Q655" s="7">
        <v>954.0</v>
      </c>
      <c r="R655" s="7">
        <v>6.8</v>
      </c>
      <c r="S655" s="7">
        <v>1.0</v>
      </c>
      <c r="T655" s="7">
        <v>1.0</v>
      </c>
      <c r="U655" s="10">
        <f t="shared" si="1"/>
        <v>6751</v>
      </c>
      <c r="V655" s="10">
        <f t="shared" si="2"/>
        <v>16.61106858</v>
      </c>
      <c r="W655" s="11">
        <f t="shared" si="3"/>
        <v>9.280305895</v>
      </c>
      <c r="X655" s="8">
        <f t="shared" si="422"/>
        <v>2273.674944</v>
      </c>
      <c r="Y655" s="12">
        <f t="shared" si="4"/>
        <v>4</v>
      </c>
      <c r="Z655" s="12">
        <f t="shared" si="5"/>
        <v>11368.37472</v>
      </c>
      <c r="AA655" s="12">
        <f t="shared" si="6"/>
        <v>46.40152948</v>
      </c>
      <c r="AB655" s="13">
        <f t="shared" si="7"/>
        <v>0.3367908376</v>
      </c>
      <c r="AC655" s="8">
        <f t="shared" si="408"/>
        <v>2319.148443</v>
      </c>
      <c r="AD655" s="13">
        <f t="shared" si="409"/>
        <v>0.3435266543</v>
      </c>
      <c r="AE655" s="8">
        <f t="shared" si="410"/>
        <v>1140.352588</v>
      </c>
      <c r="AF655" s="73">
        <f t="shared" si="411"/>
        <v>41.61143842</v>
      </c>
      <c r="AG655" s="74" t="str">
        <f t="shared" si="412"/>
        <v>#REF!</v>
      </c>
      <c r="AH655" s="73">
        <f t="shared" si="413"/>
        <v>0</v>
      </c>
      <c r="AI655" s="73">
        <f t="shared" si="414"/>
        <v>0.6272838613</v>
      </c>
      <c r="AJ655" s="75">
        <f t="shared" si="415"/>
        <v>1</v>
      </c>
      <c r="AK655" s="73">
        <f t="shared" si="416"/>
        <v>0.4556735205</v>
      </c>
      <c r="AL655" s="73">
        <f t="shared" si="417"/>
        <v>69.84444217</v>
      </c>
      <c r="AM655" s="73">
        <f t="shared" si="418"/>
        <v>1.659754753</v>
      </c>
      <c r="AN655" s="75">
        <v>7080.71</v>
      </c>
      <c r="AO655" s="76">
        <v>7100.0</v>
      </c>
      <c r="AP655" s="73">
        <f t="shared" si="419"/>
        <v>7100</v>
      </c>
      <c r="AQ655" s="29" t="str">
        <f t="shared" si="420"/>
        <v>#REF!</v>
      </c>
      <c r="AR655" s="77" t="str">
        <f t="shared" si="421"/>
        <v>#REF!</v>
      </c>
      <c r="AS655" s="73"/>
      <c r="AT655" s="39"/>
    </row>
    <row r="656" ht="15.75" customHeight="1">
      <c r="A656" s="16" t="s">
        <v>748</v>
      </c>
      <c r="B656" s="16" t="s">
        <v>747</v>
      </c>
      <c r="C656" s="16"/>
      <c r="D656" s="16" t="b">
        <v>1</v>
      </c>
      <c r="E656" s="18">
        <v>2026.0</v>
      </c>
      <c r="F656" s="16" t="b">
        <v>1</v>
      </c>
      <c r="G656" s="16" t="b">
        <v>0</v>
      </c>
      <c r="H656" s="16" t="b">
        <v>1</v>
      </c>
      <c r="I656" s="16" t="b">
        <v>0</v>
      </c>
      <c r="J656" s="18">
        <v>600.0</v>
      </c>
      <c r="K656" s="18">
        <v>5.0</v>
      </c>
      <c r="L656" s="16">
        <v>6751.0</v>
      </c>
      <c r="M656" s="16">
        <v>0.0</v>
      </c>
      <c r="N656" s="16">
        <v>1504.0</v>
      </c>
      <c r="O656" s="16">
        <v>206.0</v>
      </c>
      <c r="P656" s="18">
        <v>564.0</v>
      </c>
      <c r="Q656" s="16">
        <v>940.0</v>
      </c>
      <c r="R656" s="16">
        <v>6.8</v>
      </c>
      <c r="S656" s="16">
        <v>1.0</v>
      </c>
      <c r="T656" s="16">
        <v>1.0</v>
      </c>
      <c r="U656" s="19">
        <f t="shared" si="1"/>
        <v>6751</v>
      </c>
      <c r="V656" s="19">
        <f t="shared" si="2"/>
        <v>13.96685766</v>
      </c>
      <c r="W656" s="20">
        <f t="shared" si="3"/>
        <v>10.94342493</v>
      </c>
      <c r="X656" s="17">
        <f t="shared" si="422"/>
        <v>2254.345536</v>
      </c>
      <c r="Y656" s="21">
        <f t="shared" si="4"/>
        <v>4</v>
      </c>
      <c r="Z656" s="21">
        <f t="shared" si="5"/>
        <v>11271.72768</v>
      </c>
      <c r="AA656" s="21">
        <f t="shared" si="6"/>
        <v>54.71712467</v>
      </c>
      <c r="AB656" s="22">
        <f t="shared" si="7"/>
        <v>0.3339276457</v>
      </c>
      <c r="AC656" s="8">
        <f t="shared" si="408"/>
        <v>2299.432447</v>
      </c>
      <c r="AD656" s="13">
        <f t="shared" si="409"/>
        <v>0.3406061986</v>
      </c>
      <c r="AE656" s="8">
        <f t="shared" si="410"/>
        <v>1130.725989</v>
      </c>
      <c r="AF656" s="73">
        <f t="shared" si="411"/>
        <v>36.4466939</v>
      </c>
      <c r="AG656" s="74" t="str">
        <f t="shared" si="412"/>
        <v>#REF!</v>
      </c>
      <c r="AH656" s="73">
        <f t="shared" si="413"/>
        <v>0</v>
      </c>
      <c r="AI656" s="73">
        <f t="shared" si="414"/>
        <v>0.4128305045</v>
      </c>
      <c r="AJ656" s="75">
        <f t="shared" si="415"/>
        <v>1</v>
      </c>
      <c r="AK656" s="73">
        <f t="shared" si="416"/>
        <v>0.4178345615</v>
      </c>
      <c r="AL656" s="73">
        <f t="shared" si="417"/>
        <v>67.22728414</v>
      </c>
      <c r="AM656" s="73">
        <f t="shared" si="418"/>
        <v>1.526203901</v>
      </c>
      <c r="AN656" s="75">
        <v>4824.29</v>
      </c>
      <c r="AO656" s="76">
        <v>4800.0</v>
      </c>
      <c r="AP656" s="73">
        <f t="shared" si="419"/>
        <v>4800</v>
      </c>
      <c r="AQ656" s="29" t="str">
        <f t="shared" si="420"/>
        <v>#REF!</v>
      </c>
      <c r="AR656" s="77" t="str">
        <f t="shared" si="421"/>
        <v>#REF!</v>
      </c>
      <c r="AS656" s="73"/>
      <c r="AT656" s="39"/>
    </row>
    <row r="657" ht="15.75" customHeight="1">
      <c r="A657" s="16" t="s">
        <v>749</v>
      </c>
      <c r="B657" s="16" t="s">
        <v>749</v>
      </c>
      <c r="C657" s="16"/>
      <c r="D657" s="16"/>
      <c r="E657" s="18">
        <v>2026.0</v>
      </c>
      <c r="F657" s="16" t="b">
        <v>1</v>
      </c>
      <c r="G657" s="16" t="b">
        <v>0</v>
      </c>
      <c r="H657" s="16" t="b">
        <v>0</v>
      </c>
      <c r="I657" s="16" t="b">
        <v>0</v>
      </c>
      <c r="J657" s="18">
        <v>500.0</v>
      </c>
      <c r="K657" s="16">
        <v>1.0</v>
      </c>
      <c r="L657" s="16"/>
      <c r="M657" s="16"/>
      <c r="N657" s="16">
        <v>3655.0</v>
      </c>
      <c r="O657" s="16">
        <v>2265.0</v>
      </c>
      <c r="P657" s="18">
        <v>331.0</v>
      </c>
      <c r="Q657" s="16">
        <v>361.0</v>
      </c>
      <c r="R657" s="16">
        <v>22.58</v>
      </c>
      <c r="S657" s="16">
        <v>0.990984</v>
      </c>
      <c r="T657" s="16">
        <v>0.994262</v>
      </c>
      <c r="U657" s="19">
        <f t="shared" si="1"/>
        <v>0</v>
      </c>
      <c r="V657" s="19">
        <f t="shared" si="2"/>
        <v>63.19171589</v>
      </c>
      <c r="W657" s="20">
        <f t="shared" si="3"/>
        <v>0.5518281773</v>
      </c>
      <c r="X657" s="17">
        <f t="shared" ref="X657:X658" si="423">0.2*(8.17*POWER(N657*R657,0.46))+0.8*(0.146*POWER(N657*Q657,0.639))</f>
        <v>1249.890822</v>
      </c>
      <c r="Y657" s="21">
        <f t="shared" si="4"/>
        <v>4</v>
      </c>
      <c r="Z657" s="21">
        <f t="shared" si="5"/>
        <v>6249.454108</v>
      </c>
      <c r="AA657" s="21">
        <f t="shared" si="6"/>
        <v>2.759140887</v>
      </c>
      <c r="AB657" s="22" t="str">
        <f t="shared" si="7"/>
        <v>#N/A</v>
      </c>
      <c r="AC657" s="8">
        <f t="shared" si="408"/>
        <v>1256.512411</v>
      </c>
      <c r="AD657" s="13" t="str">
        <f t="shared" si="409"/>
        <v>#N/A</v>
      </c>
      <c r="AE657" s="8">
        <f t="shared" si="410"/>
        <v>1256.512411</v>
      </c>
      <c r="AF657" s="73">
        <f t="shared" si="411"/>
        <v>271.8884411</v>
      </c>
      <c r="AG657" s="74" t="str">
        <f t="shared" si="412"/>
        <v>#REF!</v>
      </c>
      <c r="AH657" s="73">
        <f t="shared" si="413"/>
        <v>0</v>
      </c>
      <c r="AI657" s="73">
        <f t="shared" si="414"/>
        <v>0</v>
      </c>
      <c r="AJ657" s="75">
        <f t="shared" si="415"/>
        <v>1.364584219</v>
      </c>
      <c r="AK657" s="73">
        <f t="shared" si="416"/>
        <v>0.8887611876</v>
      </c>
      <c r="AL657" s="73">
        <f t="shared" si="417"/>
        <v>2.005113376</v>
      </c>
      <c r="AM657" s="73">
        <f t="shared" si="418"/>
        <v>1.474076339</v>
      </c>
      <c r="AN657" s="75">
        <v>1036.96</v>
      </c>
      <c r="AO657" s="76">
        <v>1050.0</v>
      </c>
      <c r="AP657" s="73">
        <f t="shared" si="419"/>
        <v>1050</v>
      </c>
      <c r="AQ657" s="29" t="str">
        <f t="shared" si="420"/>
        <v>#REF!</v>
      </c>
      <c r="AR657" s="77" t="str">
        <f t="shared" si="421"/>
        <v>#REF!</v>
      </c>
      <c r="AS657" s="73"/>
      <c r="AT657" s="39"/>
    </row>
    <row r="658" ht="15.75" customHeight="1">
      <c r="A658" s="7" t="s">
        <v>750</v>
      </c>
      <c r="B658" s="7" t="s">
        <v>749</v>
      </c>
      <c r="C658" s="7"/>
      <c r="D658" s="7"/>
      <c r="E658" s="18">
        <v>2026.0</v>
      </c>
      <c r="F658" s="7" t="b">
        <v>1</v>
      </c>
      <c r="G658" s="7" t="b">
        <v>0</v>
      </c>
      <c r="H658" s="7" t="b">
        <v>0</v>
      </c>
      <c r="I658" s="7" t="b">
        <v>0</v>
      </c>
      <c r="J658" s="9">
        <v>500.0</v>
      </c>
      <c r="K658" s="7">
        <v>1.0</v>
      </c>
      <c r="L658" s="7"/>
      <c r="M658" s="7"/>
      <c r="N658" s="7">
        <v>3889.0</v>
      </c>
      <c r="O658" s="7">
        <v>2306.0</v>
      </c>
      <c r="P658" s="9">
        <v>333.8</v>
      </c>
      <c r="Q658" s="7">
        <v>358.7</v>
      </c>
      <c r="R658" s="7">
        <v>21.02</v>
      </c>
      <c r="S658" s="7">
        <v>0.998404</v>
      </c>
      <c r="T658" s="7">
        <v>0.998404</v>
      </c>
      <c r="U658" s="10">
        <f t="shared" si="1"/>
        <v>0</v>
      </c>
      <c r="V658" s="10">
        <f t="shared" si="2"/>
        <v>60.46453022</v>
      </c>
      <c r="W658" s="11">
        <f t="shared" si="3"/>
        <v>0.5563900917</v>
      </c>
      <c r="X658" s="8">
        <f t="shared" si="423"/>
        <v>1283.035551</v>
      </c>
      <c r="Y658" s="12">
        <f t="shared" si="4"/>
        <v>4</v>
      </c>
      <c r="Z658" s="12">
        <f t="shared" si="5"/>
        <v>6415.177757</v>
      </c>
      <c r="AA658" s="12">
        <f t="shared" si="6"/>
        <v>2.781950458</v>
      </c>
      <c r="AB658" s="13" t="str">
        <f t="shared" si="7"/>
        <v>#N/A</v>
      </c>
      <c r="AC658" s="8">
        <f t="shared" si="408"/>
        <v>1304.604081</v>
      </c>
      <c r="AD658" s="13" t="str">
        <f t="shared" si="409"/>
        <v>#N/A</v>
      </c>
      <c r="AE658" s="8">
        <f t="shared" si="410"/>
        <v>1304.604081</v>
      </c>
      <c r="AF658" s="73">
        <f t="shared" si="411"/>
        <v>276.3252529</v>
      </c>
      <c r="AG658" s="74" t="str">
        <f t="shared" si="412"/>
        <v>#REF!</v>
      </c>
      <c r="AH658" s="73">
        <f t="shared" si="413"/>
        <v>0</v>
      </c>
      <c r="AI658" s="73">
        <f t="shared" si="414"/>
        <v>0</v>
      </c>
      <c r="AJ658" s="75">
        <f t="shared" si="415"/>
        <v>1.394101396</v>
      </c>
      <c r="AK658" s="73">
        <f t="shared" si="416"/>
        <v>0.8693713981</v>
      </c>
      <c r="AL658" s="73">
        <f t="shared" si="417"/>
        <v>1.94819083</v>
      </c>
      <c r="AM658" s="73">
        <f t="shared" si="418"/>
        <v>1.474076339</v>
      </c>
      <c r="AN658" s="75">
        <v>1270.09</v>
      </c>
      <c r="AO658" s="76">
        <v>1250.0</v>
      </c>
      <c r="AP658" s="73">
        <f t="shared" si="419"/>
        <v>1250</v>
      </c>
      <c r="AQ658" s="29" t="str">
        <f t="shared" si="420"/>
        <v>#REF!</v>
      </c>
      <c r="AR658" s="77" t="str">
        <f t="shared" si="421"/>
        <v>#REF!</v>
      </c>
      <c r="AS658" s="73"/>
      <c r="AT658" s="39"/>
    </row>
    <row r="659" ht="15.75" customHeight="1">
      <c r="A659" s="16" t="s">
        <v>768</v>
      </c>
      <c r="B659" s="16" t="s">
        <v>769</v>
      </c>
      <c r="C659" s="16"/>
      <c r="D659" s="16" t="b">
        <v>1</v>
      </c>
      <c r="E659" s="18">
        <v>2026.0</v>
      </c>
      <c r="F659" s="16" t="b">
        <v>1</v>
      </c>
      <c r="G659" s="16" t="b">
        <v>0</v>
      </c>
      <c r="H659" s="16" t="b">
        <v>0</v>
      </c>
      <c r="I659" s="16" t="b">
        <v>0</v>
      </c>
      <c r="J659" s="18">
        <v>500.0</v>
      </c>
      <c r="K659" s="18">
        <v>3.0</v>
      </c>
      <c r="L659" s="16"/>
      <c r="M659" s="16"/>
      <c r="N659" s="16">
        <v>4203.0</v>
      </c>
      <c r="O659" s="16">
        <v>2130.0</v>
      </c>
      <c r="P659" s="18">
        <v>391.0</v>
      </c>
      <c r="Q659" s="16">
        <v>464.0</v>
      </c>
      <c r="R659" s="16">
        <v>20.48</v>
      </c>
      <c r="S659" s="16">
        <v>0.990984</v>
      </c>
      <c r="T659" s="16">
        <v>0.994262</v>
      </c>
      <c r="U659" s="19">
        <f t="shared" si="1"/>
        <v>0</v>
      </c>
      <c r="V659" s="19">
        <f t="shared" si="2"/>
        <v>51.67726689</v>
      </c>
      <c r="W659" s="20">
        <f t="shared" si="3"/>
        <v>3.065603182</v>
      </c>
      <c r="X659" s="17">
        <f t="shared" ref="X659:X661" si="424">0.9*(0.00015*N659*Q659*R659+797)+0.1*(43.1*POWER(N659,0.549))</f>
        <v>6529.734778</v>
      </c>
      <c r="Y659" s="21">
        <f t="shared" si="4"/>
        <v>4</v>
      </c>
      <c r="Z659" s="21">
        <f t="shared" si="5"/>
        <v>32648.67389</v>
      </c>
      <c r="AA659" s="21">
        <f t="shared" si="6"/>
        <v>15.32801591</v>
      </c>
      <c r="AB659" s="22" t="str">
        <f t="shared" si="7"/>
        <v>#N/A</v>
      </c>
      <c r="AC659" s="8">
        <f t="shared" si="408"/>
        <v>6564.327574</v>
      </c>
      <c r="AD659" s="13" t="str">
        <f t="shared" si="409"/>
        <v>#N/A</v>
      </c>
      <c r="AE659" s="8">
        <f t="shared" si="410"/>
        <v>1533.624907</v>
      </c>
      <c r="AF659" s="73">
        <f t="shared" si="411"/>
        <v>257.2475443</v>
      </c>
      <c r="AG659" s="74" t="str">
        <f t="shared" si="412"/>
        <v>#REF!</v>
      </c>
      <c r="AH659" s="73">
        <f t="shared" si="413"/>
        <v>0</v>
      </c>
      <c r="AI659" s="73">
        <f t="shared" si="414"/>
        <v>0.2958876574</v>
      </c>
      <c r="AJ659" s="75">
        <f t="shared" si="415"/>
        <v>1.218608721</v>
      </c>
      <c r="AK659" s="73">
        <f t="shared" si="416"/>
        <v>0.8037199986</v>
      </c>
      <c r="AL659" s="73">
        <f t="shared" si="417"/>
        <v>8.426684915</v>
      </c>
      <c r="AM659" s="73">
        <f t="shared" si="418"/>
        <v>1.474076339</v>
      </c>
      <c r="AN659" s="75">
        <v>4093.21</v>
      </c>
      <c r="AO659" s="76">
        <v>4100.0</v>
      </c>
      <c r="AP659" s="73">
        <f t="shared" si="419"/>
        <v>4100</v>
      </c>
      <c r="AQ659" s="29" t="str">
        <f t="shared" si="420"/>
        <v>#REF!</v>
      </c>
      <c r="AR659" s="77" t="str">
        <f t="shared" si="421"/>
        <v>#REF!</v>
      </c>
      <c r="AS659" s="73"/>
      <c r="AT659" s="39"/>
    </row>
    <row r="660" ht="15.75" customHeight="1">
      <c r="A660" s="7" t="s">
        <v>770</v>
      </c>
      <c r="B660" s="7" t="s">
        <v>769</v>
      </c>
      <c r="C660" s="7"/>
      <c r="D660" s="7" t="b">
        <v>1</v>
      </c>
      <c r="E660" s="18">
        <v>2026.0</v>
      </c>
      <c r="F660" s="7" t="b">
        <v>1</v>
      </c>
      <c r="G660" s="7" t="b">
        <v>0</v>
      </c>
      <c r="H660" s="7" t="b">
        <v>0</v>
      </c>
      <c r="I660" s="7" t="b">
        <v>0</v>
      </c>
      <c r="J660" s="9">
        <v>500.0</v>
      </c>
      <c r="K660" s="9">
        <v>3.0</v>
      </c>
      <c r="L660" s="7"/>
      <c r="M660" s="7"/>
      <c r="N660" s="7">
        <v>4476.0</v>
      </c>
      <c r="O660" s="7">
        <v>2364.5</v>
      </c>
      <c r="P660" s="9">
        <v>394.3</v>
      </c>
      <c r="Q660" s="7">
        <v>461.0</v>
      </c>
      <c r="R660" s="7">
        <v>21.02</v>
      </c>
      <c r="S660" s="7">
        <v>0.997872</v>
      </c>
      <c r="T660" s="7">
        <v>0.997872</v>
      </c>
      <c r="U660" s="10">
        <f t="shared" si="1"/>
        <v>0</v>
      </c>
      <c r="V660" s="10">
        <f t="shared" si="2"/>
        <v>53.86771623</v>
      </c>
      <c r="W660" s="11">
        <f t="shared" si="3"/>
        <v>2.963856907</v>
      </c>
      <c r="X660" s="8">
        <f t="shared" si="424"/>
        <v>7008.039657</v>
      </c>
      <c r="Y660" s="12">
        <f t="shared" si="4"/>
        <v>4</v>
      </c>
      <c r="Z660" s="12">
        <f t="shared" si="5"/>
        <v>35040.19828</v>
      </c>
      <c r="AA660" s="12">
        <f t="shared" si="6"/>
        <v>14.81928454</v>
      </c>
      <c r="AB660" s="13" t="str">
        <f t="shared" si="7"/>
        <v>#N/A</v>
      </c>
      <c r="AC660" s="8">
        <f t="shared" si="408"/>
        <v>7118.405968</v>
      </c>
      <c r="AD660" s="13" t="str">
        <f t="shared" si="409"/>
        <v>#N/A</v>
      </c>
      <c r="AE660" s="8">
        <f t="shared" si="410"/>
        <v>1608.03685</v>
      </c>
      <c r="AF660" s="73">
        <f t="shared" si="411"/>
        <v>282.6483826</v>
      </c>
      <c r="AG660" s="74" t="str">
        <f t="shared" si="412"/>
        <v>#REF!</v>
      </c>
      <c r="AH660" s="73">
        <f t="shared" si="413"/>
        <v>0</v>
      </c>
      <c r="AI660" s="73">
        <f t="shared" si="414"/>
        <v>0.2958876574</v>
      </c>
      <c r="AJ660" s="75">
        <f t="shared" si="415"/>
        <v>1.241690663</v>
      </c>
      <c r="AK660" s="73">
        <f t="shared" si="416"/>
        <v>0.8205769025</v>
      </c>
      <c r="AL660" s="73">
        <f t="shared" si="417"/>
        <v>7.804200703</v>
      </c>
      <c r="AM660" s="73">
        <f t="shared" si="418"/>
        <v>1.474076339</v>
      </c>
      <c r="AN660" s="75">
        <v>5094.41</v>
      </c>
      <c r="AO660" s="76">
        <v>5100.0</v>
      </c>
      <c r="AP660" s="73">
        <f t="shared" si="419"/>
        <v>5100</v>
      </c>
      <c r="AQ660" s="29" t="str">
        <f t="shared" si="420"/>
        <v>#REF!</v>
      </c>
      <c r="AR660" s="77" t="str">
        <f t="shared" si="421"/>
        <v>#REF!</v>
      </c>
      <c r="AS660" s="73"/>
      <c r="AT660" s="39"/>
    </row>
    <row r="661" ht="15.75" customHeight="1">
      <c r="A661" s="16" t="s">
        <v>771</v>
      </c>
      <c r="B661" s="16" t="s">
        <v>772</v>
      </c>
      <c r="C661" s="16"/>
      <c r="D661" s="16" t="b">
        <v>1</v>
      </c>
      <c r="E661" s="18">
        <v>2026.0</v>
      </c>
      <c r="F661" s="16" t="b">
        <v>1</v>
      </c>
      <c r="G661" s="16" t="b">
        <v>0</v>
      </c>
      <c r="H661" s="16" t="b">
        <v>1</v>
      </c>
      <c r="I661" s="16" t="b">
        <v>0</v>
      </c>
      <c r="J661" s="18">
        <v>500.0</v>
      </c>
      <c r="K661" s="16">
        <v>1.0</v>
      </c>
      <c r="L661" s="16"/>
      <c r="M661" s="16"/>
      <c r="N661" s="16">
        <v>3962.0</v>
      </c>
      <c r="O661" s="16">
        <v>2093.0</v>
      </c>
      <c r="P661" s="18">
        <v>190.0</v>
      </c>
      <c r="Q661" s="16">
        <v>478.0</v>
      </c>
      <c r="R661" s="16">
        <v>21.02</v>
      </c>
      <c r="S661" s="16">
        <v>0.998404</v>
      </c>
      <c r="T661" s="16">
        <v>0.998404</v>
      </c>
      <c r="U661" s="19">
        <f t="shared" si="1"/>
        <v>0</v>
      </c>
      <c r="V661" s="19">
        <f t="shared" si="2"/>
        <v>53.86840049</v>
      </c>
      <c r="W661" s="20">
        <f t="shared" si="3"/>
        <v>3.104905722</v>
      </c>
      <c r="X661" s="17">
        <f t="shared" si="424"/>
        <v>6498.567676</v>
      </c>
      <c r="Y661" s="21">
        <f t="shared" si="4"/>
        <v>4</v>
      </c>
      <c r="Z661" s="21">
        <f t="shared" si="5"/>
        <v>32492.83838</v>
      </c>
      <c r="AA661" s="21">
        <f t="shared" si="6"/>
        <v>15.52452861</v>
      </c>
      <c r="AB661" s="22" t="str">
        <f t="shared" si="7"/>
        <v>#N/A</v>
      </c>
      <c r="AC661" s="8">
        <f t="shared" si="408"/>
        <v>6607.812155</v>
      </c>
      <c r="AD661" s="13" t="str">
        <f t="shared" si="409"/>
        <v>#N/A</v>
      </c>
      <c r="AE661" s="8">
        <f t="shared" si="410"/>
        <v>1523.47208</v>
      </c>
      <c r="AF661" s="73">
        <f t="shared" si="411"/>
        <v>253.2259217</v>
      </c>
      <c r="AG661" s="74" t="str">
        <f t="shared" si="412"/>
        <v>#REF!</v>
      </c>
      <c r="AH661" s="73">
        <f t="shared" si="413"/>
        <v>0</v>
      </c>
      <c r="AI661" s="73">
        <f t="shared" si="414"/>
        <v>0</v>
      </c>
      <c r="AJ661" s="75">
        <f t="shared" si="415"/>
        <v>1</v>
      </c>
      <c r="AK661" s="73">
        <f t="shared" si="416"/>
        <v>0.8205821142</v>
      </c>
      <c r="AL661" s="73">
        <f t="shared" si="417"/>
        <v>10.14312784</v>
      </c>
      <c r="AM661" s="73">
        <f t="shared" si="418"/>
        <v>1.474076339</v>
      </c>
      <c r="AN661" s="75">
        <v>4233.33</v>
      </c>
      <c r="AO661" s="76">
        <v>4200.0</v>
      </c>
      <c r="AP661" s="73">
        <f t="shared" si="419"/>
        <v>4200</v>
      </c>
      <c r="AQ661" s="29" t="str">
        <f t="shared" si="420"/>
        <v>#REF!</v>
      </c>
      <c r="AR661" s="77" t="str">
        <f t="shared" si="421"/>
        <v>#REF!</v>
      </c>
      <c r="AS661" s="73"/>
      <c r="AT661" s="39"/>
    </row>
    <row r="662" ht="15.75" customHeight="1">
      <c r="A662" s="7" t="s">
        <v>806</v>
      </c>
      <c r="B662" s="7" t="s">
        <v>802</v>
      </c>
      <c r="C662" s="7"/>
      <c r="D662" s="7"/>
      <c r="E662" s="18">
        <v>2026.0</v>
      </c>
      <c r="F662" s="7" t="b">
        <v>1</v>
      </c>
      <c r="G662" s="7" t="b">
        <v>0</v>
      </c>
      <c r="H662" s="7" t="b">
        <v>0</v>
      </c>
      <c r="I662" s="7" t="b">
        <v>0</v>
      </c>
      <c r="J662" s="9">
        <v>203.0</v>
      </c>
      <c r="K662" s="7">
        <v>1.0</v>
      </c>
      <c r="L662" s="7">
        <v>500.0</v>
      </c>
      <c r="M662" s="7"/>
      <c r="N662" s="7">
        <v>876.0</v>
      </c>
      <c r="O662" s="7">
        <v>821.0</v>
      </c>
      <c r="P662" s="9">
        <v>250.0</v>
      </c>
      <c r="Q662" s="7">
        <v>292.9</v>
      </c>
      <c r="R662" s="7">
        <v>6.2</v>
      </c>
      <c r="S662" s="7">
        <v>0.9965</v>
      </c>
      <c r="T662" s="7">
        <v>0.995</v>
      </c>
      <c r="U662" s="10">
        <f t="shared" si="1"/>
        <v>500</v>
      </c>
      <c r="V662" s="10">
        <f t="shared" si="2"/>
        <v>95.5692932</v>
      </c>
      <c r="W662" s="11">
        <f t="shared" si="3"/>
        <v>0.5109818058</v>
      </c>
      <c r="X662" s="8">
        <f t="shared" ref="X662:X663" si="425">0.2*(8.17*POWER(N662*R662,0.46))+0.8*(0.146*POWER(N662*Q662,0.639))</f>
        <v>419.5160626</v>
      </c>
      <c r="Y662" s="12">
        <f t="shared" si="4"/>
        <v>4</v>
      </c>
      <c r="Z662" s="12">
        <f t="shared" si="5"/>
        <v>2097.580313</v>
      </c>
      <c r="AA662" s="12">
        <f t="shared" si="6"/>
        <v>2.554909029</v>
      </c>
      <c r="AB662" s="13">
        <f t="shared" si="7"/>
        <v>0.8390321251</v>
      </c>
      <c r="AC662" s="8">
        <f t="shared" si="408"/>
        <v>424.3478388</v>
      </c>
      <c r="AD662" s="13">
        <f t="shared" si="409"/>
        <v>0.8486956776</v>
      </c>
      <c r="AE662" s="8">
        <f t="shared" si="410"/>
        <v>424.3478388</v>
      </c>
      <c r="AF662" s="73">
        <f t="shared" si="411"/>
        <v>111.4004979</v>
      </c>
      <c r="AG662" s="74" t="str">
        <f t="shared" si="412"/>
        <v>#REF!</v>
      </c>
      <c r="AH662" s="73">
        <f t="shared" si="413"/>
        <v>0</v>
      </c>
      <c r="AI662" s="73">
        <f t="shared" si="414"/>
        <v>0</v>
      </c>
      <c r="AJ662" s="75">
        <f t="shared" si="415"/>
        <v>1.238392557</v>
      </c>
      <c r="AK662" s="73">
        <f t="shared" si="416"/>
        <v>1.092984979</v>
      </c>
      <c r="AL662" s="73">
        <f t="shared" si="417"/>
        <v>0.9524331872</v>
      </c>
      <c r="AM662" s="73">
        <f t="shared" si="418"/>
        <v>1.176714002</v>
      </c>
      <c r="AN662" s="75">
        <v>177.03</v>
      </c>
      <c r="AO662" s="76">
        <v>180.0</v>
      </c>
      <c r="AP662" s="73">
        <f t="shared" si="419"/>
        <v>180</v>
      </c>
      <c r="AQ662" s="29" t="str">
        <f t="shared" si="420"/>
        <v>#REF!</v>
      </c>
      <c r="AR662" s="77" t="str">
        <f t="shared" si="421"/>
        <v>#REF!</v>
      </c>
      <c r="AS662" s="73"/>
      <c r="AT662" s="39"/>
    </row>
    <row r="663" ht="15.75" customHeight="1">
      <c r="A663" s="16" t="s">
        <v>840</v>
      </c>
      <c r="B663" s="16" t="s">
        <v>839</v>
      </c>
      <c r="C663" s="16"/>
      <c r="D663" s="16"/>
      <c r="E663" s="18">
        <v>2026.0</v>
      </c>
      <c r="F663" s="16" t="b">
        <v>1</v>
      </c>
      <c r="G663" s="16" t="b">
        <v>0</v>
      </c>
      <c r="H663" s="16" t="b">
        <v>0</v>
      </c>
      <c r="I663" s="16" t="b">
        <v>1</v>
      </c>
      <c r="J663" s="16"/>
      <c r="K663" s="16">
        <v>1.0</v>
      </c>
      <c r="L663" s="16">
        <v>1130.0</v>
      </c>
      <c r="M663" s="16">
        <v>100.0</v>
      </c>
      <c r="N663" s="16">
        <f>415*1.1</f>
        <v>456.5</v>
      </c>
      <c r="O663" s="16">
        <v>224.0</v>
      </c>
      <c r="P663" s="16"/>
      <c r="Q663" s="16">
        <v>276.0</v>
      </c>
      <c r="R663" s="16">
        <v>4.13</v>
      </c>
      <c r="S663" s="16">
        <v>0.996</v>
      </c>
      <c r="T663" s="16">
        <v>0.99</v>
      </c>
      <c r="U663" s="19">
        <f t="shared" si="1"/>
        <v>1230</v>
      </c>
      <c r="V663" s="19">
        <f t="shared" si="2"/>
        <v>50.03645806</v>
      </c>
      <c r="W663" s="20">
        <f t="shared" si="3"/>
        <v>1.181183391</v>
      </c>
      <c r="X663" s="17">
        <f t="shared" si="425"/>
        <v>264.5850795</v>
      </c>
      <c r="Y663" s="21">
        <f t="shared" si="4"/>
        <v>4</v>
      </c>
      <c r="Z663" s="21">
        <f t="shared" si="5"/>
        <v>1322.925398</v>
      </c>
      <c r="AA663" s="21">
        <f t="shared" si="6"/>
        <v>5.905916953</v>
      </c>
      <c r="AB663" s="22">
        <f t="shared" si="7"/>
        <v>0.2151098207</v>
      </c>
      <c r="AC663" s="8">
        <f t="shared" si="408"/>
        <v>399.2747601</v>
      </c>
      <c r="AD663" s="13">
        <f t="shared" si="409"/>
        <v>0.3246136261</v>
      </c>
      <c r="AE663" s="8">
        <f t="shared" si="410"/>
        <v>399.2747601</v>
      </c>
      <c r="AF663" s="73">
        <f t="shared" si="411"/>
        <v>38.84521756</v>
      </c>
      <c r="AG663" s="74" t="str">
        <f t="shared" si="412"/>
        <v>#REF!</v>
      </c>
      <c r="AH663" s="73">
        <f t="shared" si="413"/>
        <v>2</v>
      </c>
      <c r="AI663" s="73">
        <f t="shared" si="414"/>
        <v>0</v>
      </c>
      <c r="AJ663" s="75">
        <f t="shared" si="415"/>
        <v>1</v>
      </c>
      <c r="AK663" s="73">
        <f t="shared" si="416"/>
        <v>0.7908575888</v>
      </c>
      <c r="AL663" s="73">
        <f t="shared" si="417"/>
        <v>0.8481149427</v>
      </c>
      <c r="AM663" s="73">
        <f t="shared" si="418"/>
        <v>1</v>
      </c>
      <c r="AN663" s="75">
        <v>63.11</v>
      </c>
      <c r="AO663" s="76">
        <v>63.0</v>
      </c>
      <c r="AP663" s="73">
        <f t="shared" si="419"/>
        <v>63</v>
      </c>
      <c r="AQ663" s="29" t="str">
        <f t="shared" si="420"/>
        <v>#REF!</v>
      </c>
      <c r="AR663" s="77" t="str">
        <f t="shared" si="421"/>
        <v>#REF!</v>
      </c>
      <c r="AS663" s="73"/>
      <c r="AT663" s="39"/>
    </row>
    <row r="664" ht="15.75" customHeight="1">
      <c r="W664" s="41"/>
      <c r="X664" s="42"/>
      <c r="AC664" s="42"/>
      <c r="AE664" s="42"/>
      <c r="AF664" s="73"/>
      <c r="AH664" s="79"/>
      <c r="AI664" s="79"/>
      <c r="AJ664" s="79"/>
      <c r="AK664" s="79"/>
      <c r="AL664" s="79"/>
      <c r="AM664" s="79"/>
      <c r="AN664" s="79"/>
      <c r="AO664" s="79"/>
      <c r="AP664" s="73"/>
      <c r="AQ664" s="29"/>
      <c r="AR664" s="39"/>
      <c r="AS664" s="73"/>
      <c r="AT664" s="39"/>
    </row>
    <row r="665" ht="15.75" customHeight="1">
      <c r="W665" s="41"/>
      <c r="X665" s="42"/>
      <c r="AC665" s="42"/>
      <c r="AE665" s="42"/>
      <c r="AF665" s="73"/>
      <c r="AH665" s="79"/>
      <c r="AI665" s="79"/>
      <c r="AJ665" s="79"/>
      <c r="AK665" s="79"/>
      <c r="AL665" s="79"/>
      <c r="AM665" s="79"/>
      <c r="AN665" s="79"/>
      <c r="AO665" s="79"/>
      <c r="AP665" s="79"/>
      <c r="AQ665" s="29"/>
      <c r="AS665" s="79"/>
    </row>
    <row r="666" ht="15.75" customHeight="1">
      <c r="W666" s="41"/>
      <c r="X666" s="42"/>
      <c r="AC666" s="42"/>
      <c r="AE666" s="42"/>
      <c r="AF666" s="73"/>
      <c r="AH666" s="79"/>
      <c r="AI666" s="79"/>
      <c r="AJ666" s="79"/>
      <c r="AK666" s="79"/>
      <c r="AL666" s="79"/>
      <c r="AM666" s="79"/>
      <c r="AN666" s="79"/>
      <c r="AO666" s="79"/>
      <c r="AP666" s="79"/>
      <c r="AQ666" s="29"/>
      <c r="AS666" s="79"/>
    </row>
    <row r="667" ht="15.75" customHeight="1">
      <c r="W667" s="41"/>
      <c r="X667" s="42"/>
      <c r="AC667" s="42"/>
      <c r="AE667" s="42"/>
      <c r="AF667" s="73"/>
      <c r="AH667" s="79"/>
      <c r="AI667" s="79"/>
      <c r="AJ667" s="79"/>
      <c r="AK667" s="79"/>
      <c r="AL667" s="79"/>
      <c r="AM667" s="79"/>
      <c r="AN667" s="79"/>
      <c r="AO667" s="79"/>
      <c r="AP667" s="79"/>
      <c r="AQ667" s="29"/>
      <c r="AS667" s="79"/>
    </row>
    <row r="668" ht="15.75" customHeight="1">
      <c r="W668" s="41"/>
      <c r="X668" s="42"/>
      <c r="AC668" s="42"/>
      <c r="AE668" s="42"/>
      <c r="AF668" s="73"/>
      <c r="AH668" s="79"/>
      <c r="AI668" s="79"/>
      <c r="AJ668" s="79"/>
      <c r="AK668" s="79"/>
      <c r="AL668" s="79"/>
      <c r="AM668" s="79"/>
      <c r="AN668" s="79"/>
      <c r="AO668" s="79"/>
      <c r="AP668" s="79"/>
      <c r="AQ668" s="29"/>
      <c r="AS668" s="79"/>
    </row>
    <row r="669" ht="15.75" customHeight="1">
      <c r="W669" s="41"/>
      <c r="X669" s="42"/>
      <c r="AC669" s="42"/>
      <c r="AE669" s="42"/>
      <c r="AF669" s="73"/>
      <c r="AH669" s="79"/>
      <c r="AI669" s="79"/>
      <c r="AJ669" s="79"/>
      <c r="AK669" s="79"/>
      <c r="AL669" s="79"/>
      <c r="AM669" s="79"/>
      <c r="AN669" s="79"/>
      <c r="AO669" s="79"/>
      <c r="AP669" s="79"/>
      <c r="AQ669" s="29"/>
      <c r="AS669" s="79"/>
    </row>
    <row r="670" ht="15.75" customHeight="1">
      <c r="W670" s="41"/>
      <c r="X670" s="42"/>
      <c r="AC670" s="42"/>
      <c r="AE670" s="42"/>
      <c r="AF670" s="73"/>
      <c r="AH670" s="79"/>
      <c r="AI670" s="79"/>
      <c r="AJ670" s="79"/>
      <c r="AK670" s="79"/>
      <c r="AL670" s="79"/>
      <c r="AM670" s="79"/>
      <c r="AN670" s="79"/>
      <c r="AO670" s="79"/>
      <c r="AP670" s="79"/>
      <c r="AQ670" s="29"/>
      <c r="AS670" s="79"/>
    </row>
    <row r="671" ht="15.75" customHeight="1">
      <c r="W671" s="41"/>
      <c r="X671" s="42"/>
      <c r="AC671" s="42"/>
      <c r="AE671" s="42"/>
      <c r="AF671" s="73"/>
      <c r="AH671" s="79"/>
      <c r="AI671" s="79"/>
      <c r="AJ671" s="79"/>
      <c r="AK671" s="79"/>
      <c r="AL671" s="79"/>
      <c r="AM671" s="79"/>
      <c r="AN671" s="79"/>
      <c r="AO671" s="79"/>
      <c r="AP671" s="79"/>
      <c r="AQ671" s="29"/>
      <c r="AS671" s="79"/>
    </row>
    <row r="672" ht="15.75" customHeight="1">
      <c r="W672" s="41"/>
      <c r="X672" s="42"/>
      <c r="AC672" s="42"/>
      <c r="AE672" s="42"/>
      <c r="AF672" s="73"/>
      <c r="AH672" s="79"/>
      <c r="AI672" s="79"/>
      <c r="AJ672" s="79"/>
      <c r="AK672" s="79"/>
      <c r="AL672" s="79"/>
      <c r="AM672" s="79"/>
      <c r="AN672" s="79"/>
      <c r="AO672" s="79"/>
      <c r="AP672" s="79"/>
      <c r="AQ672" s="29"/>
      <c r="AS672" s="79"/>
    </row>
    <row r="673" ht="15.75" customHeight="1">
      <c r="W673" s="41"/>
      <c r="X673" s="42"/>
      <c r="AC673" s="42"/>
      <c r="AE673" s="42"/>
      <c r="AF673" s="73"/>
      <c r="AH673" s="79"/>
      <c r="AI673" s="79"/>
      <c r="AJ673" s="79"/>
      <c r="AK673" s="79"/>
      <c r="AL673" s="79"/>
      <c r="AM673" s="79"/>
      <c r="AN673" s="79"/>
      <c r="AO673" s="79"/>
      <c r="AP673" s="79"/>
      <c r="AQ673" s="29"/>
      <c r="AS673" s="79"/>
    </row>
    <row r="674" ht="15.75" customHeight="1">
      <c r="W674" s="41"/>
      <c r="X674" s="42"/>
      <c r="AC674" s="42"/>
      <c r="AE674" s="42"/>
      <c r="AF674" s="73"/>
      <c r="AH674" s="79"/>
      <c r="AI674" s="79"/>
      <c r="AJ674" s="79"/>
      <c r="AK674" s="79"/>
      <c r="AL674" s="79"/>
      <c r="AM674" s="79"/>
      <c r="AN674" s="79"/>
      <c r="AO674" s="79"/>
      <c r="AP674" s="79"/>
      <c r="AQ674" s="29"/>
      <c r="AS674" s="79"/>
    </row>
    <row r="675" ht="15.75" customHeight="1">
      <c r="W675" s="41"/>
      <c r="X675" s="42"/>
      <c r="AC675" s="42"/>
      <c r="AE675" s="42"/>
      <c r="AF675" s="73"/>
      <c r="AH675" s="79"/>
      <c r="AI675" s="79"/>
      <c r="AJ675" s="79"/>
      <c r="AK675" s="79"/>
      <c r="AL675" s="79"/>
      <c r="AM675" s="79"/>
      <c r="AN675" s="79"/>
      <c r="AO675" s="79"/>
      <c r="AP675" s="79"/>
      <c r="AQ675" s="29"/>
      <c r="AS675" s="79"/>
    </row>
    <row r="676" ht="15.75" customHeight="1">
      <c r="W676" s="41"/>
      <c r="X676" s="42"/>
      <c r="AC676" s="42"/>
      <c r="AE676" s="42"/>
      <c r="AF676" s="73"/>
      <c r="AH676" s="79"/>
      <c r="AI676" s="79"/>
      <c r="AJ676" s="79"/>
      <c r="AK676" s="79"/>
      <c r="AL676" s="79"/>
      <c r="AM676" s="79"/>
      <c r="AN676" s="79"/>
      <c r="AO676" s="79"/>
      <c r="AP676" s="79"/>
      <c r="AQ676" s="29"/>
      <c r="AS676" s="79"/>
    </row>
    <row r="677" ht="15.75" customHeight="1">
      <c r="W677" s="41"/>
      <c r="X677" s="42"/>
      <c r="AC677" s="42"/>
      <c r="AE677" s="42"/>
      <c r="AF677" s="73"/>
      <c r="AH677" s="79"/>
      <c r="AI677" s="79"/>
      <c r="AJ677" s="79"/>
      <c r="AK677" s="79"/>
      <c r="AL677" s="79"/>
      <c r="AM677" s="79"/>
      <c r="AN677" s="79"/>
      <c r="AO677" s="79"/>
      <c r="AP677" s="79"/>
      <c r="AQ677" s="29"/>
      <c r="AS677" s="79"/>
    </row>
    <row r="678" ht="15.75" customHeight="1">
      <c r="W678" s="41"/>
      <c r="X678" s="42"/>
      <c r="AC678" s="42"/>
      <c r="AE678" s="42"/>
      <c r="AF678" s="73"/>
      <c r="AH678" s="79"/>
      <c r="AI678" s="79"/>
      <c r="AJ678" s="79"/>
      <c r="AK678" s="79"/>
      <c r="AL678" s="79"/>
      <c r="AM678" s="79"/>
      <c r="AN678" s="79"/>
      <c r="AO678" s="79"/>
      <c r="AP678" s="79"/>
      <c r="AQ678" s="29"/>
      <c r="AS678" s="79"/>
    </row>
    <row r="679" ht="15.75" customHeight="1">
      <c r="W679" s="41"/>
      <c r="X679" s="42"/>
      <c r="AC679" s="42"/>
      <c r="AE679" s="42"/>
      <c r="AF679" s="73"/>
      <c r="AH679" s="79"/>
      <c r="AI679" s="79"/>
      <c r="AJ679" s="79"/>
      <c r="AK679" s="79"/>
      <c r="AL679" s="79"/>
      <c r="AM679" s="79"/>
      <c r="AN679" s="79"/>
      <c r="AO679" s="79"/>
      <c r="AP679" s="79"/>
      <c r="AQ679" s="29"/>
      <c r="AS679" s="79"/>
    </row>
    <row r="680" ht="15.75" customHeight="1">
      <c r="W680" s="41"/>
      <c r="X680" s="42"/>
      <c r="AC680" s="42"/>
      <c r="AE680" s="42"/>
      <c r="AF680" s="73"/>
      <c r="AH680" s="79"/>
      <c r="AI680" s="79"/>
      <c r="AJ680" s="79"/>
      <c r="AK680" s="79"/>
      <c r="AL680" s="79"/>
      <c r="AM680" s="79"/>
      <c r="AN680" s="79"/>
      <c r="AO680" s="79"/>
      <c r="AP680" s="79"/>
      <c r="AQ680" s="29"/>
      <c r="AS680" s="79"/>
    </row>
    <row r="681" ht="15.75" customHeight="1">
      <c r="W681" s="41"/>
      <c r="X681" s="42"/>
      <c r="AC681" s="42"/>
      <c r="AE681" s="42"/>
      <c r="AF681" s="73"/>
      <c r="AH681" s="79"/>
      <c r="AI681" s="79"/>
      <c r="AJ681" s="79"/>
      <c r="AK681" s="79"/>
      <c r="AL681" s="79"/>
      <c r="AM681" s="79"/>
      <c r="AN681" s="79"/>
      <c r="AO681" s="79"/>
      <c r="AP681" s="79"/>
      <c r="AQ681" s="29"/>
      <c r="AS681" s="79"/>
    </row>
    <row r="682" ht="15.75" customHeight="1">
      <c r="W682" s="41"/>
      <c r="X682" s="42"/>
      <c r="AC682" s="42"/>
      <c r="AE682" s="42"/>
      <c r="AF682" s="73"/>
      <c r="AH682" s="79"/>
      <c r="AI682" s="79"/>
      <c r="AJ682" s="79"/>
      <c r="AK682" s="79"/>
      <c r="AL682" s="79"/>
      <c r="AM682" s="79"/>
      <c r="AN682" s="79"/>
      <c r="AO682" s="79"/>
      <c r="AP682" s="79"/>
      <c r="AQ682" s="29"/>
      <c r="AS682" s="79"/>
    </row>
    <row r="683" ht="15.75" customHeight="1">
      <c r="W683" s="41"/>
      <c r="X683" s="42"/>
      <c r="AC683" s="42"/>
      <c r="AE683" s="42"/>
      <c r="AF683" s="73"/>
      <c r="AH683" s="79"/>
      <c r="AI683" s="79"/>
      <c r="AJ683" s="79"/>
      <c r="AK683" s="79"/>
      <c r="AL683" s="79"/>
      <c r="AM683" s="79"/>
      <c r="AN683" s="79"/>
      <c r="AO683" s="79"/>
      <c r="AP683" s="79"/>
      <c r="AQ683" s="29"/>
      <c r="AS683" s="79"/>
    </row>
    <row r="684" ht="15.75" customHeight="1">
      <c r="W684" s="41"/>
      <c r="X684" s="42"/>
      <c r="AC684" s="42"/>
      <c r="AE684" s="42"/>
      <c r="AF684" s="73"/>
      <c r="AH684" s="79"/>
      <c r="AI684" s="79"/>
      <c r="AJ684" s="79"/>
      <c r="AK684" s="79"/>
      <c r="AL684" s="79"/>
      <c r="AM684" s="79"/>
      <c r="AN684" s="79"/>
      <c r="AO684" s="79"/>
      <c r="AP684" s="79"/>
      <c r="AQ684" s="29"/>
      <c r="AS684" s="79"/>
    </row>
    <row r="685" ht="15.75" customHeight="1">
      <c r="W685" s="41"/>
      <c r="X685" s="42"/>
      <c r="AC685" s="42"/>
      <c r="AE685" s="42"/>
      <c r="AF685" s="73"/>
      <c r="AH685" s="79"/>
      <c r="AI685" s="79"/>
      <c r="AJ685" s="79"/>
      <c r="AK685" s="79"/>
      <c r="AL685" s="79"/>
      <c r="AM685" s="79"/>
      <c r="AN685" s="79"/>
      <c r="AO685" s="79"/>
      <c r="AP685" s="79"/>
      <c r="AQ685" s="29"/>
      <c r="AS685" s="79"/>
    </row>
    <row r="686" ht="15.75" customHeight="1">
      <c r="W686" s="41"/>
      <c r="X686" s="42"/>
      <c r="AC686" s="42"/>
      <c r="AE686" s="42"/>
      <c r="AF686" s="73"/>
      <c r="AH686" s="79"/>
      <c r="AI686" s="79"/>
      <c r="AJ686" s="79"/>
      <c r="AK686" s="79"/>
      <c r="AL686" s="79"/>
      <c r="AM686" s="79"/>
      <c r="AN686" s="79"/>
      <c r="AO686" s="79"/>
      <c r="AP686" s="79"/>
      <c r="AQ686" s="29"/>
      <c r="AS686" s="79"/>
    </row>
    <row r="687" ht="15.75" customHeight="1">
      <c r="W687" s="41"/>
      <c r="X687" s="42"/>
      <c r="AC687" s="42"/>
      <c r="AE687" s="42"/>
      <c r="AF687" s="73"/>
      <c r="AH687" s="79"/>
      <c r="AI687" s="79"/>
      <c r="AJ687" s="79"/>
      <c r="AK687" s="79"/>
      <c r="AL687" s="79"/>
      <c r="AM687" s="79"/>
      <c r="AN687" s="79"/>
      <c r="AO687" s="79"/>
      <c r="AP687" s="79"/>
      <c r="AQ687" s="29"/>
      <c r="AS687" s="79"/>
    </row>
    <row r="688" ht="15.75" customHeight="1">
      <c r="W688" s="41"/>
      <c r="X688" s="42"/>
      <c r="AC688" s="42"/>
      <c r="AE688" s="42"/>
      <c r="AF688" s="73"/>
      <c r="AH688" s="79"/>
      <c r="AI688" s="79"/>
      <c r="AJ688" s="79"/>
      <c r="AK688" s="79"/>
      <c r="AL688" s="79"/>
      <c r="AM688" s="79"/>
      <c r="AN688" s="79"/>
      <c r="AO688" s="79"/>
      <c r="AP688" s="79"/>
      <c r="AQ688" s="29"/>
      <c r="AS688" s="79"/>
    </row>
    <row r="689" ht="15.75" customHeight="1">
      <c r="W689" s="41"/>
      <c r="X689" s="42"/>
      <c r="AC689" s="42"/>
      <c r="AE689" s="42"/>
      <c r="AF689" s="73"/>
      <c r="AH689" s="79"/>
      <c r="AI689" s="79"/>
      <c r="AJ689" s="79"/>
      <c r="AK689" s="79"/>
      <c r="AL689" s="79"/>
      <c r="AM689" s="79"/>
      <c r="AN689" s="79"/>
      <c r="AO689" s="79"/>
      <c r="AP689" s="79"/>
      <c r="AQ689" s="29"/>
      <c r="AS689" s="79"/>
    </row>
    <row r="690" ht="15.75" customHeight="1">
      <c r="W690" s="41"/>
      <c r="X690" s="42"/>
      <c r="AC690" s="42"/>
      <c r="AE690" s="42"/>
      <c r="AF690" s="73"/>
      <c r="AH690" s="79"/>
      <c r="AI690" s="79"/>
      <c r="AJ690" s="79"/>
      <c r="AK690" s="79"/>
      <c r="AL690" s="79"/>
      <c r="AM690" s="79"/>
      <c r="AN690" s="79"/>
      <c r="AO690" s="79"/>
      <c r="AP690" s="79"/>
      <c r="AQ690" s="29"/>
      <c r="AS690" s="79"/>
    </row>
    <row r="691" ht="15.75" customHeight="1">
      <c r="W691" s="41"/>
      <c r="X691" s="42"/>
      <c r="AC691" s="42"/>
      <c r="AE691" s="42"/>
      <c r="AF691" s="73"/>
      <c r="AH691" s="79"/>
      <c r="AI691" s="79"/>
      <c r="AJ691" s="79"/>
      <c r="AK691" s="79"/>
      <c r="AL691" s="79"/>
      <c r="AM691" s="79"/>
      <c r="AN691" s="79"/>
      <c r="AO691" s="79"/>
      <c r="AP691" s="79"/>
      <c r="AQ691" s="29"/>
      <c r="AS691" s="79"/>
    </row>
    <row r="692" ht="15.75" customHeight="1">
      <c r="W692" s="41"/>
      <c r="X692" s="42"/>
      <c r="AC692" s="42"/>
      <c r="AE692" s="42"/>
      <c r="AF692" s="73"/>
      <c r="AH692" s="79"/>
      <c r="AI692" s="79"/>
      <c r="AJ692" s="79"/>
      <c r="AK692" s="79"/>
      <c r="AL692" s="79"/>
      <c r="AM692" s="79"/>
      <c r="AN692" s="79"/>
      <c r="AO692" s="79"/>
      <c r="AP692" s="79"/>
      <c r="AQ692" s="29"/>
      <c r="AS692" s="79"/>
    </row>
    <row r="693" ht="15.75" customHeight="1">
      <c r="W693" s="41"/>
      <c r="X693" s="42"/>
      <c r="AC693" s="42"/>
      <c r="AE693" s="42"/>
      <c r="AF693" s="73"/>
      <c r="AH693" s="79"/>
      <c r="AI693" s="79"/>
      <c r="AJ693" s="79"/>
      <c r="AK693" s="79"/>
      <c r="AL693" s="79"/>
      <c r="AM693" s="79"/>
      <c r="AN693" s="79"/>
      <c r="AO693" s="79"/>
      <c r="AP693" s="79"/>
      <c r="AQ693" s="29"/>
      <c r="AS693" s="79"/>
    </row>
    <row r="694" ht="15.75" customHeight="1">
      <c r="W694" s="41"/>
      <c r="X694" s="42"/>
      <c r="AC694" s="42"/>
      <c r="AE694" s="42"/>
      <c r="AF694" s="73"/>
      <c r="AH694" s="79"/>
      <c r="AI694" s="79"/>
      <c r="AJ694" s="79"/>
      <c r="AK694" s="79"/>
      <c r="AL694" s="79"/>
      <c r="AM694" s="79"/>
      <c r="AN694" s="79"/>
      <c r="AO694" s="79"/>
      <c r="AP694" s="79"/>
      <c r="AQ694" s="29"/>
      <c r="AS694" s="79"/>
    </row>
    <row r="695" ht="15.75" customHeight="1">
      <c r="W695" s="41"/>
      <c r="X695" s="42"/>
      <c r="AC695" s="42"/>
      <c r="AE695" s="42"/>
      <c r="AF695" s="73"/>
      <c r="AH695" s="79"/>
      <c r="AI695" s="79"/>
      <c r="AJ695" s="79"/>
      <c r="AK695" s="79"/>
      <c r="AL695" s="79"/>
      <c r="AM695" s="79"/>
      <c r="AN695" s="79"/>
      <c r="AO695" s="79"/>
      <c r="AP695" s="79"/>
      <c r="AQ695" s="29"/>
      <c r="AS695" s="79"/>
    </row>
    <row r="696" ht="15.75" customHeight="1">
      <c r="W696" s="41"/>
      <c r="X696" s="42"/>
      <c r="AC696" s="42"/>
      <c r="AE696" s="42"/>
      <c r="AF696" s="73"/>
      <c r="AH696" s="79"/>
      <c r="AI696" s="79"/>
      <c r="AJ696" s="79"/>
      <c r="AK696" s="79"/>
      <c r="AL696" s="79"/>
      <c r="AM696" s="79"/>
      <c r="AN696" s="79"/>
      <c r="AO696" s="79"/>
      <c r="AP696" s="79"/>
      <c r="AQ696" s="29"/>
      <c r="AS696" s="79"/>
    </row>
    <row r="697" ht="15.75" customHeight="1">
      <c r="W697" s="41"/>
      <c r="X697" s="42"/>
      <c r="AC697" s="42"/>
      <c r="AE697" s="42"/>
      <c r="AF697" s="73"/>
      <c r="AH697" s="79"/>
      <c r="AI697" s="79"/>
      <c r="AJ697" s="79"/>
      <c r="AK697" s="79"/>
      <c r="AL697" s="79"/>
      <c r="AM697" s="79"/>
      <c r="AN697" s="79"/>
      <c r="AO697" s="79"/>
      <c r="AP697" s="79"/>
      <c r="AQ697" s="29"/>
      <c r="AS697" s="79"/>
    </row>
    <row r="698" ht="15.75" customHeight="1">
      <c r="W698" s="41"/>
      <c r="X698" s="42"/>
      <c r="AC698" s="42"/>
      <c r="AE698" s="42"/>
      <c r="AF698" s="73"/>
      <c r="AH698" s="79"/>
      <c r="AI698" s="79"/>
      <c r="AJ698" s="79"/>
      <c r="AK698" s="79"/>
      <c r="AL698" s="79"/>
      <c r="AM698" s="79"/>
      <c r="AN698" s="79"/>
      <c r="AO698" s="79"/>
      <c r="AP698" s="79"/>
      <c r="AQ698" s="29"/>
      <c r="AS698" s="79"/>
    </row>
    <row r="699" ht="15.75" customHeight="1">
      <c r="W699" s="41"/>
      <c r="X699" s="42"/>
      <c r="AC699" s="42"/>
      <c r="AE699" s="42"/>
      <c r="AF699" s="73"/>
      <c r="AH699" s="79"/>
      <c r="AI699" s="79"/>
      <c r="AJ699" s="79"/>
      <c r="AK699" s="79"/>
      <c r="AL699" s="79"/>
      <c r="AM699" s="79"/>
      <c r="AN699" s="79"/>
      <c r="AO699" s="79"/>
      <c r="AP699" s="79"/>
      <c r="AQ699" s="29"/>
      <c r="AS699" s="79"/>
    </row>
    <row r="700" ht="15.75" customHeight="1">
      <c r="W700" s="41"/>
      <c r="X700" s="42"/>
      <c r="AC700" s="42"/>
      <c r="AE700" s="42"/>
      <c r="AF700" s="73"/>
      <c r="AH700" s="79"/>
      <c r="AI700" s="79"/>
      <c r="AJ700" s="79"/>
      <c r="AK700" s="79"/>
      <c r="AL700" s="79"/>
      <c r="AM700" s="79"/>
      <c r="AN700" s="79"/>
      <c r="AO700" s="79"/>
      <c r="AP700" s="79"/>
      <c r="AQ700" s="29"/>
      <c r="AS700" s="79"/>
    </row>
    <row r="701" ht="15.75" customHeight="1">
      <c r="W701" s="41"/>
      <c r="X701" s="42"/>
      <c r="AC701" s="42"/>
      <c r="AE701" s="42"/>
      <c r="AF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29"/>
      <c r="AS701" s="79"/>
    </row>
    <row r="702" ht="15.75" customHeight="1">
      <c r="W702" s="41"/>
      <c r="X702" s="42"/>
      <c r="AC702" s="42"/>
      <c r="AE702" s="42"/>
      <c r="AF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29"/>
      <c r="AS702" s="79"/>
    </row>
    <row r="703" ht="15.75" customHeight="1">
      <c r="W703" s="41"/>
      <c r="X703" s="42"/>
      <c r="AC703" s="42"/>
      <c r="AE703" s="42"/>
      <c r="AF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29"/>
      <c r="AS703" s="79"/>
    </row>
    <row r="704" ht="15.75" customHeight="1">
      <c r="W704" s="41"/>
      <c r="X704" s="42"/>
      <c r="AC704" s="42"/>
      <c r="AE704" s="42"/>
      <c r="AF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29"/>
      <c r="AS704" s="79"/>
    </row>
    <row r="705" ht="15.75" customHeight="1">
      <c r="W705" s="41"/>
      <c r="X705" s="42"/>
      <c r="AC705" s="42"/>
      <c r="AE705" s="42"/>
      <c r="AF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29"/>
      <c r="AS705" s="79"/>
    </row>
    <row r="706" ht="15.75" customHeight="1">
      <c r="W706" s="41"/>
      <c r="X706" s="42"/>
      <c r="AC706" s="42"/>
      <c r="AE706" s="42"/>
      <c r="AF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29"/>
      <c r="AS706" s="79"/>
    </row>
    <row r="707" ht="15.75" customHeight="1">
      <c r="W707" s="41"/>
      <c r="X707" s="42"/>
      <c r="AC707" s="42"/>
      <c r="AE707" s="42"/>
      <c r="AF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29"/>
      <c r="AS707" s="79"/>
    </row>
    <row r="708" ht="15.75" customHeight="1">
      <c r="W708" s="41"/>
      <c r="X708" s="42"/>
      <c r="AC708" s="42"/>
      <c r="AE708" s="42"/>
      <c r="AF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29"/>
      <c r="AS708" s="79"/>
    </row>
    <row r="709" ht="15.75" customHeight="1">
      <c r="W709" s="41"/>
      <c r="X709" s="42"/>
      <c r="AC709" s="42"/>
      <c r="AE709" s="42"/>
      <c r="AF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29"/>
      <c r="AS709" s="79"/>
    </row>
    <row r="710" ht="15.75" customHeight="1">
      <c r="W710" s="41"/>
      <c r="X710" s="42"/>
      <c r="AC710" s="42"/>
      <c r="AE710" s="42"/>
      <c r="AF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29"/>
      <c r="AS710" s="79"/>
    </row>
    <row r="711" ht="15.75" customHeight="1">
      <c r="W711" s="41"/>
      <c r="X711" s="42"/>
      <c r="AC711" s="42"/>
      <c r="AE711" s="42"/>
      <c r="AF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29"/>
      <c r="AS711" s="79"/>
    </row>
    <row r="712" ht="15.75" customHeight="1">
      <c r="W712" s="41"/>
      <c r="X712" s="42"/>
      <c r="AC712" s="42"/>
      <c r="AE712" s="42"/>
      <c r="AF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29"/>
      <c r="AS712" s="79"/>
    </row>
    <row r="713" ht="15.75" customHeight="1">
      <c r="W713" s="41"/>
      <c r="X713" s="42"/>
      <c r="AC713" s="42"/>
      <c r="AE713" s="42"/>
      <c r="AF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29"/>
      <c r="AS713" s="79"/>
    </row>
    <row r="714" ht="15.75" customHeight="1">
      <c r="W714" s="41"/>
      <c r="X714" s="42"/>
      <c r="AC714" s="42"/>
      <c r="AE714" s="42"/>
      <c r="AF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29"/>
      <c r="AS714" s="79"/>
    </row>
    <row r="715" ht="15.75" customHeight="1">
      <c r="W715" s="41"/>
      <c r="X715" s="42"/>
      <c r="AC715" s="42"/>
      <c r="AE715" s="42"/>
      <c r="AF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29"/>
      <c r="AS715" s="79"/>
    </row>
    <row r="716" ht="15.75" customHeight="1">
      <c r="W716" s="41"/>
      <c r="X716" s="42"/>
      <c r="AC716" s="42"/>
      <c r="AE716" s="42"/>
      <c r="AF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29"/>
      <c r="AS716" s="79"/>
    </row>
    <row r="717" ht="15.75" customHeight="1">
      <c r="W717" s="41"/>
      <c r="X717" s="42"/>
      <c r="AC717" s="42"/>
      <c r="AE717" s="42"/>
      <c r="AF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29"/>
      <c r="AS717" s="79"/>
    </row>
    <row r="718" ht="15.75" customHeight="1">
      <c r="W718" s="41"/>
      <c r="X718" s="42"/>
      <c r="AC718" s="42"/>
      <c r="AE718" s="42"/>
      <c r="AF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29"/>
      <c r="AS718" s="79"/>
    </row>
    <row r="719" ht="15.75" customHeight="1">
      <c r="W719" s="41"/>
      <c r="X719" s="42"/>
      <c r="AC719" s="42"/>
      <c r="AE719" s="42"/>
      <c r="AF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29"/>
      <c r="AS719" s="79"/>
    </row>
    <row r="720" ht="15.75" customHeight="1">
      <c r="W720" s="41"/>
      <c r="X720" s="42"/>
      <c r="AC720" s="42"/>
      <c r="AE720" s="42"/>
      <c r="AF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29"/>
      <c r="AS720" s="79"/>
    </row>
    <row r="721" ht="15.75" customHeight="1">
      <c r="W721" s="41"/>
      <c r="X721" s="42"/>
      <c r="AC721" s="42"/>
      <c r="AE721" s="42"/>
      <c r="AF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29"/>
      <c r="AS721" s="79"/>
    </row>
    <row r="722" ht="15.75" customHeight="1">
      <c r="W722" s="41"/>
      <c r="X722" s="42"/>
      <c r="AC722" s="42"/>
      <c r="AE722" s="42"/>
      <c r="AF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29"/>
      <c r="AS722" s="79"/>
    </row>
    <row r="723" ht="15.75" customHeight="1">
      <c r="W723" s="41"/>
      <c r="X723" s="42"/>
      <c r="AC723" s="42"/>
      <c r="AE723" s="42"/>
      <c r="AF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29"/>
      <c r="AS723" s="79"/>
    </row>
    <row r="724" ht="15.75" customHeight="1">
      <c r="W724" s="41"/>
      <c r="X724" s="42"/>
      <c r="AC724" s="42"/>
      <c r="AE724" s="42"/>
      <c r="AF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29"/>
      <c r="AS724" s="79"/>
    </row>
    <row r="725" ht="15.75" customHeight="1">
      <c r="W725" s="41"/>
      <c r="X725" s="42"/>
      <c r="AC725" s="42"/>
      <c r="AE725" s="42"/>
      <c r="AF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29"/>
      <c r="AS725" s="79"/>
    </row>
    <row r="726" ht="15.75" customHeight="1">
      <c r="W726" s="41"/>
      <c r="X726" s="42"/>
      <c r="AC726" s="42"/>
      <c r="AE726" s="42"/>
      <c r="AF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29"/>
      <c r="AS726" s="79"/>
    </row>
    <row r="727" ht="15.75" customHeight="1">
      <c r="W727" s="41"/>
      <c r="X727" s="42"/>
      <c r="AC727" s="42"/>
      <c r="AE727" s="42"/>
      <c r="AF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29"/>
      <c r="AS727" s="79"/>
    </row>
    <row r="728" ht="15.75" customHeight="1">
      <c r="W728" s="41"/>
      <c r="X728" s="42"/>
      <c r="AC728" s="42"/>
      <c r="AE728" s="42"/>
      <c r="AF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29"/>
      <c r="AS728" s="79"/>
    </row>
    <row r="729" ht="15.75" customHeight="1">
      <c r="W729" s="41"/>
      <c r="X729" s="42"/>
      <c r="AC729" s="42"/>
      <c r="AE729" s="42"/>
      <c r="AF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29"/>
      <c r="AS729" s="79"/>
    </row>
    <row r="730" ht="15.75" customHeight="1">
      <c r="W730" s="41"/>
      <c r="X730" s="42"/>
      <c r="AC730" s="42"/>
      <c r="AE730" s="42"/>
      <c r="AF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29"/>
      <c r="AS730" s="79"/>
    </row>
    <row r="731" ht="15.75" customHeight="1">
      <c r="W731" s="41"/>
      <c r="X731" s="42"/>
      <c r="AC731" s="42"/>
      <c r="AE731" s="42"/>
      <c r="AF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29"/>
      <c r="AS731" s="79"/>
    </row>
    <row r="732" ht="15.75" customHeight="1">
      <c r="W732" s="41"/>
      <c r="X732" s="42"/>
      <c r="AC732" s="42"/>
      <c r="AE732" s="42"/>
      <c r="AF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29"/>
      <c r="AS732" s="79"/>
    </row>
    <row r="733" ht="15.75" customHeight="1">
      <c r="W733" s="41"/>
      <c r="X733" s="42"/>
      <c r="AC733" s="42"/>
      <c r="AE733" s="42"/>
      <c r="AF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29"/>
      <c r="AS733" s="79"/>
    </row>
    <row r="734" ht="15.75" customHeight="1">
      <c r="W734" s="41"/>
      <c r="X734" s="42"/>
      <c r="AC734" s="42"/>
      <c r="AE734" s="42"/>
      <c r="AF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29"/>
      <c r="AS734" s="79"/>
    </row>
    <row r="735" ht="15.75" customHeight="1">
      <c r="W735" s="41"/>
      <c r="X735" s="42"/>
      <c r="AC735" s="42"/>
      <c r="AE735" s="42"/>
      <c r="AF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29"/>
      <c r="AS735" s="79"/>
    </row>
    <row r="736" ht="15.75" customHeight="1">
      <c r="W736" s="41"/>
      <c r="X736" s="42"/>
      <c r="AC736" s="42"/>
      <c r="AE736" s="42"/>
      <c r="AF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29"/>
      <c r="AS736" s="79"/>
    </row>
    <row r="737" ht="15.75" customHeight="1">
      <c r="W737" s="41"/>
      <c r="X737" s="42"/>
      <c r="AC737" s="42"/>
      <c r="AE737" s="42"/>
      <c r="AF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29"/>
      <c r="AS737" s="79"/>
    </row>
    <row r="738" ht="15.75" customHeight="1">
      <c r="W738" s="41"/>
      <c r="X738" s="42"/>
      <c r="AC738" s="42"/>
      <c r="AE738" s="42"/>
      <c r="AF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29"/>
      <c r="AS738" s="79"/>
    </row>
    <row r="739" ht="15.75" customHeight="1">
      <c r="W739" s="41"/>
      <c r="X739" s="42"/>
      <c r="AC739" s="42"/>
      <c r="AE739" s="42"/>
      <c r="AF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29"/>
      <c r="AS739" s="79"/>
    </row>
    <row r="740" ht="15.75" customHeight="1">
      <c r="W740" s="41"/>
      <c r="X740" s="42"/>
      <c r="AC740" s="42"/>
      <c r="AE740" s="42"/>
      <c r="AF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29"/>
      <c r="AS740" s="79"/>
    </row>
    <row r="741" ht="15.75" customHeight="1">
      <c r="W741" s="41"/>
      <c r="X741" s="42"/>
      <c r="AC741" s="42"/>
      <c r="AE741" s="42"/>
      <c r="AF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29"/>
      <c r="AS741" s="79"/>
    </row>
    <row r="742" ht="15.75" customHeight="1">
      <c r="W742" s="41"/>
      <c r="X742" s="42"/>
      <c r="AC742" s="42"/>
      <c r="AE742" s="42"/>
      <c r="AF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29"/>
      <c r="AS742" s="79"/>
    </row>
    <row r="743" ht="15.75" customHeight="1">
      <c r="W743" s="41"/>
      <c r="X743" s="42"/>
      <c r="AC743" s="42"/>
      <c r="AE743" s="42"/>
      <c r="AF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29"/>
      <c r="AS743" s="79"/>
    </row>
    <row r="744" ht="15.75" customHeight="1">
      <c r="W744" s="41"/>
      <c r="X744" s="42"/>
      <c r="AC744" s="42"/>
      <c r="AE744" s="42"/>
      <c r="AF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29"/>
      <c r="AS744" s="79"/>
    </row>
    <row r="745" ht="15.75" customHeight="1">
      <c r="W745" s="41"/>
      <c r="X745" s="42"/>
      <c r="AC745" s="42"/>
      <c r="AE745" s="42"/>
      <c r="AF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29"/>
      <c r="AS745" s="79"/>
    </row>
    <row r="746" ht="15.75" customHeight="1">
      <c r="W746" s="41"/>
      <c r="X746" s="42"/>
      <c r="AC746" s="42"/>
      <c r="AE746" s="42"/>
      <c r="AF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29"/>
      <c r="AS746" s="79"/>
    </row>
    <row r="747" ht="15.75" customHeight="1">
      <c r="W747" s="41"/>
      <c r="X747" s="42"/>
      <c r="AC747" s="42"/>
      <c r="AE747" s="42"/>
      <c r="AF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29"/>
      <c r="AS747" s="79"/>
    </row>
    <row r="748" ht="15.75" customHeight="1">
      <c r="W748" s="41"/>
      <c r="X748" s="42"/>
      <c r="AC748" s="42"/>
      <c r="AE748" s="42"/>
      <c r="AF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29"/>
      <c r="AS748" s="79"/>
    </row>
    <row r="749" ht="15.75" customHeight="1">
      <c r="W749" s="41"/>
      <c r="X749" s="42"/>
      <c r="AC749" s="42"/>
      <c r="AE749" s="42"/>
      <c r="AF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29"/>
      <c r="AS749" s="79"/>
    </row>
    <row r="750" ht="15.75" customHeight="1">
      <c r="W750" s="41"/>
      <c r="X750" s="42"/>
      <c r="AC750" s="42"/>
      <c r="AE750" s="42"/>
      <c r="AF750" s="79"/>
      <c r="AH750" s="79"/>
      <c r="AI750" s="79"/>
      <c r="AJ750" s="79"/>
      <c r="AK750" s="79"/>
      <c r="AL750" s="79"/>
      <c r="AM750" s="79"/>
      <c r="AN750" s="79"/>
      <c r="AO750" s="79"/>
      <c r="AP750" s="79"/>
      <c r="AS750" s="79"/>
    </row>
    <row r="751" ht="15.75" customHeight="1">
      <c r="W751" s="41"/>
      <c r="X751" s="42"/>
      <c r="AC751" s="42"/>
      <c r="AE751" s="42"/>
      <c r="AF751" s="79"/>
      <c r="AH751" s="79"/>
      <c r="AI751" s="79"/>
      <c r="AJ751" s="79"/>
      <c r="AK751" s="79"/>
      <c r="AL751" s="79"/>
      <c r="AM751" s="79"/>
      <c r="AN751" s="79"/>
      <c r="AO751" s="79"/>
      <c r="AP751" s="79"/>
      <c r="AS751" s="79"/>
    </row>
    <row r="752" ht="15.75" customHeight="1">
      <c r="W752" s="41"/>
      <c r="X752" s="42"/>
      <c r="AC752" s="42"/>
      <c r="AE752" s="42"/>
      <c r="AF752" s="79"/>
      <c r="AH752" s="79"/>
      <c r="AI752" s="79"/>
      <c r="AJ752" s="79"/>
      <c r="AK752" s="79"/>
      <c r="AL752" s="79"/>
      <c r="AM752" s="79"/>
      <c r="AN752" s="79"/>
      <c r="AO752" s="79"/>
      <c r="AP752" s="79"/>
      <c r="AS752" s="79"/>
    </row>
    <row r="753" ht="15.75" customHeight="1">
      <c r="W753" s="41"/>
      <c r="X753" s="42"/>
      <c r="AC753" s="42"/>
      <c r="AE753" s="42"/>
      <c r="AF753" s="79"/>
      <c r="AH753" s="79"/>
      <c r="AI753" s="79"/>
      <c r="AJ753" s="79"/>
      <c r="AK753" s="79"/>
      <c r="AL753" s="79"/>
      <c r="AM753" s="79"/>
      <c r="AN753" s="79"/>
      <c r="AO753" s="79"/>
      <c r="AP753" s="79"/>
      <c r="AS753" s="79"/>
    </row>
    <row r="754" ht="15.75" customHeight="1">
      <c r="W754" s="41"/>
      <c r="X754" s="42"/>
      <c r="AC754" s="42"/>
      <c r="AE754" s="42"/>
      <c r="AF754" s="79"/>
      <c r="AH754" s="79"/>
      <c r="AI754" s="79"/>
      <c r="AJ754" s="79"/>
      <c r="AK754" s="79"/>
      <c r="AL754" s="79"/>
      <c r="AM754" s="79"/>
      <c r="AN754" s="79"/>
      <c r="AO754" s="79"/>
      <c r="AP754" s="79"/>
      <c r="AS754" s="79"/>
    </row>
    <row r="755" ht="15.75" customHeight="1">
      <c r="W755" s="41"/>
      <c r="X755" s="42"/>
      <c r="AC755" s="42"/>
      <c r="AE755" s="42"/>
      <c r="AF755" s="79"/>
      <c r="AH755" s="79"/>
      <c r="AI755" s="79"/>
      <c r="AJ755" s="79"/>
      <c r="AK755" s="79"/>
      <c r="AL755" s="79"/>
      <c r="AM755" s="79"/>
      <c r="AN755" s="79"/>
      <c r="AO755" s="79"/>
      <c r="AP755" s="79"/>
      <c r="AS755" s="79"/>
    </row>
    <row r="756" ht="15.75" customHeight="1">
      <c r="W756" s="41"/>
      <c r="X756" s="42"/>
      <c r="AC756" s="42"/>
      <c r="AE756" s="42"/>
      <c r="AF756" s="79"/>
      <c r="AH756" s="79"/>
      <c r="AI756" s="79"/>
      <c r="AJ756" s="79"/>
      <c r="AK756" s="79"/>
      <c r="AL756" s="79"/>
      <c r="AM756" s="79"/>
      <c r="AN756" s="79"/>
      <c r="AO756" s="79"/>
      <c r="AP756" s="79"/>
      <c r="AS756" s="79"/>
    </row>
    <row r="757" ht="15.75" customHeight="1">
      <c r="W757" s="41"/>
      <c r="X757" s="42"/>
      <c r="AC757" s="42"/>
      <c r="AE757" s="42"/>
      <c r="AF757" s="79"/>
      <c r="AH757" s="79"/>
      <c r="AI757" s="79"/>
      <c r="AJ757" s="79"/>
      <c r="AK757" s="79"/>
      <c r="AL757" s="79"/>
      <c r="AM757" s="79"/>
      <c r="AN757" s="79"/>
      <c r="AO757" s="79"/>
      <c r="AP757" s="79"/>
      <c r="AS757" s="79"/>
    </row>
    <row r="758" ht="15.75" customHeight="1">
      <c r="W758" s="41"/>
      <c r="X758" s="42"/>
      <c r="AC758" s="42"/>
      <c r="AE758" s="42"/>
      <c r="AF758" s="79"/>
      <c r="AH758" s="79"/>
      <c r="AI758" s="79"/>
      <c r="AJ758" s="79"/>
      <c r="AK758" s="79"/>
      <c r="AL758" s="79"/>
      <c r="AM758" s="79"/>
      <c r="AN758" s="79"/>
      <c r="AO758" s="79"/>
      <c r="AP758" s="79"/>
      <c r="AS758" s="79"/>
    </row>
    <row r="759" ht="15.75" customHeight="1">
      <c r="W759" s="41"/>
      <c r="X759" s="42"/>
      <c r="AC759" s="42"/>
      <c r="AE759" s="42"/>
      <c r="AF759" s="79"/>
      <c r="AH759" s="79"/>
      <c r="AI759" s="79"/>
      <c r="AJ759" s="79"/>
      <c r="AK759" s="79"/>
      <c r="AL759" s="79"/>
      <c r="AM759" s="79"/>
      <c r="AN759" s="79"/>
      <c r="AO759" s="79"/>
      <c r="AP759" s="79"/>
      <c r="AS759" s="79"/>
    </row>
    <row r="760" ht="15.75" customHeight="1">
      <c r="W760" s="41"/>
      <c r="X760" s="42"/>
      <c r="AC760" s="42"/>
      <c r="AE760" s="42"/>
      <c r="AF760" s="79"/>
      <c r="AH760" s="79"/>
      <c r="AI760" s="79"/>
      <c r="AJ760" s="79"/>
      <c r="AK760" s="79"/>
      <c r="AL760" s="79"/>
      <c r="AM760" s="79"/>
      <c r="AN760" s="79"/>
      <c r="AO760" s="79"/>
      <c r="AP760" s="79"/>
      <c r="AS760" s="79"/>
    </row>
    <row r="761" ht="15.75" customHeight="1">
      <c r="W761" s="41"/>
      <c r="X761" s="42"/>
      <c r="AC761" s="42"/>
      <c r="AE761" s="42"/>
      <c r="AF761" s="79"/>
      <c r="AH761" s="79"/>
      <c r="AI761" s="79"/>
      <c r="AJ761" s="79"/>
      <c r="AK761" s="79"/>
      <c r="AL761" s="79"/>
      <c r="AM761" s="79"/>
      <c r="AN761" s="79"/>
      <c r="AO761" s="79"/>
      <c r="AP761" s="79"/>
      <c r="AS761" s="79"/>
    </row>
    <row r="762" ht="15.75" customHeight="1">
      <c r="W762" s="41"/>
      <c r="X762" s="42"/>
      <c r="AC762" s="42"/>
      <c r="AE762" s="42"/>
      <c r="AF762" s="79"/>
      <c r="AH762" s="79"/>
      <c r="AI762" s="79"/>
      <c r="AJ762" s="79"/>
      <c r="AK762" s="79"/>
      <c r="AL762" s="79"/>
      <c r="AM762" s="79"/>
      <c r="AN762" s="79"/>
      <c r="AO762" s="79"/>
      <c r="AP762" s="79"/>
      <c r="AS762" s="79"/>
    </row>
    <row r="763" ht="15.75" customHeight="1">
      <c r="W763" s="41"/>
      <c r="X763" s="42"/>
      <c r="AC763" s="42"/>
      <c r="AE763" s="42"/>
      <c r="AF763" s="79"/>
      <c r="AH763" s="79"/>
      <c r="AI763" s="79"/>
      <c r="AJ763" s="79"/>
      <c r="AK763" s="79"/>
      <c r="AL763" s="79"/>
      <c r="AM763" s="79"/>
      <c r="AN763" s="79"/>
      <c r="AO763" s="79"/>
      <c r="AP763" s="79"/>
      <c r="AS763" s="79"/>
    </row>
    <row r="764" ht="15.75" customHeight="1">
      <c r="W764" s="41"/>
      <c r="X764" s="42"/>
      <c r="AC764" s="42"/>
      <c r="AE764" s="42"/>
      <c r="AF764" s="79"/>
      <c r="AH764" s="79"/>
      <c r="AI764" s="79"/>
      <c r="AJ764" s="79"/>
      <c r="AK764" s="79"/>
      <c r="AL764" s="79"/>
      <c r="AM764" s="79"/>
      <c r="AN764" s="79"/>
      <c r="AO764" s="79"/>
      <c r="AP764" s="79"/>
      <c r="AS764" s="79"/>
    </row>
    <row r="765" ht="15.75" customHeight="1">
      <c r="W765" s="41"/>
      <c r="X765" s="42"/>
      <c r="AC765" s="42"/>
      <c r="AE765" s="42"/>
      <c r="AF765" s="79"/>
      <c r="AH765" s="79"/>
      <c r="AI765" s="79"/>
      <c r="AJ765" s="79"/>
      <c r="AK765" s="79"/>
      <c r="AL765" s="79"/>
      <c r="AM765" s="79"/>
      <c r="AN765" s="79"/>
      <c r="AO765" s="79"/>
      <c r="AP765" s="79"/>
      <c r="AS765" s="79"/>
    </row>
    <row r="766" ht="15.75" customHeight="1">
      <c r="W766" s="41"/>
      <c r="X766" s="42"/>
      <c r="AC766" s="42"/>
      <c r="AE766" s="42"/>
      <c r="AF766" s="79"/>
      <c r="AH766" s="79"/>
      <c r="AI766" s="79"/>
      <c r="AJ766" s="79"/>
      <c r="AK766" s="79"/>
      <c r="AL766" s="79"/>
      <c r="AM766" s="79"/>
      <c r="AN766" s="79"/>
      <c r="AO766" s="79"/>
      <c r="AP766" s="79"/>
      <c r="AS766" s="79"/>
    </row>
    <row r="767" ht="15.75" customHeight="1">
      <c r="W767" s="41"/>
      <c r="X767" s="42"/>
      <c r="AC767" s="42"/>
      <c r="AE767" s="42"/>
      <c r="AF767" s="79"/>
      <c r="AH767" s="79"/>
      <c r="AI767" s="79"/>
      <c r="AJ767" s="79"/>
      <c r="AK767" s="79"/>
      <c r="AL767" s="79"/>
      <c r="AM767" s="79"/>
      <c r="AN767" s="79"/>
      <c r="AO767" s="79"/>
      <c r="AP767" s="79"/>
      <c r="AS767" s="79"/>
    </row>
    <row r="768" ht="15.75" customHeight="1">
      <c r="W768" s="41"/>
      <c r="X768" s="42"/>
      <c r="AC768" s="42"/>
      <c r="AE768" s="42"/>
      <c r="AF768" s="79"/>
      <c r="AH768" s="79"/>
      <c r="AI768" s="79"/>
      <c r="AJ768" s="79"/>
      <c r="AK768" s="79"/>
      <c r="AL768" s="79"/>
      <c r="AM768" s="79"/>
      <c r="AN768" s="79"/>
      <c r="AO768" s="79"/>
      <c r="AP768" s="79"/>
      <c r="AS768" s="79"/>
    </row>
    <row r="769" ht="15.75" customHeight="1">
      <c r="W769" s="41"/>
      <c r="X769" s="42"/>
      <c r="AC769" s="42"/>
      <c r="AE769" s="42"/>
      <c r="AF769" s="79"/>
      <c r="AH769" s="79"/>
      <c r="AI769" s="79"/>
      <c r="AJ769" s="79"/>
      <c r="AK769" s="79"/>
      <c r="AL769" s="79"/>
      <c r="AM769" s="79"/>
      <c r="AN769" s="79"/>
      <c r="AO769" s="79"/>
      <c r="AP769" s="79"/>
      <c r="AS769" s="79"/>
    </row>
    <row r="770" ht="15.75" customHeight="1">
      <c r="W770" s="41"/>
      <c r="X770" s="42"/>
      <c r="AC770" s="42"/>
      <c r="AE770" s="42"/>
      <c r="AF770" s="79"/>
      <c r="AH770" s="79"/>
      <c r="AI770" s="79"/>
      <c r="AJ770" s="79"/>
      <c r="AK770" s="79"/>
      <c r="AL770" s="79"/>
      <c r="AM770" s="79"/>
      <c r="AN770" s="79"/>
      <c r="AO770" s="79"/>
      <c r="AP770" s="79"/>
      <c r="AS770" s="79"/>
    </row>
    <row r="771" ht="15.75" customHeight="1">
      <c r="W771" s="41"/>
      <c r="X771" s="42"/>
      <c r="AC771" s="42"/>
      <c r="AE771" s="42"/>
      <c r="AF771" s="79"/>
      <c r="AH771" s="79"/>
      <c r="AI771" s="79"/>
      <c r="AJ771" s="79"/>
      <c r="AK771" s="79"/>
      <c r="AL771" s="79"/>
      <c r="AM771" s="79"/>
      <c r="AN771" s="79"/>
      <c r="AO771" s="79"/>
      <c r="AP771" s="79"/>
      <c r="AS771" s="79"/>
    </row>
    <row r="772" ht="15.75" customHeight="1">
      <c r="W772" s="41"/>
      <c r="X772" s="42"/>
      <c r="AC772" s="42"/>
      <c r="AE772" s="42"/>
      <c r="AF772" s="79"/>
      <c r="AH772" s="79"/>
      <c r="AI772" s="79"/>
      <c r="AJ772" s="79"/>
      <c r="AK772" s="79"/>
      <c r="AL772" s="79"/>
      <c r="AM772" s="79"/>
      <c r="AN772" s="79"/>
      <c r="AO772" s="79"/>
      <c r="AP772" s="79"/>
      <c r="AS772" s="79"/>
    </row>
    <row r="773" ht="15.75" customHeight="1">
      <c r="W773" s="41"/>
      <c r="X773" s="42"/>
      <c r="AC773" s="42"/>
      <c r="AE773" s="42"/>
      <c r="AF773" s="79"/>
      <c r="AH773" s="79"/>
      <c r="AI773" s="79"/>
      <c r="AJ773" s="79"/>
      <c r="AK773" s="79"/>
      <c r="AL773" s="79"/>
      <c r="AM773" s="79"/>
      <c r="AN773" s="79"/>
      <c r="AO773" s="79"/>
      <c r="AP773" s="79"/>
      <c r="AS773" s="79"/>
    </row>
    <row r="774" ht="15.75" customHeight="1">
      <c r="W774" s="41"/>
      <c r="X774" s="42"/>
      <c r="AC774" s="42"/>
      <c r="AE774" s="42"/>
      <c r="AF774" s="79"/>
      <c r="AH774" s="79"/>
      <c r="AI774" s="79"/>
      <c r="AJ774" s="79"/>
      <c r="AK774" s="79"/>
      <c r="AL774" s="79"/>
      <c r="AM774" s="79"/>
      <c r="AN774" s="79"/>
      <c r="AO774" s="79"/>
      <c r="AP774" s="79"/>
      <c r="AS774" s="79"/>
    </row>
    <row r="775" ht="15.75" customHeight="1">
      <c r="W775" s="41"/>
      <c r="X775" s="42"/>
      <c r="AC775" s="42"/>
      <c r="AE775" s="42"/>
      <c r="AF775" s="79"/>
      <c r="AH775" s="79"/>
      <c r="AI775" s="79"/>
      <c r="AJ775" s="79"/>
      <c r="AK775" s="79"/>
      <c r="AL775" s="79"/>
      <c r="AM775" s="79"/>
      <c r="AN775" s="79"/>
      <c r="AO775" s="79"/>
      <c r="AP775" s="79"/>
      <c r="AS775" s="79"/>
    </row>
    <row r="776" ht="15.75" customHeight="1">
      <c r="W776" s="41"/>
      <c r="X776" s="42"/>
      <c r="AC776" s="42"/>
      <c r="AE776" s="42"/>
      <c r="AF776" s="79"/>
      <c r="AH776" s="79"/>
      <c r="AI776" s="79"/>
      <c r="AJ776" s="79"/>
      <c r="AK776" s="79"/>
      <c r="AL776" s="79"/>
      <c r="AM776" s="79"/>
      <c r="AN776" s="79"/>
      <c r="AO776" s="79"/>
      <c r="AP776" s="79"/>
      <c r="AS776" s="79"/>
    </row>
    <row r="777" ht="15.75" customHeight="1">
      <c r="W777" s="41"/>
      <c r="X777" s="42"/>
      <c r="AC777" s="42"/>
      <c r="AE777" s="42"/>
      <c r="AF777" s="79"/>
      <c r="AH777" s="79"/>
      <c r="AI777" s="79"/>
      <c r="AJ777" s="79"/>
      <c r="AK777" s="79"/>
      <c r="AL777" s="79"/>
      <c r="AM777" s="79"/>
      <c r="AN777" s="79"/>
      <c r="AO777" s="79"/>
      <c r="AP777" s="79"/>
      <c r="AS777" s="79"/>
    </row>
    <row r="778" ht="15.75" customHeight="1">
      <c r="W778" s="41"/>
      <c r="X778" s="42"/>
      <c r="AC778" s="42"/>
      <c r="AE778" s="42"/>
      <c r="AF778" s="79"/>
      <c r="AH778" s="79"/>
      <c r="AI778" s="79"/>
      <c r="AJ778" s="79"/>
      <c r="AK778" s="79"/>
      <c r="AL778" s="79"/>
      <c r="AM778" s="79"/>
      <c r="AN778" s="79"/>
      <c r="AO778" s="79"/>
      <c r="AP778" s="79"/>
      <c r="AS778" s="79"/>
    </row>
    <row r="779" ht="15.75" customHeight="1">
      <c r="W779" s="41"/>
      <c r="X779" s="42"/>
      <c r="AC779" s="42"/>
      <c r="AE779" s="42"/>
      <c r="AF779" s="79"/>
      <c r="AH779" s="79"/>
      <c r="AI779" s="79"/>
      <c r="AJ779" s="79"/>
      <c r="AK779" s="79"/>
      <c r="AL779" s="79"/>
      <c r="AM779" s="79"/>
      <c r="AN779" s="79"/>
      <c r="AO779" s="79"/>
      <c r="AP779" s="79"/>
      <c r="AS779" s="79"/>
    </row>
    <row r="780" ht="15.75" customHeight="1">
      <c r="W780" s="41"/>
      <c r="X780" s="42"/>
      <c r="AC780" s="42"/>
      <c r="AE780" s="42"/>
      <c r="AF780" s="79"/>
      <c r="AH780" s="79"/>
      <c r="AI780" s="79"/>
      <c r="AJ780" s="79"/>
      <c r="AK780" s="79"/>
      <c r="AL780" s="79"/>
      <c r="AM780" s="79"/>
      <c r="AN780" s="79"/>
      <c r="AO780" s="79"/>
      <c r="AP780" s="79"/>
      <c r="AS780" s="79"/>
    </row>
    <row r="781" ht="15.75" customHeight="1">
      <c r="W781" s="41"/>
      <c r="X781" s="42"/>
      <c r="AC781" s="42"/>
      <c r="AE781" s="42"/>
      <c r="AF781" s="79"/>
      <c r="AH781" s="79"/>
      <c r="AI781" s="79"/>
      <c r="AJ781" s="79"/>
      <c r="AK781" s="79"/>
      <c r="AL781" s="79"/>
      <c r="AM781" s="79"/>
      <c r="AN781" s="79"/>
      <c r="AO781" s="79"/>
      <c r="AP781" s="79"/>
      <c r="AS781" s="79"/>
    </row>
    <row r="782" ht="15.75" customHeight="1">
      <c r="W782" s="41"/>
      <c r="X782" s="42"/>
      <c r="AC782" s="42"/>
      <c r="AE782" s="42"/>
      <c r="AF782" s="79"/>
      <c r="AH782" s="79"/>
      <c r="AI782" s="79"/>
      <c r="AJ782" s="79"/>
      <c r="AK782" s="79"/>
      <c r="AL782" s="79"/>
      <c r="AM782" s="79"/>
      <c r="AN782" s="79"/>
      <c r="AO782" s="79"/>
      <c r="AP782" s="79"/>
      <c r="AS782" s="79"/>
    </row>
    <row r="783" ht="15.75" customHeight="1">
      <c r="W783" s="41"/>
      <c r="X783" s="42"/>
      <c r="AC783" s="42"/>
      <c r="AE783" s="42"/>
      <c r="AF783" s="79"/>
      <c r="AH783" s="79"/>
      <c r="AI783" s="79"/>
      <c r="AJ783" s="79"/>
      <c r="AK783" s="79"/>
      <c r="AL783" s="79"/>
      <c r="AM783" s="79"/>
      <c r="AN783" s="79"/>
      <c r="AO783" s="79"/>
      <c r="AP783" s="79"/>
      <c r="AS783" s="79"/>
    </row>
    <row r="784" ht="15.75" customHeight="1">
      <c r="W784" s="41"/>
      <c r="X784" s="42"/>
      <c r="AC784" s="42"/>
      <c r="AE784" s="42"/>
      <c r="AF784" s="79"/>
      <c r="AH784" s="79"/>
      <c r="AI784" s="79"/>
      <c r="AJ784" s="79"/>
      <c r="AK784" s="79"/>
      <c r="AL784" s="79"/>
      <c r="AM784" s="79"/>
      <c r="AN784" s="79"/>
      <c r="AO784" s="79"/>
      <c r="AP784" s="79"/>
      <c r="AS784" s="79"/>
    </row>
    <row r="785" ht="15.75" customHeight="1">
      <c r="W785" s="41"/>
      <c r="X785" s="42"/>
      <c r="AC785" s="42"/>
      <c r="AE785" s="42"/>
      <c r="AF785" s="79"/>
      <c r="AH785" s="79"/>
      <c r="AI785" s="79"/>
      <c r="AJ785" s="79"/>
      <c r="AK785" s="79"/>
      <c r="AL785" s="79"/>
      <c r="AM785" s="79"/>
      <c r="AN785" s="79"/>
      <c r="AO785" s="79"/>
      <c r="AP785" s="79"/>
      <c r="AS785" s="79"/>
    </row>
    <row r="786" ht="15.75" customHeight="1">
      <c r="W786" s="41"/>
      <c r="X786" s="42"/>
      <c r="AC786" s="42"/>
      <c r="AE786" s="42"/>
      <c r="AF786" s="79"/>
      <c r="AH786" s="79"/>
      <c r="AI786" s="79"/>
      <c r="AJ786" s="79"/>
      <c r="AK786" s="79"/>
      <c r="AL786" s="79"/>
      <c r="AM786" s="79"/>
      <c r="AN786" s="79"/>
      <c r="AO786" s="79"/>
      <c r="AP786" s="79"/>
      <c r="AS786" s="79"/>
    </row>
    <row r="787" ht="15.75" customHeight="1">
      <c r="W787" s="41"/>
      <c r="X787" s="42"/>
      <c r="AC787" s="42"/>
      <c r="AE787" s="42"/>
      <c r="AF787" s="79"/>
      <c r="AH787" s="79"/>
      <c r="AI787" s="79"/>
      <c r="AJ787" s="79"/>
      <c r="AK787" s="79"/>
      <c r="AL787" s="79"/>
      <c r="AM787" s="79"/>
      <c r="AN787" s="79"/>
      <c r="AO787" s="79"/>
      <c r="AP787" s="79"/>
      <c r="AS787" s="79"/>
    </row>
    <row r="788" ht="15.75" customHeight="1">
      <c r="W788" s="41"/>
      <c r="X788" s="42"/>
      <c r="AC788" s="42"/>
      <c r="AE788" s="42"/>
      <c r="AF788" s="79"/>
      <c r="AH788" s="79"/>
      <c r="AI788" s="79"/>
      <c r="AJ788" s="79"/>
      <c r="AK788" s="79"/>
      <c r="AL788" s="79"/>
      <c r="AM788" s="79"/>
      <c r="AN788" s="79"/>
      <c r="AO788" s="79"/>
      <c r="AP788" s="79"/>
      <c r="AS788" s="79"/>
    </row>
    <row r="789" ht="15.75" customHeight="1">
      <c r="W789" s="41"/>
      <c r="X789" s="42"/>
      <c r="AC789" s="42"/>
      <c r="AE789" s="42"/>
      <c r="AF789" s="79"/>
      <c r="AH789" s="79"/>
      <c r="AI789" s="79"/>
      <c r="AJ789" s="79"/>
      <c r="AK789" s="79"/>
      <c r="AL789" s="79"/>
      <c r="AM789" s="79"/>
      <c r="AN789" s="79"/>
      <c r="AO789" s="79"/>
      <c r="AP789" s="79"/>
      <c r="AS789" s="79"/>
    </row>
    <row r="790" ht="15.75" customHeight="1">
      <c r="W790" s="41"/>
      <c r="X790" s="42"/>
      <c r="AC790" s="42"/>
      <c r="AE790" s="42"/>
      <c r="AF790" s="79"/>
      <c r="AH790" s="79"/>
      <c r="AI790" s="79"/>
      <c r="AJ790" s="79"/>
      <c r="AK790" s="79"/>
      <c r="AL790" s="79"/>
      <c r="AM790" s="79"/>
      <c r="AN790" s="79"/>
      <c r="AO790" s="79"/>
      <c r="AP790" s="79"/>
      <c r="AS790" s="79"/>
    </row>
    <row r="791" ht="15.75" customHeight="1">
      <c r="W791" s="41"/>
      <c r="X791" s="42"/>
      <c r="AC791" s="42"/>
      <c r="AE791" s="42"/>
      <c r="AF791" s="79"/>
      <c r="AH791" s="79"/>
      <c r="AI791" s="79"/>
      <c r="AJ791" s="79"/>
      <c r="AK791" s="79"/>
      <c r="AL791" s="79"/>
      <c r="AM791" s="79"/>
      <c r="AN791" s="79"/>
      <c r="AO791" s="79"/>
      <c r="AP791" s="79"/>
      <c r="AS791" s="79"/>
    </row>
    <row r="792" ht="15.75" customHeight="1">
      <c r="W792" s="41"/>
      <c r="X792" s="42"/>
      <c r="AC792" s="42"/>
      <c r="AE792" s="42"/>
      <c r="AF792" s="79"/>
      <c r="AH792" s="79"/>
      <c r="AI792" s="79"/>
      <c r="AJ792" s="79"/>
      <c r="AK792" s="79"/>
      <c r="AL792" s="79"/>
      <c r="AM792" s="79"/>
      <c r="AN792" s="79"/>
      <c r="AO792" s="79"/>
      <c r="AP792" s="79"/>
      <c r="AS792" s="79"/>
    </row>
    <row r="793" ht="15.75" customHeight="1">
      <c r="W793" s="41"/>
      <c r="X793" s="42"/>
      <c r="AC793" s="42"/>
      <c r="AE793" s="42"/>
      <c r="AF793" s="79"/>
      <c r="AH793" s="79"/>
      <c r="AI793" s="79"/>
      <c r="AJ793" s="79"/>
      <c r="AK793" s="79"/>
      <c r="AL793" s="79"/>
      <c r="AM793" s="79"/>
      <c r="AN793" s="79"/>
      <c r="AO793" s="79"/>
      <c r="AP793" s="79"/>
      <c r="AS793" s="79"/>
    </row>
    <row r="794" ht="15.75" customHeight="1">
      <c r="W794" s="41"/>
      <c r="X794" s="42"/>
      <c r="AC794" s="42"/>
      <c r="AE794" s="42"/>
      <c r="AF794" s="79"/>
      <c r="AH794" s="79"/>
      <c r="AI794" s="79"/>
      <c r="AJ794" s="79"/>
      <c r="AK794" s="79"/>
      <c r="AL794" s="79"/>
      <c r="AM794" s="79"/>
      <c r="AN794" s="79"/>
      <c r="AO794" s="79"/>
      <c r="AP794" s="79"/>
      <c r="AS794" s="79"/>
    </row>
    <row r="795" ht="15.75" customHeight="1">
      <c r="W795" s="41"/>
      <c r="X795" s="42"/>
      <c r="AC795" s="42"/>
      <c r="AE795" s="42"/>
      <c r="AF795" s="79"/>
      <c r="AH795" s="79"/>
      <c r="AI795" s="79"/>
      <c r="AJ795" s="79"/>
      <c r="AK795" s="79"/>
      <c r="AL795" s="79"/>
      <c r="AM795" s="79"/>
      <c r="AN795" s="79"/>
      <c r="AO795" s="79"/>
      <c r="AP795" s="79"/>
      <c r="AS795" s="79"/>
    </row>
    <row r="796" ht="15.75" customHeight="1">
      <c r="W796" s="41"/>
      <c r="X796" s="42"/>
      <c r="AC796" s="42"/>
      <c r="AE796" s="42"/>
      <c r="AF796" s="79"/>
      <c r="AH796" s="79"/>
      <c r="AI796" s="79"/>
      <c r="AJ796" s="79"/>
      <c r="AK796" s="79"/>
      <c r="AL796" s="79"/>
      <c r="AM796" s="79"/>
      <c r="AN796" s="79"/>
      <c r="AO796" s="79"/>
      <c r="AP796" s="79"/>
      <c r="AS796" s="79"/>
    </row>
    <row r="797" ht="15.75" customHeight="1">
      <c r="W797" s="41"/>
      <c r="X797" s="42"/>
      <c r="AC797" s="42"/>
      <c r="AE797" s="42"/>
      <c r="AF797" s="79"/>
      <c r="AH797" s="79"/>
      <c r="AI797" s="79"/>
      <c r="AJ797" s="79"/>
      <c r="AK797" s="79"/>
      <c r="AL797" s="79"/>
      <c r="AM797" s="79"/>
      <c r="AN797" s="79"/>
      <c r="AO797" s="79"/>
      <c r="AP797" s="79"/>
      <c r="AS797" s="79"/>
    </row>
    <row r="798" ht="15.75" customHeight="1">
      <c r="W798" s="41"/>
      <c r="X798" s="42"/>
      <c r="AC798" s="42"/>
      <c r="AE798" s="42"/>
      <c r="AF798" s="79"/>
      <c r="AH798" s="79"/>
      <c r="AI798" s="79"/>
      <c r="AJ798" s="79"/>
      <c r="AK798" s="79"/>
      <c r="AL798" s="79"/>
      <c r="AM798" s="79"/>
      <c r="AN798" s="79"/>
      <c r="AO798" s="79"/>
      <c r="AP798" s="79"/>
      <c r="AS798" s="79"/>
    </row>
    <row r="799" ht="15.75" customHeight="1">
      <c r="W799" s="41"/>
      <c r="X799" s="42"/>
      <c r="AC799" s="42"/>
      <c r="AE799" s="42"/>
      <c r="AF799" s="79"/>
      <c r="AH799" s="79"/>
      <c r="AI799" s="79"/>
      <c r="AJ799" s="79"/>
      <c r="AK799" s="79"/>
      <c r="AL799" s="79"/>
      <c r="AM799" s="79"/>
      <c r="AN799" s="79"/>
      <c r="AO799" s="79"/>
      <c r="AP799" s="79"/>
      <c r="AS799" s="79"/>
    </row>
    <row r="800" ht="15.75" customHeight="1">
      <c r="W800" s="41"/>
      <c r="X800" s="42"/>
      <c r="AC800" s="42"/>
      <c r="AE800" s="42"/>
      <c r="AF800" s="79"/>
      <c r="AH800" s="79"/>
      <c r="AI800" s="79"/>
      <c r="AJ800" s="79"/>
      <c r="AK800" s="79"/>
      <c r="AL800" s="79"/>
      <c r="AM800" s="79"/>
      <c r="AN800" s="79"/>
      <c r="AO800" s="79"/>
      <c r="AP800" s="79"/>
      <c r="AS800" s="79"/>
    </row>
    <row r="801" ht="15.75" customHeight="1">
      <c r="W801" s="41"/>
      <c r="X801" s="42"/>
      <c r="AC801" s="42"/>
      <c r="AE801" s="42"/>
      <c r="AF801" s="79"/>
      <c r="AH801" s="79"/>
      <c r="AI801" s="79"/>
      <c r="AJ801" s="79"/>
      <c r="AK801" s="79"/>
      <c r="AL801" s="79"/>
      <c r="AM801" s="79"/>
      <c r="AN801" s="79"/>
      <c r="AO801" s="79"/>
      <c r="AP801" s="79"/>
      <c r="AS801" s="79"/>
    </row>
    <row r="802" ht="15.75" customHeight="1">
      <c r="W802" s="41"/>
      <c r="X802" s="42"/>
      <c r="AC802" s="42"/>
      <c r="AE802" s="42"/>
      <c r="AF802" s="79"/>
      <c r="AH802" s="79"/>
      <c r="AI802" s="79"/>
      <c r="AJ802" s="79"/>
      <c r="AK802" s="79"/>
      <c r="AL802" s="79"/>
      <c r="AM802" s="79"/>
      <c r="AN802" s="79"/>
      <c r="AO802" s="79"/>
      <c r="AP802" s="79"/>
      <c r="AS802" s="79"/>
    </row>
    <row r="803" ht="15.75" customHeight="1">
      <c r="W803" s="41"/>
      <c r="X803" s="42"/>
      <c r="AC803" s="42"/>
      <c r="AE803" s="42"/>
      <c r="AF803" s="79"/>
      <c r="AH803" s="79"/>
      <c r="AI803" s="79"/>
      <c r="AJ803" s="79"/>
      <c r="AK803" s="79"/>
      <c r="AL803" s="79"/>
      <c r="AM803" s="79"/>
      <c r="AN803" s="79"/>
      <c r="AO803" s="79"/>
      <c r="AP803" s="79"/>
      <c r="AS803" s="79"/>
    </row>
    <row r="804" ht="15.75" customHeight="1">
      <c r="W804" s="41"/>
      <c r="X804" s="42"/>
      <c r="AC804" s="42"/>
      <c r="AE804" s="42"/>
      <c r="AF804" s="79"/>
      <c r="AH804" s="79"/>
      <c r="AI804" s="79"/>
      <c r="AJ804" s="79"/>
      <c r="AK804" s="79"/>
      <c r="AL804" s="79"/>
      <c r="AM804" s="79"/>
      <c r="AN804" s="79"/>
      <c r="AO804" s="79"/>
      <c r="AP804" s="79"/>
      <c r="AS804" s="79"/>
    </row>
    <row r="805" ht="15.75" customHeight="1">
      <c r="W805" s="41"/>
      <c r="X805" s="42"/>
      <c r="AC805" s="42"/>
      <c r="AE805" s="42"/>
      <c r="AF805" s="79"/>
      <c r="AH805" s="79"/>
      <c r="AI805" s="79"/>
      <c r="AJ805" s="79"/>
      <c r="AK805" s="79"/>
      <c r="AL805" s="79"/>
      <c r="AM805" s="79"/>
      <c r="AN805" s="79"/>
      <c r="AO805" s="79"/>
      <c r="AP805" s="79"/>
      <c r="AS805" s="79"/>
    </row>
    <row r="806" ht="15.75" customHeight="1">
      <c r="W806" s="41"/>
      <c r="X806" s="42"/>
      <c r="AC806" s="42"/>
      <c r="AE806" s="42"/>
      <c r="AF806" s="79"/>
      <c r="AH806" s="79"/>
      <c r="AI806" s="79"/>
      <c r="AJ806" s="79"/>
      <c r="AK806" s="79"/>
      <c r="AL806" s="79"/>
      <c r="AM806" s="79"/>
      <c r="AN806" s="79"/>
      <c r="AO806" s="79"/>
      <c r="AP806" s="79"/>
      <c r="AS806" s="79"/>
    </row>
    <row r="807" ht="15.75" customHeight="1">
      <c r="W807" s="41"/>
      <c r="X807" s="42"/>
      <c r="AC807" s="42"/>
      <c r="AE807" s="42"/>
      <c r="AF807" s="79"/>
      <c r="AH807" s="79"/>
      <c r="AI807" s="79"/>
      <c r="AJ807" s="79"/>
      <c r="AK807" s="79"/>
      <c r="AL807" s="79"/>
      <c r="AM807" s="79"/>
      <c r="AN807" s="79"/>
      <c r="AO807" s="79"/>
      <c r="AP807" s="79"/>
      <c r="AS807" s="79"/>
    </row>
    <row r="808" ht="15.75" customHeight="1">
      <c r="W808" s="41"/>
      <c r="X808" s="42"/>
      <c r="AC808" s="42"/>
      <c r="AE808" s="42"/>
      <c r="AF808" s="79"/>
      <c r="AH808" s="79"/>
      <c r="AI808" s="79"/>
      <c r="AJ808" s="79"/>
      <c r="AK808" s="79"/>
      <c r="AL808" s="79"/>
      <c r="AM808" s="79"/>
      <c r="AN808" s="79"/>
      <c r="AO808" s="79"/>
      <c r="AP808" s="79"/>
      <c r="AS808" s="79"/>
    </row>
    <row r="809" ht="15.75" customHeight="1">
      <c r="W809" s="41"/>
      <c r="X809" s="42"/>
      <c r="AC809" s="42"/>
      <c r="AE809" s="42"/>
      <c r="AF809" s="79"/>
      <c r="AH809" s="79"/>
      <c r="AI809" s="79"/>
      <c r="AJ809" s="79"/>
      <c r="AK809" s="79"/>
      <c r="AL809" s="79"/>
      <c r="AM809" s="79"/>
      <c r="AN809" s="79"/>
      <c r="AO809" s="79"/>
      <c r="AP809" s="79"/>
      <c r="AS809" s="79"/>
    </row>
    <row r="810" ht="15.75" customHeight="1">
      <c r="W810" s="41"/>
      <c r="X810" s="42"/>
      <c r="AC810" s="42"/>
      <c r="AE810" s="42"/>
      <c r="AF810" s="79"/>
      <c r="AH810" s="79"/>
      <c r="AI810" s="79"/>
      <c r="AJ810" s="79"/>
      <c r="AK810" s="79"/>
      <c r="AL810" s="79"/>
      <c r="AM810" s="79"/>
      <c r="AN810" s="79"/>
      <c r="AO810" s="79"/>
      <c r="AP810" s="79"/>
      <c r="AS810" s="79"/>
    </row>
    <row r="811" ht="15.75" customHeight="1">
      <c r="W811" s="41"/>
      <c r="X811" s="42"/>
      <c r="AC811" s="42"/>
      <c r="AE811" s="42"/>
      <c r="AF811" s="79"/>
      <c r="AH811" s="79"/>
      <c r="AI811" s="79"/>
      <c r="AJ811" s="79"/>
      <c r="AK811" s="79"/>
      <c r="AL811" s="79"/>
      <c r="AM811" s="79"/>
      <c r="AN811" s="79"/>
      <c r="AO811" s="79"/>
      <c r="AP811" s="79"/>
      <c r="AS811" s="79"/>
    </row>
    <row r="812" ht="15.75" customHeight="1">
      <c r="W812" s="41"/>
      <c r="X812" s="42"/>
      <c r="AC812" s="42"/>
      <c r="AE812" s="42"/>
      <c r="AF812" s="79"/>
      <c r="AH812" s="79"/>
      <c r="AI812" s="79"/>
      <c r="AJ812" s="79"/>
      <c r="AK812" s="79"/>
      <c r="AL812" s="79"/>
      <c r="AM812" s="79"/>
      <c r="AN812" s="79"/>
      <c r="AO812" s="79"/>
      <c r="AP812" s="79"/>
      <c r="AS812" s="79"/>
    </row>
    <row r="813" ht="15.75" customHeight="1">
      <c r="W813" s="41"/>
      <c r="X813" s="42"/>
      <c r="AC813" s="42"/>
      <c r="AE813" s="42"/>
      <c r="AF813" s="79"/>
      <c r="AH813" s="79"/>
      <c r="AI813" s="79"/>
      <c r="AJ813" s="79"/>
      <c r="AK813" s="79"/>
      <c r="AL813" s="79"/>
      <c r="AM813" s="79"/>
      <c r="AN813" s="79"/>
      <c r="AO813" s="79"/>
      <c r="AP813" s="79"/>
      <c r="AS813" s="79"/>
    </row>
    <row r="814" ht="15.75" customHeight="1">
      <c r="W814" s="41"/>
      <c r="X814" s="42"/>
      <c r="AC814" s="42"/>
      <c r="AE814" s="42"/>
      <c r="AF814" s="79"/>
      <c r="AH814" s="79"/>
      <c r="AI814" s="79"/>
      <c r="AJ814" s="79"/>
      <c r="AK814" s="79"/>
      <c r="AL814" s="79"/>
      <c r="AM814" s="79"/>
      <c r="AN814" s="79"/>
      <c r="AO814" s="79"/>
      <c r="AP814" s="79"/>
      <c r="AS814" s="79"/>
    </row>
    <row r="815" ht="15.75" customHeight="1">
      <c r="W815" s="41"/>
      <c r="X815" s="42"/>
      <c r="AC815" s="42"/>
      <c r="AE815" s="42"/>
      <c r="AF815" s="79"/>
      <c r="AH815" s="79"/>
      <c r="AI815" s="79"/>
      <c r="AJ815" s="79"/>
      <c r="AK815" s="79"/>
      <c r="AL815" s="79"/>
      <c r="AM815" s="79"/>
      <c r="AN815" s="79"/>
      <c r="AO815" s="79"/>
      <c r="AP815" s="79"/>
      <c r="AS815" s="79"/>
    </row>
    <row r="816" ht="15.75" customHeight="1">
      <c r="W816" s="41"/>
      <c r="X816" s="42"/>
      <c r="AC816" s="42"/>
      <c r="AE816" s="42"/>
      <c r="AF816" s="79"/>
      <c r="AH816" s="79"/>
      <c r="AI816" s="79"/>
      <c r="AJ816" s="79"/>
      <c r="AK816" s="79"/>
      <c r="AL816" s="79"/>
      <c r="AM816" s="79"/>
      <c r="AN816" s="79"/>
      <c r="AO816" s="79"/>
      <c r="AP816" s="79"/>
      <c r="AS816" s="79"/>
    </row>
    <row r="817" ht="15.75" customHeight="1">
      <c r="W817" s="41"/>
      <c r="X817" s="42"/>
      <c r="AC817" s="42"/>
      <c r="AE817" s="42"/>
      <c r="AF817" s="79"/>
      <c r="AH817" s="79"/>
      <c r="AI817" s="79"/>
      <c r="AJ817" s="79"/>
      <c r="AK817" s="79"/>
      <c r="AL817" s="79"/>
      <c r="AM817" s="79"/>
      <c r="AN817" s="79"/>
      <c r="AO817" s="79"/>
      <c r="AP817" s="79"/>
      <c r="AS817" s="79"/>
    </row>
    <row r="818" ht="15.75" customHeight="1">
      <c r="W818" s="41"/>
      <c r="X818" s="42"/>
      <c r="AC818" s="42"/>
      <c r="AE818" s="42"/>
      <c r="AF818" s="79"/>
      <c r="AH818" s="79"/>
      <c r="AI818" s="79"/>
      <c r="AJ818" s="79"/>
      <c r="AK818" s="79"/>
      <c r="AL818" s="79"/>
      <c r="AM818" s="79"/>
      <c r="AN818" s="79"/>
      <c r="AO818" s="79"/>
      <c r="AP818" s="79"/>
      <c r="AS818" s="79"/>
    </row>
    <row r="819" ht="15.75" customHeight="1">
      <c r="W819" s="41"/>
      <c r="X819" s="42"/>
      <c r="AC819" s="42"/>
      <c r="AE819" s="42"/>
      <c r="AF819" s="79"/>
      <c r="AH819" s="79"/>
      <c r="AI819" s="79"/>
      <c r="AJ819" s="79"/>
      <c r="AK819" s="79"/>
      <c r="AL819" s="79"/>
      <c r="AM819" s="79"/>
      <c r="AN819" s="79"/>
      <c r="AO819" s="79"/>
      <c r="AP819" s="79"/>
      <c r="AS819" s="79"/>
    </row>
    <row r="820" ht="15.75" customHeight="1">
      <c r="W820" s="41"/>
      <c r="X820" s="42"/>
      <c r="AC820" s="42"/>
      <c r="AE820" s="42"/>
      <c r="AF820" s="79"/>
      <c r="AH820" s="79"/>
      <c r="AI820" s="79"/>
      <c r="AJ820" s="79"/>
      <c r="AK820" s="79"/>
      <c r="AL820" s="79"/>
      <c r="AM820" s="79"/>
      <c r="AN820" s="79"/>
      <c r="AO820" s="79"/>
      <c r="AP820" s="79"/>
      <c r="AS820" s="79"/>
    </row>
    <row r="821" ht="15.75" customHeight="1">
      <c r="W821" s="41"/>
      <c r="X821" s="42"/>
      <c r="AC821" s="42"/>
      <c r="AE821" s="42"/>
      <c r="AF821" s="79"/>
      <c r="AH821" s="79"/>
      <c r="AI821" s="79"/>
      <c r="AJ821" s="79"/>
      <c r="AK821" s="79"/>
      <c r="AL821" s="79"/>
      <c r="AM821" s="79"/>
      <c r="AN821" s="79"/>
      <c r="AO821" s="79"/>
      <c r="AP821" s="79"/>
      <c r="AS821" s="79"/>
    </row>
    <row r="822" ht="15.75" customHeight="1">
      <c r="W822" s="41"/>
      <c r="X822" s="42"/>
      <c r="AC822" s="42"/>
      <c r="AE822" s="42"/>
      <c r="AF822" s="79"/>
      <c r="AH822" s="79"/>
      <c r="AI822" s="79"/>
      <c r="AJ822" s="79"/>
      <c r="AK822" s="79"/>
      <c r="AL822" s="79"/>
      <c r="AM822" s="79"/>
      <c r="AN822" s="79"/>
      <c r="AO822" s="79"/>
      <c r="AP822" s="79"/>
      <c r="AS822" s="79"/>
    </row>
    <row r="823" ht="15.75" customHeight="1">
      <c r="W823" s="41"/>
      <c r="X823" s="42"/>
      <c r="AC823" s="42"/>
      <c r="AE823" s="42"/>
      <c r="AF823" s="79"/>
      <c r="AH823" s="79"/>
      <c r="AI823" s="79"/>
      <c r="AJ823" s="79"/>
      <c r="AK823" s="79"/>
      <c r="AL823" s="79"/>
      <c r="AM823" s="79"/>
      <c r="AN823" s="79"/>
      <c r="AO823" s="79"/>
      <c r="AP823" s="79"/>
      <c r="AS823" s="79"/>
    </row>
    <row r="824" ht="15.75" customHeight="1">
      <c r="W824" s="41"/>
      <c r="X824" s="42"/>
      <c r="AC824" s="42"/>
      <c r="AE824" s="42"/>
      <c r="AF824" s="79"/>
      <c r="AH824" s="79"/>
      <c r="AI824" s="79"/>
      <c r="AJ824" s="79"/>
      <c r="AK824" s="79"/>
      <c r="AL824" s="79"/>
      <c r="AM824" s="79"/>
      <c r="AN824" s="79"/>
      <c r="AO824" s="79"/>
      <c r="AP824" s="79"/>
      <c r="AS824" s="79"/>
    </row>
    <row r="825" ht="15.75" customHeight="1">
      <c r="W825" s="41"/>
      <c r="X825" s="42"/>
      <c r="AC825" s="42"/>
      <c r="AE825" s="42"/>
      <c r="AF825" s="79"/>
      <c r="AH825" s="79"/>
      <c r="AI825" s="79"/>
      <c r="AJ825" s="79"/>
      <c r="AK825" s="79"/>
      <c r="AL825" s="79"/>
      <c r="AM825" s="79"/>
      <c r="AN825" s="79"/>
      <c r="AO825" s="79"/>
      <c r="AP825" s="79"/>
      <c r="AS825" s="79"/>
    </row>
    <row r="826" ht="15.75" customHeight="1">
      <c r="W826" s="41"/>
      <c r="X826" s="42"/>
      <c r="AC826" s="42"/>
      <c r="AE826" s="42"/>
      <c r="AF826" s="79"/>
      <c r="AH826" s="79"/>
      <c r="AI826" s="79"/>
      <c r="AJ826" s="79"/>
      <c r="AK826" s="79"/>
      <c r="AL826" s="79"/>
      <c r="AM826" s="79"/>
      <c r="AN826" s="79"/>
      <c r="AO826" s="79"/>
      <c r="AP826" s="79"/>
      <c r="AS826" s="79"/>
    </row>
    <row r="827" ht="15.75" customHeight="1">
      <c r="W827" s="41"/>
      <c r="X827" s="42"/>
      <c r="AC827" s="42"/>
      <c r="AE827" s="42"/>
      <c r="AF827" s="79"/>
      <c r="AH827" s="79"/>
      <c r="AI827" s="79"/>
      <c r="AJ827" s="79"/>
      <c r="AK827" s="79"/>
      <c r="AL827" s="79"/>
      <c r="AM827" s="79"/>
      <c r="AN827" s="79"/>
      <c r="AO827" s="79"/>
      <c r="AP827" s="79"/>
      <c r="AS827" s="79"/>
    </row>
    <row r="828" ht="15.75" customHeight="1">
      <c r="W828" s="41"/>
      <c r="X828" s="42"/>
      <c r="AC828" s="42"/>
      <c r="AE828" s="42"/>
      <c r="AF828" s="79"/>
      <c r="AH828" s="79"/>
      <c r="AI828" s="79"/>
      <c r="AJ828" s="79"/>
      <c r="AK828" s="79"/>
      <c r="AL828" s="79"/>
      <c r="AM828" s="79"/>
      <c r="AN828" s="79"/>
      <c r="AO828" s="79"/>
      <c r="AP828" s="79"/>
      <c r="AS828" s="79"/>
    </row>
    <row r="829" ht="15.75" customHeight="1">
      <c r="W829" s="41"/>
      <c r="X829" s="42"/>
      <c r="AC829" s="42"/>
      <c r="AE829" s="42"/>
      <c r="AF829" s="79"/>
      <c r="AH829" s="79"/>
      <c r="AI829" s="79"/>
      <c r="AJ829" s="79"/>
      <c r="AK829" s="79"/>
      <c r="AL829" s="79"/>
      <c r="AM829" s="79"/>
      <c r="AN829" s="79"/>
      <c r="AO829" s="79"/>
      <c r="AP829" s="79"/>
      <c r="AS829" s="79"/>
    </row>
    <row r="830" ht="15.75" customHeight="1">
      <c r="W830" s="41"/>
      <c r="X830" s="42"/>
      <c r="AC830" s="42"/>
      <c r="AE830" s="42"/>
      <c r="AF830" s="79"/>
      <c r="AH830" s="79"/>
      <c r="AI830" s="79"/>
      <c r="AJ830" s="79"/>
      <c r="AK830" s="79"/>
      <c r="AL830" s="79"/>
      <c r="AM830" s="79"/>
      <c r="AN830" s="79"/>
      <c r="AO830" s="79"/>
      <c r="AP830" s="79"/>
      <c r="AS830" s="79"/>
    </row>
    <row r="831" ht="15.75" customHeight="1">
      <c r="W831" s="41"/>
      <c r="X831" s="42"/>
      <c r="AC831" s="42"/>
      <c r="AE831" s="42"/>
      <c r="AF831" s="79"/>
      <c r="AH831" s="79"/>
      <c r="AI831" s="79"/>
      <c r="AJ831" s="79"/>
      <c r="AK831" s="79"/>
      <c r="AL831" s="79"/>
      <c r="AM831" s="79"/>
      <c r="AN831" s="79"/>
      <c r="AO831" s="79"/>
      <c r="AP831" s="79"/>
      <c r="AS831" s="79"/>
    </row>
    <row r="832" ht="15.75" customHeight="1">
      <c r="W832" s="41"/>
      <c r="X832" s="42"/>
      <c r="AC832" s="42"/>
      <c r="AE832" s="42"/>
      <c r="AF832" s="79"/>
      <c r="AH832" s="79"/>
      <c r="AI832" s="79"/>
      <c r="AJ832" s="79"/>
      <c r="AK832" s="79"/>
      <c r="AL832" s="79"/>
      <c r="AM832" s="79"/>
      <c r="AN832" s="79"/>
      <c r="AO832" s="79"/>
      <c r="AP832" s="79"/>
      <c r="AS832" s="79"/>
    </row>
    <row r="833" ht="15.75" customHeight="1">
      <c r="W833" s="41"/>
      <c r="X833" s="42"/>
      <c r="AC833" s="42"/>
      <c r="AE833" s="42"/>
      <c r="AF833" s="79"/>
      <c r="AH833" s="79"/>
      <c r="AI833" s="79"/>
      <c r="AJ833" s="79"/>
      <c r="AK833" s="79"/>
      <c r="AL833" s="79"/>
      <c r="AM833" s="79"/>
      <c r="AN833" s="79"/>
      <c r="AO833" s="79"/>
      <c r="AP833" s="79"/>
      <c r="AS833" s="79"/>
    </row>
    <row r="834" ht="15.75" customHeight="1">
      <c r="W834" s="41"/>
      <c r="X834" s="42"/>
      <c r="AC834" s="42"/>
      <c r="AE834" s="42"/>
      <c r="AF834" s="79"/>
      <c r="AH834" s="79"/>
      <c r="AI834" s="79"/>
      <c r="AJ834" s="79"/>
      <c r="AK834" s="79"/>
      <c r="AL834" s="79"/>
      <c r="AM834" s="79"/>
      <c r="AN834" s="79"/>
      <c r="AO834" s="79"/>
      <c r="AP834" s="79"/>
      <c r="AS834" s="79"/>
    </row>
    <row r="835" ht="15.75" customHeight="1">
      <c r="W835" s="41"/>
      <c r="X835" s="42"/>
      <c r="AC835" s="42"/>
      <c r="AE835" s="42"/>
      <c r="AF835" s="79"/>
      <c r="AH835" s="79"/>
      <c r="AI835" s="79"/>
      <c r="AJ835" s="79"/>
      <c r="AK835" s="79"/>
      <c r="AL835" s="79"/>
      <c r="AM835" s="79"/>
      <c r="AN835" s="79"/>
      <c r="AO835" s="79"/>
      <c r="AP835" s="79"/>
      <c r="AS835" s="79"/>
    </row>
    <row r="836" ht="15.75" customHeight="1">
      <c r="W836" s="41"/>
      <c r="X836" s="42"/>
      <c r="AC836" s="42"/>
      <c r="AE836" s="42"/>
      <c r="AF836" s="79"/>
      <c r="AH836" s="79"/>
      <c r="AI836" s="79"/>
      <c r="AJ836" s="79"/>
      <c r="AK836" s="79"/>
      <c r="AL836" s="79"/>
      <c r="AM836" s="79"/>
      <c r="AN836" s="79"/>
      <c r="AO836" s="79"/>
      <c r="AP836" s="79"/>
      <c r="AS836" s="79"/>
    </row>
    <row r="837" ht="15.75" customHeight="1">
      <c r="W837" s="41"/>
      <c r="X837" s="42"/>
      <c r="AC837" s="42"/>
      <c r="AE837" s="42"/>
      <c r="AF837" s="79"/>
      <c r="AH837" s="79"/>
      <c r="AI837" s="79"/>
      <c r="AJ837" s="79"/>
      <c r="AK837" s="79"/>
      <c r="AL837" s="79"/>
      <c r="AM837" s="79"/>
      <c r="AN837" s="79"/>
      <c r="AO837" s="79"/>
      <c r="AP837" s="79"/>
      <c r="AS837" s="79"/>
    </row>
    <row r="838" ht="15.75" customHeight="1">
      <c r="W838" s="41"/>
      <c r="X838" s="42"/>
      <c r="AC838" s="42"/>
      <c r="AE838" s="42"/>
      <c r="AF838" s="79"/>
      <c r="AH838" s="79"/>
      <c r="AI838" s="79"/>
      <c r="AJ838" s="79"/>
      <c r="AK838" s="79"/>
      <c r="AL838" s="79"/>
      <c r="AM838" s="79"/>
      <c r="AN838" s="79"/>
      <c r="AO838" s="79"/>
      <c r="AP838" s="79"/>
      <c r="AS838" s="79"/>
    </row>
    <row r="839" ht="15.75" customHeight="1">
      <c r="W839" s="41"/>
      <c r="X839" s="42"/>
      <c r="AC839" s="42"/>
      <c r="AE839" s="42"/>
      <c r="AF839" s="79"/>
      <c r="AH839" s="79"/>
      <c r="AI839" s="79"/>
      <c r="AJ839" s="79"/>
      <c r="AK839" s="79"/>
      <c r="AL839" s="79"/>
      <c r="AM839" s="79"/>
      <c r="AN839" s="79"/>
      <c r="AO839" s="79"/>
      <c r="AP839" s="79"/>
      <c r="AS839" s="79"/>
    </row>
    <row r="840" ht="15.75" customHeight="1">
      <c r="W840" s="41"/>
      <c r="X840" s="42"/>
      <c r="AC840" s="42"/>
      <c r="AE840" s="42"/>
      <c r="AF840" s="79"/>
      <c r="AH840" s="79"/>
      <c r="AI840" s="79"/>
      <c r="AJ840" s="79"/>
      <c r="AK840" s="79"/>
      <c r="AL840" s="79"/>
      <c r="AM840" s="79"/>
      <c r="AN840" s="79"/>
      <c r="AO840" s="79"/>
      <c r="AP840" s="79"/>
      <c r="AS840" s="79"/>
    </row>
    <row r="841" ht="15.75" customHeight="1">
      <c r="W841" s="41"/>
      <c r="X841" s="42"/>
      <c r="AC841" s="42"/>
      <c r="AE841" s="42"/>
      <c r="AF841" s="79"/>
      <c r="AH841" s="79"/>
      <c r="AI841" s="79"/>
      <c r="AJ841" s="79"/>
      <c r="AK841" s="79"/>
      <c r="AL841" s="79"/>
      <c r="AM841" s="79"/>
      <c r="AN841" s="79"/>
      <c r="AO841" s="79"/>
      <c r="AP841" s="79"/>
      <c r="AS841" s="79"/>
    </row>
    <row r="842" ht="15.75" customHeight="1">
      <c r="W842" s="41"/>
      <c r="X842" s="42"/>
      <c r="AC842" s="42"/>
      <c r="AE842" s="42"/>
      <c r="AF842" s="79"/>
      <c r="AH842" s="79"/>
      <c r="AI842" s="79"/>
      <c r="AJ842" s="79"/>
      <c r="AK842" s="79"/>
      <c r="AL842" s="79"/>
      <c r="AM842" s="79"/>
      <c r="AN842" s="79"/>
      <c r="AO842" s="79"/>
      <c r="AP842" s="79"/>
      <c r="AS842" s="79"/>
    </row>
    <row r="843" ht="15.75" customHeight="1">
      <c r="W843" s="41"/>
      <c r="X843" s="42"/>
      <c r="AC843" s="42"/>
      <c r="AE843" s="42"/>
      <c r="AF843" s="79"/>
      <c r="AH843" s="79"/>
      <c r="AI843" s="79"/>
      <c r="AJ843" s="79"/>
      <c r="AK843" s="79"/>
      <c r="AL843" s="79"/>
      <c r="AM843" s="79"/>
      <c r="AN843" s="79"/>
      <c r="AO843" s="79"/>
      <c r="AP843" s="79"/>
      <c r="AS843" s="79"/>
    </row>
    <row r="844" ht="15.75" customHeight="1">
      <c r="W844" s="41"/>
      <c r="X844" s="42"/>
      <c r="AC844" s="42"/>
      <c r="AE844" s="42"/>
      <c r="AF844" s="79"/>
      <c r="AH844" s="79"/>
      <c r="AI844" s="79"/>
      <c r="AJ844" s="79"/>
      <c r="AK844" s="79"/>
      <c r="AL844" s="79"/>
      <c r="AM844" s="79"/>
      <c r="AN844" s="79"/>
      <c r="AO844" s="79"/>
      <c r="AP844" s="79"/>
      <c r="AS844" s="79"/>
    </row>
    <row r="845" ht="15.75" customHeight="1">
      <c r="W845" s="41"/>
      <c r="X845" s="42"/>
      <c r="AC845" s="42"/>
      <c r="AE845" s="42"/>
      <c r="AF845" s="79"/>
      <c r="AH845" s="79"/>
      <c r="AI845" s="79"/>
      <c r="AJ845" s="79"/>
      <c r="AK845" s="79"/>
      <c r="AL845" s="79"/>
      <c r="AM845" s="79"/>
      <c r="AN845" s="79"/>
      <c r="AO845" s="79"/>
      <c r="AP845" s="79"/>
      <c r="AS845" s="79"/>
    </row>
    <row r="846" ht="15.75" customHeight="1">
      <c r="W846" s="41"/>
      <c r="X846" s="42"/>
      <c r="AC846" s="42"/>
      <c r="AE846" s="42"/>
      <c r="AF846" s="79"/>
      <c r="AH846" s="79"/>
      <c r="AI846" s="79"/>
      <c r="AJ846" s="79"/>
      <c r="AK846" s="79"/>
      <c r="AL846" s="79"/>
      <c r="AM846" s="79"/>
      <c r="AN846" s="79"/>
      <c r="AO846" s="79"/>
      <c r="AP846" s="79"/>
      <c r="AS846" s="79"/>
    </row>
    <row r="847" ht="15.75" customHeight="1">
      <c r="W847" s="41"/>
      <c r="X847" s="42"/>
      <c r="AC847" s="42"/>
      <c r="AE847" s="42"/>
      <c r="AF847" s="79"/>
      <c r="AH847" s="79"/>
      <c r="AI847" s="79"/>
      <c r="AJ847" s="79"/>
      <c r="AK847" s="79"/>
      <c r="AL847" s="79"/>
      <c r="AM847" s="79"/>
      <c r="AN847" s="79"/>
      <c r="AO847" s="79"/>
      <c r="AP847" s="79"/>
      <c r="AS847" s="79"/>
    </row>
    <row r="848" ht="15.75" customHeight="1">
      <c r="W848" s="41"/>
      <c r="X848" s="42"/>
      <c r="AC848" s="42"/>
      <c r="AE848" s="42"/>
      <c r="AF848" s="79"/>
      <c r="AH848" s="79"/>
      <c r="AI848" s="79"/>
      <c r="AJ848" s="79"/>
      <c r="AK848" s="79"/>
      <c r="AL848" s="79"/>
      <c r="AM848" s="79"/>
      <c r="AN848" s="79"/>
      <c r="AO848" s="79"/>
      <c r="AP848" s="79"/>
      <c r="AS848" s="79"/>
    </row>
    <row r="849" ht="15.75" customHeight="1">
      <c r="W849" s="41"/>
      <c r="X849" s="42"/>
      <c r="AC849" s="42"/>
      <c r="AE849" s="42"/>
      <c r="AF849" s="79"/>
      <c r="AH849" s="79"/>
      <c r="AI849" s="79"/>
      <c r="AJ849" s="79"/>
      <c r="AK849" s="79"/>
      <c r="AL849" s="79"/>
      <c r="AM849" s="79"/>
      <c r="AN849" s="79"/>
      <c r="AO849" s="79"/>
      <c r="AP849" s="79"/>
      <c r="AS849" s="79"/>
    </row>
    <row r="850" ht="15.75" customHeight="1">
      <c r="W850" s="41"/>
      <c r="X850" s="42"/>
      <c r="AC850" s="42"/>
      <c r="AE850" s="42"/>
      <c r="AF850" s="79"/>
      <c r="AH850" s="79"/>
      <c r="AI850" s="79"/>
      <c r="AJ850" s="79"/>
      <c r="AK850" s="79"/>
      <c r="AL850" s="79"/>
      <c r="AM850" s="79"/>
      <c r="AN850" s="79"/>
      <c r="AO850" s="79"/>
      <c r="AP850" s="79"/>
      <c r="AS850" s="79"/>
    </row>
    <row r="851" ht="15.75" customHeight="1">
      <c r="W851" s="41"/>
      <c r="X851" s="42"/>
      <c r="AC851" s="42"/>
      <c r="AE851" s="42"/>
      <c r="AF851" s="79"/>
      <c r="AH851" s="79"/>
      <c r="AI851" s="79"/>
      <c r="AJ851" s="79"/>
      <c r="AK851" s="79"/>
      <c r="AL851" s="79"/>
      <c r="AM851" s="79"/>
      <c r="AN851" s="79"/>
      <c r="AO851" s="79"/>
      <c r="AP851" s="79"/>
      <c r="AS851" s="79"/>
    </row>
    <row r="852" ht="15.75" customHeight="1">
      <c r="W852" s="41"/>
      <c r="X852" s="42"/>
      <c r="AC852" s="42"/>
      <c r="AE852" s="42"/>
      <c r="AF852" s="79"/>
      <c r="AH852" s="79"/>
      <c r="AI852" s="79"/>
      <c r="AJ852" s="79"/>
      <c r="AK852" s="79"/>
      <c r="AL852" s="79"/>
      <c r="AM852" s="79"/>
      <c r="AN852" s="79"/>
      <c r="AO852" s="79"/>
      <c r="AP852" s="79"/>
      <c r="AS852" s="79"/>
    </row>
    <row r="853" ht="15.75" customHeight="1">
      <c r="W853" s="41"/>
      <c r="X853" s="42"/>
      <c r="AC853" s="42"/>
      <c r="AE853" s="42"/>
      <c r="AF853" s="79"/>
      <c r="AH853" s="79"/>
      <c r="AI853" s="79"/>
      <c r="AJ853" s="79"/>
      <c r="AK853" s="79"/>
      <c r="AL853" s="79"/>
      <c r="AM853" s="79"/>
      <c r="AN853" s="79"/>
      <c r="AO853" s="79"/>
      <c r="AP853" s="79"/>
      <c r="AS853" s="79"/>
    </row>
    <row r="854" ht="15.75" customHeight="1">
      <c r="W854" s="41"/>
      <c r="X854" s="42"/>
      <c r="AC854" s="42"/>
      <c r="AE854" s="42"/>
      <c r="AF854" s="79"/>
      <c r="AH854" s="79"/>
      <c r="AI854" s="79"/>
      <c r="AJ854" s="79"/>
      <c r="AK854" s="79"/>
      <c r="AL854" s="79"/>
      <c r="AM854" s="79"/>
      <c r="AN854" s="79"/>
      <c r="AO854" s="79"/>
      <c r="AP854" s="79"/>
      <c r="AS854" s="79"/>
    </row>
    <row r="855" ht="15.75" customHeight="1">
      <c r="W855" s="41"/>
      <c r="X855" s="42"/>
      <c r="AC855" s="42"/>
      <c r="AE855" s="42"/>
      <c r="AF855" s="79"/>
      <c r="AH855" s="79"/>
      <c r="AI855" s="79"/>
      <c r="AJ855" s="79"/>
      <c r="AK855" s="79"/>
      <c r="AL855" s="79"/>
      <c r="AM855" s="79"/>
      <c r="AN855" s="79"/>
      <c r="AO855" s="79"/>
      <c r="AP855" s="79"/>
      <c r="AS855" s="79"/>
    </row>
    <row r="856" ht="15.75" customHeight="1">
      <c r="W856" s="41"/>
      <c r="X856" s="42"/>
      <c r="AC856" s="42"/>
      <c r="AE856" s="42"/>
      <c r="AF856" s="79"/>
      <c r="AH856" s="79"/>
      <c r="AI856" s="79"/>
      <c r="AJ856" s="79"/>
      <c r="AK856" s="79"/>
      <c r="AL856" s="79"/>
      <c r="AM856" s="79"/>
      <c r="AN856" s="79"/>
      <c r="AO856" s="79"/>
      <c r="AP856" s="79"/>
      <c r="AS856" s="79"/>
    </row>
    <row r="857" ht="15.75" customHeight="1">
      <c r="W857" s="41"/>
      <c r="X857" s="42"/>
      <c r="AC857" s="42"/>
      <c r="AE857" s="42"/>
      <c r="AF857" s="79"/>
      <c r="AH857" s="79"/>
      <c r="AI857" s="79"/>
      <c r="AJ857" s="79"/>
      <c r="AK857" s="79"/>
      <c r="AL857" s="79"/>
      <c r="AM857" s="79"/>
      <c r="AN857" s="79"/>
      <c r="AO857" s="79"/>
      <c r="AP857" s="79"/>
      <c r="AS857" s="79"/>
    </row>
    <row r="858" ht="15.75" customHeight="1">
      <c r="W858" s="41"/>
      <c r="X858" s="42"/>
      <c r="AC858" s="42"/>
      <c r="AE858" s="42"/>
      <c r="AF858" s="79"/>
      <c r="AH858" s="79"/>
      <c r="AI858" s="79"/>
      <c r="AJ858" s="79"/>
      <c r="AK858" s="79"/>
      <c r="AL858" s="79"/>
      <c r="AM858" s="79"/>
      <c r="AN858" s="79"/>
      <c r="AO858" s="79"/>
      <c r="AP858" s="79"/>
      <c r="AS858" s="79"/>
    </row>
    <row r="859" ht="15.75" customHeight="1">
      <c r="W859" s="41"/>
      <c r="X859" s="42"/>
      <c r="AC859" s="42"/>
      <c r="AE859" s="42"/>
      <c r="AF859" s="79"/>
      <c r="AH859" s="79"/>
      <c r="AI859" s="79"/>
      <c r="AJ859" s="79"/>
      <c r="AK859" s="79"/>
      <c r="AL859" s="79"/>
      <c r="AM859" s="79"/>
      <c r="AN859" s="79"/>
      <c r="AO859" s="79"/>
      <c r="AP859" s="79"/>
      <c r="AS859" s="79"/>
    </row>
    <row r="860" ht="15.75" customHeight="1">
      <c r="W860" s="41"/>
      <c r="X860" s="42"/>
      <c r="AC860" s="42"/>
      <c r="AE860" s="42"/>
      <c r="AF860" s="79"/>
      <c r="AH860" s="79"/>
      <c r="AI860" s="79"/>
      <c r="AJ860" s="79"/>
      <c r="AK860" s="79"/>
      <c r="AL860" s="79"/>
      <c r="AM860" s="79"/>
      <c r="AN860" s="79"/>
      <c r="AO860" s="79"/>
      <c r="AP860" s="79"/>
      <c r="AS860" s="79"/>
    </row>
    <row r="861" ht="15.75" customHeight="1">
      <c r="W861" s="41"/>
      <c r="X861" s="42"/>
      <c r="AC861" s="42"/>
      <c r="AE861" s="42"/>
      <c r="AF861" s="79"/>
      <c r="AH861" s="79"/>
      <c r="AI861" s="79"/>
      <c r="AJ861" s="79"/>
      <c r="AK861" s="79"/>
      <c r="AL861" s="79"/>
      <c r="AM861" s="79"/>
      <c r="AN861" s="79"/>
      <c r="AO861" s="79"/>
      <c r="AP861" s="79"/>
      <c r="AS861" s="79"/>
    </row>
    <row r="862" ht="15.75" customHeight="1">
      <c r="W862" s="41"/>
      <c r="X862" s="42"/>
      <c r="AC862" s="42"/>
      <c r="AE862" s="42"/>
      <c r="AF862" s="79"/>
      <c r="AH862" s="79"/>
      <c r="AI862" s="79"/>
      <c r="AJ862" s="79"/>
      <c r="AK862" s="79"/>
      <c r="AL862" s="79"/>
      <c r="AM862" s="79"/>
      <c r="AN862" s="79"/>
      <c r="AO862" s="79"/>
      <c r="AP862" s="79"/>
      <c r="AS862" s="79"/>
    </row>
    <row r="863" ht="15.75" customHeight="1">
      <c r="W863" s="41"/>
      <c r="X863" s="42"/>
      <c r="AC863" s="42"/>
      <c r="AE863" s="42"/>
      <c r="AF863" s="79"/>
      <c r="AH863" s="79"/>
      <c r="AI863" s="79"/>
      <c r="AJ863" s="79"/>
      <c r="AK863" s="79"/>
      <c r="AL863" s="79"/>
      <c r="AM863" s="79"/>
      <c r="AN863" s="79"/>
      <c r="AO863" s="79"/>
      <c r="AP863" s="79"/>
      <c r="AS863" s="79"/>
    </row>
    <row r="864" ht="15.75" customHeight="1">
      <c r="AF864" s="79"/>
      <c r="AH864" s="79"/>
      <c r="AI864" s="79"/>
      <c r="AJ864" s="79"/>
      <c r="AK864" s="79"/>
      <c r="AL864" s="79"/>
      <c r="AM864" s="79"/>
      <c r="AN864" s="79"/>
      <c r="AO864" s="79"/>
      <c r="AP864" s="79"/>
      <c r="AS864" s="79"/>
    </row>
    <row r="865" ht="15.75" customHeight="1">
      <c r="AF865" s="79"/>
      <c r="AH865" s="79"/>
      <c r="AI865" s="79"/>
      <c r="AJ865" s="79"/>
      <c r="AK865" s="79"/>
      <c r="AL865" s="79"/>
      <c r="AM865" s="79"/>
      <c r="AN865" s="79"/>
      <c r="AO865" s="79"/>
      <c r="AP865" s="79"/>
      <c r="AS865" s="79"/>
    </row>
    <row r="866" ht="15.75" customHeight="1">
      <c r="AF866" s="79"/>
      <c r="AH866" s="79"/>
      <c r="AI866" s="79"/>
      <c r="AJ866" s="79"/>
      <c r="AK866" s="79"/>
      <c r="AL866" s="79"/>
      <c r="AM866" s="79"/>
      <c r="AN866" s="79"/>
      <c r="AO866" s="79"/>
      <c r="AP866" s="79"/>
      <c r="AS866" s="79"/>
    </row>
    <row r="867" ht="15.75" customHeight="1">
      <c r="AF867" s="79"/>
      <c r="AH867" s="79"/>
      <c r="AI867" s="79"/>
      <c r="AJ867" s="79"/>
      <c r="AK867" s="79"/>
      <c r="AL867" s="79"/>
      <c r="AM867" s="79"/>
      <c r="AN867" s="79"/>
      <c r="AO867" s="79"/>
      <c r="AP867" s="79"/>
      <c r="AS867" s="79"/>
    </row>
    <row r="868" ht="15.75" customHeight="1">
      <c r="AF868" s="79"/>
      <c r="AH868" s="79"/>
      <c r="AI868" s="79"/>
      <c r="AJ868" s="79"/>
      <c r="AK868" s="79"/>
      <c r="AL868" s="79"/>
      <c r="AM868" s="79"/>
      <c r="AN868" s="79"/>
      <c r="AO868" s="79"/>
      <c r="AP868" s="79"/>
      <c r="AS868" s="79"/>
    </row>
    <row r="869" ht="15.75" customHeight="1">
      <c r="AF869" s="79"/>
      <c r="AH869" s="79"/>
      <c r="AI869" s="79"/>
      <c r="AJ869" s="79"/>
      <c r="AK869" s="79"/>
      <c r="AL869" s="79"/>
      <c r="AM869" s="79"/>
      <c r="AN869" s="79"/>
      <c r="AO869" s="79"/>
      <c r="AP869" s="79"/>
      <c r="AS869" s="79"/>
    </row>
    <row r="870" ht="15.75" customHeight="1">
      <c r="AF870" s="79"/>
      <c r="AH870" s="79"/>
      <c r="AI870" s="79"/>
      <c r="AJ870" s="79"/>
      <c r="AK870" s="79"/>
      <c r="AL870" s="79"/>
      <c r="AM870" s="79"/>
      <c r="AN870" s="79"/>
      <c r="AO870" s="79"/>
      <c r="AP870" s="79"/>
      <c r="AS870" s="79"/>
    </row>
    <row r="871" ht="15.75" customHeight="1">
      <c r="AF871" s="79"/>
      <c r="AH871" s="79"/>
      <c r="AI871" s="79"/>
      <c r="AJ871" s="79"/>
      <c r="AK871" s="79"/>
      <c r="AL871" s="79"/>
      <c r="AM871" s="79"/>
      <c r="AN871" s="79"/>
      <c r="AO871" s="79"/>
      <c r="AP871" s="79"/>
      <c r="AS871" s="79"/>
    </row>
    <row r="872" ht="15.75" customHeight="1">
      <c r="AF872" s="79"/>
      <c r="AH872" s="79"/>
      <c r="AI872" s="79"/>
      <c r="AJ872" s="79"/>
      <c r="AK872" s="79"/>
      <c r="AL872" s="79"/>
      <c r="AM872" s="79"/>
      <c r="AN872" s="79"/>
      <c r="AO872" s="79"/>
      <c r="AP872" s="79"/>
      <c r="AS872" s="79"/>
    </row>
    <row r="873" ht="15.75" customHeight="1">
      <c r="AF873" s="79"/>
      <c r="AH873" s="79"/>
      <c r="AI873" s="79"/>
      <c r="AJ873" s="79"/>
      <c r="AK873" s="79"/>
      <c r="AL873" s="79"/>
      <c r="AM873" s="79"/>
      <c r="AN873" s="79"/>
      <c r="AO873" s="79"/>
      <c r="AP873" s="79"/>
      <c r="AS873" s="79"/>
    </row>
    <row r="874" ht="15.75" customHeight="1">
      <c r="AF874" s="79"/>
      <c r="AH874" s="79"/>
      <c r="AI874" s="79"/>
      <c r="AJ874" s="79"/>
      <c r="AK874" s="79"/>
      <c r="AL874" s="79"/>
      <c r="AM874" s="79"/>
      <c r="AN874" s="79"/>
      <c r="AO874" s="79"/>
      <c r="AP874" s="79"/>
      <c r="AS874" s="79"/>
    </row>
    <row r="875" ht="15.75" customHeight="1">
      <c r="AF875" s="79"/>
      <c r="AH875" s="79"/>
      <c r="AI875" s="79"/>
      <c r="AJ875" s="79"/>
      <c r="AK875" s="79"/>
      <c r="AL875" s="79"/>
      <c r="AM875" s="79"/>
      <c r="AN875" s="79"/>
      <c r="AO875" s="79"/>
      <c r="AP875" s="79"/>
      <c r="AS875" s="79"/>
    </row>
    <row r="876" ht="15.75" customHeight="1">
      <c r="AF876" s="79"/>
      <c r="AH876" s="79"/>
      <c r="AI876" s="79"/>
      <c r="AJ876" s="79"/>
      <c r="AK876" s="79"/>
      <c r="AL876" s="79"/>
      <c r="AM876" s="79"/>
      <c r="AN876" s="79"/>
      <c r="AO876" s="79"/>
      <c r="AP876" s="79"/>
      <c r="AS876" s="79"/>
    </row>
    <row r="877" ht="15.75" customHeight="1">
      <c r="AF877" s="79"/>
      <c r="AH877" s="79"/>
      <c r="AI877" s="79"/>
      <c r="AJ877" s="79"/>
      <c r="AK877" s="79"/>
      <c r="AL877" s="79"/>
      <c r="AM877" s="79"/>
      <c r="AN877" s="79"/>
      <c r="AO877" s="79"/>
      <c r="AP877" s="79"/>
      <c r="AS877" s="79"/>
    </row>
    <row r="878" ht="15.75" customHeight="1">
      <c r="AF878" s="79"/>
      <c r="AH878" s="79"/>
      <c r="AI878" s="79"/>
      <c r="AJ878" s="79"/>
      <c r="AK878" s="79"/>
      <c r="AL878" s="79"/>
      <c r="AM878" s="79"/>
      <c r="AN878" s="79"/>
      <c r="AO878" s="79"/>
      <c r="AP878" s="79"/>
      <c r="AS878" s="79"/>
    </row>
    <row r="879" ht="15.75" customHeight="1">
      <c r="AF879" s="79"/>
      <c r="AH879" s="79"/>
      <c r="AI879" s="79"/>
      <c r="AJ879" s="79"/>
      <c r="AK879" s="79"/>
      <c r="AL879" s="79"/>
      <c r="AM879" s="79"/>
      <c r="AN879" s="79"/>
      <c r="AO879" s="79"/>
      <c r="AP879" s="79"/>
      <c r="AS879" s="79"/>
    </row>
    <row r="880" ht="15.75" customHeight="1">
      <c r="AF880" s="79"/>
      <c r="AH880" s="79"/>
      <c r="AI880" s="79"/>
      <c r="AJ880" s="79"/>
      <c r="AK880" s="79"/>
      <c r="AL880" s="79"/>
      <c r="AM880" s="79"/>
      <c r="AN880" s="79"/>
      <c r="AO880" s="79"/>
      <c r="AP880" s="79"/>
      <c r="AS880" s="79"/>
    </row>
    <row r="881" ht="15.75" customHeight="1">
      <c r="AF881" s="79"/>
      <c r="AH881" s="79"/>
      <c r="AI881" s="79"/>
      <c r="AJ881" s="79"/>
      <c r="AK881" s="79"/>
      <c r="AL881" s="79"/>
      <c r="AM881" s="79"/>
      <c r="AN881" s="79"/>
      <c r="AO881" s="79"/>
      <c r="AP881" s="79"/>
      <c r="AS881" s="79"/>
    </row>
    <row r="882" ht="15.75" customHeight="1">
      <c r="AF882" s="79"/>
      <c r="AH882" s="79"/>
      <c r="AI882" s="79"/>
      <c r="AJ882" s="79"/>
      <c r="AK882" s="79"/>
      <c r="AL882" s="79"/>
      <c r="AM882" s="79"/>
      <c r="AN882" s="79"/>
      <c r="AO882" s="79"/>
      <c r="AP882" s="79"/>
      <c r="AS882" s="79"/>
    </row>
    <row r="883" ht="15.75" customHeight="1">
      <c r="AF883" s="79"/>
      <c r="AH883" s="79"/>
      <c r="AI883" s="79"/>
      <c r="AJ883" s="79"/>
      <c r="AK883" s="79"/>
      <c r="AL883" s="79"/>
      <c r="AM883" s="79"/>
      <c r="AN883" s="79"/>
      <c r="AO883" s="79"/>
      <c r="AP883" s="79"/>
      <c r="AS883" s="79"/>
    </row>
    <row r="884" ht="15.75" customHeight="1">
      <c r="AF884" s="79"/>
      <c r="AH884" s="79"/>
      <c r="AI884" s="79"/>
      <c r="AJ884" s="79"/>
      <c r="AK884" s="79"/>
      <c r="AL884" s="79"/>
      <c r="AM884" s="79"/>
      <c r="AN884" s="79"/>
      <c r="AO884" s="79"/>
      <c r="AP884" s="79"/>
      <c r="AS884" s="79"/>
    </row>
    <row r="885" ht="15.75" customHeight="1">
      <c r="AF885" s="79"/>
      <c r="AH885" s="79"/>
      <c r="AI885" s="79"/>
      <c r="AJ885" s="79"/>
      <c r="AK885" s="79"/>
      <c r="AL885" s="79"/>
      <c r="AM885" s="79"/>
      <c r="AN885" s="79"/>
      <c r="AO885" s="79"/>
      <c r="AP885" s="79"/>
      <c r="AS885" s="79"/>
    </row>
    <row r="886" ht="15.75" customHeight="1">
      <c r="AF886" s="79"/>
      <c r="AH886" s="79"/>
      <c r="AI886" s="79"/>
      <c r="AJ886" s="79"/>
      <c r="AK886" s="79"/>
      <c r="AL886" s="79"/>
      <c r="AM886" s="79"/>
      <c r="AN886" s="79"/>
      <c r="AO886" s="79"/>
      <c r="AP886" s="79"/>
      <c r="AS886" s="79"/>
    </row>
    <row r="887" ht="15.75" customHeight="1">
      <c r="AF887" s="79"/>
      <c r="AH887" s="79"/>
      <c r="AI887" s="79"/>
      <c r="AJ887" s="79"/>
      <c r="AK887" s="79"/>
      <c r="AL887" s="79"/>
      <c r="AM887" s="79"/>
      <c r="AN887" s="79"/>
      <c r="AO887" s="79"/>
      <c r="AP887" s="79"/>
      <c r="AS887" s="79"/>
    </row>
    <row r="888" ht="15.75" customHeight="1">
      <c r="AF888" s="79"/>
      <c r="AH888" s="79"/>
      <c r="AI888" s="79"/>
      <c r="AJ888" s="79"/>
      <c r="AK888" s="79"/>
      <c r="AL888" s="79"/>
      <c r="AM888" s="79"/>
      <c r="AN888" s="79"/>
      <c r="AO888" s="79"/>
      <c r="AP888" s="79"/>
      <c r="AS888" s="79"/>
    </row>
    <row r="889" ht="15.75" customHeight="1">
      <c r="AF889" s="79"/>
      <c r="AH889" s="79"/>
      <c r="AI889" s="79"/>
      <c r="AJ889" s="79"/>
      <c r="AK889" s="79"/>
      <c r="AL889" s="79"/>
      <c r="AM889" s="79"/>
      <c r="AN889" s="79"/>
      <c r="AO889" s="79"/>
      <c r="AP889" s="79"/>
      <c r="AS889" s="79"/>
    </row>
    <row r="890" ht="15.75" customHeight="1">
      <c r="AF890" s="79"/>
      <c r="AH890" s="79"/>
      <c r="AI890" s="79"/>
      <c r="AJ890" s="79"/>
      <c r="AK890" s="79"/>
      <c r="AL890" s="79"/>
      <c r="AM890" s="79"/>
      <c r="AN890" s="79"/>
      <c r="AO890" s="79"/>
      <c r="AP890" s="79"/>
      <c r="AS890" s="79"/>
    </row>
    <row r="891" ht="15.75" customHeight="1">
      <c r="AF891" s="79"/>
      <c r="AH891" s="79"/>
      <c r="AI891" s="79"/>
      <c r="AJ891" s="79"/>
      <c r="AK891" s="79"/>
      <c r="AL891" s="79"/>
      <c r="AM891" s="79"/>
      <c r="AN891" s="79"/>
      <c r="AO891" s="79"/>
      <c r="AP891" s="79"/>
      <c r="AS891" s="79"/>
    </row>
    <row r="892" ht="15.75" customHeight="1">
      <c r="AF892" s="79"/>
      <c r="AH892" s="79"/>
      <c r="AI892" s="79"/>
      <c r="AJ892" s="79"/>
      <c r="AK892" s="79"/>
      <c r="AL892" s="79"/>
      <c r="AM892" s="79"/>
      <c r="AN892" s="79"/>
      <c r="AO892" s="79"/>
      <c r="AP892" s="79"/>
      <c r="AS892" s="79"/>
    </row>
    <row r="893" ht="15.75" customHeight="1">
      <c r="AF893" s="79"/>
      <c r="AH893" s="79"/>
      <c r="AI893" s="79"/>
      <c r="AJ893" s="79"/>
      <c r="AK893" s="79"/>
      <c r="AL893" s="79"/>
      <c r="AM893" s="79"/>
      <c r="AN893" s="79"/>
      <c r="AO893" s="79"/>
      <c r="AP893" s="79"/>
      <c r="AS893" s="79"/>
    </row>
    <row r="894" ht="15.75" customHeight="1">
      <c r="AF894" s="79"/>
      <c r="AH894" s="79"/>
      <c r="AI894" s="79"/>
      <c r="AJ894" s="79"/>
      <c r="AK894" s="79"/>
      <c r="AL894" s="79"/>
      <c r="AM894" s="79"/>
      <c r="AN894" s="79"/>
      <c r="AO894" s="79"/>
      <c r="AP894" s="79"/>
      <c r="AS894" s="79"/>
    </row>
    <row r="895" ht="15.75" customHeight="1">
      <c r="AF895" s="79"/>
      <c r="AH895" s="79"/>
      <c r="AI895" s="79"/>
      <c r="AJ895" s="79"/>
      <c r="AK895" s="79"/>
      <c r="AL895" s="79"/>
      <c r="AM895" s="79"/>
      <c r="AN895" s="79"/>
      <c r="AO895" s="79"/>
      <c r="AP895" s="79"/>
      <c r="AS895" s="79"/>
    </row>
    <row r="896" ht="15.75" customHeight="1">
      <c r="AF896" s="79"/>
      <c r="AH896" s="79"/>
      <c r="AI896" s="79"/>
      <c r="AJ896" s="79"/>
      <c r="AK896" s="79"/>
      <c r="AL896" s="79"/>
      <c r="AM896" s="79"/>
      <c r="AN896" s="79"/>
      <c r="AO896" s="79"/>
      <c r="AP896" s="79"/>
      <c r="AS896" s="79"/>
    </row>
    <row r="897" ht="15.75" customHeight="1">
      <c r="AF897" s="79"/>
      <c r="AH897" s="79"/>
      <c r="AI897" s="79"/>
      <c r="AJ897" s="79"/>
      <c r="AK897" s="79"/>
      <c r="AL897" s="79"/>
      <c r="AM897" s="79"/>
      <c r="AN897" s="79"/>
      <c r="AO897" s="79"/>
      <c r="AP897" s="79"/>
      <c r="AS897" s="79"/>
    </row>
    <row r="898" ht="15.75" customHeight="1">
      <c r="AF898" s="79"/>
      <c r="AH898" s="79"/>
      <c r="AI898" s="79"/>
      <c r="AJ898" s="79"/>
      <c r="AK898" s="79"/>
      <c r="AL898" s="79"/>
      <c r="AM898" s="79"/>
      <c r="AN898" s="79"/>
      <c r="AO898" s="79"/>
      <c r="AP898" s="79"/>
      <c r="AS898" s="79"/>
    </row>
    <row r="899" ht="15.75" customHeight="1">
      <c r="AF899" s="79"/>
      <c r="AH899" s="79"/>
      <c r="AI899" s="79"/>
      <c r="AJ899" s="79"/>
      <c r="AK899" s="79"/>
      <c r="AL899" s="79"/>
      <c r="AM899" s="79"/>
      <c r="AN899" s="79"/>
      <c r="AO899" s="79"/>
      <c r="AP899" s="79"/>
      <c r="AS899" s="79"/>
    </row>
    <row r="900" ht="15.75" customHeight="1">
      <c r="AF900" s="79"/>
      <c r="AH900" s="79"/>
      <c r="AI900" s="79"/>
      <c r="AJ900" s="79"/>
      <c r="AK900" s="79"/>
      <c r="AL900" s="79"/>
      <c r="AM900" s="79"/>
      <c r="AN900" s="79"/>
      <c r="AO900" s="79"/>
      <c r="AP900" s="79"/>
      <c r="AS900" s="79"/>
    </row>
    <row r="901" ht="15.75" customHeight="1">
      <c r="AF901" s="79"/>
      <c r="AH901" s="79"/>
      <c r="AI901" s="79"/>
      <c r="AJ901" s="79"/>
      <c r="AK901" s="79"/>
      <c r="AL901" s="79"/>
      <c r="AM901" s="79"/>
      <c r="AN901" s="79"/>
      <c r="AO901" s="79"/>
      <c r="AP901" s="79"/>
      <c r="AS901" s="79"/>
    </row>
    <row r="902" ht="15.75" customHeight="1">
      <c r="AF902" s="79"/>
      <c r="AH902" s="79"/>
      <c r="AI902" s="79"/>
      <c r="AJ902" s="79"/>
      <c r="AK902" s="79"/>
      <c r="AL902" s="79"/>
      <c r="AM902" s="79"/>
      <c r="AN902" s="79"/>
      <c r="AO902" s="79"/>
      <c r="AP902" s="79"/>
      <c r="AS902" s="79"/>
    </row>
    <row r="903" ht="15.75" customHeight="1">
      <c r="AF903" s="79"/>
      <c r="AH903" s="79"/>
      <c r="AI903" s="79"/>
      <c r="AJ903" s="79"/>
      <c r="AK903" s="79"/>
      <c r="AL903" s="79"/>
      <c r="AM903" s="79"/>
      <c r="AN903" s="79"/>
      <c r="AO903" s="79"/>
      <c r="AP903" s="79"/>
      <c r="AS903" s="79"/>
    </row>
    <row r="904" ht="15.75" customHeight="1">
      <c r="AF904" s="79"/>
      <c r="AH904" s="79"/>
      <c r="AI904" s="79"/>
      <c r="AJ904" s="79"/>
      <c r="AK904" s="79"/>
      <c r="AL904" s="79"/>
      <c r="AM904" s="79"/>
      <c r="AN904" s="79"/>
      <c r="AO904" s="79"/>
      <c r="AP904" s="79"/>
      <c r="AS904" s="79"/>
    </row>
    <row r="905" ht="15.75" customHeight="1">
      <c r="AF905" s="79"/>
      <c r="AH905" s="79"/>
      <c r="AI905" s="79"/>
      <c r="AJ905" s="79"/>
      <c r="AK905" s="79"/>
      <c r="AL905" s="79"/>
      <c r="AM905" s="79"/>
      <c r="AN905" s="79"/>
      <c r="AO905" s="79"/>
      <c r="AP905" s="79"/>
      <c r="AS905" s="79"/>
    </row>
    <row r="906" ht="15.75" customHeight="1">
      <c r="AF906" s="79"/>
      <c r="AH906" s="79"/>
      <c r="AI906" s="79"/>
      <c r="AJ906" s="79"/>
      <c r="AK906" s="79"/>
      <c r="AL906" s="79"/>
      <c r="AM906" s="79"/>
      <c r="AN906" s="79"/>
      <c r="AO906" s="79"/>
      <c r="AP906" s="79"/>
      <c r="AS906" s="79"/>
    </row>
    <row r="907" ht="15.75" customHeight="1">
      <c r="AF907" s="79"/>
      <c r="AH907" s="79"/>
      <c r="AI907" s="79"/>
      <c r="AJ907" s="79"/>
      <c r="AK907" s="79"/>
      <c r="AL907" s="79"/>
      <c r="AM907" s="79"/>
      <c r="AN907" s="79"/>
      <c r="AO907" s="79"/>
      <c r="AP907" s="79"/>
      <c r="AS907" s="79"/>
    </row>
    <row r="908" ht="15.75" customHeight="1">
      <c r="AF908" s="79"/>
      <c r="AH908" s="79"/>
      <c r="AI908" s="79"/>
      <c r="AJ908" s="79"/>
      <c r="AK908" s="79"/>
      <c r="AL908" s="79"/>
      <c r="AM908" s="79"/>
      <c r="AN908" s="79"/>
      <c r="AO908" s="79"/>
      <c r="AP908" s="79"/>
      <c r="AS908" s="79"/>
    </row>
    <row r="909" ht="15.75" customHeight="1">
      <c r="AF909" s="79"/>
      <c r="AH909" s="79"/>
      <c r="AI909" s="79"/>
      <c r="AJ909" s="79"/>
      <c r="AK909" s="79"/>
      <c r="AL909" s="79"/>
      <c r="AM909" s="79"/>
      <c r="AN909" s="79"/>
      <c r="AO909" s="79"/>
      <c r="AP909" s="79"/>
      <c r="AS909" s="79"/>
    </row>
    <row r="910" ht="15.75" customHeight="1">
      <c r="AF910" s="79"/>
      <c r="AH910" s="79"/>
      <c r="AI910" s="79"/>
      <c r="AJ910" s="79"/>
      <c r="AK910" s="79"/>
      <c r="AL910" s="79"/>
      <c r="AM910" s="79"/>
      <c r="AN910" s="79"/>
      <c r="AO910" s="79"/>
      <c r="AP910" s="79"/>
      <c r="AS910" s="79"/>
    </row>
    <row r="911" ht="15.75" customHeight="1">
      <c r="AF911" s="79"/>
      <c r="AH911" s="79"/>
      <c r="AI911" s="79"/>
      <c r="AJ911" s="79"/>
      <c r="AK911" s="79"/>
      <c r="AL911" s="79"/>
      <c r="AM911" s="79"/>
      <c r="AN911" s="79"/>
      <c r="AO911" s="79"/>
      <c r="AP911" s="79"/>
      <c r="AS911" s="79"/>
    </row>
    <row r="912" ht="15.75" customHeight="1">
      <c r="AF912" s="79"/>
      <c r="AH912" s="79"/>
      <c r="AI912" s="79"/>
      <c r="AJ912" s="79"/>
      <c r="AK912" s="79"/>
      <c r="AL912" s="79"/>
      <c r="AM912" s="79"/>
      <c r="AN912" s="79"/>
      <c r="AO912" s="79"/>
      <c r="AP912" s="79"/>
      <c r="AS912" s="79"/>
    </row>
    <row r="913" ht="15.75" customHeight="1">
      <c r="AF913" s="79"/>
      <c r="AH913" s="79"/>
      <c r="AI913" s="79"/>
      <c r="AJ913" s="79"/>
      <c r="AK913" s="79"/>
      <c r="AL913" s="79"/>
      <c r="AM913" s="79"/>
      <c r="AN913" s="79"/>
      <c r="AO913" s="79"/>
      <c r="AP913" s="79"/>
      <c r="AS913" s="79"/>
    </row>
    <row r="914" ht="15.75" customHeight="1">
      <c r="AF914" s="79"/>
      <c r="AH914" s="79"/>
      <c r="AI914" s="79"/>
      <c r="AJ914" s="79"/>
      <c r="AK914" s="79"/>
      <c r="AL914" s="79"/>
      <c r="AM914" s="79"/>
      <c r="AN914" s="79"/>
      <c r="AO914" s="79"/>
      <c r="AP914" s="79"/>
      <c r="AS914" s="79"/>
    </row>
    <row r="915" ht="15.75" customHeight="1">
      <c r="AF915" s="79"/>
      <c r="AH915" s="79"/>
      <c r="AI915" s="79"/>
      <c r="AJ915" s="79"/>
      <c r="AK915" s="79"/>
      <c r="AL915" s="79"/>
      <c r="AM915" s="79"/>
      <c r="AN915" s="79"/>
      <c r="AO915" s="79"/>
      <c r="AP915" s="79"/>
      <c r="AS915" s="79"/>
    </row>
    <row r="916" ht="15.75" customHeight="1">
      <c r="AF916" s="79"/>
      <c r="AH916" s="79"/>
      <c r="AI916" s="79"/>
      <c r="AJ916" s="79"/>
      <c r="AK916" s="79"/>
      <c r="AL916" s="79"/>
      <c r="AM916" s="79"/>
      <c r="AN916" s="79"/>
      <c r="AO916" s="79"/>
      <c r="AP916" s="79"/>
      <c r="AS916" s="79"/>
    </row>
    <row r="917" ht="15.75" customHeight="1">
      <c r="AF917" s="79"/>
      <c r="AH917" s="79"/>
      <c r="AI917" s="79"/>
      <c r="AJ917" s="79"/>
      <c r="AK917" s="79"/>
      <c r="AL917" s="79"/>
      <c r="AM917" s="79"/>
      <c r="AN917" s="79"/>
      <c r="AO917" s="79"/>
      <c r="AP917" s="79"/>
      <c r="AS917" s="79"/>
    </row>
    <row r="918" ht="15.75" customHeight="1">
      <c r="AF918" s="79"/>
      <c r="AH918" s="79"/>
      <c r="AI918" s="79"/>
      <c r="AJ918" s="79"/>
      <c r="AK918" s="79"/>
      <c r="AL918" s="79"/>
      <c r="AM918" s="79"/>
      <c r="AN918" s="79"/>
      <c r="AO918" s="79"/>
      <c r="AP918" s="79"/>
      <c r="AS918" s="79"/>
    </row>
    <row r="919" ht="15.75" customHeight="1">
      <c r="AF919" s="79"/>
      <c r="AH919" s="79"/>
      <c r="AI919" s="79"/>
      <c r="AJ919" s="79"/>
      <c r="AK919" s="79"/>
      <c r="AL919" s="79"/>
      <c r="AM919" s="79"/>
      <c r="AN919" s="79"/>
      <c r="AO919" s="79"/>
      <c r="AP919" s="79"/>
      <c r="AS919" s="79"/>
    </row>
    <row r="920" ht="15.75" customHeight="1">
      <c r="AF920" s="79"/>
      <c r="AH920" s="79"/>
      <c r="AI920" s="79"/>
      <c r="AJ920" s="79"/>
      <c r="AK920" s="79"/>
      <c r="AL920" s="79"/>
      <c r="AM920" s="79"/>
      <c r="AN920" s="79"/>
      <c r="AO920" s="79"/>
      <c r="AP920" s="79"/>
      <c r="AS920" s="79"/>
    </row>
    <row r="921" ht="15.75" customHeight="1">
      <c r="AF921" s="79"/>
      <c r="AH921" s="79"/>
      <c r="AI921" s="79"/>
      <c r="AJ921" s="79"/>
      <c r="AK921" s="79"/>
      <c r="AL921" s="79"/>
      <c r="AM921" s="79"/>
      <c r="AN921" s="79"/>
      <c r="AO921" s="79"/>
      <c r="AP921" s="79"/>
      <c r="AS921" s="79"/>
    </row>
    <row r="922" ht="15.75" customHeight="1">
      <c r="AF922" s="79"/>
      <c r="AH922" s="79"/>
      <c r="AI922" s="79"/>
      <c r="AJ922" s="79"/>
      <c r="AK922" s="79"/>
      <c r="AL922" s="79"/>
      <c r="AM922" s="79"/>
      <c r="AN922" s="79"/>
      <c r="AO922" s="79"/>
      <c r="AP922" s="79"/>
      <c r="AS922" s="79"/>
    </row>
    <row r="923" ht="15.75" customHeight="1">
      <c r="AF923" s="79"/>
      <c r="AH923" s="79"/>
      <c r="AI923" s="79"/>
      <c r="AJ923" s="79"/>
      <c r="AK923" s="79"/>
      <c r="AL923" s="79"/>
      <c r="AM923" s="79"/>
      <c r="AN923" s="79"/>
      <c r="AO923" s="79"/>
      <c r="AP923" s="79"/>
      <c r="AS923" s="79"/>
    </row>
    <row r="924" ht="15.75" customHeight="1">
      <c r="AF924" s="79"/>
      <c r="AH924" s="79"/>
      <c r="AI924" s="79"/>
      <c r="AJ924" s="79"/>
      <c r="AK924" s="79"/>
      <c r="AL924" s="79"/>
      <c r="AM924" s="79"/>
      <c r="AN924" s="79"/>
      <c r="AO924" s="79"/>
      <c r="AP924" s="79"/>
      <c r="AS924" s="79"/>
    </row>
    <row r="925" ht="15.75" customHeight="1">
      <c r="AF925" s="79"/>
      <c r="AH925" s="79"/>
      <c r="AI925" s="79"/>
      <c r="AJ925" s="79"/>
      <c r="AK925" s="79"/>
      <c r="AL925" s="79"/>
      <c r="AM925" s="79"/>
      <c r="AN925" s="79"/>
      <c r="AO925" s="79"/>
      <c r="AP925" s="79"/>
      <c r="AS925" s="79"/>
    </row>
    <row r="926" ht="15.75" customHeight="1">
      <c r="AF926" s="79"/>
      <c r="AH926" s="79"/>
      <c r="AI926" s="79"/>
      <c r="AJ926" s="79"/>
      <c r="AK926" s="79"/>
      <c r="AL926" s="79"/>
      <c r="AM926" s="79"/>
      <c r="AN926" s="79"/>
      <c r="AO926" s="79"/>
      <c r="AP926" s="79"/>
      <c r="AS926" s="79"/>
    </row>
    <row r="927" ht="15.75" customHeight="1">
      <c r="AF927" s="79"/>
      <c r="AH927" s="79"/>
      <c r="AI927" s="79"/>
      <c r="AJ927" s="79"/>
      <c r="AK927" s="79"/>
      <c r="AL927" s="79"/>
      <c r="AM927" s="79"/>
      <c r="AN927" s="79"/>
      <c r="AO927" s="79"/>
      <c r="AP927" s="79"/>
      <c r="AS927" s="79"/>
    </row>
    <row r="928" ht="15.75" customHeight="1">
      <c r="AF928" s="79"/>
      <c r="AH928" s="79"/>
      <c r="AI928" s="79"/>
      <c r="AJ928" s="79"/>
      <c r="AK928" s="79"/>
      <c r="AL928" s="79"/>
      <c r="AM928" s="79"/>
      <c r="AN928" s="79"/>
      <c r="AO928" s="79"/>
      <c r="AP928" s="79"/>
      <c r="AS928" s="79"/>
    </row>
    <row r="929" ht="15.75" customHeight="1">
      <c r="AF929" s="79"/>
      <c r="AH929" s="79"/>
      <c r="AI929" s="79"/>
      <c r="AJ929" s="79"/>
      <c r="AK929" s="79"/>
      <c r="AL929" s="79"/>
      <c r="AM929" s="79"/>
      <c r="AN929" s="79"/>
      <c r="AO929" s="79"/>
      <c r="AP929" s="79"/>
      <c r="AS929" s="79"/>
    </row>
    <row r="930" ht="15.75" customHeight="1">
      <c r="AF930" s="79"/>
      <c r="AH930" s="79"/>
      <c r="AI930" s="79"/>
      <c r="AJ930" s="79"/>
      <c r="AK930" s="79"/>
      <c r="AL930" s="79"/>
      <c r="AM930" s="79"/>
      <c r="AN930" s="79"/>
      <c r="AO930" s="79"/>
      <c r="AP930" s="79"/>
      <c r="AS930" s="79"/>
    </row>
    <row r="931" ht="15.75" customHeight="1">
      <c r="AF931" s="79"/>
      <c r="AH931" s="79"/>
      <c r="AI931" s="79"/>
      <c r="AJ931" s="79"/>
      <c r="AK931" s="79"/>
      <c r="AL931" s="79"/>
      <c r="AM931" s="79"/>
      <c r="AN931" s="79"/>
      <c r="AO931" s="79"/>
      <c r="AP931" s="79"/>
      <c r="AS931" s="79"/>
    </row>
    <row r="932" ht="15.75" customHeight="1">
      <c r="AF932" s="79"/>
      <c r="AH932" s="79"/>
      <c r="AI932" s="79"/>
      <c r="AJ932" s="79"/>
      <c r="AK932" s="79"/>
      <c r="AL932" s="79"/>
      <c r="AM932" s="79"/>
      <c r="AN932" s="79"/>
      <c r="AO932" s="79"/>
      <c r="AP932" s="79"/>
      <c r="AS932" s="79"/>
    </row>
    <row r="933" ht="15.75" customHeight="1">
      <c r="AF933" s="79"/>
      <c r="AH933" s="79"/>
      <c r="AI933" s="79"/>
      <c r="AJ933" s="79"/>
      <c r="AK933" s="79"/>
      <c r="AL933" s="79"/>
      <c r="AM933" s="79"/>
      <c r="AN933" s="79"/>
      <c r="AO933" s="79"/>
      <c r="AP933" s="79"/>
      <c r="AS933" s="79"/>
    </row>
    <row r="934" ht="15.75" customHeight="1">
      <c r="AF934" s="79"/>
      <c r="AH934" s="79"/>
      <c r="AI934" s="79"/>
      <c r="AJ934" s="79"/>
      <c r="AK934" s="79"/>
      <c r="AL934" s="79"/>
      <c r="AM934" s="79"/>
      <c r="AN934" s="79"/>
      <c r="AO934" s="79"/>
      <c r="AP934" s="79"/>
      <c r="AS934" s="79"/>
    </row>
    <row r="935" ht="15.75" customHeight="1">
      <c r="AF935" s="79"/>
      <c r="AH935" s="79"/>
      <c r="AI935" s="79"/>
      <c r="AJ935" s="79"/>
      <c r="AK935" s="79"/>
      <c r="AL935" s="79"/>
      <c r="AM935" s="79"/>
      <c r="AN935" s="79"/>
      <c r="AO935" s="79"/>
      <c r="AP935" s="79"/>
      <c r="AS935" s="79"/>
    </row>
    <row r="936" ht="15.75" customHeight="1">
      <c r="AF936" s="79"/>
      <c r="AH936" s="79"/>
      <c r="AI936" s="79"/>
      <c r="AJ936" s="79"/>
      <c r="AK936" s="79"/>
      <c r="AL936" s="79"/>
      <c r="AM936" s="79"/>
      <c r="AN936" s="79"/>
      <c r="AO936" s="79"/>
      <c r="AP936" s="79"/>
      <c r="AS936" s="79"/>
    </row>
    <row r="937" ht="15.75" customHeight="1">
      <c r="AF937" s="79"/>
      <c r="AH937" s="79"/>
      <c r="AI937" s="79"/>
      <c r="AJ937" s="79"/>
      <c r="AK937" s="79"/>
      <c r="AL937" s="79"/>
      <c r="AM937" s="79"/>
      <c r="AN937" s="79"/>
      <c r="AO937" s="79"/>
      <c r="AP937" s="79"/>
      <c r="AS937" s="79"/>
    </row>
    <row r="938" ht="15.75" customHeight="1">
      <c r="AF938" s="79"/>
      <c r="AH938" s="79"/>
      <c r="AI938" s="79"/>
      <c r="AJ938" s="79"/>
      <c r="AK938" s="79"/>
      <c r="AL938" s="79"/>
      <c r="AM938" s="79"/>
      <c r="AN938" s="79"/>
      <c r="AO938" s="79"/>
      <c r="AP938" s="79"/>
      <c r="AS938" s="79"/>
    </row>
    <row r="939" ht="15.75" customHeight="1">
      <c r="AF939" s="79"/>
      <c r="AH939" s="79"/>
      <c r="AI939" s="79"/>
      <c r="AJ939" s="79"/>
      <c r="AK939" s="79"/>
      <c r="AL939" s="79"/>
      <c r="AM939" s="79"/>
      <c r="AN939" s="79"/>
      <c r="AO939" s="79"/>
      <c r="AP939" s="79"/>
      <c r="AS939" s="79"/>
    </row>
    <row r="940" ht="15.75" customHeight="1">
      <c r="AF940" s="79"/>
      <c r="AH940" s="79"/>
      <c r="AI940" s="79"/>
      <c r="AJ940" s="79"/>
      <c r="AK940" s="79"/>
      <c r="AL940" s="79"/>
      <c r="AM940" s="79"/>
      <c r="AN940" s="79"/>
      <c r="AO940" s="79"/>
      <c r="AP940" s="79"/>
      <c r="AS940" s="79"/>
    </row>
    <row r="941" ht="15.75" customHeight="1">
      <c r="AF941" s="79"/>
      <c r="AH941" s="79"/>
      <c r="AI941" s="79"/>
      <c r="AJ941" s="79"/>
      <c r="AK941" s="79"/>
      <c r="AL941" s="79"/>
      <c r="AM941" s="79"/>
      <c r="AN941" s="79"/>
      <c r="AO941" s="79"/>
      <c r="AP941" s="79"/>
      <c r="AS941" s="79"/>
    </row>
    <row r="942" ht="15.75" customHeight="1">
      <c r="AF942" s="79"/>
      <c r="AH942" s="79"/>
      <c r="AI942" s="79"/>
      <c r="AJ942" s="79"/>
      <c r="AK942" s="79"/>
      <c r="AL942" s="79"/>
      <c r="AM942" s="79"/>
      <c r="AN942" s="79"/>
      <c r="AO942" s="79"/>
      <c r="AP942" s="79"/>
      <c r="AS942" s="79"/>
    </row>
    <row r="943" ht="15.75" customHeight="1">
      <c r="AF943" s="79"/>
      <c r="AH943" s="79"/>
      <c r="AI943" s="79"/>
      <c r="AJ943" s="79"/>
      <c r="AK943" s="79"/>
      <c r="AL943" s="79"/>
      <c r="AM943" s="79"/>
      <c r="AN943" s="79"/>
      <c r="AO943" s="79"/>
      <c r="AP943" s="79"/>
      <c r="AS943" s="79"/>
    </row>
    <row r="944" ht="15.75" customHeight="1">
      <c r="AF944" s="79"/>
      <c r="AH944" s="79"/>
      <c r="AI944" s="79"/>
      <c r="AJ944" s="79"/>
      <c r="AK944" s="79"/>
      <c r="AL944" s="79"/>
      <c r="AM944" s="79"/>
      <c r="AN944" s="79"/>
      <c r="AO944" s="79"/>
      <c r="AP944" s="79"/>
      <c r="AS944" s="79"/>
    </row>
    <row r="945" ht="15.75" customHeight="1">
      <c r="AF945" s="79"/>
      <c r="AH945" s="79"/>
      <c r="AI945" s="79"/>
      <c r="AJ945" s="79"/>
      <c r="AK945" s="79"/>
      <c r="AL945" s="79"/>
      <c r="AM945" s="79"/>
      <c r="AN945" s="79"/>
      <c r="AO945" s="79"/>
      <c r="AP945" s="79"/>
      <c r="AS945" s="79"/>
    </row>
    <row r="946" ht="15.75" customHeight="1">
      <c r="AF946" s="79"/>
      <c r="AH946" s="79"/>
      <c r="AI946" s="79"/>
      <c r="AJ946" s="79"/>
      <c r="AK946" s="79"/>
      <c r="AL946" s="79"/>
      <c r="AM946" s="79"/>
      <c r="AN946" s="79"/>
      <c r="AO946" s="79"/>
      <c r="AP946" s="79"/>
      <c r="AS946" s="79"/>
    </row>
    <row r="947" ht="15.75" customHeight="1">
      <c r="AF947" s="79"/>
      <c r="AH947" s="79"/>
      <c r="AI947" s="79"/>
      <c r="AJ947" s="79"/>
      <c r="AK947" s="79"/>
      <c r="AL947" s="79"/>
      <c r="AM947" s="79"/>
      <c r="AN947" s="79"/>
      <c r="AO947" s="79"/>
      <c r="AP947" s="79"/>
      <c r="AS947" s="79"/>
    </row>
    <row r="948" ht="15.75" customHeight="1">
      <c r="AF948" s="79"/>
      <c r="AH948" s="79"/>
      <c r="AI948" s="79"/>
      <c r="AJ948" s="79"/>
      <c r="AK948" s="79"/>
      <c r="AL948" s="79"/>
      <c r="AM948" s="79"/>
      <c r="AN948" s="79"/>
      <c r="AO948" s="79"/>
      <c r="AP948" s="79"/>
      <c r="AS948" s="79"/>
    </row>
    <row r="949" ht="15.75" customHeight="1">
      <c r="AF949" s="79"/>
      <c r="AH949" s="79"/>
      <c r="AI949" s="79"/>
      <c r="AJ949" s="79"/>
      <c r="AK949" s="79"/>
      <c r="AL949" s="79"/>
      <c r="AM949" s="79"/>
      <c r="AN949" s="79"/>
      <c r="AO949" s="79"/>
      <c r="AP949" s="79"/>
      <c r="AS949" s="79"/>
    </row>
    <row r="950" ht="15.75" customHeight="1">
      <c r="AF950" s="79"/>
      <c r="AH950" s="79"/>
      <c r="AI950" s="79"/>
      <c r="AJ950" s="79"/>
      <c r="AK950" s="79"/>
      <c r="AL950" s="79"/>
      <c r="AM950" s="79"/>
      <c r="AN950" s="79"/>
      <c r="AO950" s="79"/>
      <c r="AP950" s="79"/>
      <c r="AS950" s="79"/>
    </row>
    <row r="951" ht="15.75" customHeight="1">
      <c r="AF951" s="79"/>
      <c r="AH951" s="79"/>
      <c r="AI951" s="79"/>
      <c r="AJ951" s="79"/>
      <c r="AK951" s="79"/>
      <c r="AL951" s="79"/>
      <c r="AM951" s="79"/>
      <c r="AN951" s="79"/>
      <c r="AO951" s="79"/>
      <c r="AP951" s="79"/>
      <c r="AS951" s="79"/>
    </row>
    <row r="952" ht="15.75" customHeight="1">
      <c r="AF952" s="79"/>
      <c r="AH952" s="79"/>
      <c r="AI952" s="79"/>
      <c r="AJ952" s="79"/>
      <c r="AK952" s="79"/>
      <c r="AL952" s="79"/>
      <c r="AM952" s="79"/>
      <c r="AN952" s="79"/>
      <c r="AO952" s="79"/>
      <c r="AP952" s="79"/>
      <c r="AS952" s="79"/>
    </row>
    <row r="953" ht="15.75" customHeight="1">
      <c r="AF953" s="79"/>
      <c r="AH953" s="79"/>
      <c r="AI953" s="79"/>
      <c r="AJ953" s="79"/>
      <c r="AK953" s="79"/>
      <c r="AL953" s="79"/>
      <c r="AM953" s="79"/>
      <c r="AN953" s="79"/>
      <c r="AO953" s="79"/>
      <c r="AP953" s="79"/>
      <c r="AS953" s="79"/>
    </row>
    <row r="954" ht="15.75" customHeight="1">
      <c r="AF954" s="79"/>
      <c r="AH954" s="79"/>
      <c r="AI954" s="79"/>
      <c r="AJ954" s="79"/>
      <c r="AK954" s="79"/>
      <c r="AL954" s="79"/>
      <c r="AM954" s="79"/>
      <c r="AN954" s="79"/>
      <c r="AO954" s="79"/>
      <c r="AP954" s="79"/>
      <c r="AS954" s="79"/>
    </row>
    <row r="955" ht="15.75" customHeight="1">
      <c r="AF955" s="79"/>
      <c r="AH955" s="79"/>
      <c r="AI955" s="79"/>
      <c r="AJ955" s="79"/>
      <c r="AK955" s="79"/>
      <c r="AL955" s="79"/>
      <c r="AM955" s="79"/>
      <c r="AN955" s="79"/>
      <c r="AO955" s="79"/>
      <c r="AP955" s="79"/>
      <c r="AS955" s="79"/>
    </row>
    <row r="956" ht="15.75" customHeight="1">
      <c r="AF956" s="79"/>
      <c r="AH956" s="79"/>
      <c r="AI956" s="79"/>
      <c r="AJ956" s="79"/>
      <c r="AK956" s="79"/>
      <c r="AL956" s="79"/>
      <c r="AM956" s="79"/>
      <c r="AN956" s="79"/>
      <c r="AO956" s="79"/>
      <c r="AP956" s="79"/>
      <c r="AS956" s="79"/>
    </row>
    <row r="957" ht="15.75" customHeight="1">
      <c r="AF957" s="79"/>
      <c r="AH957" s="79"/>
      <c r="AI957" s="79"/>
      <c r="AJ957" s="79"/>
      <c r="AK957" s="79"/>
      <c r="AL957" s="79"/>
      <c r="AM957" s="79"/>
      <c r="AN957" s="79"/>
      <c r="AO957" s="79"/>
      <c r="AP957" s="79"/>
      <c r="AS957" s="79"/>
    </row>
    <row r="958" ht="15.75" customHeight="1">
      <c r="AF958" s="79"/>
      <c r="AH958" s="79"/>
      <c r="AI958" s="79"/>
      <c r="AJ958" s="79"/>
      <c r="AK958" s="79"/>
      <c r="AL958" s="79"/>
      <c r="AM958" s="79"/>
      <c r="AN958" s="79"/>
      <c r="AO958" s="79"/>
      <c r="AP958" s="79"/>
      <c r="AS958" s="79"/>
    </row>
    <row r="959" ht="15.75" customHeight="1">
      <c r="AF959" s="79"/>
      <c r="AH959" s="79"/>
      <c r="AI959" s="79"/>
      <c r="AJ959" s="79"/>
      <c r="AK959" s="79"/>
      <c r="AL959" s="79"/>
      <c r="AM959" s="79"/>
      <c r="AN959" s="79"/>
      <c r="AO959" s="79"/>
      <c r="AP959" s="79"/>
      <c r="AS959" s="79"/>
    </row>
    <row r="960" ht="15.75" customHeight="1">
      <c r="AF960" s="79"/>
      <c r="AH960" s="79"/>
      <c r="AI960" s="79"/>
      <c r="AJ960" s="79"/>
      <c r="AK960" s="79"/>
      <c r="AL960" s="79"/>
      <c r="AM960" s="79"/>
      <c r="AN960" s="79"/>
      <c r="AO960" s="79"/>
      <c r="AP960" s="79"/>
      <c r="AS960" s="79"/>
    </row>
    <row r="961" ht="15.75" customHeight="1">
      <c r="AF961" s="79"/>
      <c r="AH961" s="79"/>
      <c r="AI961" s="79"/>
      <c r="AJ961" s="79"/>
      <c r="AK961" s="79"/>
      <c r="AL961" s="79"/>
      <c r="AM961" s="79"/>
      <c r="AN961" s="79"/>
      <c r="AO961" s="79"/>
      <c r="AP961" s="79"/>
      <c r="AS961" s="79"/>
    </row>
    <row r="962" ht="15.75" customHeight="1">
      <c r="AF962" s="79"/>
      <c r="AH962" s="79"/>
      <c r="AI962" s="79"/>
      <c r="AJ962" s="79"/>
      <c r="AK962" s="79"/>
      <c r="AL962" s="79"/>
      <c r="AM962" s="79"/>
      <c r="AN962" s="79"/>
      <c r="AO962" s="79"/>
      <c r="AP962" s="79"/>
      <c r="AS962" s="79"/>
    </row>
    <row r="963" ht="15.75" customHeight="1">
      <c r="AF963" s="79"/>
      <c r="AH963" s="79"/>
      <c r="AI963" s="79"/>
      <c r="AJ963" s="79"/>
      <c r="AK963" s="79"/>
      <c r="AL963" s="79"/>
      <c r="AM963" s="79"/>
      <c r="AN963" s="79"/>
      <c r="AO963" s="79"/>
      <c r="AP963" s="79"/>
      <c r="AS963" s="79"/>
    </row>
    <row r="964" ht="15.75" customHeight="1">
      <c r="AF964" s="79"/>
      <c r="AH964" s="79"/>
      <c r="AI964" s="79"/>
      <c r="AJ964" s="79"/>
      <c r="AK964" s="79"/>
      <c r="AL964" s="79"/>
      <c r="AM964" s="79"/>
      <c r="AN964" s="79"/>
      <c r="AO964" s="79"/>
      <c r="AP964" s="79"/>
      <c r="AS964" s="79"/>
    </row>
    <row r="965" ht="15.75" customHeight="1">
      <c r="AF965" s="79"/>
      <c r="AH965" s="79"/>
      <c r="AI965" s="79"/>
      <c r="AJ965" s="79"/>
      <c r="AK965" s="79"/>
      <c r="AL965" s="79"/>
      <c r="AM965" s="79"/>
      <c r="AN965" s="79"/>
      <c r="AO965" s="79"/>
      <c r="AP965" s="79"/>
      <c r="AS965" s="79"/>
    </row>
    <row r="966" ht="15.75" customHeight="1">
      <c r="AF966" s="79"/>
      <c r="AH966" s="79"/>
      <c r="AI966" s="79"/>
      <c r="AJ966" s="79"/>
      <c r="AK966" s="79"/>
      <c r="AL966" s="79"/>
      <c r="AM966" s="79"/>
      <c r="AN966" s="79"/>
      <c r="AO966" s="79"/>
      <c r="AP966" s="79"/>
      <c r="AS966" s="79"/>
    </row>
    <row r="967" ht="15.75" customHeight="1">
      <c r="AF967" s="79"/>
      <c r="AH967" s="79"/>
      <c r="AI967" s="79"/>
      <c r="AJ967" s="79"/>
      <c r="AK967" s="79"/>
      <c r="AL967" s="79"/>
      <c r="AM967" s="79"/>
      <c r="AN967" s="79"/>
      <c r="AO967" s="79"/>
      <c r="AP967" s="79"/>
      <c r="AS967" s="79"/>
    </row>
    <row r="968" ht="15.75" customHeight="1">
      <c r="AF968" s="79"/>
      <c r="AH968" s="79"/>
      <c r="AI968" s="79"/>
      <c r="AJ968" s="79"/>
      <c r="AK968" s="79"/>
      <c r="AL968" s="79"/>
      <c r="AM968" s="79"/>
      <c r="AN968" s="79"/>
      <c r="AO968" s="79"/>
      <c r="AP968" s="79"/>
      <c r="AS968" s="79"/>
    </row>
    <row r="969" ht="15.75" customHeight="1">
      <c r="AF969" s="79"/>
      <c r="AH969" s="79"/>
      <c r="AI969" s="79"/>
      <c r="AJ969" s="79"/>
      <c r="AK969" s="79"/>
      <c r="AL969" s="79"/>
      <c r="AM969" s="79"/>
      <c r="AN969" s="79"/>
      <c r="AO969" s="79"/>
      <c r="AP969" s="79"/>
      <c r="AS969" s="79"/>
    </row>
    <row r="970" ht="15.75" customHeight="1">
      <c r="AF970" s="79"/>
      <c r="AH970" s="79"/>
      <c r="AI970" s="79"/>
      <c r="AJ970" s="79"/>
      <c r="AK970" s="79"/>
      <c r="AL970" s="79"/>
      <c r="AM970" s="79"/>
      <c r="AN970" s="79"/>
      <c r="AO970" s="79"/>
      <c r="AP970" s="79"/>
      <c r="AS970" s="79"/>
    </row>
    <row r="971" ht="15.75" customHeight="1">
      <c r="AF971" s="79"/>
      <c r="AH971" s="79"/>
      <c r="AI971" s="79"/>
      <c r="AJ971" s="79"/>
      <c r="AK971" s="79"/>
      <c r="AL971" s="79"/>
      <c r="AM971" s="79"/>
      <c r="AN971" s="79"/>
      <c r="AO971" s="79"/>
      <c r="AP971" s="79"/>
      <c r="AS971" s="79"/>
    </row>
    <row r="972" ht="15.75" customHeight="1">
      <c r="AF972" s="79"/>
      <c r="AH972" s="79"/>
      <c r="AI972" s="79"/>
      <c r="AJ972" s="79"/>
      <c r="AK972" s="79"/>
      <c r="AL972" s="79"/>
      <c r="AM972" s="79"/>
      <c r="AN972" s="79"/>
      <c r="AO972" s="79"/>
      <c r="AP972" s="79"/>
      <c r="AS972" s="79"/>
    </row>
    <row r="973" ht="15.75" customHeight="1">
      <c r="AF973" s="79"/>
      <c r="AH973" s="79"/>
      <c r="AI973" s="79"/>
      <c r="AJ973" s="79"/>
      <c r="AK973" s="79"/>
      <c r="AL973" s="79"/>
      <c r="AM973" s="79"/>
      <c r="AN973" s="79"/>
      <c r="AO973" s="79"/>
      <c r="AP973" s="79"/>
      <c r="AS973" s="79"/>
    </row>
    <row r="974" ht="15.75" customHeight="1">
      <c r="AF974" s="79"/>
      <c r="AH974" s="79"/>
      <c r="AI974" s="79"/>
      <c r="AJ974" s="79"/>
      <c r="AK974" s="79"/>
      <c r="AL974" s="79"/>
      <c r="AM974" s="79"/>
      <c r="AN974" s="79"/>
      <c r="AO974" s="79"/>
      <c r="AP974" s="79"/>
      <c r="AS974" s="79"/>
    </row>
    <row r="975" ht="15.75" customHeight="1">
      <c r="AF975" s="79"/>
      <c r="AH975" s="79"/>
      <c r="AI975" s="79"/>
      <c r="AJ975" s="79"/>
      <c r="AK975" s="79"/>
      <c r="AL975" s="79"/>
      <c r="AM975" s="79"/>
      <c r="AN975" s="79"/>
      <c r="AO975" s="79"/>
      <c r="AP975" s="79"/>
      <c r="AS975" s="79"/>
    </row>
    <row r="976" ht="15.75" customHeight="1">
      <c r="AF976" s="79"/>
      <c r="AH976" s="79"/>
      <c r="AI976" s="79"/>
      <c r="AJ976" s="79"/>
      <c r="AK976" s="79"/>
      <c r="AL976" s="79"/>
      <c r="AM976" s="79"/>
      <c r="AN976" s="79"/>
      <c r="AO976" s="79"/>
      <c r="AP976" s="79"/>
      <c r="AS976" s="79"/>
    </row>
    <row r="977" ht="15.75" customHeight="1">
      <c r="AF977" s="79"/>
      <c r="AH977" s="79"/>
      <c r="AI977" s="79"/>
      <c r="AJ977" s="79"/>
      <c r="AK977" s="79"/>
      <c r="AL977" s="79"/>
      <c r="AM977" s="79"/>
      <c r="AN977" s="79"/>
      <c r="AO977" s="79"/>
      <c r="AP977" s="79"/>
      <c r="AS977" s="79"/>
    </row>
    <row r="978" ht="15.75" customHeight="1">
      <c r="AF978" s="79"/>
      <c r="AH978" s="79"/>
      <c r="AI978" s="79"/>
      <c r="AJ978" s="79"/>
      <c r="AK978" s="79"/>
      <c r="AL978" s="79"/>
      <c r="AM978" s="79"/>
      <c r="AN978" s="79"/>
      <c r="AO978" s="79"/>
      <c r="AP978" s="79"/>
      <c r="AS978" s="79"/>
    </row>
    <row r="979" ht="15.75" customHeight="1">
      <c r="AF979" s="79"/>
      <c r="AH979" s="79"/>
      <c r="AI979" s="79"/>
      <c r="AJ979" s="79"/>
      <c r="AK979" s="79"/>
      <c r="AL979" s="79"/>
      <c r="AM979" s="79"/>
      <c r="AN979" s="79"/>
      <c r="AO979" s="79"/>
      <c r="AP979" s="79"/>
      <c r="AS979" s="79"/>
    </row>
    <row r="980" ht="15.75" customHeight="1">
      <c r="AF980" s="79"/>
      <c r="AH980" s="79"/>
      <c r="AI980" s="79"/>
      <c r="AJ980" s="79"/>
      <c r="AK980" s="79"/>
      <c r="AL980" s="79"/>
      <c r="AM980" s="79"/>
      <c r="AN980" s="79"/>
      <c r="AO980" s="79"/>
      <c r="AP980" s="79"/>
      <c r="AS980" s="79"/>
    </row>
    <row r="981" ht="15.75" customHeight="1">
      <c r="AF981" s="79"/>
      <c r="AH981" s="79"/>
      <c r="AI981" s="79"/>
      <c r="AJ981" s="79"/>
      <c r="AK981" s="79"/>
      <c r="AL981" s="79"/>
      <c r="AM981" s="79"/>
      <c r="AN981" s="79"/>
      <c r="AO981" s="79"/>
      <c r="AP981" s="79"/>
      <c r="AS981" s="79"/>
    </row>
    <row r="982" ht="15.75" customHeight="1">
      <c r="AF982" s="79"/>
      <c r="AH982" s="79"/>
      <c r="AI982" s="79"/>
      <c r="AJ982" s="79"/>
      <c r="AK982" s="79"/>
      <c r="AL982" s="79"/>
      <c r="AM982" s="79"/>
      <c r="AN982" s="79"/>
      <c r="AO982" s="79"/>
      <c r="AP982" s="79"/>
      <c r="AS982" s="79"/>
    </row>
    <row r="983" ht="15.75" customHeight="1">
      <c r="AF983" s="79"/>
      <c r="AH983" s="79"/>
      <c r="AI983" s="79"/>
      <c r="AJ983" s="79"/>
      <c r="AK983" s="79"/>
      <c r="AL983" s="79"/>
      <c r="AM983" s="79"/>
      <c r="AN983" s="79"/>
      <c r="AO983" s="79"/>
      <c r="AP983" s="79"/>
      <c r="AS983" s="79"/>
    </row>
    <row r="984" ht="15.75" customHeight="1">
      <c r="AF984" s="79"/>
      <c r="AH984" s="79"/>
      <c r="AI984" s="79"/>
      <c r="AJ984" s="79"/>
      <c r="AK984" s="79"/>
      <c r="AL984" s="79"/>
      <c r="AM984" s="79"/>
      <c r="AN984" s="79"/>
      <c r="AO984" s="79"/>
      <c r="AP984" s="79"/>
      <c r="AS984" s="79"/>
    </row>
    <row r="985" ht="15.75" customHeight="1">
      <c r="AF985" s="79"/>
      <c r="AH985" s="79"/>
      <c r="AI985" s="79"/>
      <c r="AJ985" s="79"/>
      <c r="AK985" s="79"/>
      <c r="AL985" s="79"/>
      <c r="AM985" s="79"/>
      <c r="AN985" s="79"/>
      <c r="AO985" s="79"/>
      <c r="AP985" s="79"/>
      <c r="AS985" s="79"/>
    </row>
    <row r="986" ht="15.75" customHeight="1">
      <c r="AF986" s="79"/>
      <c r="AH986" s="79"/>
      <c r="AI986" s="79"/>
      <c r="AJ986" s="79"/>
      <c r="AK986" s="79"/>
      <c r="AL986" s="79"/>
      <c r="AM986" s="79"/>
      <c r="AN986" s="79"/>
      <c r="AO986" s="79"/>
      <c r="AP986" s="79"/>
      <c r="AS986" s="79"/>
    </row>
    <row r="987" ht="15.75" customHeight="1">
      <c r="AF987" s="79"/>
      <c r="AH987" s="79"/>
      <c r="AI987" s="79"/>
      <c r="AJ987" s="79"/>
      <c r="AK987" s="79"/>
      <c r="AL987" s="79"/>
      <c r="AM987" s="79"/>
      <c r="AN987" s="79"/>
      <c r="AO987" s="79"/>
      <c r="AP987" s="79"/>
      <c r="AS987" s="79"/>
    </row>
    <row r="988" ht="15.75" customHeight="1">
      <c r="AF988" s="79"/>
      <c r="AH988" s="79"/>
      <c r="AI988" s="79"/>
      <c r="AJ988" s="79"/>
      <c r="AK988" s="79"/>
      <c r="AL988" s="79"/>
      <c r="AM988" s="79"/>
      <c r="AN988" s="79"/>
      <c r="AO988" s="79"/>
      <c r="AP988" s="79"/>
      <c r="AS988" s="79"/>
    </row>
    <row r="989" ht="15.75" customHeight="1">
      <c r="AF989" s="79"/>
      <c r="AH989" s="79"/>
      <c r="AI989" s="79"/>
      <c r="AJ989" s="79"/>
      <c r="AK989" s="79"/>
      <c r="AL989" s="79"/>
      <c r="AM989" s="79"/>
      <c r="AN989" s="79"/>
      <c r="AO989" s="79"/>
      <c r="AP989" s="79"/>
      <c r="AS989" s="79"/>
    </row>
    <row r="990" ht="15.75" customHeight="1">
      <c r="AF990" s="79"/>
      <c r="AH990" s="79"/>
      <c r="AI990" s="79"/>
      <c r="AJ990" s="79"/>
      <c r="AK990" s="79"/>
      <c r="AL990" s="79"/>
      <c r="AM990" s="79"/>
      <c r="AN990" s="79"/>
      <c r="AO990" s="79"/>
      <c r="AP990" s="79"/>
      <c r="AS990" s="79"/>
    </row>
    <row r="991" ht="15.75" customHeight="1">
      <c r="AF991" s="79"/>
      <c r="AH991" s="79"/>
      <c r="AI991" s="79"/>
      <c r="AJ991" s="79"/>
      <c r="AK991" s="79"/>
      <c r="AL991" s="79"/>
      <c r="AM991" s="79"/>
      <c r="AN991" s="79"/>
      <c r="AO991" s="79"/>
      <c r="AP991" s="79"/>
      <c r="AS991" s="79"/>
    </row>
    <row r="992" ht="15.75" customHeight="1">
      <c r="AF992" s="79"/>
      <c r="AH992" s="79"/>
      <c r="AI992" s="79"/>
      <c r="AJ992" s="79"/>
      <c r="AK992" s="79"/>
      <c r="AL992" s="79"/>
      <c r="AM992" s="79"/>
      <c r="AN992" s="79"/>
      <c r="AO992" s="79"/>
      <c r="AP992" s="79"/>
      <c r="AS992" s="79"/>
    </row>
    <row r="993" ht="15.75" customHeight="1">
      <c r="AF993" s="79"/>
      <c r="AH993" s="79"/>
      <c r="AI993" s="79"/>
      <c r="AJ993" s="79"/>
      <c r="AK993" s="79"/>
      <c r="AL993" s="79"/>
      <c r="AM993" s="79"/>
      <c r="AN993" s="79"/>
      <c r="AO993" s="79"/>
      <c r="AP993" s="79"/>
      <c r="AS993" s="79"/>
    </row>
    <row r="994" ht="15.75" customHeight="1">
      <c r="AF994" s="79"/>
      <c r="AH994" s="79"/>
      <c r="AI994" s="79"/>
      <c r="AJ994" s="79"/>
      <c r="AK994" s="79"/>
      <c r="AL994" s="79"/>
      <c r="AM994" s="79"/>
      <c r="AN994" s="79"/>
      <c r="AO994" s="79"/>
      <c r="AP994" s="79"/>
      <c r="AS994" s="79"/>
    </row>
    <row r="995" ht="15.75" customHeight="1">
      <c r="AF995" s="79"/>
      <c r="AH995" s="79"/>
      <c r="AI995" s="79"/>
      <c r="AJ995" s="79"/>
      <c r="AK995" s="79"/>
      <c r="AL995" s="79"/>
      <c r="AM995" s="79"/>
      <c r="AN995" s="79"/>
      <c r="AO995" s="79"/>
      <c r="AP995" s="79"/>
      <c r="AS995" s="79"/>
    </row>
    <row r="996" ht="15.75" customHeight="1">
      <c r="AF996" s="79"/>
      <c r="AH996" s="79"/>
      <c r="AI996" s="79"/>
      <c r="AJ996" s="79"/>
      <c r="AK996" s="79"/>
      <c r="AL996" s="79"/>
      <c r="AM996" s="79"/>
      <c r="AN996" s="79"/>
      <c r="AO996" s="79"/>
      <c r="AP996" s="79"/>
      <c r="AS996" s="79"/>
    </row>
    <row r="997" ht="15.75" customHeight="1">
      <c r="AF997" s="79"/>
      <c r="AH997" s="79"/>
      <c r="AI997" s="79"/>
      <c r="AJ997" s="79"/>
      <c r="AK997" s="79"/>
      <c r="AL997" s="79"/>
      <c r="AM997" s="79"/>
      <c r="AN997" s="79"/>
      <c r="AO997" s="79"/>
      <c r="AP997" s="79"/>
      <c r="AS997" s="79"/>
    </row>
    <row r="998" ht="15.75" customHeight="1">
      <c r="AF998" s="79"/>
      <c r="AH998" s="79"/>
      <c r="AI998" s="79"/>
      <c r="AJ998" s="79"/>
      <c r="AK998" s="79"/>
      <c r="AL998" s="79"/>
      <c r="AM998" s="79"/>
      <c r="AN998" s="79"/>
      <c r="AO998" s="79"/>
      <c r="AP998" s="79"/>
      <c r="AS998" s="79"/>
    </row>
    <row r="999" ht="15.75" customHeight="1">
      <c r="AF999" s="79"/>
      <c r="AH999" s="79"/>
      <c r="AI999" s="79"/>
      <c r="AJ999" s="79"/>
      <c r="AK999" s="79"/>
      <c r="AL999" s="79"/>
      <c r="AM999" s="79"/>
      <c r="AN999" s="79"/>
      <c r="AO999" s="79"/>
      <c r="AP999" s="79"/>
      <c r="AS999" s="79"/>
    </row>
    <row r="1000" ht="15.75" customHeight="1">
      <c r="AF1000" s="79"/>
      <c r="AH1000" s="79"/>
      <c r="AI1000" s="79"/>
      <c r="AJ1000" s="79"/>
      <c r="AK1000" s="79"/>
      <c r="AL1000" s="79"/>
      <c r="AM1000" s="79"/>
      <c r="AN1000" s="79"/>
      <c r="AO1000" s="79"/>
      <c r="AP1000" s="79"/>
      <c r="AS1000" s="79"/>
    </row>
  </sheetData>
  <autoFilter ref="$A$1:$AC$1000">
    <filterColumn colId="6">
      <filters blank="1">
        <filter val="FALSE"/>
      </filters>
    </filterColumn>
    <sortState ref="A1:AC1000">
      <sortCondition ref="C1:C1000"/>
      <sortCondition ref="F1:F1000"/>
      <sortCondition ref="B1:B1000"/>
    </sortState>
  </autoFilter>
  <conditionalFormatting sqref="AR2:AR663">
    <cfRule type="colorScale" priority="1">
      <colorScale>
        <cfvo type="formula" val="-0.5"/>
        <cfvo type="formula" val="0"/>
        <cfvo type="formula" val="1"/>
        <color rgb="FFFF9900"/>
        <color rgb="FFFFFFFF"/>
        <color rgb="FF00FF00"/>
      </colorScale>
    </cfRule>
  </conditionalFormatting>
  <printOptions/>
  <pageMargins bottom="0.75" footer="0.0" header="0.0" left="0.7" right="0.7" top="0.75"/>
  <pageSetup orientation="portrait"/>
  <drawing r:id="rId1"/>
</worksheet>
</file>