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\Dropbox\GAMES\KSP\Git\RP-0\Notes\"/>
    </mc:Choice>
  </mc:AlternateContent>
  <xr:revisionPtr revIDLastSave="0" documentId="8_{6DD578D7-5305-4827-ACDC-4988F9585D54}" xr6:coauthVersionLast="41" xr6:coauthVersionMax="41" xr10:uidLastSave="{00000000-0000-0000-0000-000000000000}"/>
  <bookViews>
    <workbookView xWindow="-120" yWindow="-120" windowWidth="29040" windowHeight="15840" xr2:uid="{07FE29B8-EE0C-46FD-AEBA-4C4E547DB049}"/>
  </bookViews>
  <sheets>
    <sheet name="Sheet1" sheetId="1" r:id="rId1"/>
    <sheet name="Sheet2" sheetId="2" r:id="rId2"/>
  </sheets>
  <definedNames>
    <definedName name="engineScaledMass">Sheet2!$B$19</definedName>
    <definedName name="escale">Sheet2!$B$10</definedName>
    <definedName name="getEngineScale">Sheet2!$B$1</definedName>
    <definedName name="panelArea">Sheet2!$B$28</definedName>
    <definedName name="panelMass">Sheet2!$B$23</definedName>
    <definedName name="scale">Sheet2!$B$7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15" i="1"/>
  <c r="F15" i="1"/>
  <c r="H13" i="1"/>
  <c r="G13" i="1"/>
  <c r="F13" i="1"/>
  <c r="C15" i="1"/>
  <c r="R23" i="1"/>
  <c r="R24" i="1" s="1"/>
  <c r="R25" i="1" s="1"/>
  <c r="C14" i="1"/>
  <c r="Q10" i="1"/>
  <c r="M10" i="1"/>
  <c r="I10" i="1"/>
  <c r="E10" i="1"/>
  <c r="I1" i="2"/>
  <c r="D32" i="2" l="1"/>
  <c r="B1" i="2" l="1"/>
  <c r="B10" i="2" s="1"/>
  <c r="B14" i="2" s="1"/>
  <c r="C14" i="2" s="1"/>
  <c r="D14" i="2" s="1"/>
  <c r="B23" i="2"/>
  <c r="B28" i="2"/>
  <c r="I8" i="1"/>
  <c r="Q8" i="1"/>
  <c r="M8" i="1"/>
  <c r="E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5" i="1"/>
  <c r="W10" i="1"/>
  <c r="V10" i="1"/>
  <c r="F30" i="1"/>
  <c r="E30" i="1"/>
  <c r="D30" i="1"/>
  <c r="C30" i="1"/>
  <c r="F29" i="1"/>
  <c r="E29" i="1"/>
  <c r="D29" i="1"/>
  <c r="C29" i="1"/>
  <c r="D28" i="1"/>
  <c r="C28" i="1"/>
  <c r="F28" i="1"/>
  <c r="F27" i="1"/>
  <c r="F26" i="1"/>
  <c r="E27" i="1"/>
  <c r="E26" i="1"/>
  <c r="D27" i="1"/>
  <c r="C27" i="1"/>
  <c r="D26" i="1"/>
  <c r="C26" i="1"/>
  <c r="B32" i="2" l="1"/>
  <c r="B7" i="2"/>
  <c r="E1" i="2" s="1"/>
  <c r="F1" i="2" s="1"/>
  <c r="B19" i="2" l="1"/>
  <c r="D19" i="2" s="1"/>
  <c r="B30" i="2" l="1"/>
</calcChain>
</file>

<file path=xl/sharedStrings.xml><?xml version="1.0" encoding="utf-8"?>
<sst xmlns="http://schemas.openxmlformats.org/spreadsheetml/2006/main" count="104" uniqueCount="76">
  <si>
    <t>Interstage with Decoupler</t>
  </si>
  <si>
    <t>2x2x2</t>
  </si>
  <si>
    <t>Cost</t>
  </si>
  <si>
    <t>Tooling</t>
  </si>
  <si>
    <t>Tooled</t>
  </si>
  <si>
    <t>Untooled</t>
  </si>
  <si>
    <t>Interstage Fairing</t>
  </si>
  <si>
    <t>Separation Motor (Small)</t>
  </si>
  <si>
    <t>Mass</t>
  </si>
  <si>
    <t>Thrust</t>
  </si>
  <si>
    <t>Dry Mass</t>
  </si>
  <si>
    <t>Wet Mass</t>
  </si>
  <si>
    <t>Separation Motor (Medium)</t>
  </si>
  <si>
    <t>ISP</t>
  </si>
  <si>
    <t>220/250</t>
  </si>
  <si>
    <t>220/230</t>
  </si>
  <si>
    <t>Separation Motor (Large)</t>
  </si>
  <si>
    <t>S-IVB Ullage Motor</t>
  </si>
  <si>
    <t>200/219</t>
  </si>
  <si>
    <t>S-II Ulage Motor</t>
  </si>
  <si>
    <t>237/257</t>
  </si>
  <si>
    <t>3x3x2</t>
  </si>
  <si>
    <t>3x3x3</t>
  </si>
  <si>
    <t>4x4x4</t>
  </si>
  <si>
    <t>SSTU Interstage Decoupler</t>
  </si>
  <si>
    <t>2x2x2 1x</t>
  </si>
  <si>
    <t>214/251</t>
  </si>
  <si>
    <t>HTPB</t>
  </si>
  <si>
    <t>SolidFuel</t>
  </si>
  <si>
    <t>Fuel</t>
  </si>
  <si>
    <t>Type</t>
  </si>
  <si>
    <t>PSPC</t>
  </si>
  <si>
    <t>2x2x2 0.75x</t>
  </si>
  <si>
    <t>2x2x2 0.5x</t>
  </si>
  <si>
    <t>3x3x2 1x</t>
  </si>
  <si>
    <t>4x4x4 1x</t>
  </si>
  <si>
    <t>massPerPanelArea</t>
  </si>
  <si>
    <t>Engine Scale</t>
  </si>
  <si>
    <t>bottomDiameter * defaultModelScale * currentEngineScale</t>
  </si>
  <si>
    <t>Diameter</t>
  </si>
  <si>
    <t>Default Scale</t>
  </si>
  <si>
    <t>getEngineScale</t>
  </si>
  <si>
    <t>scale</t>
  </si>
  <si>
    <t>getEngineScale ^ 3</t>
  </si>
  <si>
    <t>escale</t>
  </si>
  <si>
    <t>getEngineScale ^ thrustScalePower</t>
  </si>
  <si>
    <t>thrustScalePower</t>
  </si>
  <si>
    <t>volume</t>
  </si>
  <si>
    <t>resourceVolume * escale * numberOfEngines</t>
  </si>
  <si>
    <t>resourceVolume</t>
  </si>
  <si>
    <t>numberOfEngines</t>
  </si>
  <si>
    <t>engineScaledMass</t>
  </si>
  <si>
    <t>engineMass * scale</t>
  </si>
  <si>
    <t>engineMass</t>
  </si>
  <si>
    <t>panelMass</t>
  </si>
  <si>
    <t>massPerPanelArea * panelArea</t>
  </si>
  <si>
    <t>diameter</t>
  </si>
  <si>
    <t>height</t>
  </si>
  <si>
    <t>panelArea</t>
  </si>
  <si>
    <t>totalMass</t>
  </si>
  <si>
    <t>engineThrust</t>
  </si>
  <si>
    <t>updatedThrust</t>
  </si>
  <si>
    <t>engineThrust * (getEngineScale ^ thrustScalePower)</t>
  </si>
  <si>
    <t>engineScaledCost</t>
  </si>
  <si>
    <t>baseCost * scale</t>
  </si>
  <si>
    <t>baseCost</t>
  </si>
  <si>
    <t>costPerPanelArea</t>
  </si>
  <si>
    <t>panelCost</t>
  </si>
  <si>
    <t>costPerPanelArea * panelArea</t>
  </si>
  <si>
    <t>scale = br * 2</t>
  </si>
  <si>
    <t>br = size * 0.5 - sth</t>
  </si>
  <si>
    <t>sth = MIN((0.5/1.25) * size, size * 0.25)</t>
  </si>
  <si>
    <t>size</t>
  </si>
  <si>
    <t>sth</t>
  </si>
  <si>
    <t>br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</si>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</sst>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B4C0-B332-4767-B418-565C3BA2468A}">
  <dimension ref="A1:W30"/>
  <sheetViews>
    <sheetView tabSelected="1" workbookViewId="0">
      <selection activeCell="K17" sqref="K17"/>
    </sheetView>
  </sheetViews>
  <sheetFormatPr defaultRowHeight="15" x14ac:dyDescent="0.25"/>
  <cols>
    <col min="1" max="1" width="24.42578125" bestFit="1" customWidth="1"/>
  </cols>
  <sheetData>
    <row r="1" spans="1:23" x14ac:dyDescent="0.25">
      <c r="B1" t="s">
        <v>1</v>
      </c>
      <c r="F1" t="s">
        <v>21</v>
      </c>
      <c r="J1" t="s">
        <v>22</v>
      </c>
      <c r="N1" t="s">
        <v>23</v>
      </c>
    </row>
    <row r="2" spans="1:23" x14ac:dyDescent="0.25">
      <c r="B2" t="s">
        <v>4</v>
      </c>
      <c r="C2" t="s">
        <v>5</v>
      </c>
      <c r="D2" t="s">
        <v>3</v>
      </c>
      <c r="E2" t="s">
        <v>8</v>
      </c>
      <c r="F2" t="s">
        <v>4</v>
      </c>
      <c r="G2" t="s">
        <v>5</v>
      </c>
      <c r="H2" t="s">
        <v>3</v>
      </c>
      <c r="I2" t="s">
        <v>8</v>
      </c>
      <c r="J2" t="s">
        <v>4</v>
      </c>
      <c r="K2" t="s">
        <v>5</v>
      </c>
      <c r="L2" t="s">
        <v>3</v>
      </c>
      <c r="M2" t="s">
        <v>8</v>
      </c>
      <c r="N2" t="s">
        <v>4</v>
      </c>
      <c r="O2" t="s">
        <v>5</v>
      </c>
      <c r="P2" t="s">
        <v>3</v>
      </c>
      <c r="Q2" t="s">
        <v>8</v>
      </c>
    </row>
    <row r="3" spans="1:23" x14ac:dyDescent="0.25">
      <c r="A3" t="s">
        <v>0</v>
      </c>
      <c r="B3">
        <v>86</v>
      </c>
      <c r="C3">
        <v>769</v>
      </c>
      <c r="D3">
        <v>5460</v>
      </c>
      <c r="E3">
        <v>0.14299999999999999</v>
      </c>
      <c r="F3">
        <v>195</v>
      </c>
      <c r="G3">
        <v>1459</v>
      </c>
      <c r="H3">
        <v>10110</v>
      </c>
      <c r="I3">
        <v>0.30099999999999999</v>
      </c>
      <c r="J3">
        <v>195</v>
      </c>
      <c r="K3">
        <v>1459</v>
      </c>
      <c r="L3">
        <v>10110</v>
      </c>
      <c r="M3">
        <v>0.30099999999999999</v>
      </c>
      <c r="N3">
        <v>338</v>
      </c>
      <c r="O3">
        <v>2345</v>
      </c>
      <c r="P3">
        <v>16060</v>
      </c>
      <c r="Q3">
        <v>0.52</v>
      </c>
    </row>
    <row r="4" spans="1:23" x14ac:dyDescent="0.25">
      <c r="A4" t="s">
        <v>6</v>
      </c>
      <c r="B4">
        <v>5</v>
      </c>
      <c r="C4">
        <v>112</v>
      </c>
      <c r="D4">
        <v>1719</v>
      </c>
      <c r="E4">
        <v>4.5999999999999999E-2</v>
      </c>
      <c r="F4">
        <v>10</v>
      </c>
      <c r="G4">
        <v>209</v>
      </c>
      <c r="H4">
        <v>3172</v>
      </c>
      <c r="I4">
        <v>0.104</v>
      </c>
      <c r="J4">
        <v>16</v>
      </c>
      <c r="K4">
        <v>214</v>
      </c>
      <c r="L4">
        <v>3178</v>
      </c>
      <c r="M4">
        <v>0.156</v>
      </c>
      <c r="N4">
        <v>37</v>
      </c>
      <c r="O4">
        <v>352</v>
      </c>
      <c r="P4">
        <v>5044</v>
      </c>
      <c r="Q4">
        <v>0.37</v>
      </c>
    </row>
    <row r="5" spans="1:23" x14ac:dyDescent="0.25">
      <c r="B5" s="2">
        <f>SUM(B3:B4)</f>
        <v>91</v>
      </c>
      <c r="C5" s="2">
        <f t="shared" ref="C5:Q5" si="0">SUM(C3:C4)</f>
        <v>881</v>
      </c>
      <c r="D5" s="2">
        <f t="shared" si="0"/>
        <v>7179</v>
      </c>
      <c r="E5" s="2">
        <f t="shared" si="0"/>
        <v>0.189</v>
      </c>
      <c r="F5" s="2">
        <f t="shared" si="0"/>
        <v>205</v>
      </c>
      <c r="G5" s="2">
        <f t="shared" si="0"/>
        <v>1668</v>
      </c>
      <c r="H5" s="2">
        <f t="shared" si="0"/>
        <v>13282</v>
      </c>
      <c r="I5" s="2">
        <f t="shared" si="0"/>
        <v>0.40499999999999997</v>
      </c>
      <c r="J5" s="2">
        <f t="shared" si="0"/>
        <v>211</v>
      </c>
      <c r="K5" s="2">
        <f t="shared" si="0"/>
        <v>1673</v>
      </c>
      <c r="L5" s="2">
        <f t="shared" si="0"/>
        <v>13288</v>
      </c>
      <c r="M5" s="2">
        <f t="shared" si="0"/>
        <v>0.45699999999999996</v>
      </c>
      <c r="N5" s="2">
        <f t="shared" si="0"/>
        <v>375</v>
      </c>
      <c r="O5" s="2">
        <f t="shared" si="0"/>
        <v>2697</v>
      </c>
      <c r="P5" s="2">
        <f t="shared" si="0"/>
        <v>21104</v>
      </c>
      <c r="Q5" s="2">
        <f t="shared" si="0"/>
        <v>0.89</v>
      </c>
    </row>
    <row r="6" spans="1:23" x14ac:dyDescent="0.25">
      <c r="A6" t="s">
        <v>24</v>
      </c>
      <c r="B6">
        <v>628.31870000000004</v>
      </c>
      <c r="E6">
        <v>9.4E-2</v>
      </c>
      <c r="F6">
        <v>942.47799999999995</v>
      </c>
      <c r="I6">
        <v>0.14099999999999999</v>
      </c>
      <c r="J6">
        <v>1413.7170000000001</v>
      </c>
      <c r="M6">
        <v>0.21199999999999999</v>
      </c>
      <c r="N6">
        <v>2513.2750000000001</v>
      </c>
      <c r="Q6">
        <v>0.377</v>
      </c>
    </row>
    <row r="8" spans="1:23" x14ac:dyDescent="0.25">
      <c r="E8">
        <f>(2*PI()*2)*$B$9</f>
        <v>6.2831853071795868E-2</v>
      </c>
      <c r="I8">
        <f>(3*PI()*2)*$B$9</f>
        <v>9.4247779607693802E-2</v>
      </c>
      <c r="M8">
        <f>(3*PI()*3)*$B$9</f>
        <v>0.1413716694115407</v>
      </c>
      <c r="Q8">
        <f>(4*PI()*4)*$B$9</f>
        <v>0.25132741228718347</v>
      </c>
    </row>
    <row r="9" spans="1:23" x14ac:dyDescent="0.25">
      <c r="A9" t="s">
        <v>36</v>
      </c>
      <c r="B9">
        <v>5.0000000000000001E-3</v>
      </c>
      <c r="V9">
        <v>377.5</v>
      </c>
      <c r="W9">
        <v>455</v>
      </c>
    </row>
    <row r="10" spans="1:23" x14ac:dyDescent="0.25">
      <c r="A10" t="s">
        <v>66</v>
      </c>
      <c r="B10">
        <v>7.8</v>
      </c>
      <c r="E10">
        <f>(2*PI()*2)*$B$10</f>
        <v>98.017690792001545</v>
      </c>
      <c r="I10">
        <f>(3*PI()*2)*$B$10</f>
        <v>147.02653618800232</v>
      </c>
      <c r="M10">
        <f>(3*PI()*3)*$B$10</f>
        <v>220.53980428200347</v>
      </c>
      <c r="Q10">
        <f>(4*PI()*4)*$B$10</f>
        <v>392.07076316800618</v>
      </c>
      <c r="V10">
        <f>V9+40</f>
        <v>417.5</v>
      </c>
      <c r="W10">
        <f>+V10/W9</f>
        <v>0.91758241758241754</v>
      </c>
    </row>
    <row r="13" spans="1:23" x14ac:dyDescent="0.25">
      <c r="F13">
        <f>2*2*PI()</f>
        <v>12.566370614359172</v>
      </c>
      <c r="G13">
        <f>3*3*PI()</f>
        <v>28.274333882308138</v>
      </c>
      <c r="H13">
        <f>4*4*PI()</f>
        <v>50.26548245743669</v>
      </c>
    </row>
    <row r="14" spans="1:23" x14ac:dyDescent="0.25">
      <c r="C14">
        <f>3000*2*2+6000*2+250</f>
        <v>24250</v>
      </c>
      <c r="F14">
        <v>0.14299999999999999</v>
      </c>
      <c r="G14">
        <v>0.30099999999999999</v>
      </c>
      <c r="H14">
        <v>0.52</v>
      </c>
    </row>
    <row r="15" spans="1:23" x14ac:dyDescent="0.25">
      <c r="C15">
        <f>C14*0.125</f>
        <v>3031.25</v>
      </c>
      <c r="F15">
        <f>F13*1.13</f>
        <v>14.199998794225863</v>
      </c>
      <c r="G15">
        <f t="shared" ref="G15:H15" si="1">G13*1.13</f>
        <v>31.949997287008195</v>
      </c>
      <c r="H15">
        <f t="shared" si="1"/>
        <v>56.799995176903451</v>
      </c>
    </row>
    <row r="17" spans="1:18" x14ac:dyDescent="0.25">
      <c r="Q17" t="s">
        <v>72</v>
      </c>
      <c r="R17">
        <v>2</v>
      </c>
    </row>
    <row r="19" spans="1:18" x14ac:dyDescent="0.25">
      <c r="Q19" t="s">
        <v>69</v>
      </c>
    </row>
    <row r="20" spans="1:18" x14ac:dyDescent="0.25">
      <c r="B20" t="s">
        <v>2</v>
      </c>
      <c r="C20" t="s">
        <v>10</v>
      </c>
      <c r="D20" t="s">
        <v>11</v>
      </c>
      <c r="E20" t="s">
        <v>29</v>
      </c>
      <c r="F20" t="s">
        <v>9</v>
      </c>
      <c r="G20" t="s">
        <v>13</v>
      </c>
      <c r="H20" t="s">
        <v>30</v>
      </c>
      <c r="Q20" t="s">
        <v>70</v>
      </c>
    </row>
    <row r="21" spans="1:18" x14ac:dyDescent="0.25">
      <c r="A21" t="s">
        <v>7</v>
      </c>
      <c r="B21">
        <v>10</v>
      </c>
      <c r="C21">
        <v>8</v>
      </c>
      <c r="D21">
        <v>16.7</v>
      </c>
      <c r="E21">
        <v>5</v>
      </c>
      <c r="F21">
        <v>18</v>
      </c>
      <c r="G21" t="s">
        <v>15</v>
      </c>
      <c r="H21" t="s">
        <v>31</v>
      </c>
      <c r="Q21" t="s">
        <v>71</v>
      </c>
    </row>
    <row r="22" spans="1:18" x14ac:dyDescent="0.25">
      <c r="A22" t="s">
        <v>12</v>
      </c>
      <c r="B22">
        <v>40</v>
      </c>
      <c r="C22">
        <v>44</v>
      </c>
      <c r="D22">
        <v>79.39</v>
      </c>
      <c r="E22">
        <v>20.3</v>
      </c>
      <c r="F22">
        <v>98</v>
      </c>
      <c r="G22" t="s">
        <v>14</v>
      </c>
      <c r="H22" t="s">
        <v>31</v>
      </c>
    </row>
    <row r="23" spans="1:18" x14ac:dyDescent="0.25">
      <c r="A23" t="s">
        <v>16</v>
      </c>
      <c r="B23">
        <v>240</v>
      </c>
      <c r="C23">
        <v>250</v>
      </c>
      <c r="D23">
        <v>533.1</v>
      </c>
      <c r="E23">
        <v>167.7</v>
      </c>
      <c r="F23">
        <v>392</v>
      </c>
      <c r="G23" t="s">
        <v>14</v>
      </c>
      <c r="H23" t="s">
        <v>31</v>
      </c>
      <c r="Q23" t="s">
        <v>73</v>
      </c>
      <c r="R23">
        <f>MIN((0.5/1.25)*R17,R17*0.25)</f>
        <v>0.5</v>
      </c>
    </row>
    <row r="24" spans="1:18" x14ac:dyDescent="0.25">
      <c r="A24" t="s">
        <v>17</v>
      </c>
      <c r="C24">
        <v>33</v>
      </c>
      <c r="D24">
        <v>59.99</v>
      </c>
      <c r="E24">
        <v>15.3</v>
      </c>
      <c r="F24">
        <v>15</v>
      </c>
      <c r="G24" t="s">
        <v>18</v>
      </c>
      <c r="H24" t="s">
        <v>27</v>
      </c>
      <c r="Q24" t="s">
        <v>74</v>
      </c>
      <c r="R24">
        <f>R17*0.5-R23</f>
        <v>0.5</v>
      </c>
    </row>
    <row r="25" spans="1:18" x14ac:dyDescent="0.25">
      <c r="A25" t="s">
        <v>19</v>
      </c>
      <c r="C25">
        <v>104</v>
      </c>
      <c r="D25">
        <v>256</v>
      </c>
      <c r="E25">
        <v>85.9</v>
      </c>
      <c r="F25">
        <v>102</v>
      </c>
      <c r="G25" t="s">
        <v>20</v>
      </c>
      <c r="H25" t="s">
        <v>27</v>
      </c>
      <c r="Q25" t="s">
        <v>42</v>
      </c>
      <c r="R25">
        <f>R24*2</f>
        <v>1</v>
      </c>
    </row>
    <row r="26" spans="1:18" x14ac:dyDescent="0.25">
      <c r="A26" t="s">
        <v>25</v>
      </c>
      <c r="C26" s="1">
        <f>(101-94.2478)/4</f>
        <v>1.6880500000000005</v>
      </c>
      <c r="D26" s="1">
        <f>(215-94.2478)/4</f>
        <v>30.18805</v>
      </c>
      <c r="E26">
        <f>64/4</f>
        <v>16</v>
      </c>
      <c r="F26">
        <f>32/4</f>
        <v>8</v>
      </c>
      <c r="G26" t="s">
        <v>26</v>
      </c>
      <c r="H26" t="s">
        <v>28</v>
      </c>
    </row>
    <row r="27" spans="1:18" x14ac:dyDescent="0.25">
      <c r="A27" t="s">
        <v>32</v>
      </c>
      <c r="C27" s="1">
        <f>(97-94.2478)/4</f>
        <v>0.68805000000000049</v>
      </c>
      <c r="D27" s="1">
        <f>(161-94.2478)/4</f>
        <v>16.68805</v>
      </c>
      <c r="E27">
        <f>36/4</f>
        <v>9</v>
      </c>
      <c r="F27">
        <f>18/4</f>
        <v>4.5</v>
      </c>
      <c r="G27" t="s">
        <v>26</v>
      </c>
      <c r="H27" t="s">
        <v>28</v>
      </c>
      <c r="Q27" t="s">
        <v>75</v>
      </c>
    </row>
    <row r="28" spans="1:18" x14ac:dyDescent="0.25">
      <c r="A28" t="s">
        <v>33</v>
      </c>
      <c r="C28" s="1">
        <f>(95-94.2478)/4</f>
        <v>0.18805000000000049</v>
      </c>
      <c r="D28" s="1">
        <f>(124-94.2478)/4</f>
        <v>7.4380500000000005</v>
      </c>
      <c r="E28">
        <v>4</v>
      </c>
      <c r="F28">
        <f>8/4</f>
        <v>2</v>
      </c>
      <c r="G28" t="s">
        <v>26</v>
      </c>
      <c r="H28" t="s">
        <v>28</v>
      </c>
    </row>
    <row r="29" spans="1:18" x14ac:dyDescent="0.25">
      <c r="A29" t="s">
        <v>34</v>
      </c>
      <c r="C29" s="1">
        <f>(163-141)/4</f>
        <v>5.5</v>
      </c>
      <c r="D29" s="1">
        <f>(419-141)/4</f>
        <v>69.5</v>
      </c>
      <c r="E29">
        <f>144/4</f>
        <v>36</v>
      </c>
      <c r="F29">
        <f>72/4</f>
        <v>18</v>
      </c>
      <c r="G29" t="s">
        <v>26</v>
      </c>
      <c r="H29" t="s">
        <v>28</v>
      </c>
    </row>
    <row r="30" spans="1:18" x14ac:dyDescent="0.25">
      <c r="A30" t="s">
        <v>35</v>
      </c>
      <c r="C30" s="1">
        <f>(428-377)/4</f>
        <v>12.75</v>
      </c>
      <c r="D30" s="1">
        <f>(884-377)/4</f>
        <v>126.75</v>
      </c>
      <c r="E30">
        <f>256/4</f>
        <v>64</v>
      </c>
      <c r="F30">
        <f>128/4</f>
        <v>32</v>
      </c>
      <c r="G30" t="s">
        <v>26</v>
      </c>
      <c r="H30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AF06-04C9-469E-9B36-EF2E3AB7B9EF}">
  <dimension ref="A1:I35"/>
  <sheetViews>
    <sheetView workbookViewId="0">
      <selection activeCell="I3" sqref="I3"/>
    </sheetView>
  </sheetViews>
  <sheetFormatPr defaultRowHeight="15" x14ac:dyDescent="0.25"/>
  <cols>
    <col min="1" max="1" width="20.140625" customWidth="1"/>
    <col min="2" max="2" width="34.28515625" style="3" customWidth="1"/>
    <col min="4" max="4" width="16.85546875" bestFit="1" customWidth="1"/>
    <col min="8" max="8" width="28.28515625" bestFit="1" customWidth="1"/>
  </cols>
  <sheetData>
    <row r="1" spans="1:9" x14ac:dyDescent="0.25">
      <c r="A1" s="4" t="s">
        <v>41</v>
      </c>
      <c r="B1" s="5">
        <f>B3/B4*B5</f>
        <v>0.4</v>
      </c>
      <c r="D1" s="4" t="s">
        <v>63</v>
      </c>
      <c r="E1" s="5">
        <f>E3*scale</f>
        <v>29.376000000000008</v>
      </c>
      <c r="F1">
        <f>E1/4</f>
        <v>7.3440000000000021</v>
      </c>
      <c r="H1" s="4" t="s">
        <v>67</v>
      </c>
      <c r="I1" s="5">
        <f>I3*panelArea</f>
        <v>97.389372261283583</v>
      </c>
    </row>
    <row r="2" spans="1:9" x14ac:dyDescent="0.25">
      <c r="A2" t="s">
        <v>38</v>
      </c>
      <c r="D2" t="s">
        <v>64</v>
      </c>
      <c r="E2" s="3"/>
      <c r="H2" t="s">
        <v>68</v>
      </c>
    </row>
    <row r="3" spans="1:9" x14ac:dyDescent="0.25">
      <c r="A3" t="s">
        <v>39</v>
      </c>
      <c r="B3" s="3">
        <v>2</v>
      </c>
      <c r="D3" t="s">
        <v>65</v>
      </c>
      <c r="E3" s="3">
        <v>459</v>
      </c>
      <c r="H3" t="s">
        <v>66</v>
      </c>
      <c r="I3">
        <v>7.75</v>
      </c>
    </row>
    <row r="4" spans="1:9" x14ac:dyDescent="0.25">
      <c r="A4" t="s">
        <v>40</v>
      </c>
      <c r="B4" s="3">
        <v>5</v>
      </c>
    </row>
    <row r="5" spans="1:9" x14ac:dyDescent="0.25">
      <c r="A5" t="s">
        <v>37</v>
      </c>
      <c r="B5" s="3">
        <v>1</v>
      </c>
    </row>
    <row r="7" spans="1:9" x14ac:dyDescent="0.25">
      <c r="A7" s="4" t="s">
        <v>42</v>
      </c>
      <c r="B7" s="5">
        <f>getEngineScale^3</f>
        <v>6.4000000000000015E-2</v>
      </c>
    </row>
    <row r="8" spans="1:9" x14ac:dyDescent="0.25">
      <c r="A8" t="s">
        <v>43</v>
      </c>
    </row>
    <row r="10" spans="1:9" x14ac:dyDescent="0.25">
      <c r="A10" s="4" t="s">
        <v>44</v>
      </c>
      <c r="B10" s="5">
        <f>getEngineScale^B12</f>
        <v>6.4000000000000015E-2</v>
      </c>
    </row>
    <row r="11" spans="1:9" x14ac:dyDescent="0.25">
      <c r="A11" t="s">
        <v>45</v>
      </c>
    </row>
    <row r="12" spans="1:9" x14ac:dyDescent="0.25">
      <c r="A12" t="s">
        <v>46</v>
      </c>
      <c r="B12" s="3">
        <v>3</v>
      </c>
    </row>
    <row r="14" spans="1:9" x14ac:dyDescent="0.25">
      <c r="A14" s="4" t="s">
        <v>47</v>
      </c>
      <c r="B14" s="5">
        <f>B16*escale*B17</f>
        <v>2.0001280000000007E-2</v>
      </c>
      <c r="C14">
        <f>B14*1000</f>
        <v>20.001280000000008</v>
      </c>
      <c r="D14" s="3">
        <f>C14/4</f>
        <v>5.0003200000000021</v>
      </c>
    </row>
    <row r="15" spans="1:9" x14ac:dyDescent="0.25">
      <c r="A15" t="s">
        <v>48</v>
      </c>
    </row>
    <row r="16" spans="1:9" x14ac:dyDescent="0.25">
      <c r="A16" t="s">
        <v>49</v>
      </c>
      <c r="B16" s="7">
        <v>7.8130000000000005E-2</v>
      </c>
    </row>
    <row r="17" spans="1:4" x14ac:dyDescent="0.25">
      <c r="A17" t="s">
        <v>50</v>
      </c>
      <c r="B17" s="3">
        <v>4</v>
      </c>
    </row>
    <row r="19" spans="1:4" x14ac:dyDescent="0.25">
      <c r="A19" s="4" t="s">
        <v>51</v>
      </c>
      <c r="B19" s="5">
        <f>B21*scale</f>
        <v>3.2000000000000008E-2</v>
      </c>
      <c r="D19" s="6">
        <f>(engineScaledMass/4)*1000</f>
        <v>8.0000000000000018</v>
      </c>
    </row>
    <row r="20" spans="1:4" x14ac:dyDescent="0.25">
      <c r="A20" t="s">
        <v>52</v>
      </c>
    </row>
    <row r="21" spans="1:4" x14ac:dyDescent="0.25">
      <c r="A21" t="s">
        <v>53</v>
      </c>
      <c r="B21" s="7">
        <v>0.5</v>
      </c>
    </row>
    <row r="23" spans="1:4" x14ac:dyDescent="0.25">
      <c r="A23" s="4" t="s">
        <v>54</v>
      </c>
      <c r="B23" s="5">
        <f>B25*panelArea</f>
        <v>9.4247779607693788E-2</v>
      </c>
    </row>
    <row r="24" spans="1:4" x14ac:dyDescent="0.25">
      <c r="A24" t="s">
        <v>55</v>
      </c>
    </row>
    <row r="25" spans="1:4" x14ac:dyDescent="0.25">
      <c r="A25" t="s">
        <v>36</v>
      </c>
      <c r="B25" s="3">
        <v>7.4999999999999997E-3</v>
      </c>
    </row>
    <row r="26" spans="1:4" x14ac:dyDescent="0.25">
      <c r="A26" t="s">
        <v>56</v>
      </c>
      <c r="B26" s="3">
        <v>2</v>
      </c>
    </row>
    <row r="27" spans="1:4" x14ac:dyDescent="0.25">
      <c r="A27" t="s">
        <v>57</v>
      </c>
      <c r="B27" s="3">
        <v>2</v>
      </c>
    </row>
    <row r="28" spans="1:4" x14ac:dyDescent="0.25">
      <c r="A28" t="s">
        <v>58</v>
      </c>
      <c r="B28" s="3">
        <f>B26*PI()*B27</f>
        <v>12.566370614359172</v>
      </c>
    </row>
    <row r="30" spans="1:4" x14ac:dyDescent="0.25">
      <c r="A30" s="4" t="s">
        <v>59</v>
      </c>
      <c r="B30" s="5">
        <f>engineScaledMass+panelMass</f>
        <v>0.12624777960769379</v>
      </c>
    </row>
    <row r="32" spans="1:4" x14ac:dyDescent="0.25">
      <c r="A32" s="4" t="s">
        <v>61</v>
      </c>
      <c r="B32" s="5">
        <f>B34*(getEngineScale^B35)</f>
        <v>18.000000000000004</v>
      </c>
      <c r="D32">
        <f>B32*4</f>
        <v>72.000000000000014</v>
      </c>
    </row>
    <row r="33" spans="1:2" x14ac:dyDescent="0.25">
      <c r="A33" t="s">
        <v>62</v>
      </c>
    </row>
    <row r="34" spans="1:2" x14ac:dyDescent="0.25">
      <c r="A34" t="s">
        <v>60</v>
      </c>
      <c r="B34" s="7">
        <v>281.25</v>
      </c>
    </row>
    <row r="35" spans="1:2" x14ac:dyDescent="0.25">
      <c r="A35" t="s">
        <v>46</v>
      </c>
      <c r="B35" s="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engineScaledMass</vt:lpstr>
      <vt:lpstr>escale</vt:lpstr>
      <vt:lpstr>getEngineScale</vt:lpstr>
      <vt:lpstr>panelArea</vt:lpstr>
      <vt:lpstr>panelMass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Pap</cp:lastModifiedBy>
  <dcterms:created xsi:type="dcterms:W3CDTF">2019-03-10T19:02:12Z</dcterms:created>
  <dcterms:modified xsi:type="dcterms:W3CDTF">2019-03-16T02:53:05Z</dcterms:modified>
</cp:coreProperties>
</file>