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verter" sheetId="1" r:id="rId4"/>
    <sheet state="visible" name="NsConverter" sheetId="2" r:id="rId5"/>
    <sheet state="visible" name="Fuel Tank Converter" sheetId="3" r:id="rId6"/>
    <sheet state="visible" name="Propellant Data" sheetId="4" r:id="rId7"/>
    <sheet state="visible" name="GenericRCS" sheetId="5" r:id="rId8"/>
  </sheets>
  <definedNames/>
  <calcPr/>
</workbook>
</file>

<file path=xl/sharedStrings.xml><?xml version="1.0" encoding="utf-8"?>
<sst xmlns="http://schemas.openxmlformats.org/spreadsheetml/2006/main" count="153" uniqueCount="102">
  <si>
    <t>MR</t>
  </si>
  <si>
    <t>Ox</t>
  </si>
  <si>
    <t>Fuel</t>
  </si>
  <si>
    <t>VR</t>
  </si>
  <si>
    <t>MON1 (Updated)</t>
  </si>
  <si>
    <t>Aerozine50</t>
  </si>
  <si>
    <t>Density</t>
  </si>
  <si>
    <t>Override MR?</t>
  </si>
  <si>
    <t>Auto old volume</t>
  </si>
  <si>
    <t>Old total volume</t>
  </si>
  <si>
    <t>Old Ox volume</t>
  </si>
  <si>
    <t>Old Fuel volume</t>
  </si>
  <si>
    <t>old mass</t>
  </si>
  <si>
    <t>New total</t>
  </si>
  <si>
    <t>New Ox vol</t>
  </si>
  <si>
    <t>New Fuel vol</t>
  </si>
  <si>
    <t>New Ox rat</t>
  </si>
  <si>
    <t>New Fuel rat</t>
  </si>
  <si>
    <t>NTO (Updated)</t>
  </si>
  <si>
    <t>LqdMethane</t>
  </si>
  <si>
    <t>11D33M</t>
  </si>
  <si>
    <t>Mass limited</t>
  </si>
  <si>
    <t>Volume Limited</t>
  </si>
  <si>
    <t>Al2</t>
  </si>
  <si>
    <t>AlCu</t>
  </si>
  <si>
    <t>AlLi</t>
  </si>
  <si>
    <t>NK33</t>
  </si>
  <si>
    <t>Oxidizer</t>
  </si>
  <si>
    <t>Old Volume</t>
  </si>
  <si>
    <t>Old</t>
  </si>
  <si>
    <t>New</t>
  </si>
  <si>
    <t>New Volume</t>
  </si>
  <si>
    <t>Mass (kg)</t>
  </si>
  <si>
    <t>EnrichedUranium</t>
  </si>
  <si>
    <t>Volume</t>
  </si>
  <si>
    <t>Mass (lbs)</t>
  </si>
  <si>
    <t>Kero/T-1/JP-4</t>
  </si>
  <si>
    <t>Fuel Densities</t>
  </si>
  <si>
    <t>Oxidizer Densities</t>
  </si>
  <si>
    <t>Kerosene(old)</t>
  </si>
  <si>
    <t>LOx</t>
  </si>
  <si>
    <t>Subcooled LOx</t>
  </si>
  <si>
    <t>Subcooled Kero</t>
  </si>
  <si>
    <t>IWFNA (Updated)</t>
  </si>
  <si>
    <t>RP-1</t>
  </si>
  <si>
    <t>IRFNA-III (Updated)</t>
  </si>
  <si>
    <t>Subcooled RP-1</t>
  </si>
  <si>
    <t>IRFNA-IV (Updated)</t>
  </si>
  <si>
    <t>RG-1</t>
  </si>
  <si>
    <t>AK20 (Updated)</t>
  </si>
  <si>
    <t>Subcooled RG-1</t>
  </si>
  <si>
    <t>AK27 (Updated)</t>
  </si>
  <si>
    <t>Syntin</t>
  </si>
  <si>
    <t>Subcooled Syntin</t>
  </si>
  <si>
    <t>CooledNTO</t>
  </si>
  <si>
    <t>Ethanol75</t>
  </si>
  <si>
    <t>Ethanol90</t>
  </si>
  <si>
    <t>MON3 (Updated)</t>
  </si>
  <si>
    <t>Hydrazine</t>
  </si>
  <si>
    <t>MON10 (Updated)</t>
  </si>
  <si>
    <t>Hydyne</t>
  </si>
  <si>
    <t>MON15 (Updated)</t>
  </si>
  <si>
    <t>UDMH</t>
  </si>
  <si>
    <t>MON20 (Updated)</t>
  </si>
  <si>
    <t>MMH</t>
  </si>
  <si>
    <t>MON25 (Updated)</t>
  </si>
  <si>
    <t>HTP</t>
  </si>
  <si>
    <t>CooledA50</t>
  </si>
  <si>
    <t>LqdFluorine</t>
  </si>
  <si>
    <t>UH25</t>
  </si>
  <si>
    <t>FLOX30</t>
  </si>
  <si>
    <t>Tonka250</t>
  </si>
  <si>
    <t>FLOX70</t>
  </si>
  <si>
    <t>Tonka500</t>
  </si>
  <si>
    <t>FLOX88</t>
  </si>
  <si>
    <t>ClF3 (Updated)</t>
  </si>
  <si>
    <t>Diborane</t>
  </si>
  <si>
    <t>ClF5 (Updated)</t>
  </si>
  <si>
    <t>Pentaborane</t>
  </si>
  <si>
    <t xml:space="preserve">Oxygen </t>
  </si>
  <si>
    <t>PB-1</t>
  </si>
  <si>
    <t>NitrousOxide</t>
  </si>
  <si>
    <t>LqdHydrogen</t>
  </si>
  <si>
    <t>Hydrogen</t>
  </si>
  <si>
    <t>Methane</t>
  </si>
  <si>
    <t>ANFA22</t>
  </si>
  <si>
    <t>ANFA37</t>
  </si>
  <si>
    <t>LqdAmmonia</t>
  </si>
  <si>
    <t>Turpentine</t>
  </si>
  <si>
    <t>Propellant</t>
  </si>
  <si>
    <t>Theoretical ISP (AR 15, Pc 0.75 MPa)</t>
  </si>
  <si>
    <t>Ingame ISP (TL2)</t>
  </si>
  <si>
    <t>% Difference</t>
  </si>
  <si>
    <t>Should be</t>
  </si>
  <si>
    <t>MMH+NTO</t>
  </si>
  <si>
    <t>UDMH+NTO</t>
  </si>
  <si>
    <t>Aerozine50+NTO</t>
  </si>
  <si>
    <t>Kerosene+O2</t>
  </si>
  <si>
    <t>Syntin+O2</t>
  </si>
  <si>
    <t>Ethanol+O2</t>
  </si>
  <si>
    <t>CH4+O2</t>
  </si>
  <si>
    <t>H2+O2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</si>
</sst>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theme="1"/>
      <name val="Atkinson Hyperlegibleregular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Fill="1" applyFont="1"/>
    <xf borderId="0" fillId="6" fontId="1" numFmtId="165" xfId="0" applyFill="1" applyFont="1" applyNumberFormat="1"/>
    <xf borderId="0" fillId="5" fontId="0" numFmtId="0" xfId="0" applyFont="1"/>
    <xf borderId="0" fillId="7" fontId="1" numFmtId="0" xfId="0" applyAlignment="1" applyFill="1" applyFont="1">
      <alignment readingOrder="0"/>
    </xf>
    <xf borderId="0" fillId="7" fontId="1" numFmtId="165" xfId="0" applyFont="1" applyNumberFormat="1"/>
    <xf borderId="0" fillId="7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5" xfId="0" applyFont="1" applyNumberFormat="1"/>
    <xf borderId="0" fillId="7" fontId="3" numFmtId="165" xfId="0" applyAlignment="1" applyFont="1" applyNumberFormat="1">
      <alignment readingOrder="0"/>
    </xf>
    <xf borderId="0" fillId="7" fontId="3" numFmtId="165" xfId="0" applyFont="1" applyNumberFormat="1"/>
    <xf borderId="0" fillId="7" fontId="3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3" fontId="2" numFmtId="2" xfId="0" applyAlignment="1" applyFont="1" applyNumberFormat="1">
      <alignment readingOrder="0"/>
    </xf>
    <xf borderId="0" fillId="6" fontId="1" numFmtId="2" xfId="0" applyFont="1" applyNumberFormat="1"/>
    <xf borderId="0" fillId="0" fontId="1" numFmtId="2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4" numFmtId="0" xfId="0" applyAlignment="1" applyFont="1">
      <alignment readingOrder="0"/>
    </xf>
    <xf borderId="0" fillId="8" fontId="1" numFmtId="166" xfId="0" applyAlignment="1" applyFont="1" applyNumberFormat="1">
      <alignment readingOrder="0"/>
    </xf>
    <xf borderId="0" fillId="8" fontId="1" numFmtId="166" xfId="0" applyFont="1" applyNumberForma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  <tableStyles count="2">
    <tableStyle count="3" pivot="0" name="Propellant Data-style">
      <tableStyleElement dxfId="1" type="headerRow"/>
      <tableStyleElement dxfId="2" type="firstRowStripe"/>
      <tableStyleElement dxfId="3" type="secondRowStripe"/>
    </tableStyle>
    <tableStyle count="3" pivot="0" name="Propellant Data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:C34" displayName="Table_1" name="Table_1" id="1">
  <tableColumns count="2">
    <tableColumn name="Column1" id="1"/>
    <tableColumn name="Column2" id="2"/>
  </tableColumns>
  <tableStyleInfo name="Propellant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2:F27" displayName="Table_2" name="Table_2" id="2">
  <tableColumns count="2">
    <tableColumn name="Column1" id="1"/>
    <tableColumn name="Column2" id="2"/>
  </tableColumns>
  <tableStyleInfo name="Propellant 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</row>
    <row r="2">
      <c r="A2" s="2">
        <v>2.0</v>
      </c>
      <c r="B2" s="3" t="s">
        <v>4</v>
      </c>
      <c r="C2" s="3" t="s">
        <v>5</v>
      </c>
      <c r="D2" s="4">
        <f>((A2/B4)*C4)</f>
        <v>1.255142598</v>
      </c>
      <c r="E2" s="5">
        <f>D2/(1+D2)</f>
        <v>0.5565690609</v>
      </c>
      <c r="F2" s="5">
        <f>1-E2</f>
        <v>0.4434309391</v>
      </c>
    </row>
    <row r="3">
      <c r="A3" s="4"/>
      <c r="B3" s="1" t="s">
        <v>6</v>
      </c>
      <c r="C3" s="1" t="s">
        <v>6</v>
      </c>
      <c r="D3" s="4"/>
      <c r="E3" s="4" t="str">
        <f t="shared" ref="E3:F3" si="1">B2</f>
        <v>MON1 (Updated)</v>
      </c>
      <c r="F3" s="4" t="str">
        <f t="shared" si="1"/>
        <v>Aerozine50</v>
      </c>
    </row>
    <row r="4">
      <c r="A4" s="4"/>
      <c r="B4" s="4">
        <f>VLOOKUP(B2,'Propellant Data'!E3:H28,2,false)</f>
        <v>0.0014341</v>
      </c>
      <c r="C4" s="6">
        <f>VLOOKUP(C2,'Propellant Data'!B3:C34,2,false)</f>
        <v>0.0009</v>
      </c>
      <c r="D4" s="4"/>
      <c r="E4" s="4"/>
      <c r="F4" s="4"/>
    </row>
    <row r="5">
      <c r="A5" s="7"/>
      <c r="B5" s="7"/>
      <c r="C5" s="8"/>
      <c r="D5" s="9"/>
      <c r="E5" s="8"/>
      <c r="F5" s="9"/>
      <c r="I5" s="10">
        <v>779.95</v>
      </c>
      <c r="J5" s="10">
        <v>1.0</v>
      </c>
      <c r="K5" s="11">
        <f t="shared" ref="K5:K7" si="2">I5*J5</f>
        <v>779.95</v>
      </c>
    </row>
    <row r="6">
      <c r="A6" s="7"/>
      <c r="B6" s="7"/>
      <c r="C6" s="8"/>
      <c r="D6" s="9"/>
      <c r="E6" s="8"/>
      <c r="F6" s="9"/>
      <c r="I6" s="10">
        <v>25.0</v>
      </c>
      <c r="J6" s="10">
        <v>14.0</v>
      </c>
      <c r="K6" s="11">
        <f t="shared" si="2"/>
        <v>350</v>
      </c>
    </row>
    <row r="7">
      <c r="A7" s="7"/>
      <c r="B7" s="7"/>
      <c r="C7" s="8"/>
      <c r="D7" s="9"/>
      <c r="E7" s="8"/>
      <c r="F7" s="9"/>
      <c r="I7" s="10">
        <v>8.0</v>
      </c>
      <c r="J7" s="10">
        <v>14.0</v>
      </c>
      <c r="K7" s="11">
        <f t="shared" si="2"/>
        <v>112</v>
      </c>
    </row>
    <row r="8">
      <c r="A8" s="7" t="s">
        <v>7</v>
      </c>
      <c r="B8" s="7" t="b">
        <v>0</v>
      </c>
      <c r="C8" s="8"/>
      <c r="D8" s="9"/>
      <c r="E8" s="8"/>
      <c r="F8" s="7" t="s">
        <v>8</v>
      </c>
      <c r="G8" s="11">
        <f>B10+B11</f>
        <v>50604.8</v>
      </c>
      <c r="K8" s="11">
        <f>K5+K6+K7</f>
        <v>1241.95</v>
      </c>
    </row>
    <row r="9">
      <c r="A9" s="7" t="s">
        <v>9</v>
      </c>
      <c r="B9" s="7">
        <v>50604.8</v>
      </c>
      <c r="C9" s="8"/>
      <c r="D9" s="9"/>
      <c r="E9" s="8"/>
      <c r="F9" s="9"/>
    </row>
    <row r="10">
      <c r="A10" s="7" t="s">
        <v>10</v>
      </c>
      <c r="B10" s="7">
        <v>20601.2</v>
      </c>
      <c r="C10" s="8"/>
      <c r="D10" s="9"/>
      <c r="E10" s="8"/>
      <c r="F10" s="9"/>
    </row>
    <row r="11">
      <c r="A11" s="7" t="s">
        <v>11</v>
      </c>
      <c r="B11" s="7">
        <v>30003.6</v>
      </c>
      <c r="C11" s="8"/>
      <c r="D11" s="9"/>
      <c r="E11" s="8"/>
      <c r="F11" s="9"/>
    </row>
    <row r="12">
      <c r="A12" s="10" t="s">
        <v>12</v>
      </c>
      <c r="B12" s="12">
        <f>VLOOKUP(B2,'Propellant Data'!E3:H27,3,false)*B10+VLOOKUP(C2,'Propellant Data'!B3:D34,3,false)*B11</f>
        <v>56.4423548</v>
      </c>
      <c r="C12" s="8"/>
      <c r="D12" s="9"/>
      <c r="E12" s="8"/>
      <c r="F12" s="9"/>
    </row>
    <row r="13">
      <c r="A13" s="7" t="s">
        <v>13</v>
      </c>
      <c r="B13" s="13">
        <f>B9-B10-B11+B14+B15</f>
        <v>47142.7995</v>
      </c>
      <c r="C13" s="8"/>
      <c r="D13" s="9"/>
      <c r="E13" s="8"/>
      <c r="F13" s="9"/>
      <c r="G13" s="9"/>
    </row>
    <row r="14">
      <c r="A14" s="7" t="s">
        <v>14</v>
      </c>
      <c r="B14" s="13">
        <f>if(B8,B10/B4*VLOOKUP(B2,'Propellant Data'!E3:H27,3,false),(E2*B4/(F2*C4)/(E2*B4/(F2*C4)+1)*(VLOOKUP(B2,'Propellant Data'!E3:H27,3,false)*B10+VLOOKUP(C2,'Propellant Data'!B3:D34,3,false)*B11))/B4)</f>
        <v>26238.22365</v>
      </c>
      <c r="C14" s="8" t="str">
        <f>E3</f>
        <v>MON1 (Updated)</v>
      </c>
      <c r="D14" s="9"/>
      <c r="E14" s="8"/>
      <c r="F14" s="9"/>
    </row>
    <row r="15">
      <c r="A15" s="7" t="s">
        <v>15</v>
      </c>
      <c r="B15" s="13">
        <f>if(B8,B11/C4*VLOOKUP(C2,'Propellant Data'!B3:D34,3,false),(1/(E2*B4/(F2*C4)+1)*(VLOOKUP(B2,'Propellant Data'!E3:H27,3,false)*B10+VLOOKUP(C2,'Propellant Data'!B3:D34,3,false)*B11))/C4)</f>
        <v>20904.57585</v>
      </c>
      <c r="C15" s="8" t="str">
        <f>F3</f>
        <v>Aerozine50</v>
      </c>
      <c r="D15" s="9"/>
      <c r="E15" s="8"/>
      <c r="F15" s="9"/>
    </row>
    <row r="16">
      <c r="A16" s="7" t="s">
        <v>16</v>
      </c>
      <c r="B16" s="14">
        <f>round(B14/(B14+B15),4)</f>
        <v>0.5566</v>
      </c>
      <c r="C16" s="8" t="str">
        <f>E3</f>
        <v>MON1 (Updated)</v>
      </c>
      <c r="D16" s="9"/>
      <c r="E16" s="8"/>
      <c r="F16" s="9"/>
    </row>
    <row r="17">
      <c r="A17" s="7" t="s">
        <v>17</v>
      </c>
      <c r="B17" s="15">
        <f>1-B16</f>
        <v>0.4434</v>
      </c>
      <c r="C17" s="8" t="str">
        <f>F3</f>
        <v>Aerozine50</v>
      </c>
      <c r="D17" s="9"/>
      <c r="E17" s="9"/>
      <c r="F17" s="9"/>
    </row>
    <row r="23">
      <c r="C23" s="16"/>
      <c r="D23" s="16"/>
    </row>
    <row r="24">
      <c r="C24" s="16"/>
      <c r="D24" s="16"/>
    </row>
    <row r="25">
      <c r="C25" s="16"/>
      <c r="D25" s="16"/>
    </row>
    <row r="27">
      <c r="C27" s="16"/>
      <c r="D27" s="16"/>
    </row>
    <row r="28">
      <c r="C28" s="16"/>
      <c r="D28" s="16"/>
    </row>
    <row r="29">
      <c r="C29" s="16"/>
      <c r="D29" s="16"/>
    </row>
  </sheetData>
  <dataValidations>
    <dataValidation type="list" allowBlank="1" sqref="B2">
      <formula1>'Propellant Data'!$E$3:$E$27</formula1>
    </dataValidation>
    <dataValidation type="list" allowBlank="1" sqref="C2">
      <formula1>'Propellant Data'!$B$3:$B$34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</row>
    <row r="2">
      <c r="A2" s="17">
        <v>4.0</v>
      </c>
      <c r="B2" s="3" t="s">
        <v>18</v>
      </c>
      <c r="C2" s="3" t="s">
        <v>19</v>
      </c>
      <c r="D2" s="4">
        <f>((A2/B4)*C4)</f>
        <v>2.424782794</v>
      </c>
      <c r="E2" s="5">
        <f>D2/(1+D2)</f>
        <v>0.7080106798</v>
      </c>
      <c r="F2" s="5">
        <f>1-E2</f>
        <v>0.2919893202</v>
      </c>
    </row>
    <row r="3">
      <c r="A3" s="4"/>
      <c r="B3" s="1" t="s">
        <v>6</v>
      </c>
      <c r="C3" s="1" t="s">
        <v>6</v>
      </c>
      <c r="D3" s="4"/>
      <c r="E3" s="4" t="str">
        <f t="shared" ref="E3:F3" si="1">B2</f>
        <v>NTO (Updated)</v>
      </c>
      <c r="F3" s="4" t="str">
        <f t="shared" si="1"/>
        <v>LqdMethane</v>
      </c>
    </row>
    <row r="4">
      <c r="A4" s="4"/>
      <c r="B4" s="10">
        <v>7.021E-4</v>
      </c>
      <c r="C4" s="6">
        <f>VLOOKUP(C2,'Propellant Data'!B3:C34,2,false)</f>
        <v>0.00042561</v>
      </c>
      <c r="D4" s="4"/>
      <c r="E4" s="4"/>
      <c r="F4" s="4"/>
    </row>
    <row r="5">
      <c r="A5" s="7"/>
      <c r="B5" s="7"/>
      <c r="C5" s="8"/>
      <c r="D5" s="9"/>
      <c r="E5" s="8"/>
      <c r="F5" s="9"/>
      <c r="I5" s="10">
        <v>779.95</v>
      </c>
      <c r="J5" s="10">
        <v>1.0</v>
      </c>
      <c r="K5" s="11">
        <f t="shared" ref="K5:K7" si="2">I5*J5</f>
        <v>779.95</v>
      </c>
    </row>
    <row r="6">
      <c r="A6" s="7"/>
      <c r="B6" s="7"/>
      <c r="C6" s="8"/>
      <c r="D6" s="9"/>
      <c r="E6" s="8"/>
      <c r="F6" s="9"/>
      <c r="I6" s="10">
        <v>25.0</v>
      </c>
      <c r="J6" s="10">
        <v>14.0</v>
      </c>
      <c r="K6" s="11">
        <f t="shared" si="2"/>
        <v>350</v>
      </c>
    </row>
    <row r="7">
      <c r="A7" s="7"/>
      <c r="B7" s="7"/>
      <c r="C7" s="8"/>
      <c r="D7" s="9"/>
      <c r="E7" s="8"/>
      <c r="F7" s="9"/>
      <c r="I7" s="10">
        <v>8.0</v>
      </c>
      <c r="J7" s="10">
        <v>14.0</v>
      </c>
      <c r="K7" s="11">
        <f t="shared" si="2"/>
        <v>112</v>
      </c>
    </row>
    <row r="8">
      <c r="A8" s="7" t="s">
        <v>7</v>
      </c>
      <c r="B8" s="7" t="b">
        <v>0</v>
      </c>
      <c r="C8" s="8"/>
      <c r="D8" s="9"/>
      <c r="E8" s="8"/>
      <c r="F8" s="7" t="s">
        <v>8</v>
      </c>
      <c r="G8" s="11">
        <f>B10+B11</f>
        <v>12874.6717</v>
      </c>
      <c r="K8" s="11">
        <f>K5+K6+K7</f>
        <v>1241.95</v>
      </c>
    </row>
    <row r="9">
      <c r="A9" s="7" t="s">
        <v>9</v>
      </c>
      <c r="B9" s="7">
        <v>12874.6717</v>
      </c>
      <c r="C9" s="8"/>
      <c r="D9" s="9"/>
      <c r="E9" s="8"/>
      <c r="F9" s="9"/>
    </row>
    <row r="10">
      <c r="A10" s="7" t="s">
        <v>10</v>
      </c>
      <c r="B10" s="7">
        <v>6701.2666</v>
      </c>
      <c r="C10" s="8"/>
      <c r="D10" s="9"/>
      <c r="E10" s="8"/>
      <c r="F10" s="9"/>
    </row>
    <row r="11">
      <c r="A11" s="7" t="s">
        <v>11</v>
      </c>
      <c r="B11" s="7">
        <v>6173.4051</v>
      </c>
      <c r="C11" s="8"/>
      <c r="D11" s="9"/>
      <c r="E11" s="8"/>
      <c r="F11" s="9"/>
    </row>
    <row r="12">
      <c r="A12" s="10" t="s">
        <v>12</v>
      </c>
      <c r="B12" s="12">
        <f>VLOOKUP(B2,'Propellant Data'!E3:H27,3,false)*B10+VLOOKUP(C2,'Propellant Data'!B3:D34,3,false)*B11</f>
        <v>12.34429951</v>
      </c>
      <c r="C12" s="8"/>
      <c r="D12" s="9"/>
      <c r="E12" s="8"/>
      <c r="F12" s="9"/>
    </row>
    <row r="13">
      <c r="A13" s="7" t="s">
        <v>13</v>
      </c>
      <c r="B13" s="13">
        <f>B9-B10-B11+B14+B15</f>
        <v>19866.33048</v>
      </c>
      <c r="C13" s="8"/>
      <c r="D13" s="9"/>
      <c r="E13" s="8"/>
      <c r="F13" s="9"/>
      <c r="G13" s="9"/>
    </row>
    <row r="14">
      <c r="A14" s="7" t="s">
        <v>14</v>
      </c>
      <c r="B14" s="13">
        <f>if(B8,B10/B4*VLOOKUP(B2,'Propellant Data'!E3:H27,3,false),(E2*B4/(F2*C4)/(E2*B4/(F2*C4)+1)*(VLOOKUP(B2,'Propellant Data'!E3:H27,3,false)*B10+VLOOKUP(C2,'Propellant Data'!B3:D34,3,false)*B11))/B4)</f>
        <v>14065.57415</v>
      </c>
      <c r="C14" s="8" t="str">
        <f>E3</f>
        <v>NTO (Updated)</v>
      </c>
      <c r="D14" s="9"/>
      <c r="E14" s="8"/>
      <c r="F14" s="9"/>
    </row>
    <row r="15">
      <c r="A15" s="7" t="s">
        <v>15</v>
      </c>
      <c r="B15" s="13">
        <f>if(B8,B11/C4*VLOOKUP(C2,'Propellant Data'!B3:D34,3,false),(1/(E2*B4/(F2*C4)+1)*(VLOOKUP(B2,'Propellant Data'!E3:H27,3,false)*B10+VLOOKUP(C2,'Propellant Data'!B3:D34,3,false)*B11))/C4)</f>
        <v>5800.756333</v>
      </c>
      <c r="C15" s="8" t="str">
        <f>F3</f>
        <v>LqdMethane</v>
      </c>
      <c r="D15" s="9"/>
      <c r="E15" s="8"/>
      <c r="F15" s="9"/>
    </row>
    <row r="16">
      <c r="A16" s="7" t="s">
        <v>16</v>
      </c>
      <c r="B16" s="14">
        <f>round(B14/(B14+B15),4)</f>
        <v>0.708</v>
      </c>
      <c r="C16" s="8" t="str">
        <f>E3</f>
        <v>NTO (Updated)</v>
      </c>
      <c r="D16" s="9"/>
      <c r="E16" s="8"/>
      <c r="F16" s="9"/>
    </row>
    <row r="17">
      <c r="A17" s="7" t="s">
        <v>17</v>
      </c>
      <c r="B17" s="15">
        <f>1-B16</f>
        <v>0.292</v>
      </c>
      <c r="C17" s="8" t="str">
        <f>F3</f>
        <v>LqdMethane</v>
      </c>
      <c r="D17" s="9"/>
      <c r="E17" s="9"/>
      <c r="F17" s="9"/>
    </row>
    <row r="22">
      <c r="A22" s="10" t="s">
        <v>20</v>
      </c>
      <c r="C22" s="10" t="s">
        <v>21</v>
      </c>
      <c r="D22" s="10" t="s">
        <v>22</v>
      </c>
    </row>
    <row r="23">
      <c r="B23" s="10" t="s">
        <v>23</v>
      </c>
      <c r="C23" s="16">
        <v>0.0048</v>
      </c>
      <c r="D23" s="16">
        <v>0.0091</v>
      </c>
    </row>
    <row r="24">
      <c r="B24" s="10" t="s">
        <v>24</v>
      </c>
      <c r="C24" s="16">
        <v>0.0039</v>
      </c>
      <c r="D24" s="16">
        <v>0.0087</v>
      </c>
    </row>
    <row r="25">
      <c r="B25" s="10" t="s">
        <v>25</v>
      </c>
      <c r="C25" s="16">
        <v>0.0032</v>
      </c>
      <c r="D25" s="16">
        <v>0.0082</v>
      </c>
    </row>
    <row r="26">
      <c r="A26" s="10" t="s">
        <v>26</v>
      </c>
    </row>
    <row r="27">
      <c r="B27" s="10" t="s">
        <v>23</v>
      </c>
      <c r="C27" s="16">
        <v>0.0072</v>
      </c>
      <c r="D27" s="16">
        <v>0.0091</v>
      </c>
    </row>
    <row r="28">
      <c r="B28" s="10" t="s">
        <v>24</v>
      </c>
      <c r="C28" s="16">
        <v>0.0061</v>
      </c>
      <c r="D28" s="16">
        <v>0.0082</v>
      </c>
    </row>
    <row r="29">
      <c r="B29" s="10" t="s">
        <v>25</v>
      </c>
      <c r="C29" s="16">
        <v>0.0053</v>
      </c>
      <c r="D29" s="16">
        <v>0.0076</v>
      </c>
    </row>
  </sheetData>
  <dataValidations>
    <dataValidation type="list" allowBlank="1" sqref="B2">
      <formula1>'Propellant Data'!$E$3:$E$27</formula1>
    </dataValidation>
    <dataValidation type="list" allowBlank="1" sqref="C2">
      <formula1>'Propellant Data'!$B$3:$B$34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27</v>
      </c>
    </row>
    <row r="2">
      <c r="A2" s="1" t="s">
        <v>28</v>
      </c>
      <c r="B2" s="1" t="s">
        <v>29</v>
      </c>
      <c r="C2" s="1" t="s">
        <v>30</v>
      </c>
      <c r="D2" s="1" t="s">
        <v>31</v>
      </c>
      <c r="E2" s="10" t="s">
        <v>32</v>
      </c>
    </row>
    <row r="3">
      <c r="A3" s="17">
        <v>259.13</v>
      </c>
      <c r="B3" s="3" t="s">
        <v>33</v>
      </c>
      <c r="C3" s="1"/>
      <c r="D3" s="18">
        <f>((B5/C5)*A3)</f>
        <v>259.13</v>
      </c>
      <c r="E3" s="11">
        <f>D3*C5*1000</f>
        <v>2842.6561</v>
      </c>
    </row>
    <row r="4">
      <c r="A4" s="4"/>
      <c r="B4" s="1" t="s">
        <v>6</v>
      </c>
      <c r="C4" s="1" t="s">
        <v>6</v>
      </c>
      <c r="D4" s="4"/>
    </row>
    <row r="5">
      <c r="A5" s="4"/>
      <c r="B5" s="4">
        <f>VLOOKUP(B3,'Propellant Data'!E3:G27,3,false)</f>
        <v>0.01097</v>
      </c>
      <c r="C5" s="6">
        <f>VLOOKUP(B3,'Propellant Data'!E3:G27,2,false)</f>
        <v>0.01097</v>
      </c>
      <c r="D5" s="4"/>
    </row>
    <row r="6">
      <c r="A6" s="10" t="s">
        <v>32</v>
      </c>
      <c r="D6" s="10" t="s">
        <v>34</v>
      </c>
    </row>
    <row r="7">
      <c r="A7" s="10">
        <v>31.4</v>
      </c>
      <c r="D7" s="19">
        <f>A7/(1000*C5)</f>
        <v>2.862351869</v>
      </c>
    </row>
    <row r="8">
      <c r="A8" s="10" t="s">
        <v>35</v>
      </c>
      <c r="D8" s="19"/>
    </row>
    <row r="9">
      <c r="A9" s="10">
        <v>15.0</v>
      </c>
      <c r="D9" s="20">
        <f>(A9*0.453592)/(1000*C5)</f>
        <v>0.6202260711</v>
      </c>
    </row>
    <row r="10">
      <c r="A10" s="10" t="s">
        <v>2</v>
      </c>
    </row>
    <row r="11">
      <c r="A11" s="1" t="s">
        <v>28</v>
      </c>
      <c r="B11" s="1" t="s">
        <v>29</v>
      </c>
      <c r="C11" s="1" t="s">
        <v>30</v>
      </c>
      <c r="D11" s="1" t="s">
        <v>31</v>
      </c>
      <c r="E11" s="10" t="s">
        <v>32</v>
      </c>
    </row>
    <row r="12">
      <c r="A12" s="17">
        <v>22.73</v>
      </c>
      <c r="B12" s="3" t="s">
        <v>36</v>
      </c>
      <c r="C12" s="1"/>
      <c r="D12" s="18">
        <f>A12</f>
        <v>22.73</v>
      </c>
      <c r="E12" s="11">
        <f>D12*C14*1000</f>
        <v>17.66121</v>
      </c>
    </row>
    <row r="13">
      <c r="A13" s="4"/>
      <c r="B13" s="1" t="s">
        <v>6</v>
      </c>
      <c r="C13" s="1" t="s">
        <v>6</v>
      </c>
      <c r="D13" s="4"/>
    </row>
    <row r="14">
      <c r="A14" s="4"/>
      <c r="B14" s="4">
        <f>VLOOKUP(B12,'Propellant Data'!B3:D34,3,false)</f>
        <v>0.00082</v>
      </c>
      <c r="C14" s="6">
        <f>VLOOKUP(B12,'Propellant Data'!B3:D34,2,false)</f>
        <v>0.000777</v>
      </c>
      <c r="D14" s="4"/>
    </row>
    <row r="15">
      <c r="A15" s="10" t="s">
        <v>32</v>
      </c>
      <c r="D15" s="10" t="s">
        <v>34</v>
      </c>
    </row>
    <row r="16">
      <c r="A16" s="10">
        <v>100.0</v>
      </c>
      <c r="D16" s="19">
        <f>A16/(1000*B14)</f>
        <v>121.9512195</v>
      </c>
    </row>
    <row r="17">
      <c r="A17" s="10" t="s">
        <v>35</v>
      </c>
      <c r="D17" s="19"/>
    </row>
    <row r="18">
      <c r="A18" s="10">
        <v>2.2</v>
      </c>
      <c r="D18" s="19">
        <f>(A18*0.453592)/(1000*B14)</f>
        <v>1.216954146</v>
      </c>
    </row>
  </sheetData>
  <dataValidations>
    <dataValidation type="list" allowBlank="1" showErrorMessage="1" sqref="B12">
      <formula1>'Propellant Data'!$B$3:$B$30</formula1>
    </dataValidation>
    <dataValidation type="list" allowBlank="1" sqref="B3">
      <formula1>'Propellant Data'!$E$3:$E$27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88"/>
  </cols>
  <sheetData>
    <row r="2">
      <c r="B2" s="21" t="s">
        <v>37</v>
      </c>
      <c r="C2" s="22"/>
      <c r="D2" s="23" t="s">
        <v>29</v>
      </c>
      <c r="E2" s="21" t="s">
        <v>38</v>
      </c>
      <c r="F2" s="22"/>
      <c r="G2" s="23" t="s">
        <v>29</v>
      </c>
    </row>
    <row r="3">
      <c r="B3" s="21" t="s">
        <v>39</v>
      </c>
      <c r="C3" s="21">
        <v>8.2E-4</v>
      </c>
      <c r="D3" s="24">
        <f>C3</f>
        <v>0.00082</v>
      </c>
      <c r="E3" s="21" t="s">
        <v>40</v>
      </c>
      <c r="F3" s="21">
        <v>0.001141</v>
      </c>
      <c r="G3" s="23">
        <v>0.001141</v>
      </c>
    </row>
    <row r="4">
      <c r="B4" s="21" t="s">
        <v>36</v>
      </c>
      <c r="C4" s="21">
        <v>7.77E-4</v>
      </c>
      <c r="D4" s="24">
        <f>C3</f>
        <v>0.00082</v>
      </c>
      <c r="E4" s="21" t="s">
        <v>41</v>
      </c>
      <c r="F4" s="21">
        <v>0.001236</v>
      </c>
      <c r="G4" s="23">
        <f>F3</f>
        <v>0.001141</v>
      </c>
    </row>
    <row r="5">
      <c r="B5" s="21" t="s">
        <v>42</v>
      </c>
      <c r="C5" s="21">
        <v>7.96E-4</v>
      </c>
      <c r="D5" s="24">
        <f>C3</f>
        <v>0.00082</v>
      </c>
      <c r="E5" s="21" t="s">
        <v>43</v>
      </c>
      <c r="F5" s="21">
        <v>0.001512</v>
      </c>
      <c r="G5" s="23">
        <v>0.001513</v>
      </c>
    </row>
    <row r="6">
      <c r="B6" s="21" t="s">
        <v>44</v>
      </c>
      <c r="C6" s="21">
        <v>8.07E-4</v>
      </c>
      <c r="D6" s="24">
        <f>C3</f>
        <v>0.00082</v>
      </c>
      <c r="E6" s="21" t="s">
        <v>45</v>
      </c>
      <c r="F6" s="21">
        <v>0.001564</v>
      </c>
      <c r="G6" s="23">
        <v>0.001658</v>
      </c>
    </row>
    <row r="7">
      <c r="B7" s="21" t="s">
        <v>46</v>
      </c>
      <c r="C7" s="21">
        <v>8.27E-4</v>
      </c>
      <c r="D7" s="24">
        <f>C3</f>
        <v>0.00082</v>
      </c>
      <c r="E7" s="21" t="s">
        <v>47</v>
      </c>
      <c r="F7" s="21">
        <v>0.001647</v>
      </c>
      <c r="G7" s="23">
        <v>0.001995</v>
      </c>
    </row>
    <row r="8">
      <c r="B8" s="21" t="s">
        <v>48</v>
      </c>
      <c r="C8" s="21">
        <v>8.33E-4</v>
      </c>
      <c r="D8" s="24">
        <f>C3</f>
        <v>0.00082</v>
      </c>
      <c r="E8" s="21" t="s">
        <v>49</v>
      </c>
      <c r="F8" s="21">
        <v>0.001534</v>
      </c>
      <c r="G8" s="23">
        <v>0.001499</v>
      </c>
    </row>
    <row r="9">
      <c r="B9" s="21" t="s">
        <v>50</v>
      </c>
      <c r="C9" s="21">
        <v>8.54E-4</v>
      </c>
      <c r="D9" s="24">
        <f>C3</f>
        <v>0.00082</v>
      </c>
      <c r="E9" s="21" t="s">
        <v>51</v>
      </c>
      <c r="F9" s="21">
        <v>0.001533</v>
      </c>
      <c r="G9" s="23">
        <v>0.001494</v>
      </c>
    </row>
    <row r="10">
      <c r="B10" s="21" t="s">
        <v>52</v>
      </c>
      <c r="C10" s="21">
        <v>8.51E-4</v>
      </c>
      <c r="D10" s="24">
        <f>C10</f>
        <v>0.000851</v>
      </c>
      <c r="E10" s="25" t="s">
        <v>18</v>
      </c>
      <c r="F10" s="21">
        <v>0.001433</v>
      </c>
      <c r="G10" s="26">
        <v>0.00145</v>
      </c>
    </row>
    <row r="11">
      <c r="B11" s="21" t="s">
        <v>53</v>
      </c>
      <c r="C11" s="21">
        <v>8.72E-4</v>
      </c>
      <c r="D11" s="24">
        <f>C10</f>
        <v>0.000851</v>
      </c>
      <c r="E11" s="21" t="s">
        <v>54</v>
      </c>
      <c r="F11" s="21">
        <v>0.001505</v>
      </c>
      <c r="G11" s="27">
        <f>G10</f>
        <v>0.00145</v>
      </c>
    </row>
    <row r="12">
      <c r="B12" s="21" t="s">
        <v>55</v>
      </c>
      <c r="C12" s="21">
        <v>8.4175E-4</v>
      </c>
      <c r="D12" s="24">
        <f t="shared" ref="D12:D18" si="1">C12</f>
        <v>0.00084175</v>
      </c>
      <c r="E12" s="21" t="s">
        <v>4</v>
      </c>
      <c r="F12" s="21">
        <v>0.0014341</v>
      </c>
      <c r="G12" s="23">
        <v>0.001429</v>
      </c>
    </row>
    <row r="13">
      <c r="B13" s="21" t="s">
        <v>56</v>
      </c>
      <c r="C13" s="21">
        <v>8.101E-4</v>
      </c>
      <c r="D13" s="24">
        <f t="shared" si="1"/>
        <v>0.0008101</v>
      </c>
      <c r="E13" s="21" t="s">
        <v>57</v>
      </c>
      <c r="F13" s="21">
        <v>0.0014363</v>
      </c>
      <c r="G13" s="23">
        <v>0.001423</v>
      </c>
    </row>
    <row r="14">
      <c r="B14" s="21" t="s">
        <v>58</v>
      </c>
      <c r="C14" s="21">
        <v>0.001004</v>
      </c>
      <c r="D14" s="24">
        <f t="shared" si="1"/>
        <v>0.001004</v>
      </c>
      <c r="E14" s="21" t="s">
        <v>59</v>
      </c>
      <c r="F14" s="21">
        <v>0.0014441</v>
      </c>
      <c r="G14" s="23">
        <v>0.001407</v>
      </c>
    </row>
    <row r="15">
      <c r="B15" s="21" t="s">
        <v>60</v>
      </c>
      <c r="C15" s="21">
        <v>8.6E-4</v>
      </c>
      <c r="D15" s="24">
        <f t="shared" si="1"/>
        <v>0.00086</v>
      </c>
      <c r="E15" s="21" t="s">
        <v>61</v>
      </c>
      <c r="F15" s="21">
        <v>0.0014479</v>
      </c>
      <c r="G15" s="23">
        <v>0.001397</v>
      </c>
    </row>
    <row r="16">
      <c r="B16" s="21" t="s">
        <v>62</v>
      </c>
      <c r="C16" s="21">
        <v>7.91E-4</v>
      </c>
      <c r="D16" s="24">
        <f t="shared" si="1"/>
        <v>0.000791</v>
      </c>
      <c r="E16" s="21" t="s">
        <v>63</v>
      </c>
      <c r="F16" s="21">
        <v>0.0014516</v>
      </c>
      <c r="G16" s="23">
        <v>0.00138</v>
      </c>
    </row>
    <row r="17">
      <c r="B17" s="21" t="s">
        <v>64</v>
      </c>
      <c r="C17" s="21">
        <v>8.8E-4</v>
      </c>
      <c r="D17" s="24">
        <f t="shared" si="1"/>
        <v>0.00088</v>
      </c>
      <c r="E17" s="21" t="s">
        <v>65</v>
      </c>
      <c r="F17" s="21">
        <v>0.0014554</v>
      </c>
      <c r="G17" s="23">
        <v>0.00138</v>
      </c>
    </row>
    <row r="18">
      <c r="B18" s="21" t="s">
        <v>5</v>
      </c>
      <c r="C18" s="21">
        <v>9.0E-4</v>
      </c>
      <c r="D18" s="24">
        <f t="shared" si="1"/>
        <v>0.0009</v>
      </c>
      <c r="E18" s="21" t="s">
        <v>66</v>
      </c>
      <c r="F18" s="21">
        <v>0.001431</v>
      </c>
      <c r="G18" s="23">
        <v>0.001431</v>
      </c>
    </row>
    <row r="19">
      <c r="B19" s="21" t="s">
        <v>67</v>
      </c>
      <c r="C19" s="21">
        <v>9.2E-4</v>
      </c>
      <c r="D19" s="24">
        <f>D18</f>
        <v>0.0009</v>
      </c>
      <c r="E19" s="21" t="s">
        <v>68</v>
      </c>
      <c r="F19" s="21">
        <v>0.001505</v>
      </c>
      <c r="G19" s="23">
        <v>0.001505</v>
      </c>
    </row>
    <row r="20">
      <c r="B20" s="21" t="s">
        <v>69</v>
      </c>
      <c r="C20" s="21">
        <v>8.511E-4</v>
      </c>
      <c r="D20" s="24">
        <f t="shared" ref="D20:D21" si="2">C20</f>
        <v>0.0008511</v>
      </c>
      <c r="E20" s="21" t="s">
        <v>70</v>
      </c>
      <c r="F20" s="21">
        <v>0.0012517</v>
      </c>
      <c r="G20" s="23">
        <v>0.0012517</v>
      </c>
    </row>
    <row r="21">
      <c r="B21" s="21" t="s">
        <v>71</v>
      </c>
      <c r="C21" s="21">
        <v>8.73E-4</v>
      </c>
      <c r="D21" s="24">
        <f t="shared" si="2"/>
        <v>0.000873</v>
      </c>
      <c r="E21" s="21" t="s">
        <v>72</v>
      </c>
      <c r="F21" s="21">
        <v>0.0013993</v>
      </c>
      <c r="G21" s="23">
        <v>0.0013993</v>
      </c>
    </row>
    <row r="22">
      <c r="B22" s="21" t="s">
        <v>73</v>
      </c>
      <c r="C22" s="21">
        <v>8.11E-4</v>
      </c>
      <c r="D22" s="23">
        <v>8.11E-4</v>
      </c>
      <c r="E22" s="21" t="s">
        <v>74</v>
      </c>
      <c r="F22" s="21">
        <v>0.0014657</v>
      </c>
      <c r="G22" s="23">
        <v>0.0014657</v>
      </c>
    </row>
    <row r="23">
      <c r="B23" s="21" t="s">
        <v>60</v>
      </c>
      <c r="C23" s="21">
        <v>8.6E-4</v>
      </c>
      <c r="D23" s="24">
        <f t="shared" ref="D23:D32" si="3">C23</f>
        <v>0.00086</v>
      </c>
      <c r="E23" s="21" t="s">
        <v>75</v>
      </c>
      <c r="F23" s="21">
        <v>0.001856</v>
      </c>
      <c r="G23" s="23">
        <v>0.00177</v>
      </c>
    </row>
    <row r="24">
      <c r="B24" s="21" t="s">
        <v>76</v>
      </c>
      <c r="C24" s="21">
        <v>4.21E-4</v>
      </c>
      <c r="D24" s="24">
        <f t="shared" si="3"/>
        <v>0.000421</v>
      </c>
      <c r="E24" s="21" t="s">
        <v>77</v>
      </c>
      <c r="F24" s="21">
        <v>0.00191</v>
      </c>
      <c r="G24" s="23">
        <v>0.0019</v>
      </c>
    </row>
    <row r="25">
      <c r="B25" s="21" t="s">
        <v>78</v>
      </c>
      <c r="C25" s="21">
        <v>6.18E-4</v>
      </c>
      <c r="D25" s="24">
        <f t="shared" si="3"/>
        <v>0.000618</v>
      </c>
      <c r="E25" s="21" t="s">
        <v>79</v>
      </c>
      <c r="F25" s="21">
        <v>1.41E-6</v>
      </c>
      <c r="G25" s="23">
        <v>1.41E-6</v>
      </c>
    </row>
    <row r="26">
      <c r="B26" s="21" t="s">
        <v>80</v>
      </c>
      <c r="C26" s="21">
        <v>6.3E-4</v>
      </c>
      <c r="D26" s="24">
        <f t="shared" si="3"/>
        <v>0.00063</v>
      </c>
      <c r="E26" s="21" t="s">
        <v>81</v>
      </c>
      <c r="F26" s="21">
        <v>1.96E-6</v>
      </c>
      <c r="G26" s="23">
        <v>1.96E-6</v>
      </c>
    </row>
    <row r="27">
      <c r="B27" s="21" t="s">
        <v>19</v>
      </c>
      <c r="C27" s="21">
        <v>4.2561E-4</v>
      </c>
      <c r="D27" s="24">
        <f t="shared" si="3"/>
        <v>0.00042561</v>
      </c>
      <c r="E27" s="21" t="s">
        <v>33</v>
      </c>
      <c r="F27" s="21">
        <v>0.01097</v>
      </c>
      <c r="G27" s="23">
        <v>0.01097</v>
      </c>
    </row>
    <row r="28">
      <c r="B28" s="21" t="s">
        <v>82</v>
      </c>
      <c r="C28" s="21">
        <v>7.085E-5</v>
      </c>
      <c r="D28" s="24">
        <f t="shared" si="3"/>
        <v>0.00007085</v>
      </c>
    </row>
    <row r="29">
      <c r="B29" s="21" t="s">
        <v>83</v>
      </c>
      <c r="C29" s="21">
        <v>8.99E-8</v>
      </c>
      <c r="D29" s="24">
        <f t="shared" si="3"/>
        <v>0.0000000899</v>
      </c>
    </row>
    <row r="30">
      <c r="B30" s="21" t="s">
        <v>84</v>
      </c>
      <c r="C30" s="21">
        <v>7.17E-7</v>
      </c>
      <c r="D30" s="24">
        <f t="shared" si="3"/>
        <v>0.000000717</v>
      </c>
    </row>
    <row r="31">
      <c r="B31" s="21" t="s">
        <v>85</v>
      </c>
      <c r="C31" s="21">
        <v>0.001042</v>
      </c>
      <c r="D31" s="24">
        <f t="shared" si="3"/>
        <v>0.001042</v>
      </c>
    </row>
    <row r="32">
      <c r="B32" s="21" t="s">
        <v>86</v>
      </c>
      <c r="C32" s="21">
        <v>0.0010585</v>
      </c>
      <c r="D32" s="24">
        <f t="shared" si="3"/>
        <v>0.0010585</v>
      </c>
    </row>
    <row r="33">
      <c r="B33" s="21" t="s">
        <v>87</v>
      </c>
      <c r="C33" s="21">
        <v>7.021E-4</v>
      </c>
      <c r="D33" s="23">
        <v>7.021E-4</v>
      </c>
    </row>
    <row r="34">
      <c r="B34" s="21" t="s">
        <v>88</v>
      </c>
      <c r="C34" s="21">
        <v>8.7E-4</v>
      </c>
      <c r="D34" s="24">
        <f>C34</f>
        <v>0.00087</v>
      </c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89</v>
      </c>
      <c r="B1" s="10" t="s">
        <v>90</v>
      </c>
      <c r="C1" s="10" t="s">
        <v>91</v>
      </c>
      <c r="D1" s="10" t="s">
        <v>92</v>
      </c>
      <c r="E1" s="10" t="s">
        <v>93</v>
      </c>
    </row>
    <row r="2">
      <c r="A2" s="10" t="s">
        <v>66</v>
      </c>
      <c r="B2" s="28">
        <v>163.83</v>
      </c>
      <c r="C2" s="28">
        <v>137.175</v>
      </c>
      <c r="D2" s="19">
        <f t="shared" ref="D2:D12" si="1">(C2-B2)/B2*100</f>
        <v>-16.26991394</v>
      </c>
      <c r="E2" s="19">
        <f t="shared" ref="E2:E12" si="2">B2/1.12</f>
        <v>146.2767857</v>
      </c>
    </row>
    <row r="3">
      <c r="A3" s="10" t="s">
        <v>58</v>
      </c>
      <c r="B3" s="28">
        <v>216.76</v>
      </c>
      <c r="C3" s="28">
        <v>212.4</v>
      </c>
      <c r="D3" s="19">
        <f t="shared" si="1"/>
        <v>-2.011441225</v>
      </c>
      <c r="E3" s="19">
        <f t="shared" si="2"/>
        <v>193.5357143</v>
      </c>
    </row>
    <row r="4">
      <c r="A4" s="10" t="s">
        <v>81</v>
      </c>
      <c r="B4" s="28">
        <v>175.91</v>
      </c>
      <c r="C4" s="28">
        <v>154.875</v>
      </c>
      <c r="D4" s="19">
        <f t="shared" si="1"/>
        <v>-11.95781934</v>
      </c>
      <c r="E4" s="19">
        <f t="shared" si="2"/>
        <v>157.0625</v>
      </c>
    </row>
    <row r="5">
      <c r="A5" s="10" t="s">
        <v>94</v>
      </c>
      <c r="B5" s="28">
        <v>315.99</v>
      </c>
      <c r="C5" s="28">
        <v>280.84</v>
      </c>
      <c r="D5" s="19">
        <f t="shared" si="1"/>
        <v>-11.12376974</v>
      </c>
      <c r="E5" s="19">
        <f t="shared" si="2"/>
        <v>282.1339286</v>
      </c>
    </row>
    <row r="6">
      <c r="A6" s="10" t="s">
        <v>95</v>
      </c>
      <c r="B6" s="28">
        <v>317.47</v>
      </c>
      <c r="C6" s="28">
        <v>278.185</v>
      </c>
      <c r="D6" s="19">
        <f t="shared" si="1"/>
        <v>-12.37439758</v>
      </c>
      <c r="E6" s="19">
        <f t="shared" si="2"/>
        <v>283.4553571</v>
      </c>
    </row>
    <row r="7">
      <c r="A7" s="10" t="s">
        <v>96</v>
      </c>
      <c r="B7" s="28">
        <v>322.22</v>
      </c>
      <c r="C7" s="28">
        <v>281.725</v>
      </c>
      <c r="D7" s="19">
        <f t="shared" si="1"/>
        <v>-12.56750047</v>
      </c>
      <c r="E7" s="19">
        <f t="shared" si="2"/>
        <v>287.6964286</v>
      </c>
    </row>
    <row r="8">
      <c r="A8" s="10" t="s">
        <v>97</v>
      </c>
      <c r="B8" s="28">
        <v>331.18</v>
      </c>
      <c r="C8" s="28">
        <v>264.025</v>
      </c>
      <c r="D8" s="19">
        <f t="shared" si="1"/>
        <v>-20.2774926</v>
      </c>
      <c r="E8" s="19">
        <f t="shared" si="2"/>
        <v>295.6964286</v>
      </c>
    </row>
    <row r="9">
      <c r="A9" s="10" t="s">
        <v>98</v>
      </c>
      <c r="B9" s="28">
        <v>335.54</v>
      </c>
      <c r="C9" s="28">
        <v>267.86</v>
      </c>
      <c r="D9" s="19">
        <f t="shared" si="1"/>
        <v>-20.17047148</v>
      </c>
      <c r="E9" s="19">
        <f t="shared" si="2"/>
        <v>299.5892857</v>
      </c>
    </row>
    <row r="10">
      <c r="A10" s="10" t="s">
        <v>99</v>
      </c>
      <c r="B10" s="28">
        <v>314.13</v>
      </c>
      <c r="C10" s="28">
        <v>264.91</v>
      </c>
      <c r="D10" s="19">
        <f t="shared" si="1"/>
        <v>-15.66867221</v>
      </c>
      <c r="E10" s="19">
        <f t="shared" si="2"/>
        <v>280.4732143</v>
      </c>
    </row>
    <row r="11">
      <c r="A11" s="10" t="s">
        <v>100</v>
      </c>
      <c r="B11" s="28">
        <v>345.9</v>
      </c>
      <c r="C11" s="28">
        <v>297.36</v>
      </c>
      <c r="D11" s="19">
        <f t="shared" si="1"/>
        <v>-14.0329575</v>
      </c>
      <c r="E11" s="19">
        <f t="shared" si="2"/>
        <v>308.8392857</v>
      </c>
    </row>
    <row r="12">
      <c r="A12" s="10" t="s">
        <v>101</v>
      </c>
      <c r="B12" s="28">
        <v>439.25</v>
      </c>
      <c r="C12" s="28">
        <v>375.83</v>
      </c>
      <c r="D12" s="19">
        <f t="shared" si="1"/>
        <v>-14.43824701</v>
      </c>
      <c r="E12" s="19">
        <f t="shared" si="2"/>
        <v>392.1875</v>
      </c>
    </row>
  </sheetData>
  <drawing r:id="rId1"/>
</worksheet>
</file>