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DieseArbeitsmappe"/>
  <mc:AlternateContent xmlns:mc="http://schemas.openxmlformats.org/markup-compatibility/2006">
    <mc:Choice Requires="x15">
      <x15ac:absPath xmlns:x15ac="http://schemas.microsoft.com/office/spreadsheetml/2010/11/ac" url="D:\WEE WISE 2024(03)\WIND FARM PLANNING\Advance-Wind-Farm-Planning\Economical_Excel\"/>
    </mc:Choice>
  </mc:AlternateContent>
  <xr:revisionPtr revIDLastSave="0" documentId="13_ncr:1_{ECC4B42C-B8EE-4824-B41A-A03C1C3503D5}" xr6:coauthVersionLast="47" xr6:coauthVersionMax="47" xr10:uidLastSave="{00000000-0000-0000-0000-000000000000}"/>
  <bookViews>
    <workbookView xWindow="28680" yWindow="-120" windowWidth="21840" windowHeight="13020" tabRatio="500" xr2:uid="{00000000-000D-0000-FFFF-FFFF00000000}"/>
  </bookViews>
  <sheets>
    <sheet name="V162_6.2 MW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2" i="3" l="1"/>
  <c r="Q13" i="3" s="1"/>
  <c r="L8" i="3" s="1"/>
  <c r="P12" i="3"/>
  <c r="P13" i="3" s="1"/>
  <c r="AP35" i="3" l="1"/>
  <c r="AO35" i="3"/>
  <c r="AN35" i="3"/>
  <c r="AM35" i="3"/>
  <c r="AL35" i="3"/>
  <c r="AP33" i="3"/>
  <c r="AO33" i="3"/>
  <c r="AN33" i="3"/>
  <c r="AM33" i="3"/>
  <c r="AL33" i="3"/>
  <c r="AB33" i="3"/>
  <c r="AP22" i="3"/>
  <c r="AO22" i="3"/>
  <c r="AN22" i="3"/>
  <c r="AM22" i="3"/>
  <c r="AL22" i="3"/>
  <c r="X22" i="3"/>
  <c r="AP21" i="3"/>
  <c r="AO21" i="3"/>
  <c r="AN21" i="3"/>
  <c r="AM21" i="3"/>
  <c r="AL21" i="3"/>
  <c r="AP20" i="3"/>
  <c r="AO20" i="3"/>
  <c r="AN20" i="3"/>
  <c r="AM20" i="3"/>
  <c r="AL20" i="3"/>
  <c r="B14" i="3"/>
  <c r="Q33" i="3" s="1"/>
  <c r="L11" i="3"/>
  <c r="L12" i="3" s="1"/>
  <c r="H2" i="3" s="1"/>
  <c r="H4" i="3" s="1"/>
  <c r="AB20" i="3" s="1"/>
  <c r="AB21" i="3" s="1"/>
  <c r="B10" i="3"/>
  <c r="B11" i="3" s="1"/>
  <c r="AJ22" i="3" l="1"/>
  <c r="Y22" i="3"/>
  <c r="AK22" i="3"/>
  <c r="AC33" i="3"/>
  <c r="X20" i="3"/>
  <c r="X21" i="3" s="1"/>
  <c r="X23" i="3" s="1"/>
  <c r="X25" i="3" s="1"/>
  <c r="X26" i="3" s="1"/>
  <c r="Z22" i="3"/>
  <c r="AD33" i="3"/>
  <c r="Y20" i="3"/>
  <c r="Y21" i="3" s="1"/>
  <c r="Y23" i="3" s="1"/>
  <c r="Y25" i="3" s="1"/>
  <c r="Y26" i="3" s="1"/>
  <c r="AA22" i="3"/>
  <c r="AE33" i="3"/>
  <c r="Z20" i="3"/>
  <c r="Z21" i="3" s="1"/>
  <c r="AB22" i="3"/>
  <c r="AF33" i="3"/>
  <c r="AA20" i="3"/>
  <c r="AA21" i="3" s="1"/>
  <c r="AC22" i="3"/>
  <c r="AG33" i="3"/>
  <c r="AC20" i="3"/>
  <c r="AC21" i="3" s="1"/>
  <c r="AC23" i="3" s="1"/>
  <c r="AC25" i="3" s="1"/>
  <c r="AC26" i="3" s="1"/>
  <c r="AD22" i="3"/>
  <c r="AH33" i="3"/>
  <c r="AD20" i="3"/>
  <c r="AD21" i="3" s="1"/>
  <c r="AD23" i="3" s="1"/>
  <c r="AD25" i="3" s="1"/>
  <c r="AD26" i="3" s="1"/>
  <c r="AE22" i="3"/>
  <c r="W33" i="3"/>
  <c r="AI33" i="3"/>
  <c r="AE20" i="3"/>
  <c r="AE21" i="3" s="1"/>
  <c r="AF22" i="3"/>
  <c r="X33" i="3"/>
  <c r="AJ33" i="3"/>
  <c r="AF20" i="3"/>
  <c r="AF21" i="3" s="1"/>
  <c r="AF23" i="3" s="1"/>
  <c r="AF25" i="3" s="1"/>
  <c r="AF26" i="3" s="1"/>
  <c r="AG22" i="3"/>
  <c r="Y33" i="3"/>
  <c r="AK33" i="3"/>
  <c r="AJ20" i="3"/>
  <c r="AJ21" i="3" s="1"/>
  <c r="AJ23" i="3" s="1"/>
  <c r="AJ25" i="3" s="1"/>
  <c r="AJ26" i="3" s="1"/>
  <c r="AH22" i="3"/>
  <c r="Z33" i="3"/>
  <c r="AK20" i="3"/>
  <c r="AK21" i="3" s="1"/>
  <c r="W22" i="3"/>
  <c r="AI22" i="3"/>
  <c r="AA33" i="3"/>
  <c r="AG20" i="3"/>
  <c r="AG21" i="3" s="1"/>
  <c r="AG23" i="3" s="1"/>
  <c r="AG25" i="3" s="1"/>
  <c r="AG26" i="3" s="1"/>
  <c r="AH20" i="3"/>
  <c r="AH21" i="3" s="1"/>
  <c r="W20" i="3"/>
  <c r="W21" i="3" s="1"/>
  <c r="W23" i="3" s="1"/>
  <c r="W25" i="3" s="1"/>
  <c r="W26" i="3" s="1"/>
  <c r="AI20" i="3"/>
  <c r="AI21" i="3" s="1"/>
  <c r="AI23" i="3" s="1"/>
  <c r="AI25" i="3" s="1"/>
  <c r="AI26" i="3" s="1"/>
  <c r="AL23" i="3"/>
  <c r="AL25" i="3" s="1"/>
  <c r="AL26" i="3" s="1"/>
  <c r="AO23" i="3"/>
  <c r="AO25" i="3" s="1"/>
  <c r="AO26" i="3" s="1"/>
  <c r="Q22" i="3"/>
  <c r="V22" i="3"/>
  <c r="L33" i="3"/>
  <c r="D22" i="3"/>
  <c r="R33" i="3"/>
  <c r="AP23" i="3"/>
  <c r="AP25" i="3" s="1"/>
  <c r="AP26" i="3" s="1"/>
  <c r="AM23" i="3"/>
  <c r="AM25" i="3" s="1"/>
  <c r="AM26" i="3" s="1"/>
  <c r="AB23" i="3"/>
  <c r="AB25" i="3" s="1"/>
  <c r="AB26" i="3" s="1"/>
  <c r="K22" i="3"/>
  <c r="E22" i="3"/>
  <c r="J22" i="3"/>
  <c r="AN23" i="3"/>
  <c r="AN25" i="3" s="1"/>
  <c r="AN26" i="3" s="1"/>
  <c r="P22" i="3"/>
  <c r="F33" i="3"/>
  <c r="R20" i="3"/>
  <c r="R21" i="3" s="1"/>
  <c r="L20" i="3"/>
  <c r="L21" i="3" s="1"/>
  <c r="F20" i="3"/>
  <c r="F21" i="3" s="1"/>
  <c r="S20" i="3"/>
  <c r="S21" i="3" s="1"/>
  <c r="Q20" i="3"/>
  <c r="Q21" i="3" s="1"/>
  <c r="K20" i="3"/>
  <c r="K21" i="3" s="1"/>
  <c r="E20" i="3"/>
  <c r="E21" i="3" s="1"/>
  <c r="D20" i="3"/>
  <c r="D21" i="3" s="1"/>
  <c r="N20" i="3"/>
  <c r="N21" i="3" s="1"/>
  <c r="G20" i="3"/>
  <c r="G21" i="3" s="1"/>
  <c r="V20" i="3"/>
  <c r="V21" i="3" s="1"/>
  <c r="P20" i="3"/>
  <c r="P21" i="3" s="1"/>
  <c r="J20" i="3"/>
  <c r="J21" i="3" s="1"/>
  <c r="T20" i="3"/>
  <c r="T21" i="3" s="1"/>
  <c r="H20" i="3"/>
  <c r="H21" i="3" s="1"/>
  <c r="H5" i="3"/>
  <c r="M20" i="3"/>
  <c r="M21" i="3" s="1"/>
  <c r="U20" i="3"/>
  <c r="U21" i="3" s="1"/>
  <c r="O20" i="3"/>
  <c r="O21" i="3" s="1"/>
  <c r="I20" i="3"/>
  <c r="I21" i="3" s="1"/>
  <c r="C20" i="3"/>
  <c r="H6" i="3"/>
  <c r="B24" i="3"/>
  <c r="B32" i="3"/>
  <c r="G33" i="3"/>
  <c r="M33" i="3"/>
  <c r="S33" i="3"/>
  <c r="G22" i="3"/>
  <c r="M22" i="3"/>
  <c r="S22" i="3"/>
  <c r="H33" i="3"/>
  <c r="N33" i="3"/>
  <c r="T33" i="3"/>
  <c r="F22" i="3"/>
  <c r="R22" i="3"/>
  <c r="H22" i="3"/>
  <c r="N22" i="3"/>
  <c r="T22" i="3"/>
  <c r="C33" i="3"/>
  <c r="I33" i="3"/>
  <c r="O33" i="3"/>
  <c r="U33" i="3"/>
  <c r="L22" i="3"/>
  <c r="C22" i="3"/>
  <c r="I22" i="3"/>
  <c r="O22" i="3"/>
  <c r="U22" i="3"/>
  <c r="D33" i="3"/>
  <c r="J33" i="3"/>
  <c r="P33" i="3"/>
  <c r="V33" i="3"/>
  <c r="E33" i="3"/>
  <c r="K33" i="3"/>
  <c r="AA23" i="3" l="1"/>
  <c r="AA25" i="3" s="1"/>
  <c r="AA26" i="3" s="1"/>
  <c r="AK23" i="3"/>
  <c r="AK25" i="3" s="1"/>
  <c r="AK26" i="3" s="1"/>
  <c r="AE23" i="3"/>
  <c r="AE25" i="3" s="1"/>
  <c r="AE26" i="3" s="1"/>
  <c r="Z23" i="3"/>
  <c r="Z25" i="3" s="1"/>
  <c r="Z26" i="3" s="1"/>
  <c r="Q23" i="3"/>
  <c r="Q25" i="3" s="1"/>
  <c r="Q26" i="3" s="1"/>
  <c r="AH23" i="3"/>
  <c r="AH25" i="3" s="1"/>
  <c r="AH26" i="3" s="1"/>
  <c r="AH35" i="3"/>
  <c r="Z35" i="3"/>
  <c r="AG35" i="3"/>
  <c r="Y35" i="3"/>
  <c r="AF35" i="3"/>
  <c r="X35" i="3"/>
  <c r="AE35" i="3"/>
  <c r="W35" i="3"/>
  <c r="AD35" i="3"/>
  <c r="AK35" i="3"/>
  <c r="AC35" i="3"/>
  <c r="AJ35" i="3"/>
  <c r="AB35" i="3"/>
  <c r="AI35" i="3"/>
  <c r="AA35" i="3"/>
  <c r="K23" i="3"/>
  <c r="K25" i="3" s="1"/>
  <c r="K26" i="3" s="1"/>
  <c r="P23" i="3"/>
  <c r="P25" i="3" s="1"/>
  <c r="P26" i="3" s="1"/>
  <c r="V23" i="3"/>
  <c r="V25" i="3" s="1"/>
  <c r="V26" i="3" s="1"/>
  <c r="U23" i="3"/>
  <c r="U25" i="3" s="1"/>
  <c r="U26" i="3" s="1"/>
  <c r="E23" i="3"/>
  <c r="E25" i="3" s="1"/>
  <c r="E26" i="3" s="1"/>
  <c r="J23" i="3"/>
  <c r="J25" i="3" s="1"/>
  <c r="J26" i="3" s="1"/>
  <c r="D23" i="3"/>
  <c r="D25" i="3" s="1"/>
  <c r="D26" i="3" s="1"/>
  <c r="N23" i="3"/>
  <c r="N25" i="3" s="1"/>
  <c r="N26" i="3" s="1"/>
  <c r="B25" i="3"/>
  <c r="M23" i="3"/>
  <c r="M25" i="3" s="1"/>
  <c r="M26" i="3" s="1"/>
  <c r="G23" i="3"/>
  <c r="G25" i="3" s="1"/>
  <c r="G26" i="3" s="1"/>
  <c r="S23" i="3"/>
  <c r="S25" i="3" s="1"/>
  <c r="S26" i="3" s="1"/>
  <c r="R35" i="3"/>
  <c r="L35" i="3"/>
  <c r="F35" i="3"/>
  <c r="Q35" i="3"/>
  <c r="K35" i="3"/>
  <c r="E35" i="3"/>
  <c r="M35" i="3"/>
  <c r="G35" i="3"/>
  <c r="C21" i="3"/>
  <c r="C23" i="3" s="1"/>
  <c r="C25" i="3" s="1"/>
  <c r="C26" i="3" s="1"/>
  <c r="V35" i="3"/>
  <c r="P35" i="3"/>
  <c r="J35" i="3"/>
  <c r="D35" i="3"/>
  <c r="S35" i="3"/>
  <c r="U35" i="3"/>
  <c r="O35" i="3"/>
  <c r="I35" i="3"/>
  <c r="C35" i="3"/>
  <c r="T35" i="3"/>
  <c r="N35" i="3"/>
  <c r="H35" i="3"/>
  <c r="F23" i="3"/>
  <c r="F25" i="3" s="1"/>
  <c r="F26" i="3" s="1"/>
  <c r="B34" i="3"/>
  <c r="I23" i="3"/>
  <c r="I25" i="3" s="1"/>
  <c r="I26" i="3" s="1"/>
  <c r="T23" i="3"/>
  <c r="T25" i="3" s="1"/>
  <c r="T26" i="3" s="1"/>
  <c r="L23" i="3"/>
  <c r="L25" i="3" s="1"/>
  <c r="L26" i="3" s="1"/>
  <c r="H23" i="3"/>
  <c r="H25" i="3" s="1"/>
  <c r="H26" i="3" s="1"/>
  <c r="O23" i="3"/>
  <c r="O25" i="3" s="1"/>
  <c r="O26" i="3" s="1"/>
  <c r="R23" i="3"/>
  <c r="R25" i="3" s="1"/>
  <c r="R26" i="3" s="1"/>
  <c r="B36" i="3" l="1"/>
  <c r="B37" i="3" s="1"/>
  <c r="B28" i="3"/>
  <c r="B26" i="3"/>
  <c r="B27" i="3" s="1"/>
  <c r="B29" i="3"/>
</calcChain>
</file>

<file path=xl/sharedStrings.xml><?xml version="1.0" encoding="utf-8"?>
<sst xmlns="http://schemas.openxmlformats.org/spreadsheetml/2006/main" count="84" uniqueCount="73">
  <si>
    <t>Wind farm installed capacity</t>
  </si>
  <si>
    <t>MW</t>
  </si>
  <si>
    <t>Gross AEP</t>
  </si>
  <si>
    <t>MWh/y</t>
  </si>
  <si>
    <t>Loss efficiencies</t>
  </si>
  <si>
    <t>Nr of WTGs</t>
  </si>
  <si>
    <t>Losses</t>
  </si>
  <si>
    <t>%</t>
  </si>
  <si>
    <t>Wakes</t>
  </si>
  <si>
    <t>Lifetime</t>
  </si>
  <si>
    <t>years</t>
  </si>
  <si>
    <t>Uncertainty</t>
  </si>
  <si>
    <t>Turbine availability</t>
  </si>
  <si>
    <t>Opportunity cost of capital</t>
  </si>
  <si>
    <t>Net P50 AEP</t>
  </si>
  <si>
    <t>Electrical Losses</t>
  </si>
  <si>
    <t>remuneration rate</t>
  </si>
  <si>
    <t>EUR/MWh</t>
  </si>
  <si>
    <t>Net P75 AEP</t>
  </si>
  <si>
    <t>Turbine Performance</t>
  </si>
  <si>
    <t>Net P90 AEP</t>
  </si>
  <si>
    <t>Degradation not due to icing</t>
  </si>
  <si>
    <t>CAPEX</t>
  </si>
  <si>
    <t>Degradation due to icing</t>
  </si>
  <si>
    <t>WTG Capex per MW</t>
  </si>
  <si>
    <t>MEUR/MW</t>
  </si>
  <si>
    <t>Noise Curtailment</t>
  </si>
  <si>
    <t>Other Capex per MW</t>
  </si>
  <si>
    <t>Shadow Curtailment</t>
  </si>
  <si>
    <t>Total CAPEX</t>
  </si>
  <si>
    <t>Bat Curtailment</t>
  </si>
  <si>
    <t>MEUR</t>
  </si>
  <si>
    <t>Present value since payable upfront</t>
  </si>
  <si>
    <t>Total Efficiency</t>
  </si>
  <si>
    <t>OPEX</t>
  </si>
  <si>
    <t>Total Loss</t>
  </si>
  <si>
    <t>O&amp;M</t>
  </si>
  <si>
    <t>EUR/WTG/y</t>
  </si>
  <si>
    <t>Wind farm O&amp;M</t>
  </si>
  <si>
    <t>EUR/y</t>
  </si>
  <si>
    <t>Calculations</t>
  </si>
  <si>
    <t>Year</t>
  </si>
  <si>
    <t>AEP [MWh]</t>
  </si>
  <si>
    <t>AEP revenue [EUR]</t>
  </si>
  <si>
    <t>OPEX [EUR]</t>
  </si>
  <si>
    <t>Net Revenue before taxes [EUR]</t>
  </si>
  <si>
    <t>CAPEX [EUR]</t>
  </si>
  <si>
    <t>Cashflows [EUR]</t>
  </si>
  <si>
    <t>PV Cashflows [EUR]</t>
  </si>
  <si>
    <t>NPV [EUR]</t>
  </si>
  <si>
    <t>IRR</t>
  </si>
  <si>
    <t>LCOE calculation</t>
  </si>
  <si>
    <t>PV CAPEX</t>
  </si>
  <si>
    <t>discounted O&amp;M cashflows[EUR]</t>
  </si>
  <si>
    <t>PV OPEX</t>
  </si>
  <si>
    <t>discounted AEP [MWh]</t>
  </si>
  <si>
    <t>PV AEP [MWh]</t>
  </si>
  <si>
    <t>LCOE [EUR/MWh]</t>
  </si>
  <si>
    <t>Losses per turbine</t>
  </si>
  <si>
    <t>WTG1</t>
  </si>
  <si>
    <t>WTG2</t>
  </si>
  <si>
    <t>WTG3</t>
  </si>
  <si>
    <t>WTG4</t>
  </si>
  <si>
    <t>WTG5</t>
  </si>
  <si>
    <t>WTG6</t>
  </si>
  <si>
    <t>WTG7</t>
  </si>
  <si>
    <t>WTG8</t>
  </si>
  <si>
    <t>WTG9</t>
  </si>
  <si>
    <t>WTG10</t>
  </si>
  <si>
    <t>Sum</t>
  </si>
  <si>
    <t>Efficiency</t>
  </si>
  <si>
    <t>Bat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</si>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</sst>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_-* #,##0.0_-;\-* #,##0.0_-;_-* \-??_-;_-@_-"/>
    <numFmt numFmtId="166" formatCode="_-* #,##0.00\ _€_-;\-* #,##0.00\ _€_-;_-* \-??\ _€_-;_-@_-"/>
    <numFmt numFmtId="167" formatCode="_-* #,##0_-;\-* #,##0_-;_-* \-??_-;_-@_-"/>
    <numFmt numFmtId="168" formatCode="0.0"/>
    <numFmt numFmtId="169" formatCode="0.00\ %"/>
    <numFmt numFmtId="170" formatCode="0.0%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Border="0" applyProtection="0"/>
  </cellStyleXfs>
  <cellXfs count="23">
    <xf numFmtId="0" fontId="0" fillId="0" borderId="0" xfId="0"/>
    <xf numFmtId="0" fontId="0" fillId="2" borderId="0" xfId="0" applyFill="1" applyProtection="1">
      <protection locked="0"/>
    </xf>
    <xf numFmtId="165" fontId="0" fillId="2" borderId="0" xfId="1" applyNumberFormat="1" applyFont="1" applyFill="1" applyBorder="1" applyProtection="1">
      <protection locked="0"/>
    </xf>
    <xf numFmtId="166" fontId="1" fillId="0" borderId="0" xfId="0" applyNumberFormat="1" applyFont="1"/>
    <xf numFmtId="166" fontId="0" fillId="0" borderId="0" xfId="0" applyNumberFormat="1"/>
    <xf numFmtId="167" fontId="0" fillId="0" borderId="0" xfId="1" applyNumberFormat="1" applyFont="1" applyBorder="1" applyProtection="1"/>
    <xf numFmtId="0" fontId="1" fillId="0" borderId="0" xfId="0" applyFont="1"/>
    <xf numFmtId="168" fontId="0" fillId="0" borderId="0" xfId="0" applyNumberFormat="1"/>
    <xf numFmtId="167" fontId="0" fillId="2" borderId="0" xfId="1" applyNumberFormat="1" applyFont="1" applyFill="1" applyBorder="1" applyProtection="1">
      <protection locked="0"/>
    </xf>
    <xf numFmtId="0" fontId="0" fillId="3" borderId="0" xfId="0" applyFill="1"/>
    <xf numFmtId="0" fontId="2" fillId="0" borderId="0" xfId="0" applyFont="1"/>
    <xf numFmtId="167" fontId="2" fillId="0" borderId="0" xfId="0" applyNumberFormat="1" applyFont="1"/>
    <xf numFmtId="167" fontId="0" fillId="0" borderId="0" xfId="0" applyNumberFormat="1"/>
    <xf numFmtId="167" fontId="1" fillId="0" borderId="0" xfId="0" applyNumberFormat="1" applyFont="1"/>
    <xf numFmtId="169" fontId="1" fillId="0" borderId="0" xfId="0" applyNumberFormat="1" applyFont="1"/>
    <xf numFmtId="168" fontId="1" fillId="0" borderId="0" xfId="0" applyNumberFormat="1" applyFont="1"/>
    <xf numFmtId="0" fontId="0" fillId="0" borderId="0" xfId="0" applyAlignment="1">
      <alignment horizontal="right"/>
    </xf>
    <xf numFmtId="10" fontId="0" fillId="0" borderId="0" xfId="0" applyNumberFormat="1"/>
    <xf numFmtId="170" fontId="0" fillId="4" borderId="0" xfId="0" applyNumberFormat="1" applyFill="1" applyAlignment="1">
      <alignment horizontal="right"/>
    </xf>
    <xf numFmtId="2" fontId="0" fillId="0" borderId="0" xfId="0" applyNumberFormat="1"/>
    <xf numFmtId="0" fontId="0" fillId="0" borderId="0" xfId="0" applyProtection="1">
      <protection locked="0"/>
    </xf>
    <xf numFmtId="165" fontId="0" fillId="0" borderId="0" xfId="1" applyNumberFormat="1" applyFont="1" applyBorder="1" applyProtection="1"/>
    <xf numFmtId="2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AR42"/>
  <sheetViews>
    <sheetView tabSelected="1" zoomScaleNormal="100" workbookViewId="0">
      <selection activeCell="H14" sqref="H14"/>
    </sheetView>
  </sheetViews>
  <sheetFormatPr defaultColWidth="8.5546875" defaultRowHeight="14.4" x14ac:dyDescent="0.3"/>
  <cols>
    <col min="1" max="1" width="24.6640625" customWidth="1"/>
    <col min="2" max="2" width="16.33203125" customWidth="1"/>
    <col min="3" max="10" width="10.6640625" customWidth="1"/>
    <col min="11" max="11" width="27.109375" customWidth="1"/>
    <col min="12" max="14" width="10.6640625" customWidth="1"/>
    <col min="15" max="15" width="17.5546875" bestFit="1" customWidth="1"/>
    <col min="16" max="42" width="10.6640625" customWidth="1"/>
  </cols>
  <sheetData>
    <row r="1" spans="1:17" x14ac:dyDescent="0.3">
      <c r="A1" t="s">
        <v>0</v>
      </c>
      <c r="B1" s="1">
        <v>27</v>
      </c>
      <c r="C1" t="s">
        <v>1</v>
      </c>
      <c r="F1" t="s">
        <v>2</v>
      </c>
      <c r="H1" s="2">
        <v>103387.3</v>
      </c>
      <c r="I1" t="s">
        <v>3</v>
      </c>
      <c r="K1" s="3" t="s">
        <v>4</v>
      </c>
      <c r="O1" s="3" t="s">
        <v>58</v>
      </c>
      <c r="P1" s="16" t="s">
        <v>71</v>
      </c>
      <c r="Q1" s="16" t="s">
        <v>72</v>
      </c>
    </row>
    <row r="2" spans="1:17" x14ac:dyDescent="0.3">
      <c r="A2" t="s">
        <v>5</v>
      </c>
      <c r="B2" s="1">
        <v>6</v>
      </c>
      <c r="F2" t="s">
        <v>6</v>
      </c>
      <c r="H2" s="21">
        <f>L12</f>
        <v>84.196269449564937</v>
      </c>
      <c r="I2" t="s">
        <v>7</v>
      </c>
      <c r="K2" s="4" t="s">
        <v>8</v>
      </c>
      <c r="L2" s="1">
        <v>96.3</v>
      </c>
      <c r="O2" t="s">
        <v>59</v>
      </c>
      <c r="P2" s="18">
        <v>4.0000000000000001E-3</v>
      </c>
      <c r="Q2" s="18">
        <v>0</v>
      </c>
    </row>
    <row r="3" spans="1:17" x14ac:dyDescent="0.3">
      <c r="A3" t="s">
        <v>9</v>
      </c>
      <c r="B3" s="1">
        <v>35</v>
      </c>
      <c r="C3" t="s">
        <v>10</v>
      </c>
      <c r="F3" t="s">
        <v>11</v>
      </c>
      <c r="H3" s="20">
        <v>10</v>
      </c>
      <c r="I3" t="s">
        <v>7</v>
      </c>
      <c r="K3" s="4" t="s">
        <v>12</v>
      </c>
      <c r="L3">
        <v>97</v>
      </c>
      <c r="O3" t="s">
        <v>60</v>
      </c>
      <c r="P3" s="18">
        <v>0</v>
      </c>
      <c r="Q3" s="18">
        <v>0.35399999999999998</v>
      </c>
    </row>
    <row r="4" spans="1:17" x14ac:dyDescent="0.3">
      <c r="A4" t="s">
        <v>13</v>
      </c>
      <c r="B4" s="1">
        <v>11</v>
      </c>
      <c r="C4" t="s">
        <v>7</v>
      </c>
      <c r="F4" t="s">
        <v>14</v>
      </c>
      <c r="H4" s="5">
        <f>H1*(1-H2/100)</f>
        <v>16339.050315369945</v>
      </c>
      <c r="I4" t="s">
        <v>3</v>
      </c>
      <c r="K4" s="4" t="s">
        <v>15</v>
      </c>
      <c r="L4">
        <v>98</v>
      </c>
      <c r="O4" t="s">
        <v>61</v>
      </c>
      <c r="P4" s="18">
        <v>0</v>
      </c>
      <c r="Q4" s="18">
        <v>0.35299999999999998</v>
      </c>
    </row>
    <row r="5" spans="1:17" x14ac:dyDescent="0.3">
      <c r="A5" t="s">
        <v>16</v>
      </c>
      <c r="B5" s="1">
        <v>65</v>
      </c>
      <c r="C5" t="s">
        <v>17</v>
      </c>
      <c r="F5" t="s">
        <v>18</v>
      </c>
      <c r="H5" s="5">
        <f>H4-0.67*(H3/100*H4)</f>
        <v>15244.333944240158</v>
      </c>
      <c r="I5" t="s">
        <v>3</v>
      </c>
      <c r="K5" s="4" t="s">
        <v>19</v>
      </c>
      <c r="L5">
        <v>99</v>
      </c>
      <c r="O5" t="s">
        <v>62</v>
      </c>
      <c r="P5" s="18">
        <v>0</v>
      </c>
      <c r="Q5" s="18">
        <v>0.34799999999999998</v>
      </c>
    </row>
    <row r="6" spans="1:17" x14ac:dyDescent="0.3">
      <c r="F6" t="s">
        <v>20</v>
      </c>
      <c r="H6" s="5">
        <f>H4-1.28*(H3/100*H4)</f>
        <v>14247.651875002592</v>
      </c>
      <c r="I6" t="s">
        <v>3</v>
      </c>
      <c r="K6" s="4" t="s">
        <v>21</v>
      </c>
      <c r="L6">
        <v>99.5</v>
      </c>
      <c r="O6" t="s">
        <v>63</v>
      </c>
      <c r="P6" s="18">
        <v>5.0000000000000001E-3</v>
      </c>
      <c r="Q6" s="18">
        <v>0</v>
      </c>
    </row>
    <row r="7" spans="1:17" x14ac:dyDescent="0.3">
      <c r="A7" s="6" t="s">
        <v>22</v>
      </c>
      <c r="K7" s="4" t="s">
        <v>23</v>
      </c>
      <c r="L7">
        <v>99.5</v>
      </c>
      <c r="O7" t="s">
        <v>64</v>
      </c>
      <c r="P7" s="18">
        <v>0</v>
      </c>
      <c r="Q7" s="18">
        <v>0.35299999999999998</v>
      </c>
    </row>
    <row r="8" spans="1:17" x14ac:dyDescent="0.3">
      <c r="A8" t="s">
        <v>24</v>
      </c>
      <c r="B8" s="1">
        <v>1.05</v>
      </c>
      <c r="C8" t="s">
        <v>25</v>
      </c>
      <c r="K8" s="4" t="s">
        <v>26</v>
      </c>
      <c r="L8" s="22">
        <f>Q13</f>
        <v>17.631476192799994</v>
      </c>
      <c r="O8" t="s">
        <v>65</v>
      </c>
      <c r="P8" s="18">
        <v>0</v>
      </c>
      <c r="Q8" s="18">
        <v>0</v>
      </c>
    </row>
    <row r="9" spans="1:17" x14ac:dyDescent="0.3">
      <c r="A9" t="s">
        <v>27</v>
      </c>
      <c r="B9" s="1">
        <v>0.35</v>
      </c>
      <c r="C9" t="s">
        <v>25</v>
      </c>
      <c r="K9" s="4" t="s">
        <v>28</v>
      </c>
      <c r="L9" s="1">
        <v>100</v>
      </c>
      <c r="O9" t="s">
        <v>66</v>
      </c>
      <c r="P9" s="18">
        <v>0</v>
      </c>
      <c r="Q9" s="18">
        <v>0</v>
      </c>
    </row>
    <row r="10" spans="1:17" x14ac:dyDescent="0.3">
      <c r="A10" t="s">
        <v>29</v>
      </c>
      <c r="B10">
        <f>B8+B9</f>
        <v>1.4</v>
      </c>
      <c r="C10" t="s">
        <v>25</v>
      </c>
      <c r="K10" s="4" t="s">
        <v>30</v>
      </c>
      <c r="L10" s="22">
        <v>99.9</v>
      </c>
      <c r="O10" t="s">
        <v>67</v>
      </c>
      <c r="P10" s="18">
        <v>0</v>
      </c>
      <c r="Q10" s="18">
        <v>0</v>
      </c>
    </row>
    <row r="11" spans="1:17" x14ac:dyDescent="0.3">
      <c r="A11" t="s">
        <v>29</v>
      </c>
      <c r="B11">
        <f>B10*B1</f>
        <v>37.799999999999997</v>
      </c>
      <c r="C11" t="s">
        <v>31</v>
      </c>
      <c r="D11" t="s">
        <v>32</v>
      </c>
      <c r="K11" s="3" t="s">
        <v>33</v>
      </c>
      <c r="L11" s="7">
        <f>L2/100*L3/100*L4/100*L5/100*L6/100*L7/100*L8/100*L9/100*L10/100*100</f>
        <v>15.80373055043507</v>
      </c>
      <c r="M11" t="s">
        <v>7</v>
      </c>
      <c r="O11" t="s">
        <v>68</v>
      </c>
      <c r="P11" s="18">
        <v>0</v>
      </c>
      <c r="Q11" s="18">
        <v>0</v>
      </c>
    </row>
    <row r="12" spans="1:17" x14ac:dyDescent="0.3">
      <c r="A12" s="6" t="s">
        <v>34</v>
      </c>
      <c r="K12" s="3" t="s">
        <v>35</v>
      </c>
      <c r="L12" s="7">
        <f>100-L11</f>
        <v>84.196269449564937</v>
      </c>
      <c r="M12" t="s">
        <v>7</v>
      </c>
      <c r="O12" s="3" t="s">
        <v>69</v>
      </c>
      <c r="P12" s="17">
        <f>1-(1-P2)*(1-P3)*(1-P4)*(1-P5)*(1-P6)*(1-P7)*(1-P8)*(1-P9)*(1-P10)*(1-P11)</f>
        <v>8.979999999999988E-3</v>
      </c>
      <c r="Q12" s="17">
        <f>1-(1-Q2)*(1-Q3)*(1-Q4)*(1-Q5)*(1-Q6)*(1-Q7)*(1-Q8)*(1-Q9)*(1-Q10)*(1-Q11)</f>
        <v>0.823685238072</v>
      </c>
    </row>
    <row r="13" spans="1:17" x14ac:dyDescent="0.3">
      <c r="A13" t="s">
        <v>36</v>
      </c>
      <c r="B13" s="8">
        <v>80000</v>
      </c>
      <c r="C13" t="s">
        <v>37</v>
      </c>
      <c r="O13" s="3" t="s">
        <v>70</v>
      </c>
      <c r="P13" s="19">
        <f>100-P12*100</f>
        <v>99.102000000000004</v>
      </c>
      <c r="Q13" s="19">
        <f>100-Q12*100</f>
        <v>17.631476192799994</v>
      </c>
    </row>
    <row r="14" spans="1:17" x14ac:dyDescent="0.3">
      <c r="A14" t="s">
        <v>38</v>
      </c>
      <c r="B14" s="5">
        <f>B13*B2</f>
        <v>480000</v>
      </c>
      <c r="C14" t="s">
        <v>39</v>
      </c>
    </row>
    <row r="18" spans="1:44" x14ac:dyDescent="0.3">
      <c r="A18" s="6" t="s">
        <v>40</v>
      </c>
    </row>
    <row r="19" spans="1:44" x14ac:dyDescent="0.3">
      <c r="A19" s="9" t="s">
        <v>41</v>
      </c>
      <c r="B19" s="9">
        <v>0</v>
      </c>
      <c r="C19" s="9">
        <v>1</v>
      </c>
      <c r="D19" s="9">
        <v>2</v>
      </c>
      <c r="E19" s="9">
        <v>3</v>
      </c>
      <c r="F19" s="9">
        <v>4</v>
      </c>
      <c r="G19" s="9">
        <v>5</v>
      </c>
      <c r="H19" s="9">
        <v>6</v>
      </c>
      <c r="I19" s="9">
        <v>7</v>
      </c>
      <c r="J19" s="9">
        <v>8</v>
      </c>
      <c r="K19" s="9">
        <v>9</v>
      </c>
      <c r="L19" s="9">
        <v>10</v>
      </c>
      <c r="M19" s="9">
        <v>11</v>
      </c>
      <c r="N19" s="9">
        <v>12</v>
      </c>
      <c r="O19" s="9">
        <v>13</v>
      </c>
      <c r="P19" s="9">
        <v>14</v>
      </c>
      <c r="Q19" s="9">
        <v>15</v>
      </c>
      <c r="R19" s="9">
        <v>16</v>
      </c>
      <c r="S19" s="9">
        <v>17</v>
      </c>
      <c r="T19" s="9">
        <v>18</v>
      </c>
      <c r="U19" s="9">
        <v>19</v>
      </c>
      <c r="V19" s="9">
        <v>20</v>
      </c>
      <c r="W19" s="9">
        <v>21</v>
      </c>
      <c r="X19" s="9">
        <v>22</v>
      </c>
      <c r="Y19" s="9">
        <v>23</v>
      </c>
      <c r="Z19" s="9">
        <v>24</v>
      </c>
      <c r="AA19" s="9">
        <v>25</v>
      </c>
      <c r="AB19" s="9">
        <v>26</v>
      </c>
      <c r="AC19" s="9">
        <v>27</v>
      </c>
      <c r="AD19" s="9">
        <v>28</v>
      </c>
      <c r="AE19" s="9">
        <v>29</v>
      </c>
      <c r="AF19" s="9">
        <v>30</v>
      </c>
      <c r="AG19" s="9">
        <v>31</v>
      </c>
      <c r="AH19" s="9">
        <v>32</v>
      </c>
      <c r="AI19" s="9">
        <v>33</v>
      </c>
      <c r="AJ19" s="9">
        <v>34</v>
      </c>
      <c r="AK19" s="9">
        <v>35</v>
      </c>
      <c r="AL19" s="9">
        <v>36</v>
      </c>
      <c r="AM19" s="9">
        <v>37</v>
      </c>
      <c r="AN19" s="9">
        <v>38</v>
      </c>
      <c r="AO19" s="9">
        <v>39</v>
      </c>
      <c r="AP19" s="9">
        <v>40</v>
      </c>
    </row>
    <row r="20" spans="1:44" s="10" customFormat="1" x14ac:dyDescent="0.3">
      <c r="A20" s="10" t="s">
        <v>42</v>
      </c>
      <c r="C20" s="11">
        <f t="shared" ref="C20:AP20" si="0">IF(C$19&lt;=$B$3,$H$4,0)</f>
        <v>16339.050315369945</v>
      </c>
      <c r="D20" s="11">
        <f t="shared" si="0"/>
        <v>16339.050315369945</v>
      </c>
      <c r="E20" s="11">
        <f t="shared" si="0"/>
        <v>16339.050315369945</v>
      </c>
      <c r="F20" s="11">
        <f t="shared" si="0"/>
        <v>16339.050315369945</v>
      </c>
      <c r="G20" s="11">
        <f t="shared" si="0"/>
        <v>16339.050315369945</v>
      </c>
      <c r="H20" s="11">
        <f t="shared" si="0"/>
        <v>16339.050315369945</v>
      </c>
      <c r="I20" s="11">
        <f t="shared" si="0"/>
        <v>16339.050315369945</v>
      </c>
      <c r="J20" s="11">
        <f t="shared" si="0"/>
        <v>16339.050315369945</v>
      </c>
      <c r="K20" s="11">
        <f t="shared" si="0"/>
        <v>16339.050315369945</v>
      </c>
      <c r="L20" s="11">
        <f t="shared" si="0"/>
        <v>16339.050315369945</v>
      </c>
      <c r="M20" s="11">
        <f t="shared" si="0"/>
        <v>16339.050315369945</v>
      </c>
      <c r="N20" s="11">
        <f t="shared" si="0"/>
        <v>16339.050315369945</v>
      </c>
      <c r="O20" s="11">
        <f t="shared" si="0"/>
        <v>16339.050315369945</v>
      </c>
      <c r="P20" s="11">
        <f t="shared" si="0"/>
        <v>16339.050315369945</v>
      </c>
      <c r="Q20" s="11">
        <f t="shared" si="0"/>
        <v>16339.050315369945</v>
      </c>
      <c r="R20" s="11">
        <f t="shared" si="0"/>
        <v>16339.050315369945</v>
      </c>
      <c r="S20" s="11">
        <f t="shared" si="0"/>
        <v>16339.050315369945</v>
      </c>
      <c r="T20" s="11">
        <f t="shared" si="0"/>
        <v>16339.050315369945</v>
      </c>
      <c r="U20" s="11">
        <f t="shared" si="0"/>
        <v>16339.050315369945</v>
      </c>
      <c r="V20" s="11">
        <f t="shared" si="0"/>
        <v>16339.050315369945</v>
      </c>
      <c r="W20" s="11">
        <f t="shared" si="0"/>
        <v>16339.050315369945</v>
      </c>
      <c r="X20" s="11">
        <f t="shared" si="0"/>
        <v>16339.050315369945</v>
      </c>
      <c r="Y20" s="11">
        <f t="shared" si="0"/>
        <v>16339.050315369945</v>
      </c>
      <c r="Z20" s="11">
        <f t="shared" si="0"/>
        <v>16339.050315369945</v>
      </c>
      <c r="AA20" s="11">
        <f t="shared" si="0"/>
        <v>16339.050315369945</v>
      </c>
      <c r="AB20" s="11">
        <f t="shared" si="0"/>
        <v>16339.050315369945</v>
      </c>
      <c r="AC20" s="11">
        <f t="shared" si="0"/>
        <v>16339.050315369945</v>
      </c>
      <c r="AD20" s="11">
        <f t="shared" si="0"/>
        <v>16339.050315369945</v>
      </c>
      <c r="AE20" s="11">
        <f t="shared" si="0"/>
        <v>16339.050315369945</v>
      </c>
      <c r="AF20" s="11">
        <f t="shared" si="0"/>
        <v>16339.050315369945</v>
      </c>
      <c r="AG20" s="11">
        <f t="shared" si="0"/>
        <v>16339.050315369945</v>
      </c>
      <c r="AH20" s="11">
        <f t="shared" si="0"/>
        <v>16339.050315369945</v>
      </c>
      <c r="AI20" s="11">
        <f t="shared" si="0"/>
        <v>16339.050315369945</v>
      </c>
      <c r="AJ20" s="11">
        <f t="shared" si="0"/>
        <v>16339.050315369945</v>
      </c>
      <c r="AK20" s="11">
        <f t="shared" si="0"/>
        <v>16339.050315369945</v>
      </c>
      <c r="AL20" s="11">
        <f t="shared" si="0"/>
        <v>0</v>
      </c>
      <c r="AM20" s="11">
        <f t="shared" si="0"/>
        <v>0</v>
      </c>
      <c r="AN20" s="11">
        <f t="shared" si="0"/>
        <v>0</v>
      </c>
      <c r="AO20" s="11">
        <f t="shared" si="0"/>
        <v>0</v>
      </c>
      <c r="AP20" s="11">
        <f t="shared" si="0"/>
        <v>0</v>
      </c>
    </row>
    <row r="21" spans="1:44" x14ac:dyDescent="0.3">
      <c r="A21" t="s">
        <v>43</v>
      </c>
      <c r="C21" s="5">
        <f t="shared" ref="C21:AP21" si="1">IF(C$19&lt;=$B$3,C20*$B$5,0)</f>
        <v>1062038.2704990464</v>
      </c>
      <c r="D21" s="5">
        <f t="shared" si="1"/>
        <v>1062038.2704990464</v>
      </c>
      <c r="E21" s="5">
        <f t="shared" si="1"/>
        <v>1062038.2704990464</v>
      </c>
      <c r="F21" s="5">
        <f t="shared" si="1"/>
        <v>1062038.2704990464</v>
      </c>
      <c r="G21" s="5">
        <f t="shared" si="1"/>
        <v>1062038.2704990464</v>
      </c>
      <c r="H21" s="5">
        <f t="shared" si="1"/>
        <v>1062038.2704990464</v>
      </c>
      <c r="I21" s="5">
        <f t="shared" si="1"/>
        <v>1062038.2704990464</v>
      </c>
      <c r="J21" s="5">
        <f t="shared" si="1"/>
        <v>1062038.2704990464</v>
      </c>
      <c r="K21" s="5">
        <f t="shared" si="1"/>
        <v>1062038.2704990464</v>
      </c>
      <c r="L21" s="5">
        <f t="shared" si="1"/>
        <v>1062038.2704990464</v>
      </c>
      <c r="M21" s="5">
        <f t="shared" si="1"/>
        <v>1062038.2704990464</v>
      </c>
      <c r="N21" s="5">
        <f t="shared" si="1"/>
        <v>1062038.2704990464</v>
      </c>
      <c r="O21" s="5">
        <f t="shared" si="1"/>
        <v>1062038.2704990464</v>
      </c>
      <c r="P21" s="5">
        <f t="shared" si="1"/>
        <v>1062038.2704990464</v>
      </c>
      <c r="Q21" s="5">
        <f t="shared" si="1"/>
        <v>1062038.2704990464</v>
      </c>
      <c r="R21" s="5">
        <f t="shared" si="1"/>
        <v>1062038.2704990464</v>
      </c>
      <c r="S21" s="5">
        <f t="shared" si="1"/>
        <v>1062038.2704990464</v>
      </c>
      <c r="T21" s="5">
        <f t="shared" si="1"/>
        <v>1062038.2704990464</v>
      </c>
      <c r="U21" s="5">
        <f t="shared" si="1"/>
        <v>1062038.2704990464</v>
      </c>
      <c r="V21" s="5">
        <f t="shared" si="1"/>
        <v>1062038.2704990464</v>
      </c>
      <c r="W21" s="5">
        <f t="shared" si="1"/>
        <v>1062038.2704990464</v>
      </c>
      <c r="X21" s="5">
        <f t="shared" si="1"/>
        <v>1062038.2704990464</v>
      </c>
      <c r="Y21" s="5">
        <f t="shared" si="1"/>
        <v>1062038.2704990464</v>
      </c>
      <c r="Z21" s="5">
        <f t="shared" si="1"/>
        <v>1062038.2704990464</v>
      </c>
      <c r="AA21" s="5">
        <f t="shared" si="1"/>
        <v>1062038.2704990464</v>
      </c>
      <c r="AB21" s="5">
        <f t="shared" si="1"/>
        <v>1062038.2704990464</v>
      </c>
      <c r="AC21" s="5">
        <f t="shared" si="1"/>
        <v>1062038.2704990464</v>
      </c>
      <c r="AD21" s="5">
        <f t="shared" si="1"/>
        <v>1062038.2704990464</v>
      </c>
      <c r="AE21" s="5">
        <f t="shared" si="1"/>
        <v>1062038.2704990464</v>
      </c>
      <c r="AF21" s="5">
        <f t="shared" si="1"/>
        <v>1062038.2704990464</v>
      </c>
      <c r="AG21" s="5">
        <f t="shared" si="1"/>
        <v>1062038.2704990464</v>
      </c>
      <c r="AH21" s="5">
        <f t="shared" si="1"/>
        <v>1062038.2704990464</v>
      </c>
      <c r="AI21" s="5">
        <f t="shared" si="1"/>
        <v>1062038.2704990464</v>
      </c>
      <c r="AJ21" s="5">
        <f t="shared" si="1"/>
        <v>1062038.2704990464</v>
      </c>
      <c r="AK21" s="5">
        <f t="shared" si="1"/>
        <v>1062038.2704990464</v>
      </c>
      <c r="AL21" s="5">
        <f t="shared" si="1"/>
        <v>0</v>
      </c>
      <c r="AM21" s="5">
        <f t="shared" si="1"/>
        <v>0</v>
      </c>
      <c r="AN21" s="5">
        <f t="shared" si="1"/>
        <v>0</v>
      </c>
      <c r="AO21" s="5">
        <f t="shared" si="1"/>
        <v>0</v>
      </c>
      <c r="AP21" s="5">
        <f t="shared" si="1"/>
        <v>0</v>
      </c>
      <c r="AQ21" s="5"/>
      <c r="AR21" s="5"/>
    </row>
    <row r="22" spans="1:44" x14ac:dyDescent="0.3">
      <c r="A22" t="s">
        <v>44</v>
      </c>
      <c r="B22" s="5"/>
      <c r="C22" s="5">
        <f t="shared" ref="C22:AP22" si="2">IF(C$19&lt;=$B$3,-$B$14,0)</f>
        <v>-480000</v>
      </c>
      <c r="D22" s="5">
        <f t="shared" si="2"/>
        <v>-480000</v>
      </c>
      <c r="E22" s="5">
        <f t="shared" si="2"/>
        <v>-480000</v>
      </c>
      <c r="F22" s="5">
        <f t="shared" si="2"/>
        <v>-480000</v>
      </c>
      <c r="G22" s="5">
        <f t="shared" si="2"/>
        <v>-480000</v>
      </c>
      <c r="H22" s="5">
        <f t="shared" si="2"/>
        <v>-480000</v>
      </c>
      <c r="I22" s="5">
        <f t="shared" si="2"/>
        <v>-480000</v>
      </c>
      <c r="J22" s="5">
        <f t="shared" si="2"/>
        <v>-480000</v>
      </c>
      <c r="K22" s="5">
        <f t="shared" si="2"/>
        <v>-480000</v>
      </c>
      <c r="L22" s="5">
        <f t="shared" si="2"/>
        <v>-480000</v>
      </c>
      <c r="M22" s="5">
        <f t="shared" si="2"/>
        <v>-480000</v>
      </c>
      <c r="N22" s="5">
        <f t="shared" si="2"/>
        <v>-480000</v>
      </c>
      <c r="O22" s="5">
        <f t="shared" si="2"/>
        <v>-480000</v>
      </c>
      <c r="P22" s="5">
        <f t="shared" si="2"/>
        <v>-480000</v>
      </c>
      <c r="Q22" s="5">
        <f t="shared" si="2"/>
        <v>-480000</v>
      </c>
      <c r="R22" s="5">
        <f t="shared" si="2"/>
        <v>-480000</v>
      </c>
      <c r="S22" s="5">
        <f t="shared" si="2"/>
        <v>-480000</v>
      </c>
      <c r="T22" s="5">
        <f t="shared" si="2"/>
        <v>-480000</v>
      </c>
      <c r="U22" s="5">
        <f t="shared" si="2"/>
        <v>-480000</v>
      </c>
      <c r="V22" s="5">
        <f t="shared" si="2"/>
        <v>-480000</v>
      </c>
      <c r="W22" s="5">
        <f t="shared" si="2"/>
        <v>-480000</v>
      </c>
      <c r="X22" s="5">
        <f t="shared" si="2"/>
        <v>-480000</v>
      </c>
      <c r="Y22" s="5">
        <f t="shared" si="2"/>
        <v>-480000</v>
      </c>
      <c r="Z22" s="5">
        <f t="shared" si="2"/>
        <v>-480000</v>
      </c>
      <c r="AA22" s="5">
        <f t="shared" si="2"/>
        <v>-480000</v>
      </c>
      <c r="AB22" s="5">
        <f t="shared" si="2"/>
        <v>-480000</v>
      </c>
      <c r="AC22" s="5">
        <f t="shared" si="2"/>
        <v>-480000</v>
      </c>
      <c r="AD22" s="5">
        <f t="shared" si="2"/>
        <v>-480000</v>
      </c>
      <c r="AE22" s="5">
        <f t="shared" si="2"/>
        <v>-480000</v>
      </c>
      <c r="AF22" s="5">
        <f t="shared" si="2"/>
        <v>-480000</v>
      </c>
      <c r="AG22" s="5">
        <f t="shared" si="2"/>
        <v>-480000</v>
      </c>
      <c r="AH22" s="5">
        <f t="shared" si="2"/>
        <v>-480000</v>
      </c>
      <c r="AI22" s="5">
        <f t="shared" si="2"/>
        <v>-480000</v>
      </c>
      <c r="AJ22" s="5">
        <f t="shared" si="2"/>
        <v>-480000</v>
      </c>
      <c r="AK22" s="5">
        <f t="shared" si="2"/>
        <v>-480000</v>
      </c>
      <c r="AL22" s="5">
        <f t="shared" si="2"/>
        <v>0</v>
      </c>
      <c r="AM22" s="5">
        <f t="shared" si="2"/>
        <v>0</v>
      </c>
      <c r="AN22" s="5">
        <f t="shared" si="2"/>
        <v>0</v>
      </c>
      <c r="AO22" s="5">
        <f t="shared" si="2"/>
        <v>0</v>
      </c>
      <c r="AP22" s="5">
        <f t="shared" si="2"/>
        <v>0</v>
      </c>
    </row>
    <row r="23" spans="1:44" x14ac:dyDescent="0.3">
      <c r="A23" t="s">
        <v>45</v>
      </c>
      <c r="C23" s="12">
        <f t="shared" ref="C23:AP23" si="3">C21+C22</f>
        <v>582038.27049904643</v>
      </c>
      <c r="D23" s="12">
        <f t="shared" si="3"/>
        <v>582038.27049904643</v>
      </c>
      <c r="E23" s="12">
        <f t="shared" si="3"/>
        <v>582038.27049904643</v>
      </c>
      <c r="F23" s="12">
        <f t="shared" si="3"/>
        <v>582038.27049904643</v>
      </c>
      <c r="G23" s="12">
        <f t="shared" si="3"/>
        <v>582038.27049904643</v>
      </c>
      <c r="H23" s="12">
        <f t="shared" si="3"/>
        <v>582038.27049904643</v>
      </c>
      <c r="I23" s="12">
        <f t="shared" si="3"/>
        <v>582038.27049904643</v>
      </c>
      <c r="J23" s="12">
        <f t="shared" si="3"/>
        <v>582038.27049904643</v>
      </c>
      <c r="K23" s="12">
        <f t="shared" si="3"/>
        <v>582038.27049904643</v>
      </c>
      <c r="L23" s="12">
        <f t="shared" si="3"/>
        <v>582038.27049904643</v>
      </c>
      <c r="M23" s="12">
        <f t="shared" si="3"/>
        <v>582038.27049904643</v>
      </c>
      <c r="N23" s="12">
        <f t="shared" si="3"/>
        <v>582038.27049904643</v>
      </c>
      <c r="O23" s="12">
        <f t="shared" si="3"/>
        <v>582038.27049904643</v>
      </c>
      <c r="P23" s="12">
        <f t="shared" si="3"/>
        <v>582038.27049904643</v>
      </c>
      <c r="Q23" s="12">
        <f t="shared" si="3"/>
        <v>582038.27049904643</v>
      </c>
      <c r="R23" s="12">
        <f t="shared" si="3"/>
        <v>582038.27049904643</v>
      </c>
      <c r="S23" s="12">
        <f t="shared" si="3"/>
        <v>582038.27049904643</v>
      </c>
      <c r="T23" s="12">
        <f t="shared" si="3"/>
        <v>582038.27049904643</v>
      </c>
      <c r="U23" s="12">
        <f t="shared" si="3"/>
        <v>582038.27049904643</v>
      </c>
      <c r="V23" s="12">
        <f t="shared" si="3"/>
        <v>582038.27049904643</v>
      </c>
      <c r="W23" s="12">
        <f t="shared" si="3"/>
        <v>582038.27049904643</v>
      </c>
      <c r="X23" s="12">
        <f t="shared" si="3"/>
        <v>582038.27049904643</v>
      </c>
      <c r="Y23" s="12">
        <f t="shared" si="3"/>
        <v>582038.27049904643</v>
      </c>
      <c r="Z23" s="12">
        <f t="shared" si="3"/>
        <v>582038.27049904643</v>
      </c>
      <c r="AA23" s="12">
        <f t="shared" si="3"/>
        <v>582038.27049904643</v>
      </c>
      <c r="AB23" s="12">
        <f t="shared" si="3"/>
        <v>582038.27049904643</v>
      </c>
      <c r="AC23" s="12">
        <f t="shared" si="3"/>
        <v>582038.27049904643</v>
      </c>
      <c r="AD23" s="12">
        <f t="shared" si="3"/>
        <v>582038.27049904643</v>
      </c>
      <c r="AE23" s="12">
        <f t="shared" si="3"/>
        <v>582038.27049904643</v>
      </c>
      <c r="AF23" s="12">
        <f t="shared" si="3"/>
        <v>582038.27049904643</v>
      </c>
      <c r="AG23" s="12">
        <f t="shared" si="3"/>
        <v>582038.27049904643</v>
      </c>
      <c r="AH23" s="12">
        <f t="shared" si="3"/>
        <v>582038.27049904643</v>
      </c>
      <c r="AI23" s="12">
        <f t="shared" si="3"/>
        <v>582038.27049904643</v>
      </c>
      <c r="AJ23" s="12">
        <f t="shared" si="3"/>
        <v>582038.27049904643</v>
      </c>
      <c r="AK23" s="12">
        <f t="shared" si="3"/>
        <v>582038.27049904643</v>
      </c>
      <c r="AL23" s="12">
        <f t="shared" si="3"/>
        <v>0</v>
      </c>
      <c r="AM23" s="12">
        <f t="shared" si="3"/>
        <v>0</v>
      </c>
      <c r="AN23" s="12">
        <f t="shared" si="3"/>
        <v>0</v>
      </c>
      <c r="AO23" s="12">
        <f t="shared" si="3"/>
        <v>0</v>
      </c>
      <c r="AP23" s="12">
        <f t="shared" si="3"/>
        <v>0</v>
      </c>
    </row>
    <row r="24" spans="1:44" x14ac:dyDescent="0.3">
      <c r="A24" t="s">
        <v>46</v>
      </c>
      <c r="B24" s="5">
        <f>-$B$11*10^6</f>
        <v>-37800000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4" s="6" customFormat="1" x14ac:dyDescent="0.3">
      <c r="A25" s="6" t="s">
        <v>47</v>
      </c>
      <c r="B25" s="13">
        <f t="shared" ref="B25:AP25" si="4">B24+B23</f>
        <v>-37800000</v>
      </c>
      <c r="C25" s="13">
        <f t="shared" si="4"/>
        <v>582038.27049904643</v>
      </c>
      <c r="D25" s="13">
        <f t="shared" si="4"/>
        <v>582038.27049904643</v>
      </c>
      <c r="E25" s="13">
        <f t="shared" si="4"/>
        <v>582038.27049904643</v>
      </c>
      <c r="F25" s="13">
        <f t="shared" si="4"/>
        <v>582038.27049904643</v>
      </c>
      <c r="G25" s="13">
        <f t="shared" si="4"/>
        <v>582038.27049904643</v>
      </c>
      <c r="H25" s="13">
        <f t="shared" si="4"/>
        <v>582038.27049904643</v>
      </c>
      <c r="I25" s="13">
        <f t="shared" si="4"/>
        <v>582038.27049904643</v>
      </c>
      <c r="J25" s="13">
        <f t="shared" si="4"/>
        <v>582038.27049904643</v>
      </c>
      <c r="K25" s="13">
        <f t="shared" si="4"/>
        <v>582038.27049904643</v>
      </c>
      <c r="L25" s="13">
        <f t="shared" si="4"/>
        <v>582038.27049904643</v>
      </c>
      <c r="M25" s="13">
        <f t="shared" si="4"/>
        <v>582038.27049904643</v>
      </c>
      <c r="N25" s="13">
        <f t="shared" si="4"/>
        <v>582038.27049904643</v>
      </c>
      <c r="O25" s="13">
        <f t="shared" si="4"/>
        <v>582038.27049904643</v>
      </c>
      <c r="P25" s="13">
        <f t="shared" si="4"/>
        <v>582038.27049904643</v>
      </c>
      <c r="Q25" s="13">
        <f t="shared" si="4"/>
        <v>582038.27049904643</v>
      </c>
      <c r="R25" s="13">
        <f t="shared" si="4"/>
        <v>582038.27049904643</v>
      </c>
      <c r="S25" s="13">
        <f t="shared" si="4"/>
        <v>582038.27049904643</v>
      </c>
      <c r="T25" s="13">
        <f t="shared" si="4"/>
        <v>582038.27049904643</v>
      </c>
      <c r="U25" s="13">
        <f t="shared" si="4"/>
        <v>582038.27049904643</v>
      </c>
      <c r="V25" s="13">
        <f t="shared" si="4"/>
        <v>582038.27049904643</v>
      </c>
      <c r="W25" s="13">
        <f t="shared" si="4"/>
        <v>582038.27049904643</v>
      </c>
      <c r="X25" s="13">
        <f t="shared" si="4"/>
        <v>582038.27049904643</v>
      </c>
      <c r="Y25" s="13">
        <f t="shared" si="4"/>
        <v>582038.27049904643</v>
      </c>
      <c r="Z25" s="13">
        <f t="shared" si="4"/>
        <v>582038.27049904643</v>
      </c>
      <c r="AA25" s="13">
        <f t="shared" si="4"/>
        <v>582038.27049904643</v>
      </c>
      <c r="AB25" s="13">
        <f t="shared" si="4"/>
        <v>582038.27049904643</v>
      </c>
      <c r="AC25" s="13">
        <f t="shared" si="4"/>
        <v>582038.27049904643</v>
      </c>
      <c r="AD25" s="13">
        <f t="shared" si="4"/>
        <v>582038.27049904643</v>
      </c>
      <c r="AE25" s="13">
        <f t="shared" si="4"/>
        <v>582038.27049904643</v>
      </c>
      <c r="AF25" s="13">
        <f t="shared" si="4"/>
        <v>582038.27049904643</v>
      </c>
      <c r="AG25" s="13">
        <f t="shared" si="4"/>
        <v>582038.27049904643</v>
      </c>
      <c r="AH25" s="13">
        <f t="shared" si="4"/>
        <v>582038.27049904643</v>
      </c>
      <c r="AI25" s="13">
        <f t="shared" si="4"/>
        <v>582038.27049904643</v>
      </c>
      <c r="AJ25" s="13">
        <f t="shared" si="4"/>
        <v>582038.27049904643</v>
      </c>
      <c r="AK25" s="13">
        <f t="shared" si="4"/>
        <v>582038.27049904643</v>
      </c>
      <c r="AL25" s="13">
        <f t="shared" si="4"/>
        <v>0</v>
      </c>
      <c r="AM25" s="13">
        <f t="shared" si="4"/>
        <v>0</v>
      </c>
      <c r="AN25" s="13">
        <f t="shared" si="4"/>
        <v>0</v>
      </c>
      <c r="AO25" s="13">
        <f t="shared" si="4"/>
        <v>0</v>
      </c>
      <c r="AP25" s="13">
        <f t="shared" si="4"/>
        <v>0</v>
      </c>
    </row>
    <row r="26" spans="1:44" x14ac:dyDescent="0.3">
      <c r="A26" t="s">
        <v>48</v>
      </c>
      <c r="B26" s="5">
        <f>B25</f>
        <v>-37800000</v>
      </c>
      <c r="C26" s="5">
        <f t="shared" ref="C26:AP26" si="5">C25/(1+$B$4/100)^(C$19)</f>
        <v>524358.80225139309</v>
      </c>
      <c r="D26" s="5">
        <f t="shared" si="5"/>
        <v>472395.31734359736</v>
      </c>
      <c r="E26" s="5">
        <f t="shared" si="5"/>
        <v>425581.36697621382</v>
      </c>
      <c r="F26" s="5">
        <f t="shared" si="5"/>
        <v>383406.63691550796</v>
      </c>
      <c r="G26" s="5">
        <f t="shared" si="5"/>
        <v>345411.38460856571</v>
      </c>
      <c r="H26" s="5">
        <f t="shared" si="5"/>
        <v>311181.42757528438</v>
      </c>
      <c r="I26" s="5">
        <f t="shared" si="5"/>
        <v>280343.62844620214</v>
      </c>
      <c r="J26" s="5">
        <f t="shared" si="5"/>
        <v>252561.82742901088</v>
      </c>
      <c r="K26" s="5">
        <f t="shared" si="5"/>
        <v>227533.17786397375</v>
      </c>
      <c r="L26" s="5">
        <f t="shared" si="5"/>
        <v>204984.84492249886</v>
      </c>
      <c r="M26" s="5">
        <f t="shared" si="5"/>
        <v>184671.03146171066</v>
      </c>
      <c r="N26" s="5">
        <f t="shared" si="5"/>
        <v>166370.29861415375</v>
      </c>
      <c r="O26" s="5">
        <f t="shared" si="5"/>
        <v>149883.15190464302</v>
      </c>
      <c r="P26" s="5">
        <f t="shared" si="5"/>
        <v>135029.86658075947</v>
      </c>
      <c r="Q26" s="5">
        <f t="shared" si="5"/>
        <v>121648.52845113465</v>
      </c>
      <c r="R26" s="5">
        <f t="shared" si="5"/>
        <v>109593.26887489606</v>
      </c>
      <c r="S26" s="5">
        <f t="shared" si="5"/>
        <v>98732.674662068515</v>
      </c>
      <c r="T26" s="5">
        <f t="shared" si="5"/>
        <v>88948.355551413071</v>
      </c>
      <c r="U26" s="5">
        <f t="shared" si="5"/>
        <v>80133.653649921689</v>
      </c>
      <c r="V26" s="5">
        <f t="shared" si="5"/>
        <v>72192.480765695203</v>
      </c>
      <c r="W26" s="5">
        <f t="shared" si="5"/>
        <v>65038.270960085763</v>
      </c>
      <c r="X26" s="5">
        <f t="shared" si="5"/>
        <v>58593.036900978164</v>
      </c>
      <c r="Y26" s="5">
        <f t="shared" si="5"/>
        <v>52786.519730610962</v>
      </c>
      <c r="Z26" s="5">
        <f t="shared" si="5"/>
        <v>47555.423180730584</v>
      </c>
      <c r="AA26" s="5">
        <f t="shared" si="5"/>
        <v>42842.723586243759</v>
      </c>
      <c r="AB26" s="5">
        <f t="shared" si="5"/>
        <v>38597.048275895278</v>
      </c>
      <c r="AC26" s="5">
        <f t="shared" si="5"/>
        <v>34772.115563869622</v>
      </c>
      <c r="AD26" s="5">
        <f t="shared" si="5"/>
        <v>31326.230237720374</v>
      </c>
      <c r="AE26" s="5">
        <f t="shared" si="5"/>
        <v>28221.829042991329</v>
      </c>
      <c r="AF26" s="5">
        <f t="shared" si="5"/>
        <v>25425.071209902097</v>
      </c>
      <c r="AG26" s="5">
        <f t="shared" si="5"/>
        <v>22905.469558470359</v>
      </c>
      <c r="AH26" s="5">
        <f t="shared" si="5"/>
        <v>20635.558160784101</v>
      </c>
      <c r="AI26" s="5">
        <f t="shared" si="5"/>
        <v>18590.592937643334</v>
      </c>
      <c r="AJ26" s="5">
        <f t="shared" si="5"/>
        <v>16748.281925804804</v>
      </c>
      <c r="AK26" s="5">
        <f t="shared" si="5"/>
        <v>15088.542275499822</v>
      </c>
      <c r="AL26" s="5">
        <f t="shared" si="5"/>
        <v>0</v>
      </c>
      <c r="AM26" s="5">
        <f t="shared" si="5"/>
        <v>0</v>
      </c>
      <c r="AN26" s="5">
        <f t="shared" si="5"/>
        <v>0</v>
      </c>
      <c r="AO26" s="5">
        <f t="shared" si="5"/>
        <v>0</v>
      </c>
      <c r="AP26" s="5">
        <f t="shared" si="5"/>
        <v>0</v>
      </c>
    </row>
    <row r="27" spans="1:44" x14ac:dyDescent="0.3">
      <c r="A27" t="s">
        <v>49</v>
      </c>
      <c r="B27" s="12">
        <f>SUM(B26:AP26)</f>
        <v>-32645911.561604131</v>
      </c>
    </row>
    <row r="28" spans="1:44" x14ac:dyDescent="0.3">
      <c r="A28" s="6" t="s">
        <v>49</v>
      </c>
      <c r="B28" s="13">
        <f>NPV($B$4/100,C23:AP23)+B24</f>
        <v>-32645911.561604127</v>
      </c>
    </row>
    <row r="29" spans="1:44" x14ac:dyDescent="0.3">
      <c r="A29" s="6" t="s">
        <v>50</v>
      </c>
      <c r="B29" s="14">
        <f>IRR(B25:AP25)</f>
        <v>-3.1058457899606262E-2</v>
      </c>
    </row>
    <row r="31" spans="1:44" x14ac:dyDescent="0.3">
      <c r="A31" s="6" t="s">
        <v>51</v>
      </c>
    </row>
    <row r="32" spans="1:44" x14ac:dyDescent="0.3">
      <c r="A32" s="6" t="s">
        <v>52</v>
      </c>
      <c r="B32" s="13">
        <f>B11*10^6</f>
        <v>37800000</v>
      </c>
    </row>
    <row r="33" spans="1:42" x14ac:dyDescent="0.3">
      <c r="A33" t="s">
        <v>53</v>
      </c>
      <c r="C33" s="5">
        <f t="shared" ref="C33:AP33" si="6">IF(C$19&lt;=$B$3,$B$14/(1+$B$4/100)^(C$19-1),0)</f>
        <v>480000</v>
      </c>
      <c r="D33" s="5">
        <f t="shared" si="6"/>
        <v>432432.43243243237</v>
      </c>
      <c r="E33" s="5">
        <f t="shared" si="6"/>
        <v>389578.76795714628</v>
      </c>
      <c r="F33" s="5">
        <f t="shared" si="6"/>
        <v>350971.86302445608</v>
      </c>
      <c r="G33" s="5">
        <f t="shared" si="6"/>
        <v>316190.86758960003</v>
      </c>
      <c r="H33" s="5">
        <f t="shared" si="6"/>
        <v>284856.63746810815</v>
      </c>
      <c r="I33" s="5">
        <f t="shared" si="6"/>
        <v>256627.60132261994</v>
      </c>
      <c r="J33" s="5">
        <f t="shared" si="6"/>
        <v>231196.03722758553</v>
      </c>
      <c r="K33" s="5">
        <f t="shared" si="6"/>
        <v>208284.71822304997</v>
      </c>
      <c r="L33" s="5">
        <f t="shared" si="6"/>
        <v>187643.89029103599</v>
      </c>
      <c r="M33" s="5">
        <f t="shared" si="6"/>
        <v>169048.54981174413</v>
      </c>
      <c r="N33" s="5">
        <f t="shared" si="6"/>
        <v>152295.99082139108</v>
      </c>
      <c r="O33" s="5">
        <f t="shared" si="6"/>
        <v>137203.59533458657</v>
      </c>
      <c r="P33" s="5">
        <f t="shared" si="6"/>
        <v>123606.84264377167</v>
      </c>
      <c r="Q33" s="5">
        <f t="shared" si="6"/>
        <v>111357.51589528979</v>
      </c>
      <c r="R33" s="5">
        <f t="shared" si="6"/>
        <v>100322.08639215297</v>
      </c>
      <c r="S33" s="5">
        <f t="shared" si="6"/>
        <v>90380.258010948601</v>
      </c>
      <c r="T33" s="5">
        <f t="shared" si="6"/>
        <v>81423.655865719455</v>
      </c>
      <c r="U33" s="5">
        <f t="shared" si="6"/>
        <v>73354.644924071574</v>
      </c>
      <c r="V33" s="5">
        <f t="shared" si="6"/>
        <v>66085.265697361785</v>
      </c>
      <c r="W33" s="5">
        <f t="shared" si="6"/>
        <v>59536.275403028623</v>
      </c>
      <c r="X33" s="5">
        <f t="shared" si="6"/>
        <v>53636.284146872626</v>
      </c>
      <c r="Y33" s="5">
        <f t="shared" si="6"/>
        <v>48320.976708894261</v>
      </c>
      <c r="Z33" s="5">
        <f t="shared" si="6"/>
        <v>43532.411449454288</v>
      </c>
      <c r="AA33" s="5">
        <f t="shared" si="6"/>
        <v>39218.388693202054</v>
      </c>
      <c r="AB33" s="5">
        <f t="shared" si="6"/>
        <v>35331.881705587431</v>
      </c>
      <c r="AC33" s="5">
        <f t="shared" si="6"/>
        <v>31830.524059087773</v>
      </c>
      <c r="AD33" s="5">
        <f t="shared" si="6"/>
        <v>28676.147800979976</v>
      </c>
      <c r="AE33" s="5">
        <f t="shared" si="6"/>
        <v>25834.367388270242</v>
      </c>
      <c r="AF33" s="5">
        <f t="shared" si="6"/>
        <v>23274.204854297517</v>
      </c>
      <c r="AG33" s="5">
        <f t="shared" si="6"/>
        <v>20967.752120988753</v>
      </c>
      <c r="AH33" s="5">
        <f t="shared" si="6"/>
        <v>18889.866775665545</v>
      </c>
      <c r="AI33" s="5">
        <f t="shared" si="6"/>
        <v>17017.897996095082</v>
      </c>
      <c r="AJ33" s="5">
        <f t="shared" si="6"/>
        <v>15331.439636121695</v>
      </c>
      <c r="AK33" s="5">
        <f t="shared" si="6"/>
        <v>13812.107780289814</v>
      </c>
      <c r="AL33" s="5">
        <f t="shared" si="6"/>
        <v>0</v>
      </c>
      <c r="AM33" s="5">
        <f t="shared" si="6"/>
        <v>0</v>
      </c>
      <c r="AN33" s="5">
        <f t="shared" si="6"/>
        <v>0</v>
      </c>
      <c r="AO33" s="5">
        <f t="shared" si="6"/>
        <v>0</v>
      </c>
      <c r="AP33" s="5">
        <f t="shared" si="6"/>
        <v>0</v>
      </c>
    </row>
    <row r="34" spans="1:42" x14ac:dyDescent="0.3">
      <c r="A34" s="6" t="s">
        <v>54</v>
      </c>
      <c r="B34" s="13">
        <f>SUM(C33:AP33)</f>
        <v>4718071.747451908</v>
      </c>
    </row>
    <row r="35" spans="1:42" x14ac:dyDescent="0.3">
      <c r="A35" t="s">
        <v>55</v>
      </c>
      <c r="C35" s="5">
        <f t="shared" ref="C35:AP35" si="7">IF(C$19&lt;=$B$3,$C$20/(1+$B$4/100)^(C$19-1),0)</f>
        <v>16339.050315369945</v>
      </c>
      <c r="D35" s="5">
        <f t="shared" si="7"/>
        <v>14719.865148981931</v>
      </c>
      <c r="E35" s="5">
        <f t="shared" si="7"/>
        <v>13261.139773857594</v>
      </c>
      <c r="F35" s="5">
        <f t="shared" si="7"/>
        <v>11946.972769241076</v>
      </c>
      <c r="G35" s="5">
        <f t="shared" si="7"/>
        <v>10763.038530847814</v>
      </c>
      <c r="H35" s="5">
        <f t="shared" si="7"/>
        <v>9696.4311088719041</v>
      </c>
      <c r="I35" s="5">
        <f t="shared" si="7"/>
        <v>8735.5235215062203</v>
      </c>
      <c r="J35" s="5">
        <f t="shared" si="7"/>
        <v>7869.8410103659644</v>
      </c>
      <c r="K35" s="5">
        <f t="shared" si="7"/>
        <v>7089.946856185552</v>
      </c>
      <c r="L35" s="5">
        <f t="shared" si="7"/>
        <v>6387.3395100770731</v>
      </c>
      <c r="M35" s="5">
        <f t="shared" si="7"/>
        <v>5754.3599189883535</v>
      </c>
      <c r="N35" s="5">
        <f t="shared" si="7"/>
        <v>5184.1080351246428</v>
      </c>
      <c r="O35" s="5">
        <f t="shared" si="7"/>
        <v>4670.3675992113895</v>
      </c>
      <c r="P35" s="5">
        <f t="shared" si="7"/>
        <v>4207.5383776679182</v>
      </c>
      <c r="Q35" s="5">
        <f t="shared" si="7"/>
        <v>3790.5751150161423</v>
      </c>
      <c r="R35" s="5">
        <f t="shared" si="7"/>
        <v>3414.9325360505791</v>
      </c>
      <c r="S35" s="5">
        <f t="shared" si="7"/>
        <v>3076.515798243764</v>
      </c>
      <c r="T35" s="5">
        <f t="shared" si="7"/>
        <v>2771.6358542736612</v>
      </c>
      <c r="U35" s="5">
        <f t="shared" si="7"/>
        <v>2496.9692380843794</v>
      </c>
      <c r="V35" s="5">
        <f t="shared" si="7"/>
        <v>2249.5218361120533</v>
      </c>
      <c r="W35" s="5">
        <f t="shared" si="7"/>
        <v>2026.5962487495974</v>
      </c>
      <c r="X35" s="5">
        <f t="shared" si="7"/>
        <v>1825.7623862608982</v>
      </c>
      <c r="Y35" s="5">
        <f t="shared" si="7"/>
        <v>1644.8309786134218</v>
      </c>
      <c r="Z35" s="5">
        <f t="shared" si="7"/>
        <v>1481.8297104625424</v>
      </c>
      <c r="AA35" s="5">
        <f t="shared" si="7"/>
        <v>1334.981721137425</v>
      </c>
      <c r="AB35" s="5">
        <f t="shared" si="7"/>
        <v>1202.6862352589415</v>
      </c>
      <c r="AC35" s="5">
        <f t="shared" si="7"/>
        <v>1083.501112845893</v>
      </c>
      <c r="AD35" s="5">
        <f t="shared" si="7"/>
        <v>976.1271286899937</v>
      </c>
      <c r="AE35" s="5">
        <f t="shared" si="7"/>
        <v>879.3938096306249</v>
      </c>
      <c r="AF35" s="5">
        <f t="shared" si="7"/>
        <v>792.24667534290529</v>
      </c>
      <c r="AG35" s="5">
        <f t="shared" si="7"/>
        <v>713.73574355216692</v>
      </c>
      <c r="AH35" s="5">
        <f t="shared" si="7"/>
        <v>643.00517437132157</v>
      </c>
      <c r="AI35" s="5">
        <f t="shared" si="7"/>
        <v>579.28394087506433</v>
      </c>
      <c r="AJ35" s="5">
        <f t="shared" si="7"/>
        <v>521.87742421176961</v>
      </c>
      <c r="AK35" s="5">
        <f t="shared" si="7"/>
        <v>470.15984163222487</v>
      </c>
      <c r="AL35" s="5">
        <f t="shared" si="7"/>
        <v>0</v>
      </c>
      <c r="AM35" s="5">
        <f t="shared" si="7"/>
        <v>0</v>
      </c>
      <c r="AN35" s="5">
        <f t="shared" si="7"/>
        <v>0</v>
      </c>
      <c r="AO35" s="5">
        <f t="shared" si="7"/>
        <v>0</v>
      </c>
      <c r="AP35" s="5">
        <f t="shared" si="7"/>
        <v>0</v>
      </c>
    </row>
    <row r="36" spans="1:42" x14ac:dyDescent="0.3">
      <c r="A36" s="6" t="s">
        <v>56</v>
      </c>
      <c r="B36" s="13">
        <f>SUM(C35:AP35)</f>
        <v>160601.69098571275</v>
      </c>
    </row>
    <row r="37" spans="1:42" x14ac:dyDescent="0.3">
      <c r="A37" s="6" t="s">
        <v>57</v>
      </c>
      <c r="B37" s="15">
        <f>(B32+B34)/B36</f>
        <v>264.74236657467293</v>
      </c>
    </row>
    <row r="42" spans="1:42" x14ac:dyDescent="0.3">
      <c r="B42" s="12"/>
    </row>
  </sheetData>
  <phoneticPr fontId="4" type="noConversion"/>
  <pageMargins left="0.7" right="0.7" top="0.75" bottom="0.75" header="0.3" footer="0.51180555555555496"/>
  <pageSetup paperSize="9" orientation="portrait" horizontalDpi="300" verticalDpi="300"/>
  <headerFooter>
    <oddHeader>&amp;C&amp;"Verdana,Standard"&amp;10 Classification: Internal Purpose&amp;1#_x005F_x000D_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V162_6.2 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Winterfeldt, Joerg</dc:creator>
  <dc:description/>
  <cp:lastModifiedBy>Rahul Patil</cp:lastModifiedBy>
  <cp:revision>5</cp:revision>
  <dcterms:created xsi:type="dcterms:W3CDTF">2022-11-05T14:13:29Z</dcterms:created>
  <dcterms:modified xsi:type="dcterms:W3CDTF">2025-02-03T16:40:21Z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c7c4d0-7f4d-470f-a7e6-7da20d81509c_ActionId">
    <vt:lpwstr>aabf1bd5-efa3-4a79-ab4d-95fbaa18396d</vt:lpwstr>
  </property>
  <property fmtid="{D5CDD505-2E9C-101B-9397-08002B2CF9AE}" pid="3" name="MSIP_Label_97c7c4d0-7f4d-470f-a7e6-7da20d81509c_ContentBits">
    <vt:lpwstr>1</vt:lpwstr>
  </property>
  <property fmtid="{D5CDD505-2E9C-101B-9397-08002B2CF9AE}" pid="4" name="MSIP_Label_97c7c4d0-7f4d-470f-a7e6-7da20d81509c_Enabled">
    <vt:lpwstr>true</vt:lpwstr>
  </property>
  <property fmtid="{D5CDD505-2E9C-101B-9397-08002B2CF9AE}" pid="5" name="MSIP_Label_97c7c4d0-7f4d-470f-a7e6-7da20d81509c_Method">
    <vt:lpwstr>Standard</vt:lpwstr>
  </property>
  <property fmtid="{D5CDD505-2E9C-101B-9397-08002B2CF9AE}" pid="6" name="MSIP_Label_97c7c4d0-7f4d-470f-a7e6-7da20d81509c_Name">
    <vt:lpwstr>97c7c4d0-7f4d-470f-a7e6-7da20d81509c</vt:lpwstr>
  </property>
  <property fmtid="{D5CDD505-2E9C-101B-9397-08002B2CF9AE}" pid="7" name="MSIP_Label_97c7c4d0-7f4d-470f-a7e6-7da20d81509c_SetDate">
    <vt:lpwstr>2022-11-05T14:23:26Z</vt:lpwstr>
  </property>
  <property fmtid="{D5CDD505-2E9C-101B-9397-08002B2CF9AE}" pid="8" name="MSIP_Label_97c7c4d0-7f4d-470f-a7e6-7da20d81509c_SiteId">
    <vt:lpwstr>040d9c77-e8cc-4af3-9c44-1d24173c45b3</vt:lpwstr>
  </property>
</Properties>
</file>