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5600" windowHeight="16040" tabRatio="500"/>
  </bookViews>
  <sheets>
    <sheet name="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19" i="1"/>
  <c r="G18" i="1"/>
  <c r="G19" i="1"/>
  <c r="G20" i="1"/>
  <c r="B21" i="1"/>
  <c r="B36" i="1"/>
  <c r="B43" i="1"/>
  <c r="G39" i="1"/>
  <c r="G51" i="1"/>
  <c r="B48" i="1"/>
  <c r="B24" i="1"/>
  <c r="B33" i="1"/>
  <c r="B53" i="1"/>
  <c r="G24" i="1"/>
  <c r="G25" i="1"/>
  <c r="G35" i="1"/>
  <c r="G26" i="1"/>
  <c r="G36" i="1"/>
  <c r="G52" i="1"/>
  <c r="H18" i="1"/>
  <c r="H19" i="1"/>
  <c r="H20" i="1"/>
  <c r="H39" i="1"/>
  <c r="H51" i="1"/>
  <c r="H24" i="1"/>
  <c r="H25" i="1"/>
  <c r="H35" i="1"/>
  <c r="H26" i="1"/>
  <c r="H36" i="1"/>
  <c r="H52" i="1"/>
  <c r="I18" i="1"/>
  <c r="I19" i="1"/>
  <c r="I20" i="1"/>
  <c r="I39" i="1"/>
  <c r="I51" i="1"/>
  <c r="I24" i="1"/>
  <c r="I25" i="1"/>
  <c r="I35" i="1"/>
  <c r="I26" i="1"/>
  <c r="I36" i="1"/>
  <c r="I52" i="1"/>
  <c r="J18" i="1"/>
  <c r="J19" i="1"/>
  <c r="J20" i="1"/>
  <c r="J39" i="1"/>
  <c r="J51" i="1"/>
  <c r="J24" i="1"/>
  <c r="J25" i="1"/>
  <c r="J35" i="1"/>
  <c r="J26" i="1"/>
  <c r="J36" i="1"/>
  <c r="J52" i="1"/>
  <c r="K18" i="1"/>
  <c r="K19" i="1"/>
  <c r="K20" i="1"/>
  <c r="K39" i="1"/>
  <c r="K51" i="1"/>
  <c r="K24" i="1"/>
  <c r="K25" i="1"/>
  <c r="K35" i="1"/>
  <c r="K26" i="1"/>
  <c r="K36" i="1"/>
  <c r="K52" i="1"/>
  <c r="L18" i="1"/>
  <c r="L19" i="1"/>
  <c r="L20" i="1"/>
  <c r="L39" i="1"/>
  <c r="L51" i="1"/>
  <c r="L24" i="1"/>
  <c r="L25" i="1"/>
  <c r="L35" i="1"/>
  <c r="L26" i="1"/>
  <c r="L36" i="1"/>
  <c r="L52" i="1"/>
  <c r="M18" i="1"/>
  <c r="M19" i="1"/>
  <c r="M20" i="1"/>
  <c r="M39" i="1"/>
  <c r="M51" i="1"/>
  <c r="M24" i="1"/>
  <c r="M25" i="1"/>
  <c r="M35" i="1"/>
  <c r="M26" i="1"/>
  <c r="M36" i="1"/>
  <c r="M52" i="1"/>
  <c r="N18" i="1"/>
  <c r="N19" i="1"/>
  <c r="N20" i="1"/>
  <c r="N39" i="1"/>
  <c r="N51" i="1"/>
  <c r="N24" i="1"/>
  <c r="N25" i="1"/>
  <c r="N35" i="1"/>
  <c r="N26" i="1"/>
  <c r="N36" i="1"/>
  <c r="N52" i="1"/>
  <c r="O18" i="1"/>
  <c r="O19" i="1"/>
  <c r="O20" i="1"/>
  <c r="O39" i="1"/>
  <c r="O51" i="1"/>
  <c r="O24" i="1"/>
  <c r="O25" i="1"/>
  <c r="O35" i="1"/>
  <c r="O26" i="1"/>
  <c r="O36" i="1"/>
  <c r="O52" i="1"/>
  <c r="P18" i="1"/>
  <c r="P19" i="1"/>
  <c r="P20" i="1"/>
  <c r="P39" i="1"/>
  <c r="P51" i="1"/>
  <c r="P24" i="1"/>
  <c r="P25" i="1"/>
  <c r="P35" i="1"/>
  <c r="P26" i="1"/>
  <c r="P36" i="1"/>
  <c r="P52" i="1"/>
  <c r="Q18" i="1"/>
  <c r="Q19" i="1"/>
  <c r="Q20" i="1"/>
  <c r="Q39" i="1"/>
  <c r="Q51" i="1"/>
  <c r="Q24" i="1"/>
  <c r="Q25" i="1"/>
  <c r="Q35" i="1"/>
  <c r="Q26" i="1"/>
  <c r="Q36" i="1"/>
  <c r="Q52" i="1"/>
  <c r="R18" i="1"/>
  <c r="R19" i="1"/>
  <c r="R20" i="1"/>
  <c r="R39" i="1"/>
  <c r="R51" i="1"/>
  <c r="R24" i="1"/>
  <c r="R25" i="1"/>
  <c r="R35" i="1"/>
  <c r="R26" i="1"/>
  <c r="R36" i="1"/>
  <c r="R52" i="1"/>
  <c r="S18" i="1"/>
  <c r="S19" i="1"/>
  <c r="S20" i="1"/>
  <c r="S39" i="1"/>
  <c r="S51" i="1"/>
  <c r="S24" i="1"/>
  <c r="S25" i="1"/>
  <c r="S35" i="1"/>
  <c r="S26" i="1"/>
  <c r="S36" i="1"/>
  <c r="S52" i="1"/>
  <c r="T18" i="1"/>
  <c r="T19" i="1"/>
  <c r="T20" i="1"/>
  <c r="T39" i="1"/>
  <c r="T51" i="1"/>
  <c r="T24" i="1"/>
  <c r="T25" i="1"/>
  <c r="T35" i="1"/>
  <c r="T26" i="1"/>
  <c r="T36" i="1"/>
  <c r="T52" i="1"/>
  <c r="U18" i="1"/>
  <c r="U19" i="1"/>
  <c r="U20" i="1"/>
  <c r="U39" i="1"/>
  <c r="U51" i="1"/>
  <c r="U24" i="1"/>
  <c r="U25" i="1"/>
  <c r="U35" i="1"/>
  <c r="U26" i="1"/>
  <c r="U36" i="1"/>
  <c r="U52" i="1"/>
  <c r="V18" i="1"/>
  <c r="V19" i="1"/>
  <c r="V20" i="1"/>
  <c r="V39" i="1"/>
  <c r="V51" i="1"/>
  <c r="V24" i="1"/>
  <c r="V25" i="1"/>
  <c r="V35" i="1"/>
  <c r="V26" i="1"/>
  <c r="V36" i="1"/>
  <c r="V52" i="1"/>
  <c r="W18" i="1"/>
  <c r="W19" i="1"/>
  <c r="W20" i="1"/>
  <c r="W39" i="1"/>
  <c r="W51" i="1"/>
  <c r="W24" i="1"/>
  <c r="W25" i="1"/>
  <c r="W35" i="1"/>
  <c r="W26" i="1"/>
  <c r="W36" i="1"/>
  <c r="W52" i="1"/>
  <c r="G65" i="1"/>
  <c r="H38" i="1"/>
  <c r="H40" i="1"/>
  <c r="H43" i="1"/>
  <c r="H45" i="1"/>
  <c r="H56" i="1"/>
  <c r="H58" i="1"/>
  <c r="I38" i="1"/>
  <c r="I40" i="1"/>
  <c r="I43" i="1"/>
  <c r="I45" i="1"/>
  <c r="I56" i="1"/>
  <c r="I58" i="1"/>
  <c r="J38" i="1"/>
  <c r="J40" i="1"/>
  <c r="J43" i="1"/>
  <c r="J45" i="1"/>
  <c r="J56" i="1"/>
  <c r="J58" i="1"/>
  <c r="K38" i="1"/>
  <c r="K40" i="1"/>
  <c r="K43" i="1"/>
  <c r="K45" i="1"/>
  <c r="K56" i="1"/>
  <c r="K58" i="1"/>
  <c r="L38" i="1"/>
  <c r="L40" i="1"/>
  <c r="L43" i="1"/>
  <c r="L45" i="1"/>
  <c r="L56" i="1"/>
  <c r="L58" i="1"/>
  <c r="B52" i="1"/>
  <c r="G29" i="1"/>
  <c r="F58" i="1"/>
  <c r="G38" i="1"/>
  <c r="G40" i="1"/>
  <c r="G43" i="1"/>
  <c r="G45" i="1"/>
  <c r="G56" i="1"/>
  <c r="G58" i="1"/>
  <c r="M38" i="1"/>
  <c r="M40" i="1"/>
  <c r="M43" i="1"/>
  <c r="M45" i="1"/>
  <c r="M56" i="1"/>
  <c r="M58" i="1"/>
  <c r="N38" i="1"/>
  <c r="N40" i="1"/>
  <c r="N43" i="1"/>
  <c r="N45" i="1"/>
  <c r="N56" i="1"/>
  <c r="N58" i="1"/>
  <c r="O38" i="1"/>
  <c r="O40" i="1"/>
  <c r="O43" i="1"/>
  <c r="O45" i="1"/>
  <c r="O56" i="1"/>
  <c r="O58" i="1"/>
  <c r="P38" i="1"/>
  <c r="P40" i="1"/>
  <c r="P43" i="1"/>
  <c r="P45" i="1"/>
  <c r="P56" i="1"/>
  <c r="P58" i="1"/>
  <c r="Q38" i="1"/>
  <c r="Q40" i="1"/>
  <c r="Q43" i="1"/>
  <c r="Q45" i="1"/>
  <c r="Q56" i="1"/>
  <c r="Q58" i="1"/>
  <c r="R38" i="1"/>
  <c r="R40" i="1"/>
  <c r="R43" i="1"/>
  <c r="R45" i="1"/>
  <c r="R56" i="1"/>
  <c r="R58" i="1"/>
  <c r="S38" i="1"/>
  <c r="S40" i="1"/>
  <c r="S43" i="1"/>
  <c r="S45" i="1"/>
  <c r="S56" i="1"/>
  <c r="S58" i="1"/>
  <c r="T38" i="1"/>
  <c r="T40" i="1"/>
  <c r="T43" i="1"/>
  <c r="T45" i="1"/>
  <c r="T56" i="1"/>
  <c r="T58" i="1"/>
  <c r="U38" i="1"/>
  <c r="U40" i="1"/>
  <c r="U43" i="1"/>
  <c r="U45" i="1"/>
  <c r="U56" i="1"/>
  <c r="U58" i="1"/>
  <c r="V38" i="1"/>
  <c r="V40" i="1"/>
  <c r="V43" i="1"/>
  <c r="V45" i="1"/>
  <c r="V56" i="1"/>
  <c r="V58" i="1"/>
  <c r="W38" i="1"/>
  <c r="W40" i="1"/>
  <c r="W43" i="1"/>
  <c r="W45" i="1"/>
  <c r="W56" i="1"/>
  <c r="W58" i="1"/>
  <c r="X18" i="1"/>
  <c r="X19" i="1"/>
  <c r="X20" i="1"/>
  <c r="X39" i="1"/>
  <c r="X51" i="1"/>
  <c r="X24" i="1"/>
  <c r="X25" i="1"/>
  <c r="X35" i="1"/>
  <c r="X36" i="1"/>
  <c r="X38" i="1"/>
  <c r="X40" i="1"/>
  <c r="X43" i="1"/>
  <c r="X45" i="1"/>
  <c r="X56" i="1"/>
  <c r="X58" i="1"/>
  <c r="Y18" i="1"/>
  <c r="Y19" i="1"/>
  <c r="Y20" i="1"/>
  <c r="Y39" i="1"/>
  <c r="Y51" i="1"/>
  <c r="Y24" i="1"/>
  <c r="Y25" i="1"/>
  <c r="Y35" i="1"/>
  <c r="Y36" i="1"/>
  <c r="Y38" i="1"/>
  <c r="Y40" i="1"/>
  <c r="Y43" i="1"/>
  <c r="Y45" i="1"/>
  <c r="Y56" i="1"/>
  <c r="Y58" i="1"/>
  <c r="G63" i="1"/>
  <c r="Z24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G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Z18" i="1"/>
  <c r="Z19" i="1"/>
  <c r="Z20" i="1"/>
  <c r="Z39" i="1"/>
  <c r="Z51" i="1"/>
  <c r="D48" i="1"/>
  <c r="Z36" i="1"/>
  <c r="B57" i="1"/>
  <c r="Z43" i="1"/>
  <c r="G60" i="1"/>
  <c r="AC59" i="1"/>
  <c r="G34" i="1"/>
  <c r="H34" i="1"/>
  <c r="G59" i="1"/>
  <c r="G44" i="1"/>
  <c r="H44" i="1"/>
  <c r="J34" i="1"/>
  <c r="I34" i="1"/>
  <c r="H59" i="1"/>
  <c r="H47" i="1"/>
  <c r="G47" i="1"/>
  <c r="G48" i="1"/>
  <c r="K34" i="1"/>
  <c r="I44" i="1"/>
  <c r="I59" i="1"/>
  <c r="H60" i="1"/>
  <c r="H48" i="1"/>
  <c r="I60" i="1"/>
  <c r="I47" i="1"/>
  <c r="I48" i="1"/>
  <c r="L34" i="1"/>
  <c r="J44" i="1"/>
  <c r="M34" i="1"/>
  <c r="J47" i="1"/>
  <c r="J48" i="1"/>
  <c r="J59" i="1"/>
  <c r="K44" i="1"/>
  <c r="J60" i="1"/>
  <c r="N34" i="1"/>
  <c r="K47" i="1"/>
  <c r="K48" i="1"/>
  <c r="K59" i="1"/>
  <c r="L44" i="1"/>
  <c r="K60" i="1"/>
  <c r="O34" i="1"/>
  <c r="L47" i="1"/>
  <c r="L48" i="1"/>
  <c r="L59" i="1"/>
  <c r="M44" i="1"/>
  <c r="M47" i="1"/>
  <c r="M48" i="1"/>
  <c r="L60" i="1"/>
  <c r="M59" i="1"/>
  <c r="N44" i="1"/>
  <c r="P34" i="1"/>
  <c r="M60" i="1"/>
  <c r="Q34" i="1"/>
  <c r="N47" i="1"/>
  <c r="N48" i="1"/>
  <c r="O44" i="1"/>
  <c r="N59" i="1"/>
  <c r="O47" i="1"/>
  <c r="O48" i="1"/>
  <c r="N60" i="1"/>
  <c r="O59" i="1"/>
  <c r="R34" i="1"/>
  <c r="P44" i="1"/>
  <c r="O60" i="1"/>
  <c r="Q44" i="1"/>
  <c r="P47" i="1"/>
  <c r="P48" i="1"/>
  <c r="P59" i="1"/>
  <c r="S34" i="1"/>
  <c r="Q47" i="1"/>
  <c r="Q48" i="1"/>
  <c r="R44" i="1"/>
  <c r="Q59" i="1"/>
  <c r="P60" i="1"/>
  <c r="T34" i="1"/>
  <c r="Q60" i="1"/>
  <c r="R47" i="1"/>
  <c r="R48" i="1"/>
  <c r="U34" i="1"/>
  <c r="R59" i="1"/>
  <c r="S44" i="1"/>
  <c r="R60" i="1"/>
  <c r="V34" i="1"/>
  <c r="S47" i="1"/>
  <c r="S48" i="1"/>
  <c r="S59" i="1"/>
  <c r="T44" i="1"/>
  <c r="S60" i="1"/>
  <c r="U44" i="1"/>
  <c r="T47" i="1"/>
  <c r="T48" i="1"/>
  <c r="T59" i="1"/>
  <c r="W34" i="1"/>
  <c r="U47" i="1"/>
  <c r="U48" i="1"/>
  <c r="G53" i="1"/>
  <c r="V44" i="1"/>
  <c r="U59" i="1"/>
  <c r="T60" i="1"/>
  <c r="X34" i="1"/>
  <c r="U60" i="1"/>
  <c r="V47" i="1"/>
  <c r="V48" i="1"/>
  <c r="X44" i="1"/>
  <c r="Y34" i="1"/>
  <c r="V59" i="1"/>
  <c r="W44" i="1"/>
  <c r="X47" i="1"/>
  <c r="Z34" i="1"/>
  <c r="Z25" i="1"/>
  <c r="Z35" i="1"/>
  <c r="Z38" i="1"/>
  <c r="Z40" i="1"/>
  <c r="Y44" i="1"/>
  <c r="X59" i="1"/>
  <c r="W47" i="1"/>
  <c r="W48" i="1"/>
  <c r="V60" i="1"/>
  <c r="W59" i="1"/>
  <c r="X48" i="1"/>
  <c r="Y47" i="1"/>
  <c r="Y48" i="1"/>
  <c r="W60" i="1"/>
  <c r="X60" i="1"/>
  <c r="Z44" i="1"/>
  <c r="Z45" i="1"/>
  <c r="Z56" i="1"/>
  <c r="Y59" i="1"/>
  <c r="Y60" i="1"/>
  <c r="Z47" i="1"/>
  <c r="Z48" i="1"/>
  <c r="Z58" i="1"/>
  <c r="Z59" i="1"/>
  <c r="G61" i="1"/>
  <c r="Z60" i="1"/>
</calcChain>
</file>

<file path=xl/comments1.xml><?xml version="1.0" encoding="utf-8"?>
<comments xmlns="http://schemas.openxmlformats.org/spreadsheetml/2006/main">
  <authors>
    <author>Heiko Vongehr</author>
    <author>Rieke_2</author>
    <author>Michael Haß</author>
  </authors>
  <commentList>
    <comment ref="B5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Ereigniskarte 8 erfüllt
alt 95,1
-      0,5
neu 94,6  </t>
        </r>
      </text>
    </comment>
    <comment ref="A11" authorId="1">
      <text>
        <r>
          <rPr>
            <b/>
            <sz val="9"/>
            <color indexed="81"/>
            <rFont val="Tahoma"/>
            <family val="2"/>
          </rPr>
          <t>Reduzierter Parkwirkungsgrad schon berücksichtigt</t>
        </r>
      </text>
    </comment>
    <comment ref="A19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el. Verluste bei 3x Nordex N 117:
WEA-Trafo: 1,03 %
Int. Kabel: 0,05%
Ext. Kabel: 0,28%
</t>
        </r>
        <r>
          <rPr>
            <b/>
            <sz val="9"/>
            <color indexed="81"/>
            <rFont val="Calibri"/>
            <family val="2"/>
          </rPr>
          <t>In Summe: 1,36% (718,23 MWh/Jahr)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Anzahl Anlagen * Preis</t>
        </r>
      </text>
    </comment>
    <comment ref="B25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Quelle: Straßenbaumeister
2,5 km -&gt; 165.00 €
</t>
        </r>
      </text>
    </comment>
    <comment ref="B26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enthalten in WEA</t>
        </r>
      </text>
    </comment>
    <comment ref="B27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interne Verkabelung 3668m X 87,7€/lfm = 321684 €</t>
        </r>
      </text>
    </comment>
    <comment ref="B28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Personalkosten Planer: 450T€
Sonstige: 50TEUR</t>
        </r>
      </text>
    </comment>
    <comment ref="B29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einmalig extra Archäologie Bodengutachten: ca. 20T€
Wind-, Schall- und Schattenwurfgutachten: ges.15 TEUR pro WEA
faunistische Gutachten: 0
UVP, LBP: zusammen 10TEUR pro WEA</t>
        </r>
      </text>
    </comment>
    <comment ref="B30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Windparkfest zur Eröffnung 1,5TEUR je WEA</t>
        </r>
      </text>
    </comment>
    <comment ref="B31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Einkommenssteuer 25%:
Gewerbesteuer 12,6%:
Gesamt: 37,6%
Abnahmegutachten: 3 * 5T€/WEA = 15T€
Bearbeitungsgebühr: einmalig ca. 1% des FK-Volumens =235T€
</t>
        </r>
      </text>
    </comment>
    <comment ref="B32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ca. 1 % des Investments</t>
        </r>
      </text>
    </comment>
    <comment ref="B37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Vollwartngsvertrag
1-1,2 ct/kWh -&gt; 10-12 €/MWh
bummel 520000€ für den Park</t>
        </r>
      </text>
    </comment>
    <comment ref="B38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=18MW * 30T€ / 20 Jahre = 27T€</t>
        </r>
      </text>
    </comment>
    <comment ref="F38" authorId="0">
      <text>
        <r>
          <rPr>
            <b/>
            <sz val="9"/>
            <color indexed="81"/>
            <rFont val="Calibri"/>
            <family val="2"/>
          </rPr>
          <t>Heiko Vongehr:
Zinsen+Abtrag</t>
        </r>
      </text>
    </comment>
    <comment ref="B39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Leitfaden, ähnliche MW-Zahl</t>
        </r>
      </text>
    </comment>
    <comment ref="B40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4.000 € je WEA</t>
        </r>
      </text>
    </comment>
    <comment ref="B41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techn. 2%
kaufm. 2%</t>
        </r>
      </text>
    </comment>
    <comment ref="F51" authorId="0">
      <text>
        <r>
          <rPr>
            <b/>
            <sz val="9"/>
            <color indexed="81"/>
            <rFont val="Calibri"/>
            <family val="2"/>
          </rPr>
          <t>Heiko Vongehr:</t>
        </r>
        <r>
          <rPr>
            <sz val="9"/>
            <color indexed="81"/>
            <rFont val="Calibri"/>
            <family val="2"/>
          </rPr>
          <t xml:space="preserve">
Gewinn vor Steuern, Zinsen &amp; Abschreibungen</t>
        </r>
      </text>
    </comment>
    <comment ref="A62" authorId="2">
      <text>
        <r>
          <rPr>
            <b/>
            <sz val="9"/>
            <color indexed="81"/>
            <rFont val="Tahoma"/>
            <family val="2"/>
          </rPr>
          <t>Michael Haß:</t>
        </r>
        <r>
          <rPr>
            <sz val="9"/>
            <color indexed="81"/>
            <rFont val="Tahoma"/>
            <family val="2"/>
          </rPr>
          <t xml:space="preserve">
Betriebskosten werden mit Inflationsindex multipliziert</t>
        </r>
      </text>
    </comment>
  </commentList>
</comments>
</file>

<file path=xl/sharedStrings.xml><?xml version="1.0" encoding="utf-8"?>
<sst xmlns="http://schemas.openxmlformats.org/spreadsheetml/2006/main" count="134" uniqueCount="90">
  <si>
    <t>Ertragsparameter</t>
  </si>
  <si>
    <t>Parkwirkungsgrad</t>
  </si>
  <si>
    <t>EEG Vergütung</t>
  </si>
  <si>
    <t>Anfangsvergütung</t>
  </si>
  <si>
    <t>Cent/kWh</t>
  </si>
  <si>
    <t>Grundvergütung</t>
  </si>
  <si>
    <t>Gesamt</t>
  </si>
  <si>
    <t>EUR/MWh</t>
  </si>
  <si>
    <t>Anlagenertrag Result -10 % (Netto)</t>
  </si>
  <si>
    <t>Anlage 1</t>
  </si>
  <si>
    <t>MWh/Jahr</t>
  </si>
  <si>
    <t>Anlage 2</t>
  </si>
  <si>
    <t>Anlage 3</t>
  </si>
  <si>
    <t>Anlage 4</t>
  </si>
  <si>
    <t>Anlage 5</t>
  </si>
  <si>
    <t>Anlage 6</t>
  </si>
  <si>
    <t xml:space="preserve">     Anlagenertrag Gesamt</t>
  </si>
  <si>
    <t xml:space="preserve">     Jahresertrag nach el. Verluste</t>
  </si>
  <si>
    <t xml:space="preserve">     Einspeisevergütung</t>
  </si>
  <si>
    <t>€/MWh</t>
  </si>
  <si>
    <t>Summe Einnahmen in €</t>
  </si>
  <si>
    <t>TEUR</t>
  </si>
  <si>
    <t>Investment</t>
  </si>
  <si>
    <t>Windenergieanlagen</t>
  </si>
  <si>
    <t>Fundament</t>
  </si>
  <si>
    <t>Elektrische Infrastruktur</t>
  </si>
  <si>
    <t>Planungskosten</t>
  </si>
  <si>
    <t>Gutachten &amp; Gebühren</t>
  </si>
  <si>
    <t>Sonstige Kosten</t>
  </si>
  <si>
    <t>Projektsteuer. u. Finanz.-NK</t>
  </si>
  <si>
    <t>Kostenreserve</t>
  </si>
  <si>
    <t>Total</t>
  </si>
  <si>
    <t>Betriebskosten</t>
  </si>
  <si>
    <t>Wartung &amp; Instandhaltung</t>
  </si>
  <si>
    <t>Rücklagen</t>
  </si>
  <si>
    <t>Versicherung</t>
  </si>
  <si>
    <t>Strombezug</t>
  </si>
  <si>
    <t>Betriebsführung</t>
  </si>
  <si>
    <t>Jahresabschluss &amp; Steuerberater</t>
  </si>
  <si>
    <t>Zinssatz KfW Darlehen</t>
  </si>
  <si>
    <t>Bereitstellungsprovision Bank</t>
  </si>
  <si>
    <t>Zinssatz Gesamt</t>
  </si>
  <si>
    <t>Laufzeit</t>
  </si>
  <si>
    <t>Jahre</t>
  </si>
  <si>
    <t>Rückzahlung</t>
  </si>
  <si>
    <t>Annuität</t>
  </si>
  <si>
    <t>Kapitalhebel</t>
  </si>
  <si>
    <t>Eigenkapital</t>
  </si>
  <si>
    <t>Steuern</t>
  </si>
  <si>
    <t>ESt-Satz</t>
  </si>
  <si>
    <t>Gewerbesteuersatz</t>
  </si>
  <si>
    <t>Gewerbesteuer</t>
  </si>
  <si>
    <t>Gewerbesteuerhebesatz</t>
  </si>
  <si>
    <t>Abschreibungszeitraum</t>
  </si>
  <si>
    <t>Inflation</t>
  </si>
  <si>
    <t>Inflationsrate</t>
  </si>
  <si>
    <t>Jahresertrag in MW/h</t>
  </si>
  <si>
    <t>Einspeisevergütung in €/MWh</t>
  </si>
  <si>
    <t>Volumen</t>
  </si>
  <si>
    <t>Zinsen</t>
  </si>
  <si>
    <t>Abtrag</t>
  </si>
  <si>
    <t>Ausgaben</t>
  </si>
  <si>
    <t>Fremdkapital</t>
  </si>
  <si>
    <t>Einnahmen</t>
  </si>
  <si>
    <t>Kapitaldienst</t>
  </si>
  <si>
    <t>Summe Ausgaben</t>
  </si>
  <si>
    <t>Abschreibung</t>
  </si>
  <si>
    <t>Steuerlicher Gesamtgewinn</t>
  </si>
  <si>
    <t>Überschuss</t>
  </si>
  <si>
    <t>kumulierter Überschuss</t>
  </si>
  <si>
    <t>Jahr</t>
  </si>
  <si>
    <t>Betriebsjahr</t>
  </si>
  <si>
    <t>Steuerliche Betrachtung (linear)</t>
  </si>
  <si>
    <t>InThuWind - In Thueringen Wind GmbH &amp; Co. KG</t>
  </si>
  <si>
    <t>Infrastruktur</t>
  </si>
  <si>
    <t>Nach Leitfaden Bürgerwindpark 2012</t>
  </si>
  <si>
    <t>EBITDA</t>
  </si>
  <si>
    <t>DSCR</t>
  </si>
  <si>
    <t>Summe der Einnahmen in €</t>
  </si>
  <si>
    <t>Eigenkapitalrentabilität</t>
  </si>
  <si>
    <t>Cashflow Anteilseigner</t>
  </si>
  <si>
    <t>Cashflow vor Schuldendienst</t>
  </si>
  <si>
    <t>Cashflow nach Schuldendienst</t>
  </si>
  <si>
    <t>Relation EK</t>
  </si>
  <si>
    <t>Year</t>
  </si>
  <si>
    <t xml:space="preserve">    Pacht</t>
  </si>
  <si>
    <r>
      <rPr>
        <sz val="12"/>
        <color theme="1"/>
        <rFont val="Webdings"/>
        <family val="2"/>
        <charset val="136"/>
      </rPr>
      <t></t>
    </r>
    <r>
      <rPr>
        <sz val="12"/>
        <color theme="1"/>
        <rFont val="Calibri"/>
        <family val="2"/>
        <scheme val="minor"/>
      </rPr>
      <t>DSCR 70% FK</t>
    </r>
  </si>
  <si>
    <t>IRR</t>
  </si>
  <si>
    <t>Finanzierung</t>
  </si>
  <si>
    <t>Mittelwert DSCR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</si>
</sst>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0.0%"/>
  </numFmts>
  <fonts count="2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22"/>
      <color theme="0"/>
      <name val="Calibri"/>
      <family val="2"/>
      <scheme val="minor"/>
    </font>
    <font>
      <sz val="12"/>
      <color theme="1"/>
      <name val="Webdings"/>
      <family val="2"/>
      <charset val="136"/>
    </font>
    <font>
      <sz val="12"/>
      <color rgb="FF0000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8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17" fillId="0" borderId="0" applyFont="0" applyFill="0" applyBorder="0" applyAlignment="0" applyProtection="0"/>
  </cellStyleXfs>
  <cellXfs count="75">
    <xf numFmtId="0" fontId="0" fillId="0" borderId="0" xfId="0"/>
    <xf numFmtId="0" fontId="3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0" xfId="0" applyFont="1" applyFill="1" applyAlignment="1">
      <alignment horizontal="left" indent="1"/>
    </xf>
    <xf numFmtId="10" fontId="0" fillId="3" borderId="0" xfId="0" applyNumberFormat="1" applyFont="1" applyFill="1"/>
    <xf numFmtId="0" fontId="0" fillId="4" borderId="0" xfId="0" applyFont="1" applyFill="1"/>
    <xf numFmtId="0" fontId="0" fillId="2" borderId="0" xfId="0" applyFont="1" applyFill="1" applyAlignment="1">
      <alignment horizontal="left" indent="3"/>
    </xf>
    <xf numFmtId="2" fontId="0" fillId="3" borderId="0" xfId="0" applyNumberFormat="1" applyFont="1" applyFill="1"/>
    <xf numFmtId="3" fontId="0" fillId="3" borderId="0" xfId="0" applyNumberFormat="1" applyFont="1" applyFill="1"/>
    <xf numFmtId="0" fontId="0" fillId="2" borderId="0" xfId="0" applyFont="1" applyFill="1" applyBorder="1" applyAlignment="1">
      <alignment horizontal="left" indent="3"/>
    </xf>
    <xf numFmtId="3" fontId="0" fillId="3" borderId="0" xfId="0" applyNumberFormat="1" applyFont="1" applyFill="1" applyBorder="1"/>
    <xf numFmtId="0" fontId="0" fillId="2" borderId="2" xfId="0" applyFont="1" applyFill="1" applyBorder="1" applyAlignment="1">
      <alignment horizontal="left"/>
    </xf>
    <xf numFmtId="3" fontId="0" fillId="3" borderId="2" xfId="0" applyNumberFormat="1" applyFont="1" applyFill="1" applyBorder="1"/>
    <xf numFmtId="0" fontId="0" fillId="4" borderId="2" xfId="0" applyFont="1" applyFill="1" applyBorder="1"/>
    <xf numFmtId="0" fontId="0" fillId="2" borderId="0" xfId="0" applyFont="1" applyFill="1" applyBorder="1" applyAlignment="1">
      <alignment horizontal="left"/>
    </xf>
    <xf numFmtId="0" fontId="0" fillId="4" borderId="0" xfId="0" applyFont="1" applyFill="1" applyBorder="1"/>
    <xf numFmtId="164" fontId="0" fillId="3" borderId="0" xfId="0" applyNumberFormat="1" applyFont="1" applyFill="1" applyBorder="1"/>
    <xf numFmtId="0" fontId="0" fillId="2" borderId="0" xfId="0" applyFont="1" applyFill="1" applyBorder="1" applyAlignment="1">
      <alignment horizontal="left" indent="1"/>
    </xf>
    <xf numFmtId="0" fontId="0" fillId="0" borderId="0" xfId="0" applyFont="1"/>
    <xf numFmtId="3" fontId="3" fillId="3" borderId="1" xfId="0" applyNumberFormat="1" applyFont="1" applyFill="1" applyBorder="1"/>
    <xf numFmtId="0" fontId="3" fillId="4" borderId="1" xfId="0" applyFont="1" applyFill="1" applyBorder="1"/>
    <xf numFmtId="3" fontId="4" fillId="3" borderId="0" xfId="0" applyNumberFormat="1" applyFont="1" applyFill="1"/>
    <xf numFmtId="0" fontId="5" fillId="2" borderId="3" xfId="0" applyFont="1" applyFill="1" applyBorder="1" applyAlignment="1">
      <alignment horizontal="left"/>
    </xf>
    <xf numFmtId="3" fontId="6" fillId="3" borderId="3" xfId="0" applyNumberFormat="1" applyFont="1" applyFill="1" applyBorder="1"/>
    <xf numFmtId="0" fontId="5" fillId="4" borderId="3" xfId="0" applyFont="1" applyFill="1" applyBorder="1"/>
    <xf numFmtId="0" fontId="5" fillId="5" borderId="0" xfId="0" applyFont="1" applyFill="1" applyBorder="1" applyAlignment="1">
      <alignment horizontal="left"/>
    </xf>
    <xf numFmtId="3" fontId="5" fillId="5" borderId="0" xfId="0" applyNumberFormat="1" applyFont="1" applyFill="1" applyBorder="1"/>
    <xf numFmtId="0" fontId="5" fillId="5" borderId="0" xfId="0" applyFont="1" applyFill="1" applyBorder="1"/>
    <xf numFmtId="0" fontId="0" fillId="2" borderId="0" xfId="0" applyFont="1" applyFill="1"/>
    <xf numFmtId="0" fontId="7" fillId="6" borderId="0" xfId="0" applyFont="1" applyFill="1" applyAlignment="1">
      <alignment horizontal="left" indent="1"/>
    </xf>
    <xf numFmtId="3" fontId="4" fillId="7" borderId="0" xfId="0" applyNumberFormat="1" applyFont="1" applyFill="1"/>
    <xf numFmtId="0" fontId="7" fillId="8" borderId="0" xfId="0" applyFont="1" applyFill="1"/>
    <xf numFmtId="3" fontId="4" fillId="3" borderId="0" xfId="0" applyNumberFormat="1" applyFont="1" applyFill="1" applyBorder="1"/>
    <xf numFmtId="0" fontId="5" fillId="2" borderId="3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10" fontId="0" fillId="3" borderId="0" xfId="0" applyNumberFormat="1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horizontal="right"/>
    </xf>
    <xf numFmtId="9" fontId="0" fillId="3" borderId="0" xfId="0" applyNumberFormat="1" applyFont="1" applyFill="1" applyBorder="1"/>
    <xf numFmtId="0" fontId="3" fillId="3" borderId="1" xfId="0" applyFont="1" applyFill="1" applyBorder="1"/>
    <xf numFmtId="165" fontId="0" fillId="3" borderId="0" xfId="0" applyNumberFormat="1" applyFont="1" applyFill="1" applyBorder="1"/>
    <xf numFmtId="10" fontId="0" fillId="3" borderId="4" xfId="0" applyNumberFormat="1" applyFont="1" applyFill="1" applyBorder="1"/>
    <xf numFmtId="0" fontId="0" fillId="9" borderId="0" xfId="0" applyFont="1" applyFill="1"/>
    <xf numFmtId="0" fontId="0" fillId="9" borderId="5" xfId="0" applyFont="1" applyFill="1" applyBorder="1"/>
    <xf numFmtId="0" fontId="0" fillId="2" borderId="0" xfId="0" applyFill="1" applyBorder="1"/>
    <xf numFmtId="0" fontId="0" fillId="3" borderId="0" xfId="0" applyFill="1" applyBorder="1"/>
    <xf numFmtId="10" fontId="0" fillId="0" borderId="0" xfId="0" applyNumberFormat="1"/>
    <xf numFmtId="3" fontId="0" fillId="0" borderId="0" xfId="0" applyNumberFormat="1"/>
    <xf numFmtId="0" fontId="14" fillId="10" borderId="0" xfId="0" applyFont="1" applyFill="1" applyAlignment="1">
      <alignment horizontal="left"/>
    </xf>
    <xf numFmtId="0" fontId="0" fillId="10" borderId="0" xfId="0" applyFill="1"/>
    <xf numFmtId="3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3" fontId="0" fillId="4" borderId="5" xfId="0" applyNumberFormat="1" applyFill="1" applyBorder="1"/>
    <xf numFmtId="0" fontId="1" fillId="2" borderId="0" xfId="0" applyFont="1" applyFill="1"/>
    <xf numFmtId="0" fontId="1" fillId="2" borderId="0" xfId="0" applyFont="1" applyFill="1" applyBorder="1"/>
    <xf numFmtId="0" fontId="2" fillId="9" borderId="0" xfId="0" applyFont="1" applyFill="1"/>
    <xf numFmtId="2" fontId="0" fillId="0" borderId="0" xfId="0" applyNumberFormat="1"/>
    <xf numFmtId="0" fontId="0" fillId="9" borderId="0" xfId="0" applyFill="1"/>
    <xf numFmtId="2" fontId="16" fillId="0" borderId="0" xfId="0" applyNumberFormat="1" applyFont="1"/>
    <xf numFmtId="10" fontId="0" fillId="11" borderId="0" xfId="0" applyNumberFormat="1" applyFont="1" applyFill="1" applyBorder="1"/>
    <xf numFmtId="10" fontId="16" fillId="0" borderId="0" xfId="0" applyNumberFormat="1" applyFont="1"/>
    <xf numFmtId="0" fontId="0" fillId="2" borderId="0" xfId="0" applyFill="1" applyAlignment="1">
      <alignment horizontal="left" indent="1"/>
    </xf>
    <xf numFmtId="0" fontId="18" fillId="12" borderId="0" xfId="0" applyFont="1" applyFill="1"/>
    <xf numFmtId="9" fontId="0" fillId="0" borderId="0" xfId="17" applyFont="1"/>
    <xf numFmtId="4" fontId="0" fillId="0" borderId="0" xfId="0" applyNumberFormat="1"/>
    <xf numFmtId="0" fontId="0" fillId="0" borderId="0" xfId="0" applyFill="1"/>
    <xf numFmtId="0" fontId="18" fillId="0" borderId="0" xfId="0" applyFont="1" applyFill="1"/>
    <xf numFmtId="9" fontId="0" fillId="0" borderId="0" xfId="17" applyFont="1" applyFill="1"/>
    <xf numFmtId="4" fontId="0" fillId="0" borderId="0" xfId="0" applyNumberFormat="1" applyFill="1"/>
    <xf numFmtId="0" fontId="0" fillId="2" borderId="0" xfId="0" applyFill="1"/>
    <xf numFmtId="9" fontId="0" fillId="0" borderId="0" xfId="0" applyNumberFormat="1"/>
    <xf numFmtId="0" fontId="19" fillId="0" borderId="0" xfId="0" applyFont="1"/>
  </cellXfs>
  <cellStyles count="18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Prozent" xfId="17" builtinId="5"/>
    <cellStyle name="Standard" xfId="0" builtinId="0"/>
  </cellStyles>
  <dxfs count="1">
    <dxf>
      <font>
        <color rgb="FFFF000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Blatt1!$F$20</c:f>
              <c:strCache>
                <c:ptCount val="1"/>
                <c:pt idx="0">
                  <c:v>Summe der Einnahmen in €</c:v>
                </c:pt>
              </c:strCache>
            </c:strRef>
          </c:tx>
          <c:marker>
            <c:symbol val="none"/>
          </c:marker>
          <c:cat>
            <c:numRef>
              <c:f>Blatt1!$G$15:$Z$15</c:f>
              <c:numCache>
                <c:formatCode>General</c:formatCode>
                <c:ptCount val="20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</c:numCache>
            </c:numRef>
          </c:cat>
          <c:val>
            <c:numRef>
              <c:f>Blatt1!$G$20:$Z$20</c:f>
              <c:numCache>
                <c:formatCode>#,##0</c:formatCode>
                <c:ptCount val="20"/>
                <c:pt idx="0">
                  <c:v>4.58774649344E6</c:v>
                </c:pt>
                <c:pt idx="1">
                  <c:v>4.58774649344E6</c:v>
                </c:pt>
                <c:pt idx="2">
                  <c:v>4.58774649344E6</c:v>
                </c:pt>
                <c:pt idx="3">
                  <c:v>4.58774649344E6</c:v>
                </c:pt>
                <c:pt idx="4">
                  <c:v>4.58774649344E6</c:v>
                </c:pt>
                <c:pt idx="5">
                  <c:v>4.58774649344E6</c:v>
                </c:pt>
                <c:pt idx="6">
                  <c:v>4.58774649344E6</c:v>
                </c:pt>
                <c:pt idx="7">
                  <c:v>4.58774649344E6</c:v>
                </c:pt>
                <c:pt idx="8">
                  <c:v>4.58774649344E6</c:v>
                </c:pt>
                <c:pt idx="9">
                  <c:v>4.58774649344E6</c:v>
                </c:pt>
                <c:pt idx="10">
                  <c:v>4.58774649344E6</c:v>
                </c:pt>
                <c:pt idx="11">
                  <c:v>4.58774649344E6</c:v>
                </c:pt>
                <c:pt idx="12">
                  <c:v>4.58774649344E6</c:v>
                </c:pt>
                <c:pt idx="13">
                  <c:v>4.58774649344E6</c:v>
                </c:pt>
                <c:pt idx="14">
                  <c:v>4.58774649344E6</c:v>
                </c:pt>
                <c:pt idx="15">
                  <c:v>4.58774649344E6</c:v>
                </c:pt>
                <c:pt idx="16">
                  <c:v>4.58774649344E6</c:v>
                </c:pt>
                <c:pt idx="17">
                  <c:v>4.58774649344E6</c:v>
                </c:pt>
                <c:pt idx="18">
                  <c:v>4.58774649344E6</c:v>
                </c:pt>
                <c:pt idx="19">
                  <c:v>4.58774649344E6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Blatt1!$F$40</c:f>
              <c:strCache>
                <c:ptCount val="1"/>
                <c:pt idx="0">
                  <c:v>Summe Ausgaben</c:v>
                </c:pt>
              </c:strCache>
            </c:strRef>
          </c:tx>
          <c:marker>
            <c:symbol val="none"/>
          </c:marker>
          <c:cat>
            <c:numRef>
              <c:f>Blatt1!$G$15:$Z$15</c:f>
              <c:numCache>
                <c:formatCode>General</c:formatCode>
                <c:ptCount val="20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</c:numCache>
            </c:numRef>
          </c:cat>
          <c:val>
            <c:numRef>
              <c:f>Blatt1!$G$40:$Z$40</c:f>
              <c:numCache>
                <c:formatCode>#,##0</c:formatCode>
                <c:ptCount val="20"/>
                <c:pt idx="0">
                  <c:v>2.08814171102887E6</c:v>
                </c:pt>
                <c:pt idx="1">
                  <c:v>2.10931105752231E6</c:v>
                </c:pt>
                <c:pt idx="2">
                  <c:v>3.35854904427895E6</c:v>
                </c:pt>
                <c:pt idx="3">
                  <c:v>3.31192867328026E6</c:v>
                </c:pt>
                <c:pt idx="4">
                  <c:v>3.26574879404342E6</c:v>
                </c:pt>
                <c:pt idx="5">
                  <c:v>3.22001821640364E6</c:v>
                </c:pt>
                <c:pt idx="6">
                  <c:v>3.17474592639288E6</c:v>
                </c:pt>
                <c:pt idx="7">
                  <c:v>3.12994108976371E6</c:v>
                </c:pt>
                <c:pt idx="8">
                  <c:v>3.08561305558377E6</c:v>
                </c:pt>
                <c:pt idx="9">
                  <c:v>3.04177135990204E6</c:v>
                </c:pt>
                <c:pt idx="10">
                  <c:v>2.99842572948848E6</c:v>
                </c:pt>
                <c:pt idx="11">
                  <c:v>2.95558608564846E6</c:v>
                </c:pt>
                <c:pt idx="12">
                  <c:v>2.91326254811345E6</c:v>
                </c:pt>
                <c:pt idx="13">
                  <c:v>2.87146543900955E6</c:v>
                </c:pt>
                <c:pt idx="14">
                  <c:v>2.83020528690538E6</c:v>
                </c:pt>
                <c:pt idx="15">
                  <c:v>2.78949283094094E6</c:v>
                </c:pt>
                <c:pt idx="16">
                  <c:v>2.74933902503902E6</c:v>
                </c:pt>
                <c:pt idx="17">
                  <c:v>1.48210978886753E6</c:v>
                </c:pt>
                <c:pt idx="18">
                  <c:v>1.51175198464488E6</c:v>
                </c:pt>
                <c:pt idx="19">
                  <c:v>1.54198702433778E6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Blatt1!$E$58</c:f>
              <c:strCache>
                <c:ptCount val="1"/>
                <c:pt idx="0">
                  <c:v>Cashflow nach Schuldendienst</c:v>
                </c:pt>
              </c:strCache>
            </c:strRef>
          </c:tx>
          <c:marker>
            <c:symbol val="none"/>
          </c:marker>
          <c:val>
            <c:numRef>
              <c:f>Blatt1!$G$58:$Z$58</c:f>
              <c:numCache>
                <c:formatCode>#,##0</c:formatCode>
                <c:ptCount val="20"/>
                <c:pt idx="0">
                  <c:v>2.26949903587545E6</c:v>
                </c:pt>
                <c:pt idx="1">
                  <c:v>2.25116064046564E6</c:v>
                </c:pt>
                <c:pt idx="2">
                  <c:v>1.16807130594763E6</c:v>
                </c:pt>
                <c:pt idx="3">
                  <c:v>1.20849116760349E6</c:v>
                </c:pt>
                <c:pt idx="4">
                  <c:v>1.24852912290184E6</c:v>
                </c:pt>
                <c:pt idx="5">
                  <c:v>1.28817753371552E6</c:v>
                </c:pt>
                <c:pt idx="6">
                  <c:v>1.32742860915485E6</c:v>
                </c:pt>
                <c:pt idx="7">
                  <c:v>1.36627440251234E6</c:v>
                </c:pt>
                <c:pt idx="8">
                  <c:v>1.40470680814635E6</c:v>
                </c:pt>
                <c:pt idx="9">
                  <c:v>1.44271755830241E6</c:v>
                </c:pt>
                <c:pt idx="10">
                  <c:v>1.48029821987097E6</c:v>
                </c:pt>
                <c:pt idx="11">
                  <c:v>1.51744019108026E6</c:v>
                </c:pt>
                <c:pt idx="12">
                  <c:v>1.55413469812312E6</c:v>
                </c:pt>
                <c:pt idx="13">
                  <c:v>1.5903727917162E6</c:v>
                </c:pt>
                <c:pt idx="14">
                  <c:v>1.62614534359051E6</c:v>
                </c:pt>
                <c:pt idx="15">
                  <c:v>1.66144304291169E6</c:v>
                </c:pt>
                <c:pt idx="16">
                  <c:v>1.69625639262865E6</c:v>
                </c:pt>
                <c:pt idx="17">
                  <c:v>2.79494414038933E6</c:v>
                </c:pt>
                <c:pt idx="18">
                  <c:v>2.76924435665037E6</c:v>
                </c:pt>
                <c:pt idx="19">
                  <c:v>2.74303057723663E6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891208"/>
        <c:axId val="-2135888168"/>
      </c:lineChart>
      <c:catAx>
        <c:axId val="-213589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888168"/>
        <c:crosses val="autoZero"/>
        <c:auto val="1"/>
        <c:lblAlgn val="ctr"/>
        <c:lblOffset val="100"/>
        <c:noMultiLvlLbl val="0"/>
      </c:catAx>
      <c:valAx>
        <c:axId val="-213588816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-2135891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720587</xdr:colOff>
      <xdr:row>62</xdr:row>
      <xdr:rowOff>124241</xdr:rowOff>
    </xdr:from>
    <xdr:to>
      <xdr:col>13</xdr:col>
      <xdr:colOff>281609</xdr:colOff>
      <xdr:row>76</xdr:row>
      <xdr:rowOff>82828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5"/>
  <sheetViews>
    <sheetView tabSelected="1" zoomScale="115" zoomScaleNormal="115" zoomScalePageLayoutView="115" workbookViewId="0">
      <selection activeCell="B49" sqref="B49"/>
    </sheetView>
  </sheetViews>
  <sheetFormatPr baseColWidth="10" defaultRowHeight="15" x14ac:dyDescent="0"/>
  <cols>
    <col min="1" max="1" width="31.6640625" bestFit="1" customWidth="1"/>
    <col min="2" max="2" width="12.5" customWidth="1"/>
    <col min="3" max="3" width="12.33203125" customWidth="1"/>
    <col min="5" max="5" width="10.83203125" customWidth="1"/>
    <col min="6" max="6" width="27.5" customWidth="1"/>
    <col min="7" max="7" width="11.6640625" customWidth="1"/>
    <col min="11" max="11" width="10.83203125" customWidth="1"/>
    <col min="29" max="29" width="20" bestFit="1" customWidth="1"/>
  </cols>
  <sheetData>
    <row r="1" spans="1:28" s="51" customFormat="1" ht="28">
      <c r="A1" s="50" t="s">
        <v>73</v>
      </c>
    </row>
    <row r="2" spans="1:28">
      <c r="A2" t="s">
        <v>75</v>
      </c>
    </row>
    <row r="4" spans="1:28">
      <c r="A4" s="1" t="s">
        <v>0</v>
      </c>
      <c r="B4" s="2"/>
      <c r="C4" s="3"/>
    </row>
    <row r="5" spans="1:28">
      <c r="A5" s="4" t="s">
        <v>1</v>
      </c>
      <c r="B5" s="5">
        <v>0.94599999999999995</v>
      </c>
      <c r="C5" s="6"/>
    </row>
    <row r="6" spans="1:28">
      <c r="A6" s="4" t="s">
        <v>2</v>
      </c>
      <c r="B6" s="5"/>
      <c r="C6" s="6"/>
    </row>
    <row r="7" spans="1:28">
      <c r="A7" s="7" t="s">
        <v>3</v>
      </c>
      <c r="B7" s="8">
        <v>8.93</v>
      </c>
      <c r="C7" s="6" t="s">
        <v>4</v>
      </c>
      <c r="AA7" s="68"/>
    </row>
    <row r="8" spans="1:28">
      <c r="A8" s="7" t="s">
        <v>5</v>
      </c>
      <c r="B8" s="8">
        <v>4.93</v>
      </c>
      <c r="C8" s="6" t="s">
        <v>4</v>
      </c>
      <c r="F8" s="65" t="s">
        <v>84</v>
      </c>
      <c r="G8" s="65">
        <v>2014</v>
      </c>
      <c r="H8" s="65">
        <v>2015</v>
      </c>
      <c r="I8" s="65">
        <v>2016</v>
      </c>
      <c r="J8" s="65">
        <v>2017</v>
      </c>
      <c r="K8" s="65">
        <v>2018</v>
      </c>
      <c r="L8" s="65">
        <v>2019</v>
      </c>
      <c r="M8" s="65">
        <v>2020</v>
      </c>
      <c r="N8" s="65">
        <v>2021</v>
      </c>
      <c r="O8" s="65">
        <v>2022</v>
      </c>
      <c r="P8" s="65">
        <v>2023</v>
      </c>
      <c r="Q8" s="65">
        <v>2024</v>
      </c>
      <c r="R8" s="65">
        <v>2025</v>
      </c>
      <c r="S8" s="65">
        <v>2026</v>
      </c>
      <c r="T8" s="65">
        <v>2027</v>
      </c>
      <c r="U8" s="65">
        <v>2028</v>
      </c>
      <c r="V8" s="65">
        <v>2029</v>
      </c>
      <c r="W8" s="65">
        <v>2030</v>
      </c>
      <c r="X8" s="65">
        <v>2031</v>
      </c>
      <c r="Y8" s="65">
        <v>2032</v>
      </c>
      <c r="Z8" s="65">
        <v>2033</v>
      </c>
      <c r="AA8" s="69"/>
    </row>
    <row r="9" spans="1:28">
      <c r="A9" s="7" t="s">
        <v>6</v>
      </c>
      <c r="B9" s="5"/>
      <c r="C9" s="6" t="s">
        <v>4</v>
      </c>
      <c r="F9" s="65" t="s">
        <v>84</v>
      </c>
      <c r="G9" s="65">
        <v>0</v>
      </c>
      <c r="H9" s="65">
        <v>1</v>
      </c>
      <c r="I9" s="65">
        <v>2</v>
      </c>
      <c r="J9" s="65">
        <v>3</v>
      </c>
      <c r="K9" s="65">
        <v>4</v>
      </c>
      <c r="L9" s="65">
        <v>5</v>
      </c>
      <c r="M9" s="65">
        <v>6</v>
      </c>
      <c r="N9" s="65">
        <v>7</v>
      </c>
      <c r="O9" s="65">
        <v>8</v>
      </c>
      <c r="P9" s="65">
        <v>9</v>
      </c>
      <c r="Q9" s="65">
        <v>10</v>
      </c>
      <c r="R9" s="65">
        <v>11</v>
      </c>
      <c r="S9" s="65">
        <v>12</v>
      </c>
      <c r="T9" s="65">
        <v>13</v>
      </c>
      <c r="U9" s="65">
        <v>14</v>
      </c>
      <c r="V9" s="65">
        <v>15</v>
      </c>
      <c r="W9" s="65">
        <v>16</v>
      </c>
      <c r="X9" s="65">
        <v>17</v>
      </c>
      <c r="Y9" s="65">
        <v>18</v>
      </c>
      <c r="Z9" s="65">
        <v>19</v>
      </c>
      <c r="AA9" s="69"/>
    </row>
    <row r="10" spans="1:28">
      <c r="A10" s="7" t="s">
        <v>6</v>
      </c>
      <c r="B10" s="5"/>
      <c r="C10" s="6" t="s">
        <v>7</v>
      </c>
      <c r="G10" s="66">
        <f>$B$63</f>
        <v>0.02</v>
      </c>
      <c r="H10" s="66">
        <f t="shared" ref="H10:Z10" si="0">$B$63</f>
        <v>0.02</v>
      </c>
      <c r="I10" s="66">
        <f t="shared" si="0"/>
        <v>0.02</v>
      </c>
      <c r="J10" s="66">
        <f t="shared" si="0"/>
        <v>0.02</v>
      </c>
      <c r="K10" s="66">
        <f t="shared" si="0"/>
        <v>0.02</v>
      </c>
      <c r="L10" s="66">
        <f t="shared" si="0"/>
        <v>0.02</v>
      </c>
      <c r="M10" s="66">
        <f t="shared" si="0"/>
        <v>0.02</v>
      </c>
      <c r="N10" s="66">
        <f t="shared" si="0"/>
        <v>0.02</v>
      </c>
      <c r="O10" s="66">
        <f t="shared" si="0"/>
        <v>0.02</v>
      </c>
      <c r="P10" s="66">
        <f t="shared" si="0"/>
        <v>0.02</v>
      </c>
      <c r="Q10" s="66">
        <f t="shared" si="0"/>
        <v>0.02</v>
      </c>
      <c r="R10" s="66">
        <f t="shared" si="0"/>
        <v>0.02</v>
      </c>
      <c r="S10" s="66">
        <f t="shared" si="0"/>
        <v>0.02</v>
      </c>
      <c r="T10" s="66">
        <f t="shared" si="0"/>
        <v>0.02</v>
      </c>
      <c r="U10" s="66">
        <f t="shared" si="0"/>
        <v>0.02</v>
      </c>
      <c r="V10" s="66">
        <f t="shared" si="0"/>
        <v>0.02</v>
      </c>
      <c r="W10" s="66">
        <f t="shared" si="0"/>
        <v>0.02</v>
      </c>
      <c r="X10" s="66">
        <f t="shared" si="0"/>
        <v>0.02</v>
      </c>
      <c r="Y10" s="66">
        <f t="shared" si="0"/>
        <v>0.02</v>
      </c>
      <c r="Z10" s="66">
        <f t="shared" si="0"/>
        <v>0.02</v>
      </c>
      <c r="AA10" s="70"/>
    </row>
    <row r="11" spans="1:28">
      <c r="A11" s="64" t="s">
        <v>8</v>
      </c>
      <c r="B11" s="5"/>
      <c r="C11" s="6"/>
      <c r="G11" s="67">
        <v>1</v>
      </c>
      <c r="H11" s="67">
        <f>G11*(1+H10)</f>
        <v>1.02</v>
      </c>
      <c r="I11" s="67">
        <f t="shared" ref="I11:Z11" si="1">H11*(1+I10)</f>
        <v>1.0404</v>
      </c>
      <c r="J11" s="67">
        <f t="shared" si="1"/>
        <v>1.0612079999999999</v>
      </c>
      <c r="K11" s="67">
        <f t="shared" si="1"/>
        <v>1.08243216</v>
      </c>
      <c r="L11" s="67">
        <f t="shared" si="1"/>
        <v>1.1040808032</v>
      </c>
      <c r="M11" s="67">
        <f t="shared" si="1"/>
        <v>1.1261624192640001</v>
      </c>
      <c r="N11" s="67">
        <f t="shared" si="1"/>
        <v>1.14868566764928</v>
      </c>
      <c r="O11" s="67">
        <f t="shared" si="1"/>
        <v>1.1716593810022657</v>
      </c>
      <c r="P11" s="67">
        <f t="shared" si="1"/>
        <v>1.1950925686223111</v>
      </c>
      <c r="Q11" s="67">
        <f t="shared" si="1"/>
        <v>1.2189944199947573</v>
      </c>
      <c r="R11" s="67">
        <f t="shared" si="1"/>
        <v>1.2433743083946525</v>
      </c>
      <c r="S11" s="67">
        <f t="shared" si="1"/>
        <v>1.2682417945625455</v>
      </c>
      <c r="T11" s="67">
        <f t="shared" si="1"/>
        <v>1.2936066304537963</v>
      </c>
      <c r="U11" s="67">
        <f t="shared" si="1"/>
        <v>1.3194787630628724</v>
      </c>
      <c r="V11" s="67">
        <f t="shared" si="1"/>
        <v>1.3458683383241299</v>
      </c>
      <c r="W11" s="67">
        <f t="shared" si="1"/>
        <v>1.3727857050906125</v>
      </c>
      <c r="X11" s="67">
        <f t="shared" si="1"/>
        <v>1.4002414191924248</v>
      </c>
      <c r="Y11" s="67">
        <f t="shared" si="1"/>
        <v>1.4282462475762734</v>
      </c>
      <c r="Z11" s="67">
        <f t="shared" si="1"/>
        <v>1.4568111725277988</v>
      </c>
      <c r="AA11" s="71"/>
    </row>
    <row r="12" spans="1:28">
      <c r="A12" s="7" t="s">
        <v>9</v>
      </c>
      <c r="B12" s="9">
        <v>8649.4</v>
      </c>
      <c r="C12" s="6" t="s">
        <v>10</v>
      </c>
      <c r="AA12" s="68"/>
    </row>
    <row r="13" spans="1:28">
      <c r="A13" s="7" t="s">
        <v>11</v>
      </c>
      <c r="B13" s="9">
        <v>9149</v>
      </c>
      <c r="C13" s="6" t="s">
        <v>10</v>
      </c>
    </row>
    <row r="14" spans="1:28">
      <c r="A14" s="7" t="s">
        <v>12</v>
      </c>
      <c r="B14" s="9">
        <v>9053</v>
      </c>
      <c r="C14" s="6" t="s">
        <v>10</v>
      </c>
    </row>
    <row r="15" spans="1:28">
      <c r="A15" s="7" t="s">
        <v>13</v>
      </c>
      <c r="B15" s="9">
        <v>8553</v>
      </c>
      <c r="C15" s="6" t="s">
        <v>10</v>
      </c>
      <c r="F15" s="47" t="s">
        <v>70</v>
      </c>
      <c r="G15" s="47">
        <v>2014</v>
      </c>
      <c r="H15" s="47">
        <v>2015</v>
      </c>
      <c r="I15" s="47">
        <v>2016</v>
      </c>
      <c r="J15" s="47">
        <v>2017</v>
      </c>
      <c r="K15" s="47">
        <v>2018</v>
      </c>
      <c r="L15" s="47">
        <v>2019</v>
      </c>
      <c r="M15" s="47">
        <v>2020</v>
      </c>
      <c r="N15" s="47">
        <v>2021</v>
      </c>
      <c r="O15" s="47">
        <v>2022</v>
      </c>
      <c r="P15" s="47">
        <v>2023</v>
      </c>
      <c r="Q15" s="47">
        <v>2024</v>
      </c>
      <c r="R15" s="47">
        <v>2025</v>
      </c>
      <c r="S15" s="47">
        <v>2026</v>
      </c>
      <c r="T15" s="47">
        <v>2027</v>
      </c>
      <c r="U15" s="47">
        <v>2028</v>
      </c>
      <c r="V15" s="47">
        <v>2029</v>
      </c>
      <c r="W15" s="47">
        <v>2030</v>
      </c>
      <c r="X15" s="47">
        <v>2031</v>
      </c>
      <c r="Y15" s="47">
        <v>2032</v>
      </c>
      <c r="Z15" s="47">
        <v>2033</v>
      </c>
      <c r="AA15" s="47"/>
      <c r="AB15" s="47"/>
    </row>
    <row r="16" spans="1:28">
      <c r="A16" s="10" t="s">
        <v>14</v>
      </c>
      <c r="B16" s="11">
        <v>8892</v>
      </c>
      <c r="C16" s="6" t="s">
        <v>10</v>
      </c>
      <c r="F16" s="47" t="s">
        <v>71</v>
      </c>
      <c r="G16" s="47">
        <v>0</v>
      </c>
      <c r="H16" s="47">
        <v>1</v>
      </c>
      <c r="I16" s="47">
        <v>2</v>
      </c>
      <c r="J16" s="47">
        <v>3</v>
      </c>
      <c r="K16" s="47">
        <v>4</v>
      </c>
      <c r="L16" s="47">
        <v>5</v>
      </c>
      <c r="M16" s="47">
        <v>6</v>
      </c>
      <c r="N16" s="47">
        <v>7</v>
      </c>
      <c r="O16" s="47">
        <v>8</v>
      </c>
      <c r="P16" s="47">
        <v>9</v>
      </c>
      <c r="Q16" s="47">
        <v>10</v>
      </c>
      <c r="R16" s="47">
        <v>11</v>
      </c>
      <c r="S16" s="47">
        <v>12</v>
      </c>
      <c r="T16" s="47">
        <v>13</v>
      </c>
      <c r="U16" s="47">
        <v>14</v>
      </c>
      <c r="V16" s="47">
        <v>15</v>
      </c>
      <c r="W16" s="47">
        <v>16</v>
      </c>
      <c r="X16" s="47">
        <v>17</v>
      </c>
      <c r="Y16" s="47">
        <v>18</v>
      </c>
      <c r="Z16" s="47">
        <v>19</v>
      </c>
      <c r="AA16" s="47"/>
      <c r="AB16" s="47"/>
    </row>
    <row r="17" spans="1:28">
      <c r="A17" s="10" t="s">
        <v>15</v>
      </c>
      <c r="B17" s="11">
        <v>8514.6</v>
      </c>
      <c r="C17" s="6" t="s">
        <v>10</v>
      </c>
      <c r="F17" s="57" t="s">
        <v>63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spans="1:28" ht="16" thickBot="1">
      <c r="A18" s="12" t="s">
        <v>16</v>
      </c>
      <c r="B18" s="13">
        <f>SUM(B12+B13+B14+B15+B16+B17)</f>
        <v>52811</v>
      </c>
      <c r="C18" s="14" t="s">
        <v>10</v>
      </c>
      <c r="F18" s="44" t="s">
        <v>56</v>
      </c>
      <c r="G18" s="52">
        <f>$B$19</f>
        <v>51374.540800000002</v>
      </c>
      <c r="H18" s="52">
        <f t="shared" ref="H18:Z18" si="2">$B$19</f>
        <v>51374.540800000002</v>
      </c>
      <c r="I18" s="52">
        <f t="shared" si="2"/>
        <v>51374.540800000002</v>
      </c>
      <c r="J18" s="52">
        <f t="shared" si="2"/>
        <v>51374.540800000002</v>
      </c>
      <c r="K18" s="52">
        <f t="shared" si="2"/>
        <v>51374.540800000002</v>
      </c>
      <c r="L18" s="52">
        <f t="shared" si="2"/>
        <v>51374.540800000002</v>
      </c>
      <c r="M18" s="52">
        <f t="shared" si="2"/>
        <v>51374.540800000002</v>
      </c>
      <c r="N18" s="52">
        <f t="shared" si="2"/>
        <v>51374.540800000002</v>
      </c>
      <c r="O18" s="52">
        <f t="shared" si="2"/>
        <v>51374.540800000002</v>
      </c>
      <c r="P18" s="52">
        <f t="shared" si="2"/>
        <v>51374.540800000002</v>
      </c>
      <c r="Q18" s="52">
        <f t="shared" si="2"/>
        <v>51374.540800000002</v>
      </c>
      <c r="R18" s="52">
        <f t="shared" si="2"/>
        <v>51374.540800000002</v>
      </c>
      <c r="S18" s="52">
        <f t="shared" si="2"/>
        <v>51374.540800000002</v>
      </c>
      <c r="T18" s="52">
        <f t="shared" si="2"/>
        <v>51374.540800000002</v>
      </c>
      <c r="U18" s="52">
        <f t="shared" si="2"/>
        <v>51374.540800000002</v>
      </c>
      <c r="V18" s="52">
        <f t="shared" si="2"/>
        <v>51374.540800000002</v>
      </c>
      <c r="W18" s="52">
        <f t="shared" si="2"/>
        <v>51374.540800000002</v>
      </c>
      <c r="X18" s="52">
        <f t="shared" si="2"/>
        <v>51374.540800000002</v>
      </c>
      <c r="Y18" s="52">
        <f t="shared" si="2"/>
        <v>51374.540800000002</v>
      </c>
      <c r="Z18" s="52">
        <f t="shared" si="2"/>
        <v>51374.540800000002</v>
      </c>
      <c r="AA18" s="52"/>
      <c r="AB18" s="52"/>
    </row>
    <row r="19" spans="1:28" ht="16" thickTop="1">
      <c r="A19" s="15" t="s">
        <v>17</v>
      </c>
      <c r="B19" s="11">
        <f>B18*(97.28/100)</f>
        <v>51374.540800000002</v>
      </c>
      <c r="C19" s="16" t="s">
        <v>10</v>
      </c>
      <c r="F19" s="44" t="s">
        <v>57</v>
      </c>
      <c r="G19" s="53">
        <f>$B$20</f>
        <v>8.9300000000000004E-2</v>
      </c>
      <c r="H19" s="53">
        <f t="shared" ref="H19:Z19" si="3">$B$20</f>
        <v>8.9300000000000004E-2</v>
      </c>
      <c r="I19" s="53">
        <f t="shared" si="3"/>
        <v>8.9300000000000004E-2</v>
      </c>
      <c r="J19" s="53">
        <f t="shared" si="3"/>
        <v>8.9300000000000004E-2</v>
      </c>
      <c r="K19" s="53">
        <f t="shared" si="3"/>
        <v>8.9300000000000004E-2</v>
      </c>
      <c r="L19" s="53">
        <f t="shared" si="3"/>
        <v>8.9300000000000004E-2</v>
      </c>
      <c r="M19" s="53">
        <f t="shared" si="3"/>
        <v>8.9300000000000004E-2</v>
      </c>
      <c r="N19" s="53">
        <f t="shared" si="3"/>
        <v>8.9300000000000004E-2</v>
      </c>
      <c r="O19" s="53">
        <f t="shared" si="3"/>
        <v>8.9300000000000004E-2</v>
      </c>
      <c r="P19" s="53">
        <f t="shared" si="3"/>
        <v>8.9300000000000004E-2</v>
      </c>
      <c r="Q19" s="53">
        <f t="shared" si="3"/>
        <v>8.9300000000000004E-2</v>
      </c>
      <c r="R19" s="53">
        <f t="shared" si="3"/>
        <v>8.9300000000000004E-2</v>
      </c>
      <c r="S19" s="53">
        <f t="shared" si="3"/>
        <v>8.9300000000000004E-2</v>
      </c>
      <c r="T19" s="53">
        <f t="shared" si="3"/>
        <v>8.9300000000000004E-2</v>
      </c>
      <c r="U19" s="53">
        <f t="shared" si="3"/>
        <v>8.9300000000000004E-2</v>
      </c>
      <c r="V19" s="53">
        <f t="shared" si="3"/>
        <v>8.9300000000000004E-2</v>
      </c>
      <c r="W19" s="53">
        <f t="shared" si="3"/>
        <v>8.9300000000000004E-2</v>
      </c>
      <c r="X19" s="53">
        <f t="shared" si="3"/>
        <v>8.9300000000000004E-2</v>
      </c>
      <c r="Y19" s="53">
        <f t="shared" si="3"/>
        <v>8.9300000000000004E-2</v>
      </c>
      <c r="Z19" s="53">
        <f t="shared" si="3"/>
        <v>8.9300000000000004E-2</v>
      </c>
      <c r="AA19" s="53"/>
      <c r="AB19" s="53"/>
    </row>
    <row r="20" spans="1:28" ht="16" thickBot="1">
      <c r="A20" s="15" t="s">
        <v>18</v>
      </c>
      <c r="B20" s="17">
        <v>8.9300000000000004E-2</v>
      </c>
      <c r="C20" s="16" t="s">
        <v>19</v>
      </c>
      <c r="F20" s="45" t="s">
        <v>78</v>
      </c>
      <c r="G20" s="55">
        <f>G18*G19*1000</f>
        <v>4587746.4934400003</v>
      </c>
      <c r="H20" s="55">
        <f>H18*H19*1000</f>
        <v>4587746.4934400003</v>
      </c>
      <c r="I20" s="55">
        <f t="shared" ref="I20:Z20" si="4">I18*I19*1000</f>
        <v>4587746.4934400003</v>
      </c>
      <c r="J20" s="55">
        <f t="shared" si="4"/>
        <v>4587746.4934400003</v>
      </c>
      <c r="K20" s="55">
        <f t="shared" si="4"/>
        <v>4587746.4934400003</v>
      </c>
      <c r="L20" s="55">
        <f t="shared" si="4"/>
        <v>4587746.4934400003</v>
      </c>
      <c r="M20" s="55">
        <f t="shared" si="4"/>
        <v>4587746.4934400003</v>
      </c>
      <c r="N20" s="55">
        <f t="shared" si="4"/>
        <v>4587746.4934400003</v>
      </c>
      <c r="O20" s="55">
        <f t="shared" si="4"/>
        <v>4587746.4934400003</v>
      </c>
      <c r="P20" s="55">
        <f t="shared" si="4"/>
        <v>4587746.4934400003</v>
      </c>
      <c r="Q20" s="55">
        <f t="shared" si="4"/>
        <v>4587746.4934400003</v>
      </c>
      <c r="R20" s="55">
        <f t="shared" si="4"/>
        <v>4587746.4934400003</v>
      </c>
      <c r="S20" s="55">
        <f t="shared" si="4"/>
        <v>4587746.4934400003</v>
      </c>
      <c r="T20" s="55">
        <f t="shared" si="4"/>
        <v>4587746.4934400003</v>
      </c>
      <c r="U20" s="55">
        <f t="shared" si="4"/>
        <v>4587746.4934400003</v>
      </c>
      <c r="V20" s="55">
        <f t="shared" si="4"/>
        <v>4587746.4934400003</v>
      </c>
      <c r="W20" s="55">
        <f t="shared" si="4"/>
        <v>4587746.4934400003</v>
      </c>
      <c r="X20" s="55">
        <f t="shared" si="4"/>
        <v>4587746.4934400003</v>
      </c>
      <c r="Y20" s="55">
        <f t="shared" si="4"/>
        <v>4587746.4934400003</v>
      </c>
      <c r="Z20" s="55">
        <f t="shared" si="4"/>
        <v>4587746.4934400003</v>
      </c>
      <c r="AA20" s="55"/>
      <c r="AB20" s="55"/>
    </row>
    <row r="21" spans="1:28" ht="16" thickTop="1">
      <c r="A21" s="18" t="s">
        <v>20</v>
      </c>
      <c r="B21" s="11">
        <f>B19*B20</f>
        <v>4587.7464934400004</v>
      </c>
      <c r="C21" s="16" t="s">
        <v>21</v>
      </c>
      <c r="F21" s="19"/>
    </row>
    <row r="22" spans="1:28">
      <c r="A22" s="19"/>
      <c r="B22" s="19"/>
      <c r="C22" s="19"/>
      <c r="F22" s="56" t="s">
        <v>61</v>
      </c>
    </row>
    <row r="23" spans="1:28">
      <c r="A23" s="1" t="s">
        <v>22</v>
      </c>
      <c r="B23" s="20"/>
      <c r="C23" s="21"/>
      <c r="F23" s="58" t="s">
        <v>62</v>
      </c>
    </row>
    <row r="24" spans="1:28">
      <c r="A24" s="4" t="s">
        <v>23</v>
      </c>
      <c r="B24" s="22">
        <f>-4090*6</f>
        <v>-24540</v>
      </c>
      <c r="C24" s="6" t="s">
        <v>21</v>
      </c>
      <c r="F24" s="60" t="s">
        <v>62</v>
      </c>
      <c r="G24" s="52">
        <f>$B$53*(-1)*1000</f>
        <v>18414678.799999997</v>
      </c>
      <c r="H24" s="52">
        <f>G24-G26</f>
        <v>18414678.799999997</v>
      </c>
      <c r="I24" s="52">
        <f t="shared" ref="I24:Z24" si="5">H24-H26</f>
        <v>18414678.799999997</v>
      </c>
      <c r="J24" s="52">
        <f>I24-I26</f>
        <v>17187033.546666663</v>
      </c>
      <c r="K24" s="52">
        <f t="shared" si="5"/>
        <v>15959388.293333329</v>
      </c>
      <c r="L24" s="52">
        <f t="shared" si="5"/>
        <v>14731743.039999995</v>
      </c>
      <c r="M24" s="52">
        <f t="shared" si="5"/>
        <v>13504097.786666662</v>
      </c>
      <c r="N24" s="52">
        <f t="shared" si="5"/>
        <v>12276452.533333328</v>
      </c>
      <c r="O24" s="52">
        <f t="shared" si="5"/>
        <v>11048807.279999994</v>
      </c>
      <c r="P24" s="52">
        <f t="shared" si="5"/>
        <v>9821162.0266666599</v>
      </c>
      <c r="Q24" s="52">
        <f t="shared" si="5"/>
        <v>8593516.773333326</v>
      </c>
      <c r="R24" s="52">
        <f t="shared" si="5"/>
        <v>7365871.519999993</v>
      </c>
      <c r="S24" s="52">
        <f t="shared" si="5"/>
        <v>6138226.2666666601</v>
      </c>
      <c r="T24" s="52">
        <f t="shared" si="5"/>
        <v>4910581.0133333271</v>
      </c>
      <c r="U24" s="52">
        <f t="shared" si="5"/>
        <v>3682935.7599999942</v>
      </c>
      <c r="V24" s="52">
        <f t="shared" si="5"/>
        <v>2455290.5066666612</v>
      </c>
      <c r="W24" s="52">
        <f>V24-V26</f>
        <v>1227645.2533333281</v>
      </c>
      <c r="X24" s="52">
        <f t="shared" si="5"/>
        <v>-5.1222741603851318E-9</v>
      </c>
      <c r="Y24" s="52">
        <f t="shared" si="5"/>
        <v>-5.1222741603851318E-9</v>
      </c>
      <c r="Z24" s="52">
        <f t="shared" si="5"/>
        <v>-5.1222741603851318E-9</v>
      </c>
      <c r="AA24" s="52"/>
      <c r="AB24" s="52"/>
    </row>
    <row r="25" spans="1:28">
      <c r="A25" s="4" t="s">
        <v>74</v>
      </c>
      <c r="B25" s="22">
        <v>-165</v>
      </c>
      <c r="C25" s="6" t="s">
        <v>21</v>
      </c>
      <c r="F25" s="44" t="s">
        <v>59</v>
      </c>
      <c r="G25" s="52">
        <f>$B$48*G24</f>
        <v>1029674.3863568656</v>
      </c>
      <c r="H25" s="52">
        <f t="shared" ref="H25:Z25" si="6">$B$48*H24</f>
        <v>1029674.3863568656</v>
      </c>
      <c r="I25" s="52">
        <f t="shared" si="6"/>
        <v>1029674.3863568656</v>
      </c>
      <c r="J25" s="52">
        <f t="shared" si="6"/>
        <v>961029.42726640787</v>
      </c>
      <c r="K25" s="52">
        <f t="shared" si="6"/>
        <v>892384.46817595011</v>
      </c>
      <c r="L25" s="52">
        <f t="shared" si="6"/>
        <v>823739.50908549246</v>
      </c>
      <c r="M25" s="52">
        <f t="shared" si="6"/>
        <v>755094.5499950347</v>
      </c>
      <c r="N25" s="52">
        <f t="shared" si="6"/>
        <v>686449.59090457694</v>
      </c>
      <c r="O25" s="52">
        <f t="shared" si="6"/>
        <v>617804.63181411917</v>
      </c>
      <c r="P25" s="52">
        <f t="shared" si="6"/>
        <v>549159.67272366141</v>
      </c>
      <c r="Q25" s="52">
        <f t="shared" si="6"/>
        <v>480514.71363320365</v>
      </c>
      <c r="R25" s="52">
        <f t="shared" si="6"/>
        <v>411869.75454274594</v>
      </c>
      <c r="S25" s="52">
        <f t="shared" si="6"/>
        <v>343224.79545228824</v>
      </c>
      <c r="T25" s="52">
        <f t="shared" si="6"/>
        <v>274579.83636183053</v>
      </c>
      <c r="U25" s="52">
        <f t="shared" si="6"/>
        <v>205934.87727137285</v>
      </c>
      <c r="V25" s="52">
        <f t="shared" si="6"/>
        <v>137289.91818091515</v>
      </c>
      <c r="W25" s="52">
        <f t="shared" si="6"/>
        <v>68644.959090457429</v>
      </c>
      <c r="X25" s="52">
        <f t="shared" si="6"/>
        <v>-2.8641686125126391E-10</v>
      </c>
      <c r="Y25" s="52">
        <f t="shared" si="6"/>
        <v>-2.8641686125126391E-10</v>
      </c>
      <c r="Z25" s="52">
        <f t="shared" si="6"/>
        <v>-2.8641686125126391E-10</v>
      </c>
      <c r="AA25" s="52"/>
      <c r="AB25" s="52"/>
    </row>
    <row r="26" spans="1:28">
      <c r="A26" s="4" t="s">
        <v>24</v>
      </c>
      <c r="B26" s="22">
        <v>0</v>
      </c>
      <c r="C26" s="6" t="s">
        <v>21</v>
      </c>
      <c r="F26" s="44" t="s">
        <v>60</v>
      </c>
      <c r="G26" s="52">
        <f>IF(G16&gt;=2,$G$24/$B$49,0)</f>
        <v>0</v>
      </c>
      <c r="H26" s="52">
        <f t="shared" ref="H26" si="7">IF(H16&gt;=3,$G$24/$B$49,0)</f>
        <v>0</v>
      </c>
      <c r="I26" s="52">
        <f>IF(I16&gt;=2,$G$24/$B$49,0)</f>
        <v>1227645.2533333332</v>
      </c>
      <c r="J26" s="52">
        <f t="shared" ref="J26:W26" si="8">IF(J16&gt;=2,$G$24/$B$49,0)</f>
        <v>1227645.2533333332</v>
      </c>
      <c r="K26" s="52">
        <f t="shared" si="8"/>
        <v>1227645.2533333332</v>
      </c>
      <c r="L26" s="52">
        <f t="shared" si="8"/>
        <v>1227645.2533333332</v>
      </c>
      <c r="M26" s="52">
        <f t="shared" si="8"/>
        <v>1227645.2533333332</v>
      </c>
      <c r="N26" s="52">
        <f t="shared" si="8"/>
        <v>1227645.2533333332</v>
      </c>
      <c r="O26" s="52">
        <f t="shared" si="8"/>
        <v>1227645.2533333332</v>
      </c>
      <c r="P26" s="52">
        <f t="shared" si="8"/>
        <v>1227645.2533333332</v>
      </c>
      <c r="Q26" s="52">
        <f t="shared" si="8"/>
        <v>1227645.2533333332</v>
      </c>
      <c r="R26" s="52">
        <f t="shared" si="8"/>
        <v>1227645.2533333332</v>
      </c>
      <c r="S26" s="52">
        <f t="shared" si="8"/>
        <v>1227645.2533333332</v>
      </c>
      <c r="T26" s="52">
        <f t="shared" si="8"/>
        <v>1227645.2533333332</v>
      </c>
      <c r="U26" s="52">
        <f t="shared" si="8"/>
        <v>1227645.2533333332</v>
      </c>
      <c r="V26" s="52">
        <f t="shared" si="8"/>
        <v>1227645.2533333332</v>
      </c>
      <c r="W26" s="52">
        <f t="shared" si="8"/>
        <v>1227645.2533333332</v>
      </c>
      <c r="X26" s="52">
        <v>0</v>
      </c>
      <c r="Y26" s="52">
        <v>0</v>
      </c>
      <c r="Z26" s="52">
        <v>0</v>
      </c>
      <c r="AA26" s="52"/>
      <c r="AB26" s="52"/>
    </row>
    <row r="27" spans="1:28">
      <c r="A27" s="4" t="s">
        <v>25</v>
      </c>
      <c r="B27" s="22">
        <v>-321.68400000000003</v>
      </c>
      <c r="C27" s="6" t="s">
        <v>21</v>
      </c>
    </row>
    <row r="28" spans="1:28">
      <c r="A28" s="4" t="s">
        <v>26</v>
      </c>
      <c r="B28" s="22">
        <v>-550</v>
      </c>
      <c r="C28" s="6" t="s">
        <v>21</v>
      </c>
      <c r="F28" s="58" t="s">
        <v>47</v>
      </c>
      <c r="G28" s="49"/>
    </row>
    <row r="29" spans="1:28">
      <c r="A29" s="4" t="s">
        <v>27</v>
      </c>
      <c r="B29" s="22">
        <v>-170</v>
      </c>
      <c r="C29" s="6" t="s">
        <v>21</v>
      </c>
      <c r="F29" s="44" t="s">
        <v>58</v>
      </c>
      <c r="G29" s="52">
        <f>$B$52*(-1)*1000</f>
        <v>7892005.2000000011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/>
      <c r="AB29" s="52"/>
    </row>
    <row r="30" spans="1:28">
      <c r="A30" s="4" t="s">
        <v>28</v>
      </c>
      <c r="B30" s="22">
        <v>-50</v>
      </c>
      <c r="C30" s="6" t="s">
        <v>21</v>
      </c>
      <c r="F30" s="44" t="s">
        <v>59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  <c r="AA30" s="54"/>
      <c r="AB30" s="54"/>
    </row>
    <row r="31" spans="1:28">
      <c r="A31" s="4" t="s">
        <v>29</v>
      </c>
      <c r="B31" s="22">
        <v>-250</v>
      </c>
      <c r="C31" s="6" t="s">
        <v>21</v>
      </c>
      <c r="F31" s="44" t="s">
        <v>60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0</v>
      </c>
      <c r="Z31" s="54">
        <v>0</v>
      </c>
      <c r="AA31" s="54"/>
      <c r="AB31" s="54"/>
    </row>
    <row r="32" spans="1:28">
      <c r="A32" s="4" t="s">
        <v>30</v>
      </c>
      <c r="B32" s="22">
        <v>-260</v>
      </c>
      <c r="C32" s="6" t="s">
        <v>21</v>
      </c>
    </row>
    <row r="33" spans="1:28">
      <c r="A33" s="23" t="s">
        <v>31</v>
      </c>
      <c r="B33" s="24">
        <f>SUM(B24:B32)</f>
        <v>-26306.684000000001</v>
      </c>
      <c r="C33" s="25" t="s">
        <v>21</v>
      </c>
      <c r="F33" s="58" t="s">
        <v>6</v>
      </c>
    </row>
    <row r="34" spans="1:28">
      <c r="A34" s="26"/>
      <c r="B34" s="27"/>
      <c r="C34" s="28"/>
      <c r="F34" s="44" t="s">
        <v>58</v>
      </c>
      <c r="G34" s="52">
        <f>G24+G29</f>
        <v>26306684</v>
      </c>
      <c r="H34" s="52">
        <f t="shared" ref="H34:Z34" si="9">H24+H29</f>
        <v>18414678.799999997</v>
      </c>
      <c r="I34" s="52">
        <f t="shared" si="9"/>
        <v>18414678.799999997</v>
      </c>
      <c r="J34" s="52">
        <f t="shared" si="9"/>
        <v>17187033.546666663</v>
      </c>
      <c r="K34" s="52">
        <f t="shared" si="9"/>
        <v>15959388.293333329</v>
      </c>
      <c r="L34" s="52">
        <f t="shared" si="9"/>
        <v>14731743.039999995</v>
      </c>
      <c r="M34" s="52">
        <f t="shared" si="9"/>
        <v>13504097.786666662</v>
      </c>
      <c r="N34" s="52">
        <f t="shared" si="9"/>
        <v>12276452.533333328</v>
      </c>
      <c r="O34" s="52">
        <f t="shared" si="9"/>
        <v>11048807.279999994</v>
      </c>
      <c r="P34" s="52">
        <f t="shared" si="9"/>
        <v>9821162.0266666599</v>
      </c>
      <c r="Q34" s="52">
        <f t="shared" si="9"/>
        <v>8593516.773333326</v>
      </c>
      <c r="R34" s="52">
        <f t="shared" si="9"/>
        <v>7365871.519999993</v>
      </c>
      <c r="S34" s="52">
        <f t="shared" si="9"/>
        <v>6138226.2666666601</v>
      </c>
      <c r="T34" s="52">
        <f t="shared" si="9"/>
        <v>4910581.0133333271</v>
      </c>
      <c r="U34" s="52">
        <f t="shared" si="9"/>
        <v>3682935.7599999942</v>
      </c>
      <c r="V34" s="52">
        <f t="shared" si="9"/>
        <v>2455290.5066666612</v>
      </c>
      <c r="W34" s="52">
        <f t="shared" si="9"/>
        <v>1227645.2533333281</v>
      </c>
      <c r="X34" s="52">
        <f t="shared" si="9"/>
        <v>-5.1222741603851318E-9</v>
      </c>
      <c r="Y34" s="52">
        <f t="shared" si="9"/>
        <v>-5.1222741603851318E-9</v>
      </c>
      <c r="Z34" s="52">
        <f t="shared" si="9"/>
        <v>-5.1222741603851318E-9</v>
      </c>
      <c r="AA34" s="52"/>
      <c r="AB34" s="52"/>
    </row>
    <row r="35" spans="1:28">
      <c r="A35" s="1" t="s">
        <v>32</v>
      </c>
      <c r="B35" s="2"/>
      <c r="C35" s="3"/>
      <c r="F35" s="44" t="s">
        <v>59</v>
      </c>
      <c r="G35" s="52">
        <f>G25+G30</f>
        <v>1029674.3863568656</v>
      </c>
      <c r="H35" s="52">
        <f t="shared" ref="H35:Z35" si="10">H25+H30</f>
        <v>1029674.3863568656</v>
      </c>
      <c r="I35" s="52">
        <f t="shared" si="10"/>
        <v>1029674.3863568656</v>
      </c>
      <c r="J35" s="52">
        <f t="shared" si="10"/>
        <v>961029.42726640787</v>
      </c>
      <c r="K35" s="52">
        <f t="shared" si="10"/>
        <v>892384.46817595011</v>
      </c>
      <c r="L35" s="52">
        <f t="shared" si="10"/>
        <v>823739.50908549246</v>
      </c>
      <c r="M35" s="52">
        <f t="shared" si="10"/>
        <v>755094.5499950347</v>
      </c>
      <c r="N35" s="52">
        <f t="shared" si="10"/>
        <v>686449.59090457694</v>
      </c>
      <c r="O35" s="52">
        <f t="shared" si="10"/>
        <v>617804.63181411917</v>
      </c>
      <c r="P35" s="52">
        <f t="shared" si="10"/>
        <v>549159.67272366141</v>
      </c>
      <c r="Q35" s="52">
        <f t="shared" si="10"/>
        <v>480514.71363320365</v>
      </c>
      <c r="R35" s="52">
        <f t="shared" si="10"/>
        <v>411869.75454274594</v>
      </c>
      <c r="S35" s="52">
        <f t="shared" si="10"/>
        <v>343224.79545228824</v>
      </c>
      <c r="T35" s="52">
        <f t="shared" si="10"/>
        <v>274579.83636183053</v>
      </c>
      <c r="U35" s="52">
        <f t="shared" si="10"/>
        <v>205934.87727137285</v>
      </c>
      <c r="V35" s="52">
        <f t="shared" si="10"/>
        <v>137289.91818091515</v>
      </c>
      <c r="W35" s="52">
        <f t="shared" si="10"/>
        <v>68644.959090457429</v>
      </c>
      <c r="X35" s="52">
        <f t="shared" si="10"/>
        <v>-2.8641686125126391E-10</v>
      </c>
      <c r="Y35" s="52">
        <f t="shared" si="10"/>
        <v>-2.8641686125126391E-10</v>
      </c>
      <c r="Z35" s="52">
        <f t="shared" si="10"/>
        <v>-2.8641686125126391E-10</v>
      </c>
      <c r="AA35" s="52"/>
      <c r="AB35" s="52"/>
    </row>
    <row r="36" spans="1:28">
      <c r="A36" s="72" t="s">
        <v>85</v>
      </c>
      <c r="B36" s="22">
        <f>B21*5/100*(-1)</f>
        <v>-229.38732467200003</v>
      </c>
      <c r="C36" s="6" t="s">
        <v>21</v>
      </c>
      <c r="F36" s="44" t="s">
        <v>60</v>
      </c>
      <c r="G36" s="52">
        <f>G26+G31</f>
        <v>0</v>
      </c>
      <c r="H36" s="52">
        <f t="shared" ref="H36:Z36" si="11">H26+H31</f>
        <v>0</v>
      </c>
      <c r="I36" s="52">
        <f t="shared" si="11"/>
        <v>1227645.2533333332</v>
      </c>
      <c r="J36" s="52">
        <f t="shared" si="11"/>
        <v>1227645.2533333332</v>
      </c>
      <c r="K36" s="52">
        <f t="shared" si="11"/>
        <v>1227645.2533333332</v>
      </c>
      <c r="L36" s="52">
        <f t="shared" si="11"/>
        <v>1227645.2533333332</v>
      </c>
      <c r="M36" s="52">
        <f t="shared" si="11"/>
        <v>1227645.2533333332</v>
      </c>
      <c r="N36" s="52">
        <f t="shared" si="11"/>
        <v>1227645.2533333332</v>
      </c>
      <c r="O36" s="52">
        <f t="shared" si="11"/>
        <v>1227645.2533333332</v>
      </c>
      <c r="P36" s="52">
        <f t="shared" si="11"/>
        <v>1227645.2533333332</v>
      </c>
      <c r="Q36" s="52">
        <f t="shared" si="11"/>
        <v>1227645.2533333332</v>
      </c>
      <c r="R36" s="52">
        <f t="shared" si="11"/>
        <v>1227645.2533333332</v>
      </c>
      <c r="S36" s="52">
        <f t="shared" si="11"/>
        <v>1227645.2533333332</v>
      </c>
      <c r="T36" s="52">
        <f t="shared" si="11"/>
        <v>1227645.2533333332</v>
      </c>
      <c r="U36" s="52">
        <f t="shared" si="11"/>
        <v>1227645.2533333332</v>
      </c>
      <c r="V36" s="52">
        <f t="shared" si="11"/>
        <v>1227645.2533333332</v>
      </c>
      <c r="W36" s="52">
        <f t="shared" si="11"/>
        <v>1227645.2533333332</v>
      </c>
      <c r="X36" s="52">
        <f t="shared" si="11"/>
        <v>0</v>
      </c>
      <c r="Y36" s="52">
        <f t="shared" si="11"/>
        <v>0</v>
      </c>
      <c r="Z36" s="52">
        <f t="shared" si="11"/>
        <v>0</v>
      </c>
      <c r="AA36" s="52"/>
      <c r="AB36" s="52"/>
    </row>
    <row r="37" spans="1:28">
      <c r="A37" s="30" t="s">
        <v>33</v>
      </c>
      <c r="B37" s="31">
        <v>-520</v>
      </c>
      <c r="C37" s="32" t="s">
        <v>21</v>
      </c>
    </row>
    <row r="38" spans="1:28">
      <c r="A38" s="18" t="s">
        <v>34</v>
      </c>
      <c r="B38" s="33">
        <v>-27</v>
      </c>
      <c r="C38" s="16" t="s">
        <v>21</v>
      </c>
      <c r="F38" s="44" t="s">
        <v>64</v>
      </c>
      <c r="G38" s="52">
        <f>G35+G36</f>
        <v>1029674.3863568656</v>
      </c>
      <c r="H38" s="52">
        <f t="shared" ref="H38:Z38" si="12">H35+H36</f>
        <v>1029674.3863568656</v>
      </c>
      <c r="I38" s="52">
        <f t="shared" si="12"/>
        <v>2257319.6396901989</v>
      </c>
      <c r="J38" s="52">
        <f t="shared" si="12"/>
        <v>2188674.6805997412</v>
      </c>
      <c r="K38" s="52">
        <f t="shared" si="12"/>
        <v>2120029.7215092834</v>
      </c>
      <c r="L38" s="52">
        <f t="shared" si="12"/>
        <v>2051384.7624188256</v>
      </c>
      <c r="M38" s="52">
        <f t="shared" si="12"/>
        <v>1982739.8033283679</v>
      </c>
      <c r="N38" s="52">
        <f t="shared" si="12"/>
        <v>1914094.8442379101</v>
      </c>
      <c r="O38" s="52">
        <f t="shared" si="12"/>
        <v>1845449.8851474524</v>
      </c>
      <c r="P38" s="52">
        <f t="shared" si="12"/>
        <v>1776804.9260569946</v>
      </c>
      <c r="Q38" s="52">
        <f t="shared" si="12"/>
        <v>1708159.9669665368</v>
      </c>
      <c r="R38" s="52">
        <f t="shared" si="12"/>
        <v>1639515.0078760791</v>
      </c>
      <c r="S38" s="52">
        <f t="shared" si="12"/>
        <v>1570870.0487856213</v>
      </c>
      <c r="T38" s="52">
        <f t="shared" si="12"/>
        <v>1502225.0896951638</v>
      </c>
      <c r="U38" s="52">
        <f t="shared" si="12"/>
        <v>1433580.130604706</v>
      </c>
      <c r="V38" s="52">
        <f t="shared" si="12"/>
        <v>1364935.1715142482</v>
      </c>
      <c r="W38" s="52">
        <f t="shared" si="12"/>
        <v>1296290.2124237907</v>
      </c>
      <c r="X38" s="52">
        <f t="shared" si="12"/>
        <v>-2.8641686125126391E-10</v>
      </c>
      <c r="Y38" s="52">
        <f t="shared" si="12"/>
        <v>-2.8641686125126391E-10</v>
      </c>
      <c r="Z38" s="52">
        <f t="shared" si="12"/>
        <v>-2.8641686125126391E-10</v>
      </c>
      <c r="AA38" s="52"/>
      <c r="AB38" s="52"/>
    </row>
    <row r="39" spans="1:28">
      <c r="A39" s="4" t="s">
        <v>35</v>
      </c>
      <c r="B39" s="22">
        <v>-40</v>
      </c>
      <c r="C39" s="6" t="s">
        <v>21</v>
      </c>
      <c r="F39" s="44" t="s">
        <v>32</v>
      </c>
      <c r="G39" s="52">
        <f>(-1)*$B$43*G11*1000</f>
        <v>1058467.324672</v>
      </c>
      <c r="H39" s="52">
        <f t="shared" ref="H39:Z39" si="13">(-1)*$B$43*(1+$B$63)^H16*1000</f>
        <v>1079636.67116544</v>
      </c>
      <c r="I39" s="52">
        <f t="shared" si="13"/>
        <v>1101229.4045887487</v>
      </c>
      <c r="J39" s="52">
        <f t="shared" si="13"/>
        <v>1123253.9926805235</v>
      </c>
      <c r="K39" s="52">
        <f t="shared" si="13"/>
        <v>1145719.0725341341</v>
      </c>
      <c r="L39" s="52">
        <f t="shared" si="13"/>
        <v>1168633.453984817</v>
      </c>
      <c r="M39" s="52">
        <f t="shared" si="13"/>
        <v>1192006.1230645133</v>
      </c>
      <c r="N39" s="52">
        <f t="shared" si="13"/>
        <v>1215846.2455258032</v>
      </c>
      <c r="O39" s="52">
        <f t="shared" si="13"/>
        <v>1240163.1704363194</v>
      </c>
      <c r="P39" s="52">
        <f t="shared" si="13"/>
        <v>1264966.433845046</v>
      </c>
      <c r="Q39" s="52">
        <f t="shared" si="13"/>
        <v>1290265.7625219468</v>
      </c>
      <c r="R39" s="52">
        <f t="shared" si="13"/>
        <v>1316071.0777723854</v>
      </c>
      <c r="S39" s="52">
        <f t="shared" si="13"/>
        <v>1342392.4993278333</v>
      </c>
      <c r="T39" s="52">
        <f t="shared" si="13"/>
        <v>1369240.34931439</v>
      </c>
      <c r="U39" s="52">
        <f t="shared" si="13"/>
        <v>1396625.1563006779</v>
      </c>
      <c r="V39" s="52">
        <f t="shared" si="13"/>
        <v>1424557.659426691</v>
      </c>
      <c r="W39" s="52">
        <f t="shared" si="13"/>
        <v>1453048.8126152251</v>
      </c>
      <c r="X39" s="52">
        <f t="shared" si="13"/>
        <v>1482109.7888675297</v>
      </c>
      <c r="Y39" s="52">
        <f t="shared" si="13"/>
        <v>1511751.9846448801</v>
      </c>
      <c r="Z39" s="52">
        <f t="shared" si="13"/>
        <v>1541987.0243377776</v>
      </c>
      <c r="AA39" s="52"/>
      <c r="AB39" s="52"/>
    </row>
    <row r="40" spans="1:28" ht="16" thickBot="1">
      <c r="A40" s="4" t="s">
        <v>36</v>
      </c>
      <c r="B40" s="22">
        <v>-24</v>
      </c>
      <c r="C40" s="6" t="s">
        <v>21</v>
      </c>
      <c r="F40" s="45" t="s">
        <v>65</v>
      </c>
      <c r="G40" s="55">
        <f>G38+G39</f>
        <v>2088141.7110288655</v>
      </c>
      <c r="H40" s="55">
        <f t="shared" ref="H40:Z40" si="14">H38+H39</f>
        <v>2109311.0575223058</v>
      </c>
      <c r="I40" s="55">
        <f t="shared" si="14"/>
        <v>3358549.0442789476</v>
      </c>
      <c r="J40" s="55">
        <f t="shared" si="14"/>
        <v>3311928.6732802647</v>
      </c>
      <c r="K40" s="55">
        <f t="shared" si="14"/>
        <v>3265748.7940434176</v>
      </c>
      <c r="L40" s="55">
        <f t="shared" si="14"/>
        <v>3220018.2164036427</v>
      </c>
      <c r="M40" s="55">
        <f t="shared" si="14"/>
        <v>3174745.9263928812</v>
      </c>
      <c r="N40" s="55">
        <f t="shared" si="14"/>
        <v>3129941.0897637131</v>
      </c>
      <c r="O40" s="55">
        <f t="shared" si="14"/>
        <v>3085613.0555837718</v>
      </c>
      <c r="P40" s="55">
        <f t="shared" si="14"/>
        <v>3041771.3599020406</v>
      </c>
      <c r="Q40" s="55">
        <f t="shared" si="14"/>
        <v>2998425.7294884836</v>
      </c>
      <c r="R40" s="55">
        <f t="shared" si="14"/>
        <v>2955586.0856484645</v>
      </c>
      <c r="S40" s="55">
        <f t="shared" si="14"/>
        <v>2913262.5481134546</v>
      </c>
      <c r="T40" s="55">
        <f t="shared" si="14"/>
        <v>2871465.4390095538</v>
      </c>
      <c r="U40" s="55">
        <f t="shared" si="14"/>
        <v>2830205.2869053837</v>
      </c>
      <c r="V40" s="55">
        <f t="shared" si="14"/>
        <v>2789492.8309409395</v>
      </c>
      <c r="W40" s="55">
        <f t="shared" si="14"/>
        <v>2749339.0250390158</v>
      </c>
      <c r="X40" s="55">
        <f t="shared" si="14"/>
        <v>1482109.7888675295</v>
      </c>
      <c r="Y40" s="55">
        <f t="shared" si="14"/>
        <v>1511751.9846448798</v>
      </c>
      <c r="Z40" s="55">
        <f t="shared" si="14"/>
        <v>1541987.0243377774</v>
      </c>
      <c r="AA40" s="55"/>
      <c r="AB40" s="55"/>
    </row>
    <row r="41" spans="1:28" ht="16" thickTop="1">
      <c r="A41" s="4" t="s">
        <v>37</v>
      </c>
      <c r="B41" s="22">
        <v>-186.08</v>
      </c>
      <c r="C41" s="6" t="s">
        <v>21</v>
      </c>
    </row>
    <row r="42" spans="1:28">
      <c r="A42" s="4" t="s">
        <v>38</v>
      </c>
      <c r="B42" s="22">
        <v>-32</v>
      </c>
      <c r="C42" s="6" t="s">
        <v>21</v>
      </c>
      <c r="F42" s="56" t="s">
        <v>72</v>
      </c>
    </row>
    <row r="43" spans="1:28">
      <c r="A43" s="34" t="s">
        <v>31</v>
      </c>
      <c r="B43" s="24">
        <f>SUM(B36:B42)</f>
        <v>-1058.4673246719999</v>
      </c>
      <c r="C43" s="25" t="s">
        <v>21</v>
      </c>
      <c r="F43" s="44" t="s">
        <v>66</v>
      </c>
      <c r="G43" s="52">
        <f t="shared" ref="G43:Z43" si="15">$G$24/$B$60</f>
        <v>1150917.4249999998</v>
      </c>
      <c r="H43" s="52">
        <f t="shared" si="15"/>
        <v>1150917.4249999998</v>
      </c>
      <c r="I43" s="52">
        <f t="shared" si="15"/>
        <v>1150917.4249999998</v>
      </c>
      <c r="J43" s="52">
        <f t="shared" si="15"/>
        <v>1150917.4249999998</v>
      </c>
      <c r="K43" s="52">
        <f t="shared" si="15"/>
        <v>1150917.4249999998</v>
      </c>
      <c r="L43" s="52">
        <f t="shared" si="15"/>
        <v>1150917.4249999998</v>
      </c>
      <c r="M43" s="52">
        <f t="shared" si="15"/>
        <v>1150917.4249999998</v>
      </c>
      <c r="N43" s="52">
        <f t="shared" si="15"/>
        <v>1150917.4249999998</v>
      </c>
      <c r="O43" s="52">
        <f t="shared" si="15"/>
        <v>1150917.4249999998</v>
      </c>
      <c r="P43" s="52">
        <f t="shared" si="15"/>
        <v>1150917.4249999998</v>
      </c>
      <c r="Q43" s="52">
        <f t="shared" si="15"/>
        <v>1150917.4249999998</v>
      </c>
      <c r="R43" s="52">
        <f t="shared" si="15"/>
        <v>1150917.4249999998</v>
      </c>
      <c r="S43" s="52">
        <f t="shared" si="15"/>
        <v>1150917.4249999998</v>
      </c>
      <c r="T43" s="52">
        <f t="shared" si="15"/>
        <v>1150917.4249999998</v>
      </c>
      <c r="U43" s="52">
        <f t="shared" si="15"/>
        <v>1150917.4249999998</v>
      </c>
      <c r="V43" s="52">
        <f t="shared" si="15"/>
        <v>1150917.4249999998</v>
      </c>
      <c r="W43" s="52">
        <f t="shared" si="15"/>
        <v>1150917.4249999998</v>
      </c>
      <c r="X43" s="52">
        <f t="shared" si="15"/>
        <v>1150917.4249999998</v>
      </c>
      <c r="Y43" s="52">
        <f t="shared" si="15"/>
        <v>1150917.4249999998</v>
      </c>
      <c r="Z43" s="52">
        <f t="shared" si="15"/>
        <v>1150917.4249999998</v>
      </c>
      <c r="AA43" s="52"/>
      <c r="AB43" s="52"/>
    </row>
    <row r="44" spans="1:28">
      <c r="A44" s="28"/>
      <c r="B44" s="28"/>
      <c r="C44" s="28"/>
      <c r="F44" s="44" t="s">
        <v>67</v>
      </c>
      <c r="G44" s="52">
        <f t="shared" ref="G44:Z44" si="16">(G20-G40-G43)</f>
        <v>1348687.357411135</v>
      </c>
      <c r="H44" s="52">
        <f t="shared" si="16"/>
        <v>1327518.0109176948</v>
      </c>
      <c r="I44" s="52">
        <f t="shared" si="16"/>
        <v>78280.02416105289</v>
      </c>
      <c r="J44" s="52">
        <f t="shared" si="16"/>
        <v>124900.39515973581</v>
      </c>
      <c r="K44" s="52">
        <f t="shared" si="16"/>
        <v>171080.27439658297</v>
      </c>
      <c r="L44" s="52">
        <f t="shared" si="16"/>
        <v>216810.85203635786</v>
      </c>
      <c r="M44" s="52">
        <f t="shared" si="16"/>
        <v>262083.14204711933</v>
      </c>
      <c r="N44" s="52">
        <f t="shared" si="16"/>
        <v>306887.97867628746</v>
      </c>
      <c r="O44" s="52">
        <f t="shared" si="16"/>
        <v>351216.01285622874</v>
      </c>
      <c r="P44" s="52">
        <f t="shared" si="16"/>
        <v>395057.70853795996</v>
      </c>
      <c r="Q44" s="52">
        <f t="shared" si="16"/>
        <v>438403.3389515169</v>
      </c>
      <c r="R44" s="52">
        <f t="shared" si="16"/>
        <v>481242.98279153602</v>
      </c>
      <c r="S44" s="52">
        <f t="shared" si="16"/>
        <v>523566.52032654593</v>
      </c>
      <c r="T44" s="52">
        <f t="shared" si="16"/>
        <v>565363.62943044677</v>
      </c>
      <c r="U44" s="52">
        <f t="shared" si="16"/>
        <v>606623.78153461684</v>
      </c>
      <c r="V44" s="52">
        <f t="shared" si="16"/>
        <v>647336.23749906104</v>
      </c>
      <c r="W44" s="52">
        <f t="shared" si="16"/>
        <v>687490.04340098472</v>
      </c>
      <c r="X44" s="52">
        <f t="shared" si="16"/>
        <v>1954719.279572471</v>
      </c>
      <c r="Y44" s="52">
        <f t="shared" si="16"/>
        <v>1925077.0837951209</v>
      </c>
      <c r="Z44" s="52">
        <f t="shared" si="16"/>
        <v>1894842.0441022231</v>
      </c>
      <c r="AA44" s="52"/>
      <c r="AB44" s="52"/>
    </row>
    <row r="45" spans="1:28">
      <c r="A45" s="1" t="s">
        <v>88</v>
      </c>
      <c r="B45" s="35"/>
      <c r="C45" s="36"/>
      <c r="F45" s="44" t="s">
        <v>51</v>
      </c>
      <c r="G45" s="52">
        <f>(G20-G40-G43-24584)*$B$58*$B$59</f>
        <v>176105.74653568096</v>
      </c>
      <c r="H45" s="52">
        <f t="shared" ref="H45:Z45" si="17">(H20-H40-H43-24700)*$B$58*$B$59</f>
        <v>173274.79545205343</v>
      </c>
      <c r="I45" s="52">
        <f t="shared" si="17"/>
        <v>7126.143213420035</v>
      </c>
      <c r="J45" s="52">
        <f t="shared" si="17"/>
        <v>13326.652556244862</v>
      </c>
      <c r="K45" s="52">
        <f t="shared" si="17"/>
        <v>19468.576494745535</v>
      </c>
      <c r="L45" s="52">
        <f t="shared" si="17"/>
        <v>25550.743320835598</v>
      </c>
      <c r="M45" s="52">
        <f t="shared" si="17"/>
        <v>31571.95789226687</v>
      </c>
      <c r="N45" s="52">
        <f t="shared" si="17"/>
        <v>37531.001163946239</v>
      </c>
      <c r="O45" s="52">
        <f t="shared" si="17"/>
        <v>43426.62970987842</v>
      </c>
      <c r="P45" s="52">
        <f t="shared" si="17"/>
        <v>49257.575235548677</v>
      </c>
      <c r="Q45" s="52">
        <f t="shared" si="17"/>
        <v>55022.54408055175</v>
      </c>
      <c r="R45" s="52">
        <f t="shared" si="17"/>
        <v>60720.21671127429</v>
      </c>
      <c r="S45" s="52">
        <f t="shared" si="17"/>
        <v>66349.247203430612</v>
      </c>
      <c r="T45" s="52">
        <f t="shared" si="17"/>
        <v>71908.262714249417</v>
      </c>
      <c r="U45" s="52">
        <f t="shared" si="17"/>
        <v>77395.862944104039</v>
      </c>
      <c r="V45" s="52">
        <f t="shared" si="17"/>
        <v>82810.619587375128</v>
      </c>
      <c r="W45" s="52">
        <f t="shared" si="17"/>
        <v>88151.07577233098</v>
      </c>
      <c r="X45" s="52">
        <f t="shared" si="17"/>
        <v>256692.56418313866</v>
      </c>
      <c r="Y45" s="52">
        <f t="shared" si="17"/>
        <v>252750.15214475107</v>
      </c>
      <c r="Z45" s="52">
        <f t="shared" si="17"/>
        <v>248728.89186559568</v>
      </c>
      <c r="AA45" s="52"/>
      <c r="AB45" s="52"/>
    </row>
    <row r="46" spans="1:28">
      <c r="A46" s="18" t="s">
        <v>39</v>
      </c>
      <c r="B46" s="5">
        <v>2.5499999999999998E-2</v>
      </c>
      <c r="C46" s="16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</row>
    <row r="47" spans="1:28">
      <c r="A47" s="18" t="s">
        <v>40</v>
      </c>
      <c r="B47" s="37">
        <v>2.5000000000000001E-3</v>
      </c>
      <c r="C47" s="16"/>
      <c r="F47" s="44" t="s">
        <v>68</v>
      </c>
      <c r="G47" s="52">
        <f>G43+(G44-G45)</f>
        <v>2323499.0358754536</v>
      </c>
      <c r="H47" s="52">
        <f t="shared" ref="H47:Z47" si="18">H43+(H44-H45)</f>
        <v>2305160.6404656414</v>
      </c>
      <c r="I47" s="52">
        <f t="shared" si="18"/>
        <v>1222071.3059476328</v>
      </c>
      <c r="J47" s="52">
        <f t="shared" si="18"/>
        <v>1262491.1676034909</v>
      </c>
      <c r="K47" s="52">
        <f t="shared" si="18"/>
        <v>1302529.1229018373</v>
      </c>
      <c r="L47" s="52">
        <f t="shared" si="18"/>
        <v>1342177.5337155221</v>
      </c>
      <c r="M47" s="52">
        <f t="shared" si="18"/>
        <v>1381428.6091548523</v>
      </c>
      <c r="N47" s="52">
        <f t="shared" si="18"/>
        <v>1420274.402512341</v>
      </c>
      <c r="O47" s="52">
        <f t="shared" si="18"/>
        <v>1458706.8081463501</v>
      </c>
      <c r="P47" s="52">
        <f t="shared" si="18"/>
        <v>1496717.5583024111</v>
      </c>
      <c r="Q47" s="52">
        <f t="shared" si="18"/>
        <v>1534298.219870965</v>
      </c>
      <c r="R47" s="52">
        <f t="shared" si="18"/>
        <v>1571440.1910802615</v>
      </c>
      <c r="S47" s="52">
        <f t="shared" si="18"/>
        <v>1608134.6981231151</v>
      </c>
      <c r="T47" s="52">
        <f t="shared" si="18"/>
        <v>1644372.791716197</v>
      </c>
      <c r="U47" s="52">
        <f t="shared" si="18"/>
        <v>1680145.3435905126</v>
      </c>
      <c r="V47" s="52">
        <f t="shared" si="18"/>
        <v>1715443.0429116858</v>
      </c>
      <c r="W47" s="52">
        <f t="shared" si="18"/>
        <v>1750256.3926286534</v>
      </c>
      <c r="X47" s="52">
        <f t="shared" si="18"/>
        <v>2848944.1403893321</v>
      </c>
      <c r="Y47" s="52">
        <f t="shared" si="18"/>
        <v>2823244.3566503697</v>
      </c>
      <c r="Z47" s="52">
        <f t="shared" si="18"/>
        <v>2797030.5772366272</v>
      </c>
      <c r="AA47" s="52"/>
      <c r="AB47" s="52"/>
    </row>
    <row r="48" spans="1:28">
      <c r="A48" s="18" t="s">
        <v>41</v>
      </c>
      <c r="B48" s="62">
        <f>((1+$B$47)^12-1)+B46</f>
        <v>5.5915956913506731E-2</v>
      </c>
      <c r="C48" s="16"/>
      <c r="D48" s="48">
        <f>B48-B46</f>
        <v>3.0415956913506733E-2</v>
      </c>
      <c r="F48" s="44" t="s">
        <v>69</v>
      </c>
      <c r="G48" s="52">
        <f>G47</f>
        <v>2323499.0358754536</v>
      </c>
      <c r="H48" s="52">
        <f>H47+G48</f>
        <v>4628659.676341095</v>
      </c>
      <c r="I48" s="52">
        <f t="shared" ref="I48:Z48" si="19">I47+H48</f>
        <v>5850730.9822887275</v>
      </c>
      <c r="J48" s="52">
        <f t="shared" si="19"/>
        <v>7113222.1498922184</v>
      </c>
      <c r="K48" s="52">
        <f t="shared" si="19"/>
        <v>8415751.2727940567</v>
      </c>
      <c r="L48" s="52">
        <f t="shared" si="19"/>
        <v>9757928.8065095786</v>
      </c>
      <c r="M48" s="52">
        <f t="shared" si="19"/>
        <v>11139357.415664431</v>
      </c>
      <c r="N48" s="52">
        <f t="shared" si="19"/>
        <v>12559631.818176772</v>
      </c>
      <c r="O48" s="52">
        <f t="shared" si="19"/>
        <v>14018338.626323123</v>
      </c>
      <c r="P48" s="52">
        <f t="shared" si="19"/>
        <v>15515056.184625534</v>
      </c>
      <c r="Q48" s="52">
        <f t="shared" si="19"/>
        <v>17049354.404496498</v>
      </c>
      <c r="R48" s="52">
        <f t="shared" si="19"/>
        <v>18620794.595576759</v>
      </c>
      <c r="S48" s="52">
        <f t="shared" si="19"/>
        <v>20228929.293699875</v>
      </c>
      <c r="T48" s="52">
        <f t="shared" si="19"/>
        <v>21873302.085416071</v>
      </c>
      <c r="U48" s="52">
        <f t="shared" si="19"/>
        <v>23553447.429006584</v>
      </c>
      <c r="V48" s="52">
        <f t="shared" si="19"/>
        <v>25268890.47191827</v>
      </c>
      <c r="W48" s="52">
        <f t="shared" si="19"/>
        <v>27019146.864546925</v>
      </c>
      <c r="X48" s="52">
        <f t="shared" si="19"/>
        <v>29868091.004936256</v>
      </c>
      <c r="Y48" s="52">
        <f t="shared" si="19"/>
        <v>32691335.361586627</v>
      </c>
      <c r="Z48" s="52">
        <f t="shared" si="19"/>
        <v>35488365.938823253</v>
      </c>
      <c r="AA48" s="52"/>
      <c r="AB48" s="52"/>
    </row>
    <row r="49" spans="1:29">
      <c r="A49" s="18" t="s">
        <v>42</v>
      </c>
      <c r="B49" s="38">
        <v>15</v>
      </c>
      <c r="C49" s="16" t="s">
        <v>43</v>
      </c>
    </row>
    <row r="50" spans="1:29">
      <c r="A50" s="18" t="s">
        <v>44</v>
      </c>
      <c r="B50" s="39" t="s">
        <v>45</v>
      </c>
      <c r="C50" s="16"/>
    </row>
    <row r="51" spans="1:29">
      <c r="A51" s="18" t="s">
        <v>46</v>
      </c>
      <c r="B51" s="40">
        <v>0.7</v>
      </c>
      <c r="C51" s="16"/>
      <c r="F51" s="60" t="s">
        <v>76</v>
      </c>
      <c r="G51" s="49">
        <f>G20-G39+$B$38*1000</f>
        <v>3502279.1687680003</v>
      </c>
      <c r="H51" s="49">
        <f t="shared" ref="H51:Z51" si="20">H20-H39+$B$38*1000</f>
        <v>3481109.8222745601</v>
      </c>
      <c r="I51" s="49">
        <f t="shared" si="20"/>
        <v>3459517.0888512516</v>
      </c>
      <c r="J51" s="49">
        <f t="shared" si="20"/>
        <v>3437492.5007594768</v>
      </c>
      <c r="K51" s="49">
        <f t="shared" si="20"/>
        <v>3415027.4209058662</v>
      </c>
      <c r="L51" s="49">
        <f t="shared" si="20"/>
        <v>3392113.0394551833</v>
      </c>
      <c r="M51" s="49">
        <f t="shared" si="20"/>
        <v>3368740.370375487</v>
      </c>
      <c r="N51" s="49">
        <f t="shared" si="20"/>
        <v>3344900.2479141969</v>
      </c>
      <c r="O51" s="49">
        <f t="shared" si="20"/>
        <v>3320583.3230036809</v>
      </c>
      <c r="P51" s="49">
        <f t="shared" si="20"/>
        <v>3295780.0595949544</v>
      </c>
      <c r="Q51" s="49">
        <f t="shared" si="20"/>
        <v>3270480.7309180535</v>
      </c>
      <c r="R51" s="49">
        <f t="shared" si="20"/>
        <v>3244675.4156676149</v>
      </c>
      <c r="S51" s="49">
        <f t="shared" si="20"/>
        <v>3218353.994112167</v>
      </c>
      <c r="T51" s="49">
        <f t="shared" si="20"/>
        <v>3191506.1441256106</v>
      </c>
      <c r="U51" s="49">
        <f t="shared" si="20"/>
        <v>3164121.3371393224</v>
      </c>
      <c r="V51" s="49">
        <f t="shared" si="20"/>
        <v>3136188.8340133093</v>
      </c>
      <c r="W51" s="49">
        <f t="shared" si="20"/>
        <v>3107697.6808247752</v>
      </c>
      <c r="X51" s="49">
        <f t="shared" si="20"/>
        <v>3078636.7045724709</v>
      </c>
      <c r="Y51" s="49">
        <f t="shared" si="20"/>
        <v>3048994.5087951203</v>
      </c>
      <c r="Z51" s="49">
        <f t="shared" si="20"/>
        <v>3018759.4691022225</v>
      </c>
      <c r="AA51" s="49"/>
      <c r="AB51" s="49"/>
    </row>
    <row r="52" spans="1:29">
      <c r="A52" s="18" t="s">
        <v>47</v>
      </c>
      <c r="B52" s="11">
        <f>B33*(1-B51)</f>
        <v>-7892.0052000000014</v>
      </c>
      <c r="C52" s="6" t="s">
        <v>21</v>
      </c>
      <c r="F52" s="60" t="s">
        <v>77</v>
      </c>
      <c r="G52" s="61">
        <f>G51/(G35+G36)</f>
        <v>3.4013463043978027</v>
      </c>
      <c r="H52" s="61">
        <f t="shared" ref="H52:V52" si="21">H51/(H35+H36)</f>
        <v>3.3807870414172596</v>
      </c>
      <c r="I52" s="61">
        <f t="shared" si="21"/>
        <v>1.5325774108473382</v>
      </c>
      <c r="J52" s="61">
        <f t="shared" si="21"/>
        <v>1.570581745761108</v>
      </c>
      <c r="K52" s="61">
        <f t="shared" si="21"/>
        <v>1.6108394077016301</v>
      </c>
      <c r="L52" s="61">
        <f t="shared" si="21"/>
        <v>1.6535723095922192</v>
      </c>
      <c r="M52" s="61">
        <f t="shared" si="21"/>
        <v>1.6990330071149427</v>
      </c>
      <c r="N52" s="61">
        <f t="shared" si="21"/>
        <v>1.7475101915579094</v>
      </c>
      <c r="O52" s="61">
        <f t="shared" si="21"/>
        <v>1.7993354085247157</v>
      </c>
      <c r="P52" s="61">
        <f t="shared" si="21"/>
        <v>1.8548913340243833</v>
      </c>
      <c r="Q52" s="61">
        <f t="shared" si="21"/>
        <v>1.9146220460405643</v>
      </c>
      <c r="R52" s="61">
        <f t="shared" si="21"/>
        <v>1.9790458764210714</v>
      </c>
      <c r="S52" s="61">
        <f t="shared" si="21"/>
        <v>2.0487716323830552</v>
      </c>
      <c r="T52" s="61">
        <f t="shared" si="21"/>
        <v>2.1245192654672285</v>
      </c>
      <c r="U52" s="61">
        <f t="shared" si="21"/>
        <v>2.2071464786587462</v>
      </c>
      <c r="V52" s="61">
        <f t="shared" si="21"/>
        <v>2.297683362158546</v>
      </c>
      <c r="W52" s="61">
        <f>W51/(W35+W36)</f>
        <v>2.3973780339003197</v>
      </c>
      <c r="X52" s="61">
        <v>0</v>
      </c>
      <c r="Y52" s="61">
        <v>0</v>
      </c>
      <c r="Z52" s="61">
        <v>0</v>
      </c>
      <c r="AA52" s="61"/>
      <c r="AB52" s="61"/>
      <c r="AC52" s="59"/>
    </row>
    <row r="53" spans="1:29">
      <c r="A53" s="18" t="s">
        <v>62</v>
      </c>
      <c r="B53" s="11">
        <f>B33*B51</f>
        <v>-18414.678799999998</v>
      </c>
      <c r="C53" s="6" t="s">
        <v>21</v>
      </c>
      <c r="F53" s="60" t="s">
        <v>86</v>
      </c>
      <c r="G53" s="59">
        <f>AVERAGE(G52:W52)</f>
        <v>2.0717435797628729</v>
      </c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</row>
    <row r="54" spans="1:29">
      <c r="A54" s="19"/>
      <c r="B54" s="19"/>
      <c r="C54" s="19"/>
      <c r="F54" s="60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</row>
    <row r="55" spans="1:29">
      <c r="A55" s="1" t="s">
        <v>48</v>
      </c>
      <c r="B55" s="41"/>
      <c r="C55" s="2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9">
      <c r="A56" s="29" t="s">
        <v>49</v>
      </c>
      <c r="B56" s="42">
        <v>0.25</v>
      </c>
      <c r="C56" s="6"/>
      <c r="F56" s="60" t="s">
        <v>81</v>
      </c>
      <c r="G56" s="49">
        <f>G51-G45+$B$38*1000</f>
        <v>3299173.4222323196</v>
      </c>
      <c r="H56" s="49">
        <f t="shared" ref="H56:Z56" si="22">H51-H45+$B$38*1000</f>
        <v>3280835.0268225065</v>
      </c>
      <c r="I56" s="49">
        <f t="shared" si="22"/>
        <v>3425390.9456378315</v>
      </c>
      <c r="J56" s="49">
        <f t="shared" si="22"/>
        <v>3397165.848203232</v>
      </c>
      <c r="K56" s="49">
        <f t="shared" si="22"/>
        <v>3368558.8444111208</v>
      </c>
      <c r="L56" s="49">
        <f t="shared" si="22"/>
        <v>3339562.2961343476</v>
      </c>
      <c r="M56" s="49">
        <f t="shared" si="22"/>
        <v>3310168.41248322</v>
      </c>
      <c r="N56" s="49">
        <f t="shared" si="22"/>
        <v>3280369.2467502505</v>
      </c>
      <c r="O56" s="49">
        <f t="shared" si="22"/>
        <v>3250156.6932938024</v>
      </c>
      <c r="P56" s="49">
        <f t="shared" si="22"/>
        <v>3219522.4843594055</v>
      </c>
      <c r="Q56" s="49">
        <f t="shared" si="22"/>
        <v>3188458.1868375018</v>
      </c>
      <c r="R56" s="49">
        <f t="shared" si="22"/>
        <v>3156955.1989563406</v>
      </c>
      <c r="S56" s="49">
        <f t="shared" si="22"/>
        <v>3125004.7469087364</v>
      </c>
      <c r="T56" s="49">
        <f t="shared" si="22"/>
        <v>3092597.881411361</v>
      </c>
      <c r="U56" s="49">
        <f t="shared" si="22"/>
        <v>3059725.4741952182</v>
      </c>
      <c r="V56" s="49">
        <f t="shared" si="22"/>
        <v>3026378.214425934</v>
      </c>
      <c r="W56" s="49">
        <f t="shared" si="22"/>
        <v>2992546.6050524442</v>
      </c>
      <c r="X56" s="49">
        <f t="shared" si="22"/>
        <v>2794944.1403893321</v>
      </c>
      <c r="Y56" s="49">
        <f t="shared" si="22"/>
        <v>2769244.3566503692</v>
      </c>
      <c r="Z56" s="49">
        <f t="shared" si="22"/>
        <v>2743030.5772366268</v>
      </c>
      <c r="AA56" s="49"/>
      <c r="AB56" s="49"/>
    </row>
    <row r="57" spans="1:29">
      <c r="A57" s="29" t="s">
        <v>50</v>
      </c>
      <c r="B57" s="42">
        <f>B58*B59</f>
        <v>0.13300000000000001</v>
      </c>
      <c r="C57" s="6"/>
      <c r="F57" s="60" t="s">
        <v>79</v>
      </c>
      <c r="G57" s="49">
        <v>0</v>
      </c>
      <c r="H57">
        <v>0</v>
      </c>
    </row>
    <row r="58" spans="1:29">
      <c r="A58" s="4" t="s">
        <v>51</v>
      </c>
      <c r="B58" s="42">
        <v>3.5000000000000003E-2</v>
      </c>
      <c r="C58" s="6"/>
      <c r="E58" s="60" t="s">
        <v>82</v>
      </c>
      <c r="F58" s="49">
        <f>-G29</f>
        <v>-7892005.2000000011</v>
      </c>
      <c r="G58" s="49">
        <f>G56-G38</f>
        <v>2269499.0358754541</v>
      </c>
      <c r="H58" s="49">
        <f t="shared" ref="H58:Z58" si="23">H56-H38</f>
        <v>2251160.6404656409</v>
      </c>
      <c r="I58" s="49">
        <f t="shared" si="23"/>
        <v>1168071.3059476325</v>
      </c>
      <c r="J58" s="49">
        <f t="shared" si="23"/>
        <v>1208491.1676034909</v>
      </c>
      <c r="K58" s="49">
        <f t="shared" si="23"/>
        <v>1248529.1229018373</v>
      </c>
      <c r="L58" s="49">
        <f t="shared" si="23"/>
        <v>1288177.5337155219</v>
      </c>
      <c r="M58" s="49">
        <f t="shared" si="23"/>
        <v>1327428.6091548521</v>
      </c>
      <c r="N58" s="49">
        <f t="shared" si="23"/>
        <v>1366274.4025123403</v>
      </c>
      <c r="O58" s="49">
        <f t="shared" si="23"/>
        <v>1404706.8081463501</v>
      </c>
      <c r="P58" s="49">
        <f t="shared" si="23"/>
        <v>1442717.5583024109</v>
      </c>
      <c r="Q58" s="49">
        <f t="shared" si="23"/>
        <v>1480298.219870965</v>
      </c>
      <c r="R58" s="49">
        <f t="shared" si="23"/>
        <v>1517440.1910802615</v>
      </c>
      <c r="S58" s="49">
        <f t="shared" si="23"/>
        <v>1554134.6981231151</v>
      </c>
      <c r="T58" s="49">
        <f t="shared" si="23"/>
        <v>1590372.7917161973</v>
      </c>
      <c r="U58" s="49">
        <f t="shared" si="23"/>
        <v>1626145.3435905122</v>
      </c>
      <c r="V58" s="49">
        <f t="shared" si="23"/>
        <v>1661443.0429116858</v>
      </c>
      <c r="W58" s="49">
        <f t="shared" si="23"/>
        <v>1696256.3926286534</v>
      </c>
      <c r="X58" s="49">
        <f t="shared" si="23"/>
        <v>2794944.1403893325</v>
      </c>
      <c r="Y58" s="49">
        <f t="shared" si="23"/>
        <v>2769244.3566503697</v>
      </c>
      <c r="Z58" s="49">
        <f t="shared" si="23"/>
        <v>2743030.5772366272</v>
      </c>
      <c r="AA58" s="49"/>
      <c r="AB58" s="49"/>
    </row>
    <row r="59" spans="1:29">
      <c r="A59" s="4" t="s">
        <v>52</v>
      </c>
      <c r="B59" s="42">
        <v>3.8</v>
      </c>
      <c r="C59" s="6"/>
      <c r="F59" s="60" t="s">
        <v>83</v>
      </c>
      <c r="G59" s="48">
        <f>G58/(-$B$52*1000)</f>
        <v>0.28756937918330994</v>
      </c>
      <c r="H59" s="48">
        <f t="shared" ref="H59:Z59" si="24">H58/(-$B$52*1000)</f>
        <v>0.28524571175721486</v>
      </c>
      <c r="I59" s="48">
        <f t="shared" si="24"/>
        <v>0.14800691032839566</v>
      </c>
      <c r="J59" s="48">
        <f t="shared" si="24"/>
        <v>0.15312853159340173</v>
      </c>
      <c r="K59" s="48">
        <f t="shared" si="24"/>
        <v>0.15820176130925981</v>
      </c>
      <c r="L59" s="48">
        <f t="shared" si="24"/>
        <v>0.16322563164498696</v>
      </c>
      <c r="M59" s="48">
        <f t="shared" si="24"/>
        <v>0.16819915541298072</v>
      </c>
      <c r="N59" s="48">
        <f t="shared" si="24"/>
        <v>0.17312132568188629</v>
      </c>
      <c r="O59" s="48">
        <f t="shared" si="24"/>
        <v>0.17799111538172199</v>
      </c>
      <c r="P59" s="48">
        <f t="shared" si="24"/>
        <v>0.1828074769011063</v>
      </c>
      <c r="Q59" s="48">
        <f t="shared" si="24"/>
        <v>0.18756934167643033</v>
      </c>
      <c r="R59" s="48">
        <f t="shared" si="24"/>
        <v>0.19227561977281277</v>
      </c>
      <c r="S59" s="48">
        <f t="shared" si="24"/>
        <v>0.19692519945667483</v>
      </c>
      <c r="T59" s="48">
        <f t="shared" si="24"/>
        <v>0.20151694675976609</v>
      </c>
      <c r="U59" s="48">
        <f t="shared" si="24"/>
        <v>0.20604970503447109</v>
      </c>
      <c r="V59" s="48">
        <f t="shared" si="24"/>
        <v>0.21052229450022228</v>
      </c>
      <c r="W59" s="48">
        <f t="shared" si="24"/>
        <v>0.21493351178084033</v>
      </c>
      <c r="X59" s="48">
        <f t="shared" si="24"/>
        <v>0.35414879609928945</v>
      </c>
      <c r="Y59" s="48">
        <f t="shared" si="24"/>
        <v>0.35089236340725793</v>
      </c>
      <c r="Z59" s="48">
        <f t="shared" si="24"/>
        <v>0.34757080206138574</v>
      </c>
      <c r="AA59" s="48"/>
      <c r="AB59" s="48"/>
      <c r="AC59" s="48">
        <f t="shared" ref="AC59" si="25">-AC58/($B$52*1000)</f>
        <v>0</v>
      </c>
    </row>
    <row r="60" spans="1:29">
      <c r="A60" s="29" t="s">
        <v>53</v>
      </c>
      <c r="B60" s="38">
        <v>16</v>
      </c>
      <c r="C60" s="6" t="s">
        <v>43</v>
      </c>
      <c r="F60" s="60" t="s">
        <v>80</v>
      </c>
      <c r="G60">
        <f>$B$33*1000*(1-$B$51)</f>
        <v>-7892005.2000000011</v>
      </c>
      <c r="H60" s="49">
        <f>H56+H58</f>
        <v>5531995.6672881469</v>
      </c>
      <c r="I60" s="49">
        <f t="shared" ref="I60:Z60" si="26">I56+I58</f>
        <v>4593462.251585464</v>
      </c>
      <c r="J60" s="49">
        <f t="shared" si="26"/>
        <v>4605657.0158067234</v>
      </c>
      <c r="K60" s="49">
        <f t="shared" si="26"/>
        <v>4617087.9673129581</v>
      </c>
      <c r="L60" s="49">
        <f t="shared" si="26"/>
        <v>4627739.829849869</v>
      </c>
      <c r="M60" s="49">
        <f t="shared" si="26"/>
        <v>4637597.0216380721</v>
      </c>
      <c r="N60" s="49">
        <f t="shared" si="26"/>
        <v>4646643.6492625903</v>
      </c>
      <c r="O60" s="49">
        <f t="shared" si="26"/>
        <v>4654863.5014401525</v>
      </c>
      <c r="P60" s="49">
        <f t="shared" si="26"/>
        <v>4662240.0426618159</v>
      </c>
      <c r="Q60" s="49">
        <f t="shared" si="26"/>
        <v>4668756.4067084668</v>
      </c>
      <c r="R60" s="49">
        <f t="shared" si="26"/>
        <v>4674395.3900366016</v>
      </c>
      <c r="S60" s="49">
        <f t="shared" si="26"/>
        <v>4679139.4450318515</v>
      </c>
      <c r="T60" s="49">
        <f t="shared" si="26"/>
        <v>4682970.6731275581</v>
      </c>
      <c r="U60" s="49">
        <f t="shared" si="26"/>
        <v>4685870.8177857306</v>
      </c>
      <c r="V60" s="49">
        <f t="shared" si="26"/>
        <v>4687821.2573376196</v>
      </c>
      <c r="W60" s="49">
        <f t="shared" si="26"/>
        <v>4688802.9976810981</v>
      </c>
      <c r="X60" s="49">
        <f t="shared" si="26"/>
        <v>5589888.2807786651</v>
      </c>
      <c r="Y60" s="49">
        <f t="shared" si="26"/>
        <v>5538488.7133007385</v>
      </c>
      <c r="Z60" s="49">
        <f t="shared" si="26"/>
        <v>5486061.1544732545</v>
      </c>
      <c r="AA60" s="49"/>
      <c r="AB60" s="49"/>
    </row>
    <row r="61" spans="1:29">
      <c r="A61" s="19"/>
      <c r="B61" s="19"/>
      <c r="C61" s="19"/>
      <c r="G61" s="63">
        <f>SUM(G59:AB59)</f>
        <v>4.359901579743414</v>
      </c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</row>
    <row r="62" spans="1:29">
      <c r="A62" s="1" t="s">
        <v>54</v>
      </c>
      <c r="B62" s="41"/>
      <c r="C62" s="21"/>
      <c r="G62" s="48"/>
    </row>
    <row r="63" spans="1:29">
      <c r="A63" s="4" t="s">
        <v>55</v>
      </c>
      <c r="B63" s="43">
        <v>0.02</v>
      </c>
      <c r="C63" s="6"/>
      <c r="F63" s="60" t="s">
        <v>87</v>
      </c>
      <c r="G63" s="73">
        <f>IRR(F58:Y58)</f>
        <v>0.20150605419442114</v>
      </c>
    </row>
    <row r="65" spans="6:7">
      <c r="F65" s="74" t="s">
        <v>89</v>
      </c>
      <c r="G65" s="59">
        <f>AVERAGE(G52:Z52)</f>
        <v>1.7609820427984419</v>
      </c>
    </row>
  </sheetData>
  <conditionalFormatting sqref="A46 C46 A38:C45 F18:F26 F28:F31 F33:F36 F38:F40 F42:F45 F47:F48 A4:C35 A47:C63 A1">
    <cfRule type="cellIs" dxfId="0" priority="5" operator="lessThan">
      <formula>0</formula>
    </cfRule>
  </conditionalFormatting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Vongehr</dc:creator>
  <cp:lastModifiedBy>Felix</cp:lastModifiedBy>
  <dcterms:created xsi:type="dcterms:W3CDTF">2014-07-22T07:28:52Z</dcterms:created>
  <dcterms:modified xsi:type="dcterms:W3CDTF">2015-06-17T20:36:04Z</dcterms:modified>
</cp:coreProperties>
</file>