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filterPrivacy="1" defaultThemeVersion="124226"/>
  <xr:revisionPtr revIDLastSave="0" documentId="11_AE15B310365DFFF45243C0FD53A0A66407B1A7B1" xr6:coauthVersionLast="47" xr6:coauthVersionMax="47" xr10:uidLastSave="{00000000-0000-0000-0000-000000000000}"/>
  <bookViews>
    <workbookView xWindow="120" yWindow="105" windowWidth="15120" windowHeight="8010" firstSheet="4" activeTab="4" xr2:uid="{00000000-000D-0000-FFFF-FFFF00000000}"/>
  </bookViews>
  <sheets>
    <sheet name="Introduction" sheetId="5" state="hidden" r:id="rId1"/>
    <sheet name="Eingaben und Ergebnisse" sheetId="4" r:id="rId2"/>
    <sheet name="Berechnungen" sheetId="7" r:id="rId3"/>
    <sheet name="Data_Sensitivity" sheetId="8" r:id="rId4"/>
    <sheet name="Graphs" sheetId="3" r:id="rId5"/>
    <sheet name="Weitere Eingaben" sheetId="9" r:id="rId6"/>
  </sheets>
  <calcPr calcId="124519"/>
</workbook>
</file>

<file path=xl/calcChain.xml><?xml version="1.0" encoding="utf-8"?>
<calcChain xmlns="http://schemas.openxmlformats.org/spreadsheetml/2006/main">
  <c r="O112" i="9" l="1"/>
  <c r="E56" i="9"/>
  <c r="I85" i="3"/>
  <c r="I86" i="3"/>
  <c r="I87" i="3"/>
  <c r="I88" i="3"/>
  <c r="I89" i="3"/>
  <c r="I90" i="3"/>
  <c r="I91" i="3"/>
  <c r="I92" i="3"/>
  <c r="G84" i="3"/>
  <c r="I84" i="3" s="1"/>
  <c r="G83" i="3"/>
  <c r="I83" i="3" s="1"/>
  <c r="I24" i="9"/>
  <c r="I13" i="9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H46" i="7"/>
  <c r="D116" i="9"/>
  <c r="E43" i="7"/>
  <c r="E42" i="7"/>
  <c r="J113" i="9"/>
  <c r="J112" i="9"/>
  <c r="J111" i="9"/>
  <c r="L10" i="7"/>
  <c r="D128" i="9"/>
  <c r="D104" i="9"/>
  <c r="P12" i="4" s="1"/>
  <c r="E15" i="7" s="1"/>
  <c r="F15" i="7" s="1"/>
  <c r="G15" i="7" s="1"/>
  <c r="H15" i="7" s="1"/>
  <c r="I15" i="7" s="1"/>
  <c r="J15" i="7" s="1"/>
  <c r="K15" i="7" s="1"/>
  <c r="L15" i="7" s="1"/>
  <c r="M15" i="7" s="1"/>
  <c r="E27" i="7"/>
  <c r="K5" i="4"/>
  <c r="G46" i="7" s="1"/>
  <c r="D72" i="9"/>
  <c r="D74" i="9" s="1"/>
  <c r="L73" i="9"/>
  <c r="L72" i="9"/>
  <c r="L71" i="9"/>
  <c r="L70" i="9"/>
  <c r="H71" i="9"/>
  <c r="H70" i="9"/>
  <c r="K10" i="4"/>
  <c r="I10" i="7" s="1"/>
  <c r="F11" i="4"/>
  <c r="K12" i="4"/>
  <c r="P4" i="4"/>
  <c r="D110" i="9"/>
  <c r="D108" i="9"/>
  <c r="D107" i="9"/>
  <c r="D106" i="9"/>
  <c r="D105" i="9"/>
  <c r="D102" i="9"/>
  <c r="D66" i="9"/>
  <c r="D63" i="9"/>
  <c r="D59" i="9"/>
  <c r="G58" i="9"/>
  <c r="D58" i="9" s="1"/>
  <c r="D54" i="9"/>
  <c r="J50" i="9"/>
  <c r="I50" i="9"/>
  <c r="D44" i="9"/>
  <c r="D43" i="9"/>
  <c r="G41" i="9"/>
  <c r="D41" i="9" s="1"/>
  <c r="D40" i="9"/>
  <c r="D33" i="9"/>
  <c r="D27" i="9"/>
  <c r="D17" i="9"/>
  <c r="D99" i="9"/>
  <c r="R10" i="7" l="1"/>
  <c r="X46" i="7"/>
  <c r="I97" i="3"/>
  <c r="G10" i="7"/>
  <c r="R46" i="7"/>
  <c r="G97" i="3"/>
  <c r="W10" i="7"/>
  <c r="M46" i="7"/>
  <c r="X10" i="7"/>
  <c r="S10" i="7"/>
  <c r="N10" i="7"/>
  <c r="H10" i="7"/>
  <c r="T46" i="7"/>
  <c r="N46" i="7"/>
  <c r="I46" i="7"/>
  <c r="T10" i="7"/>
  <c r="O10" i="7"/>
  <c r="J10" i="7"/>
  <c r="U46" i="7"/>
  <c r="P46" i="7"/>
  <c r="J46" i="7"/>
  <c r="V10" i="7"/>
  <c r="P10" i="7"/>
  <c r="K10" i="7"/>
  <c r="F10" i="7"/>
  <c r="V46" i="7"/>
  <c r="Q46" i="7"/>
  <c r="L46" i="7"/>
  <c r="F46" i="7"/>
  <c r="E10" i="7"/>
  <c r="U10" i="7"/>
  <c r="Q10" i="7"/>
  <c r="M10" i="7"/>
  <c r="W46" i="7"/>
  <c r="S46" i="7"/>
  <c r="O46" i="7"/>
  <c r="K46" i="7"/>
  <c r="P13" i="4"/>
  <c r="D76" i="9"/>
  <c r="D98" i="9"/>
  <c r="D18" i="9"/>
  <c r="D19" i="9" s="1"/>
  <c r="Q11" i="8"/>
  <c r="Q12" i="8"/>
  <c r="Q13" i="8"/>
  <c r="Q14" i="8"/>
  <c r="Q15" i="8"/>
  <c r="Q16" i="8"/>
  <c r="Q5" i="8"/>
  <c r="Q6" i="8"/>
  <c r="Q7" i="8"/>
  <c r="Q8" i="8"/>
  <c r="Q9" i="8"/>
  <c r="P4" i="8"/>
  <c r="K16" i="8"/>
  <c r="K15" i="8"/>
  <c r="K14" i="8"/>
  <c r="K13" i="8"/>
  <c r="K12" i="8"/>
  <c r="K11" i="8"/>
  <c r="K7" i="8"/>
  <c r="K6" i="8"/>
  <c r="K5" i="8"/>
  <c r="K4" i="8"/>
  <c r="K8" i="8"/>
  <c r="K9" i="8"/>
  <c r="K40" i="8"/>
  <c r="K41" i="8"/>
  <c r="K42" i="8"/>
  <c r="K43" i="8"/>
  <c r="K39" i="8"/>
  <c r="K38" i="8" s="1"/>
  <c r="F36" i="8"/>
  <c r="F35" i="8"/>
  <c r="F34" i="8"/>
  <c r="F33" i="8"/>
  <c r="F32" i="8"/>
  <c r="F31" i="8"/>
  <c r="F29" i="8"/>
  <c r="F28" i="8"/>
  <c r="F27" i="8"/>
  <c r="F26" i="8"/>
  <c r="F25" i="8"/>
  <c r="F24" i="8"/>
  <c r="A36" i="8"/>
  <c r="A35" i="8"/>
  <c r="A34" i="8"/>
  <c r="A33" i="8"/>
  <c r="A32" i="8"/>
  <c r="A31" i="8"/>
  <c r="A29" i="8"/>
  <c r="A28" i="8"/>
  <c r="A27" i="8"/>
  <c r="A26" i="8"/>
  <c r="A25" i="8"/>
  <c r="A24" i="8"/>
  <c r="E42" i="8"/>
  <c r="E41" i="8"/>
  <c r="E40" i="8"/>
  <c r="E39" i="8"/>
  <c r="A16" i="8"/>
  <c r="A15" i="8"/>
  <c r="A5" i="8"/>
  <c r="A4" i="8"/>
  <c r="F16" i="8"/>
  <c r="F15" i="8"/>
  <c r="F5" i="8"/>
  <c r="F4" i="8"/>
  <c r="F14" i="8"/>
  <c r="F13" i="8"/>
  <c r="F12" i="8"/>
  <c r="F11" i="8"/>
  <c r="F9" i="8"/>
  <c r="F8" i="8"/>
  <c r="F7" i="8"/>
  <c r="F6" i="8"/>
  <c r="A14" i="8"/>
  <c r="A13" i="8"/>
  <c r="A12" i="8"/>
  <c r="A11" i="8"/>
  <c r="A9" i="8"/>
  <c r="A8" i="8"/>
  <c r="A7" i="8"/>
  <c r="A6" i="8"/>
  <c r="E38" i="8" l="1"/>
  <c r="E46" i="7"/>
  <c r="F4" i="7"/>
  <c r="F27" i="7" s="1"/>
  <c r="C52" i="4"/>
  <c r="E9" i="7"/>
  <c r="D28" i="4"/>
  <c r="D30" i="4" s="1"/>
  <c r="E6" i="7" s="1"/>
  <c r="C39" i="4" l="1"/>
  <c r="F20" i="7"/>
  <c r="F35" i="7" s="1"/>
  <c r="D41" i="4" s="1"/>
  <c r="E16" i="7"/>
  <c r="D52" i="4"/>
  <c r="E11" i="7"/>
  <c r="G4" i="7"/>
  <c r="H4" i="7" s="1"/>
  <c r="F9" i="7"/>
  <c r="F11" i="7" s="1"/>
  <c r="F5" i="4"/>
  <c r="E26" i="7" s="1"/>
  <c r="E28" i="7" s="1"/>
  <c r="E20" i="7"/>
  <c r="E35" i="7" s="1"/>
  <c r="C41" i="4" s="1"/>
  <c r="F6" i="7"/>
  <c r="D14" i="7"/>
  <c r="D16" i="7" s="1"/>
  <c r="E18" i="7" l="1"/>
  <c r="H6" i="7"/>
  <c r="F16" i="7"/>
  <c r="F18" i="7" s="1"/>
  <c r="C38" i="4"/>
  <c r="C40" i="4" s="1"/>
  <c r="C51" i="4"/>
  <c r="D38" i="4"/>
  <c r="D51" i="4"/>
  <c r="D39" i="4"/>
  <c r="H20" i="7"/>
  <c r="H35" i="7" s="1"/>
  <c r="F41" i="4" s="1"/>
  <c r="I4" i="7"/>
  <c r="J4" i="7" s="1"/>
  <c r="G6" i="7"/>
  <c r="D57" i="7"/>
  <c r="G20" i="7"/>
  <c r="G35" i="7" s="1"/>
  <c r="E41" i="4" s="1"/>
  <c r="D53" i="7"/>
  <c r="D18" i="7"/>
  <c r="D51" i="7" s="1"/>
  <c r="D29" i="4"/>
  <c r="E25" i="7"/>
  <c r="G9" i="7"/>
  <c r="E32" i="7" l="1"/>
  <c r="E78" i="7"/>
  <c r="I6" i="7"/>
  <c r="E39" i="4"/>
  <c r="E52" i="4"/>
  <c r="D40" i="4"/>
  <c r="F39" i="4"/>
  <c r="F52" i="4"/>
  <c r="G16" i="7"/>
  <c r="I20" i="7"/>
  <c r="I35" i="7" s="1"/>
  <c r="G41" i="4" s="1"/>
  <c r="E22" i="7"/>
  <c r="C42" i="4" s="1"/>
  <c r="H9" i="7"/>
  <c r="G11" i="7"/>
  <c r="H16" i="7"/>
  <c r="D55" i="7"/>
  <c r="J6" i="7"/>
  <c r="K4" i="7"/>
  <c r="J20" i="7"/>
  <c r="J35" i="7" s="1"/>
  <c r="H41" i="4" s="1"/>
  <c r="F32" i="7"/>
  <c r="F22" i="7"/>
  <c r="D42" i="4" s="1"/>
  <c r="E38" i="4" l="1"/>
  <c r="E40" i="4" s="1"/>
  <c r="E51" i="4"/>
  <c r="G39" i="4"/>
  <c r="G52" i="4"/>
  <c r="L4" i="7"/>
  <c r="K20" i="7"/>
  <c r="K35" i="7" s="1"/>
  <c r="I41" i="4" s="1"/>
  <c r="K6" i="7"/>
  <c r="G18" i="7"/>
  <c r="I16" i="7"/>
  <c r="I9" i="7"/>
  <c r="H11" i="7"/>
  <c r="F38" i="4" l="1"/>
  <c r="F40" i="4" s="1"/>
  <c r="F51" i="4"/>
  <c r="H39" i="4"/>
  <c r="H52" i="4"/>
  <c r="L6" i="7"/>
  <c r="L20" i="7"/>
  <c r="L35" i="7" s="1"/>
  <c r="J41" i="4" s="1"/>
  <c r="M4" i="7"/>
  <c r="J16" i="7"/>
  <c r="J9" i="7"/>
  <c r="I11" i="7"/>
  <c r="H18" i="7"/>
  <c r="G22" i="7"/>
  <c r="E42" i="4" s="1"/>
  <c r="G32" i="7"/>
  <c r="I39" i="4" l="1"/>
  <c r="I52" i="4"/>
  <c r="G38" i="4"/>
  <c r="G40" i="4" s="1"/>
  <c r="G51" i="4"/>
  <c r="K9" i="7"/>
  <c r="J11" i="7"/>
  <c r="I18" i="7"/>
  <c r="M20" i="7"/>
  <c r="M35" i="7" s="1"/>
  <c r="K41" i="4" s="1"/>
  <c r="N4" i="7"/>
  <c r="M6" i="7"/>
  <c r="H32" i="7"/>
  <c r="H22" i="7"/>
  <c r="F42" i="4" s="1"/>
  <c r="K16" i="7"/>
  <c r="H38" i="4" l="1"/>
  <c r="H40" i="4" s="1"/>
  <c r="H51" i="4"/>
  <c r="J39" i="4"/>
  <c r="J52" i="4"/>
  <c r="O4" i="7"/>
  <c r="N20" i="7"/>
  <c r="N35" i="7" s="1"/>
  <c r="L41" i="4" s="1"/>
  <c r="N6" i="7"/>
  <c r="I32" i="7"/>
  <c r="I22" i="7"/>
  <c r="G42" i="4" s="1"/>
  <c r="L16" i="7"/>
  <c r="L9" i="7"/>
  <c r="K11" i="7"/>
  <c r="J18" i="7"/>
  <c r="I38" i="4" l="1"/>
  <c r="I40" i="4" s="1"/>
  <c r="I51" i="4"/>
  <c r="K39" i="4"/>
  <c r="K52" i="4"/>
  <c r="M9" i="7"/>
  <c r="L11" i="7"/>
  <c r="K18" i="7"/>
  <c r="P4" i="7"/>
  <c r="O6" i="7"/>
  <c r="O20" i="7"/>
  <c r="O35" i="7" s="1"/>
  <c r="M41" i="4" s="1"/>
  <c r="J32" i="7"/>
  <c r="J22" i="7"/>
  <c r="H42" i="4" s="1"/>
  <c r="N15" i="7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M16" i="7"/>
  <c r="J38" i="4" l="1"/>
  <c r="J40" i="4" s="1"/>
  <c r="J51" i="4"/>
  <c r="L39" i="4"/>
  <c r="L52" i="4"/>
  <c r="P6" i="7"/>
  <c r="P20" i="7"/>
  <c r="P35" i="7" s="1"/>
  <c r="N41" i="4" s="1"/>
  <c r="Q4" i="7"/>
  <c r="K32" i="7"/>
  <c r="K22" i="7"/>
  <c r="I42" i="4" s="1"/>
  <c r="N9" i="7"/>
  <c r="M11" i="7"/>
  <c r="N16" i="7"/>
  <c r="L18" i="7"/>
  <c r="M39" i="4" l="1"/>
  <c r="M52" i="4"/>
  <c r="K38" i="4"/>
  <c r="K40" i="4" s="1"/>
  <c r="K51" i="4"/>
  <c r="L22" i="7"/>
  <c r="J42" i="4" s="1"/>
  <c r="L32" i="7"/>
  <c r="O16" i="7"/>
  <c r="O9" i="7"/>
  <c r="N11" i="7"/>
  <c r="M18" i="7"/>
  <c r="Q20" i="7"/>
  <c r="Q35" i="7" s="1"/>
  <c r="O41" i="4" s="1"/>
  <c r="Q6" i="7"/>
  <c r="R4" i="7"/>
  <c r="L38" i="4" l="1"/>
  <c r="L40" i="4" s="1"/>
  <c r="L51" i="4"/>
  <c r="N39" i="4"/>
  <c r="N52" i="4"/>
  <c r="N18" i="7"/>
  <c r="S4" i="7"/>
  <c r="R20" i="7"/>
  <c r="R35" i="7" s="1"/>
  <c r="P41" i="4" s="1"/>
  <c r="R6" i="7"/>
  <c r="P16" i="7"/>
  <c r="M32" i="7"/>
  <c r="M22" i="7"/>
  <c r="K42" i="4" s="1"/>
  <c r="P9" i="7"/>
  <c r="O11" i="7"/>
  <c r="M38" i="4" l="1"/>
  <c r="M40" i="4" s="1"/>
  <c r="M51" i="4"/>
  <c r="O39" i="4"/>
  <c r="O52" i="4"/>
  <c r="Q9" i="7"/>
  <c r="P11" i="7"/>
  <c r="T4" i="7"/>
  <c r="S20" i="7"/>
  <c r="S35" i="7" s="1"/>
  <c r="Q41" i="4" s="1"/>
  <c r="S6" i="7"/>
  <c r="O18" i="7"/>
  <c r="N32" i="7"/>
  <c r="N22" i="7"/>
  <c r="L42" i="4" s="1"/>
  <c r="Q16" i="7"/>
  <c r="P39" i="4" l="1"/>
  <c r="P52" i="4"/>
  <c r="N38" i="4"/>
  <c r="N40" i="4" s="1"/>
  <c r="N51" i="4"/>
  <c r="R16" i="7"/>
  <c r="O22" i="7"/>
  <c r="M42" i="4" s="1"/>
  <c r="O32" i="7"/>
  <c r="R9" i="7"/>
  <c r="Q11" i="7"/>
  <c r="P18" i="7"/>
  <c r="T6" i="7"/>
  <c r="U4" i="7"/>
  <c r="T20" i="7"/>
  <c r="T35" i="7" s="1"/>
  <c r="R41" i="4" s="1"/>
  <c r="O38" i="4" l="1"/>
  <c r="O40" i="4" s="1"/>
  <c r="O51" i="4"/>
  <c r="Q39" i="4"/>
  <c r="Q52" i="4"/>
  <c r="U20" i="7"/>
  <c r="U35" i="7" s="1"/>
  <c r="S41" i="4" s="1"/>
  <c r="U6" i="7"/>
  <c r="V4" i="7"/>
  <c r="Q18" i="7"/>
  <c r="S16" i="7"/>
  <c r="S9" i="7"/>
  <c r="R11" i="7"/>
  <c r="P32" i="7"/>
  <c r="P22" i="7"/>
  <c r="N42" i="4" s="1"/>
  <c r="P38" i="4" l="1"/>
  <c r="P40" i="4" s="1"/>
  <c r="P51" i="4"/>
  <c r="R39" i="4"/>
  <c r="R52" i="4"/>
  <c r="V20" i="7"/>
  <c r="V35" i="7" s="1"/>
  <c r="T41" i="4" s="1"/>
  <c r="V6" i="7"/>
  <c r="W4" i="7"/>
  <c r="R18" i="7"/>
  <c r="Q32" i="7"/>
  <c r="Q22" i="7"/>
  <c r="O42" i="4" s="1"/>
  <c r="T9" i="7"/>
  <c r="S11" i="7"/>
  <c r="T16" i="7"/>
  <c r="Q38" i="4" l="1"/>
  <c r="Q40" i="4" s="1"/>
  <c r="Q51" i="4"/>
  <c r="S39" i="4"/>
  <c r="S52" i="4"/>
  <c r="U9" i="7"/>
  <c r="T11" i="7"/>
  <c r="U16" i="7"/>
  <c r="R32" i="7"/>
  <c r="R22" i="7"/>
  <c r="P42" i="4" s="1"/>
  <c r="X4" i="7"/>
  <c r="W20" i="7"/>
  <c r="W35" i="7" s="1"/>
  <c r="U41" i="4" s="1"/>
  <c r="W6" i="7"/>
  <c r="S18" i="7"/>
  <c r="T39" i="4" l="1"/>
  <c r="T52" i="4"/>
  <c r="R38" i="4"/>
  <c r="R40" i="4" s="1"/>
  <c r="R51" i="4"/>
  <c r="X6" i="7"/>
  <c r="X20" i="7"/>
  <c r="X35" i="7" s="1"/>
  <c r="V41" i="4" s="1"/>
  <c r="V16" i="7"/>
  <c r="T18" i="7"/>
  <c r="S32" i="7"/>
  <c r="S22" i="7"/>
  <c r="Q42" i="4" s="1"/>
  <c r="V9" i="7"/>
  <c r="U11" i="7"/>
  <c r="S38" i="4" l="1"/>
  <c r="S40" i="4" s="1"/>
  <c r="S51" i="4"/>
  <c r="U39" i="4"/>
  <c r="U52" i="4"/>
  <c r="W9" i="7"/>
  <c r="V11" i="7"/>
  <c r="W16" i="7"/>
  <c r="V52" i="4"/>
  <c r="U18" i="7"/>
  <c r="T32" i="7"/>
  <c r="T22" i="7"/>
  <c r="R42" i="4" s="1"/>
  <c r="T38" i="4" l="1"/>
  <c r="T40" i="4" s="1"/>
  <c r="T51" i="4"/>
  <c r="X16" i="7"/>
  <c r="V39" i="4"/>
  <c r="U32" i="7"/>
  <c r="U22" i="7"/>
  <c r="S42" i="4" s="1"/>
  <c r="X9" i="7"/>
  <c r="W11" i="7"/>
  <c r="V18" i="7"/>
  <c r="U38" i="4" l="1"/>
  <c r="U40" i="4" s="1"/>
  <c r="U51" i="4"/>
  <c r="V32" i="7"/>
  <c r="V22" i="7"/>
  <c r="T42" i="4" s="1"/>
  <c r="X11" i="7"/>
  <c r="W18" i="7"/>
  <c r="V38" i="4" l="1"/>
  <c r="V40" i="4" s="1"/>
  <c r="V51" i="4"/>
  <c r="X18" i="7"/>
  <c r="W22" i="7"/>
  <c r="U42" i="4" s="1"/>
  <c r="W32" i="7"/>
  <c r="X32" i="7" l="1"/>
  <c r="X22" i="7"/>
  <c r="V42" i="4" s="1"/>
  <c r="F26" i="7" l="1"/>
  <c r="F25" i="7" s="1"/>
  <c r="E29" i="7"/>
  <c r="C56" i="4"/>
  <c r="E34" i="7" l="1"/>
  <c r="C55" i="4"/>
  <c r="F28" i="7"/>
  <c r="C43" i="4" l="1"/>
  <c r="E36" i="7"/>
  <c r="D55" i="4"/>
  <c r="F34" i="7"/>
  <c r="D43" i="4" s="1"/>
  <c r="G26" i="7"/>
  <c r="G27" i="7" s="1"/>
  <c r="D56" i="4"/>
  <c r="F29" i="7"/>
  <c r="F57" i="7" s="1"/>
  <c r="F61" i="7" s="1"/>
  <c r="E44" i="7" l="1"/>
  <c r="E47" i="7" s="1"/>
  <c r="C44" i="4"/>
  <c r="F36" i="7"/>
  <c r="G25" i="7"/>
  <c r="E50" i="7" l="1"/>
  <c r="E51" i="7" s="1"/>
  <c r="E48" i="7"/>
  <c r="F44" i="7"/>
  <c r="F47" i="7" s="1"/>
  <c r="F48" i="7" s="1"/>
  <c r="D44" i="4"/>
  <c r="G28" i="7"/>
  <c r="E57" i="7" l="1"/>
  <c r="E61" i="7" s="1"/>
  <c r="E53" i="7"/>
  <c r="E66" i="7" s="1"/>
  <c r="F50" i="7"/>
  <c r="G34" i="7"/>
  <c r="E43" i="4" s="1"/>
  <c r="E55" i="4"/>
  <c r="G29" i="7"/>
  <c r="E56" i="4"/>
  <c r="H26" i="7"/>
  <c r="H27" i="7" s="1"/>
  <c r="F53" i="7" l="1"/>
  <c r="F51" i="7"/>
  <c r="D46" i="4" s="1"/>
  <c r="D53" i="4"/>
  <c r="D45" i="4"/>
  <c r="D54" i="4"/>
  <c r="D57" i="4" s="1"/>
  <c r="G36" i="7"/>
  <c r="C46" i="4"/>
  <c r="C53" i="4"/>
  <c r="C45" i="4"/>
  <c r="H25" i="7"/>
  <c r="G44" i="7" l="1"/>
  <c r="G47" i="7" s="1"/>
  <c r="G48" i="7" s="1"/>
  <c r="F55" i="7"/>
  <c r="F66" i="7"/>
  <c r="E44" i="4"/>
  <c r="E55" i="7"/>
  <c r="C54" i="4"/>
  <c r="C57" i="4" s="1"/>
  <c r="H28" i="7"/>
  <c r="H34" i="7" s="1"/>
  <c r="G50" i="7" l="1"/>
  <c r="F55" i="4"/>
  <c r="H29" i="7"/>
  <c r="F56" i="4"/>
  <c r="I26" i="7"/>
  <c r="F43" i="4"/>
  <c r="H36" i="7"/>
  <c r="G57" i="7" l="1"/>
  <c r="G61" i="7" s="1"/>
  <c r="G53" i="7"/>
  <c r="G51" i="7"/>
  <c r="E46" i="4" s="1"/>
  <c r="H44" i="7"/>
  <c r="H47" i="7" s="1"/>
  <c r="H48" i="7" s="1"/>
  <c r="I25" i="7"/>
  <c r="E45" i="4"/>
  <c r="E53" i="4"/>
  <c r="F44" i="4"/>
  <c r="H50" i="7" l="1"/>
  <c r="H53" i="7" s="1"/>
  <c r="E54" i="4"/>
  <c r="E57" i="4" s="1"/>
  <c r="G55" i="7"/>
  <c r="G66" i="7"/>
  <c r="I27" i="7"/>
  <c r="I28" i="7" s="1"/>
  <c r="H57" i="7" l="1"/>
  <c r="H61" i="7" s="1"/>
  <c r="H51" i="7"/>
  <c r="F46" i="4" s="1"/>
  <c r="I34" i="7"/>
  <c r="I36" i="7" s="1"/>
  <c r="G55" i="4"/>
  <c r="F45" i="4"/>
  <c r="F53" i="4"/>
  <c r="J26" i="7"/>
  <c r="G56" i="4"/>
  <c r="I29" i="7"/>
  <c r="I44" i="7" l="1"/>
  <c r="I47" i="7" s="1"/>
  <c r="I48" i="7" s="1"/>
  <c r="G43" i="4"/>
  <c r="G44" i="4"/>
  <c r="J25" i="7"/>
  <c r="F54" i="4"/>
  <c r="F57" i="4" s="1"/>
  <c r="H66" i="7"/>
  <c r="H55" i="7"/>
  <c r="I50" i="7" l="1"/>
  <c r="J27" i="7"/>
  <c r="J28" i="7" s="1"/>
  <c r="H55" i="4" s="1"/>
  <c r="I57" i="7" l="1"/>
  <c r="I61" i="7" s="1"/>
  <c r="I53" i="7"/>
  <c r="I51" i="7"/>
  <c r="J34" i="7"/>
  <c r="J36" i="7" s="1"/>
  <c r="K26" i="7"/>
  <c r="H56" i="4"/>
  <c r="J29" i="7"/>
  <c r="J44" i="7" l="1"/>
  <c r="J47" i="7" s="1"/>
  <c r="J48" i="7" s="1"/>
  <c r="G46" i="4"/>
  <c r="H43" i="4"/>
  <c r="H44" i="4"/>
  <c r="G45" i="4"/>
  <c r="G53" i="4"/>
  <c r="K25" i="7"/>
  <c r="J50" i="7" l="1"/>
  <c r="J53" i="7" s="1"/>
  <c r="I55" i="7"/>
  <c r="G54" i="4"/>
  <c r="G57" i="4" s="1"/>
  <c r="I66" i="7"/>
  <c r="K27" i="7"/>
  <c r="K28" i="7" s="1"/>
  <c r="I55" i="4" s="1"/>
  <c r="J57" i="7" l="1"/>
  <c r="J61" i="7" s="1"/>
  <c r="J51" i="7"/>
  <c r="K34" i="7"/>
  <c r="K36" i="7" s="1"/>
  <c r="L26" i="7"/>
  <c r="I56" i="4"/>
  <c r="K29" i="7"/>
  <c r="K44" i="7" l="1"/>
  <c r="K47" i="7" s="1"/>
  <c r="K48" i="7" s="1"/>
  <c r="H46" i="4"/>
  <c r="I43" i="4"/>
  <c r="H53" i="4"/>
  <c r="H45" i="4"/>
  <c r="L25" i="7"/>
  <c r="I44" i="4"/>
  <c r="K50" i="7" l="1"/>
  <c r="K53" i="7" s="1"/>
  <c r="L27" i="7"/>
  <c r="L28" i="7" s="1"/>
  <c r="L34" i="7" s="1"/>
  <c r="J55" i="7"/>
  <c r="H54" i="4"/>
  <c r="H57" i="4" s="1"/>
  <c r="J66" i="7"/>
  <c r="K57" i="7" l="1"/>
  <c r="K61" i="7" s="1"/>
  <c r="K51" i="7"/>
  <c r="J55" i="4"/>
  <c r="L29" i="7"/>
  <c r="J56" i="4"/>
  <c r="M26" i="7"/>
  <c r="L36" i="7"/>
  <c r="J43" i="4"/>
  <c r="L44" i="7" l="1"/>
  <c r="L47" i="7" s="1"/>
  <c r="L48" i="7" s="1"/>
  <c r="I46" i="4"/>
  <c r="J44" i="4"/>
  <c r="M25" i="7"/>
  <c r="I53" i="4"/>
  <c r="I45" i="4"/>
  <c r="L50" i="7" l="1"/>
  <c r="L53" i="7" s="1"/>
  <c r="M27" i="7"/>
  <c r="M28" i="7" s="1"/>
  <c r="K55" i="4" s="1"/>
  <c r="K55" i="7"/>
  <c r="I54" i="4"/>
  <c r="I57" i="4" s="1"/>
  <c r="K66" i="7"/>
  <c r="L51" i="7" l="1"/>
  <c r="L57" i="7"/>
  <c r="L61" i="7" s="1"/>
  <c r="M34" i="7"/>
  <c r="M36" i="7" s="1"/>
  <c r="N26" i="7"/>
  <c r="M29" i="7"/>
  <c r="K56" i="4"/>
  <c r="M44" i="7" l="1"/>
  <c r="M47" i="7" s="1"/>
  <c r="M48" i="7" s="1"/>
  <c r="J46" i="4"/>
  <c r="K43" i="4"/>
  <c r="J45" i="4"/>
  <c r="J53" i="4"/>
  <c r="K44" i="4"/>
  <c r="N25" i="7"/>
  <c r="M50" i="7" l="1"/>
  <c r="M51" i="7" s="1"/>
  <c r="N27" i="7"/>
  <c r="N28" i="7" s="1"/>
  <c r="L55" i="4" s="1"/>
  <c r="L55" i="7"/>
  <c r="J54" i="4"/>
  <c r="J57" i="4" s="1"/>
  <c r="L66" i="7"/>
  <c r="M57" i="7" l="1"/>
  <c r="M61" i="7" s="1"/>
  <c r="M53" i="7"/>
  <c r="N34" i="7"/>
  <c r="L43" i="4" s="1"/>
  <c r="L56" i="4"/>
  <c r="N29" i="7"/>
  <c r="O26" i="7"/>
  <c r="K45" i="4"/>
  <c r="K53" i="4"/>
  <c r="K46" i="4"/>
  <c r="N36" i="7" l="1"/>
  <c r="K54" i="4"/>
  <c r="K57" i="4" s="1"/>
  <c r="M55" i="7"/>
  <c r="M66" i="7"/>
  <c r="O25" i="7"/>
  <c r="L44" i="4" l="1"/>
  <c r="N44" i="7"/>
  <c r="N47" i="7" s="1"/>
  <c r="N48" i="7" s="1"/>
  <c r="O27" i="7"/>
  <c r="N50" i="7" l="1"/>
  <c r="N57" i="7" s="1"/>
  <c r="N61" i="7" s="1"/>
  <c r="O28" i="7"/>
  <c r="M55" i="4" s="1"/>
  <c r="P26" i="7"/>
  <c r="M56" i="4"/>
  <c r="N51" i="7" l="1"/>
  <c r="L46" i="4" s="1"/>
  <c r="N53" i="7"/>
  <c r="N55" i="7" s="1"/>
  <c r="O29" i="7"/>
  <c r="O34" i="7"/>
  <c r="L45" i="4"/>
  <c r="L53" i="4"/>
  <c r="P25" i="7"/>
  <c r="M43" i="4" l="1"/>
  <c r="O36" i="7"/>
  <c r="N66" i="7"/>
  <c r="L54" i="4"/>
  <c r="L57" i="4" s="1"/>
  <c r="P27" i="7"/>
  <c r="P28" i="7" l="1"/>
  <c r="P34" i="7" s="1"/>
  <c r="O44" i="7"/>
  <c r="O47" i="7" s="1"/>
  <c r="O48" i="7" s="1"/>
  <c r="M44" i="4"/>
  <c r="Q26" i="7"/>
  <c r="N56" i="4"/>
  <c r="O50" i="7" l="1"/>
  <c r="O53" i="7" s="1"/>
  <c r="P36" i="7"/>
  <c r="N43" i="4"/>
  <c r="N55" i="4"/>
  <c r="P29" i="7"/>
  <c r="P44" i="7"/>
  <c r="P47" i="7" s="1"/>
  <c r="P48" i="7" s="1"/>
  <c r="M53" i="4"/>
  <c r="M45" i="4"/>
  <c r="N44" i="4"/>
  <c r="Q25" i="7"/>
  <c r="O57" i="7" l="1"/>
  <c r="O61" i="7" s="1"/>
  <c r="O51" i="7"/>
  <c r="M46" i="4" s="1"/>
  <c r="P50" i="7"/>
  <c r="P51" i="7" s="1"/>
  <c r="Q27" i="7"/>
  <c r="M54" i="4"/>
  <c r="M57" i="4" s="1"/>
  <c r="O55" i="7"/>
  <c r="O66" i="7"/>
  <c r="Q28" i="7" l="1"/>
  <c r="Q29" i="7" s="1"/>
  <c r="P57" i="7"/>
  <c r="P61" i="7" s="1"/>
  <c r="P53" i="7"/>
  <c r="O56" i="4"/>
  <c r="R26" i="7"/>
  <c r="Q34" i="7" l="1"/>
  <c r="O43" i="4" s="1"/>
  <c r="O55" i="4"/>
  <c r="N46" i="4"/>
  <c r="Q36" i="7"/>
  <c r="N53" i="4"/>
  <c r="N45" i="4"/>
  <c r="R25" i="7"/>
  <c r="O44" i="4" l="1"/>
  <c r="Q44" i="7"/>
  <c r="Q47" i="7" s="1"/>
  <c r="Q48" i="7" s="1"/>
  <c r="R27" i="7"/>
  <c r="N54" i="4"/>
  <c r="N57" i="4" s="1"/>
  <c r="P55" i="7"/>
  <c r="P66" i="7"/>
  <c r="R28" i="7" l="1"/>
  <c r="P55" i="4" s="1"/>
  <c r="Q50" i="7"/>
  <c r="Q53" i="7" s="1"/>
  <c r="S26" i="7"/>
  <c r="P56" i="4"/>
  <c r="R34" i="7" l="1"/>
  <c r="P43" i="4" s="1"/>
  <c r="R29" i="7"/>
  <c r="Q57" i="7"/>
  <c r="Q61" i="7" s="1"/>
  <c r="Q51" i="7"/>
  <c r="O46" i="4" s="1"/>
  <c r="O53" i="4"/>
  <c r="O45" i="4"/>
  <c r="Q66" i="7"/>
  <c r="S25" i="7"/>
  <c r="R36" i="7" l="1"/>
  <c r="Q55" i="7"/>
  <c r="O54" i="4"/>
  <c r="O57" i="4" s="1"/>
  <c r="R44" i="7" l="1"/>
  <c r="R47" i="7" s="1"/>
  <c r="R48" i="7" s="1"/>
  <c r="R50" i="7" s="1"/>
  <c r="R53" i="7" s="1"/>
  <c r="P44" i="4"/>
  <c r="R57" i="7"/>
  <c r="R61" i="7" s="1"/>
  <c r="P45" i="4" l="1"/>
  <c r="R51" i="7"/>
  <c r="P46" i="4" s="1"/>
  <c r="P53" i="4"/>
  <c r="R55" i="7"/>
  <c r="P54" i="4"/>
  <c r="P57" i="4" s="1"/>
  <c r="R66" i="7"/>
  <c r="S27" i="7" l="1"/>
  <c r="T26" i="7" l="1"/>
  <c r="T27" i="7" s="1"/>
  <c r="S28" i="7"/>
  <c r="Q56" i="4"/>
  <c r="T25" i="7" l="1"/>
  <c r="T28" i="7"/>
  <c r="T29" i="7" s="1"/>
  <c r="S34" i="7"/>
  <c r="Q55" i="4"/>
  <c r="R56" i="4"/>
  <c r="S29" i="7"/>
  <c r="U26" i="7"/>
  <c r="R55" i="4" l="1"/>
  <c r="T34" i="7"/>
  <c r="U27" i="7"/>
  <c r="U28" i="7" s="1"/>
  <c r="U25" i="7"/>
  <c r="S36" i="7"/>
  <c r="Q43" i="4"/>
  <c r="S44" i="7" l="1"/>
  <c r="S47" i="7" s="1"/>
  <c r="S48" i="7" s="1"/>
  <c r="U34" i="7"/>
  <c r="S55" i="4"/>
  <c r="R43" i="4"/>
  <c r="T36" i="7"/>
  <c r="Q44" i="4"/>
  <c r="U29" i="7"/>
  <c r="S56" i="4"/>
  <c r="V26" i="7"/>
  <c r="T44" i="7" l="1"/>
  <c r="T47" i="7" s="1"/>
  <c r="T48" i="7" s="1"/>
  <c r="S50" i="7"/>
  <c r="S53" i="7" s="1"/>
  <c r="V27" i="7"/>
  <c r="V28" i="7" s="1"/>
  <c r="V25" i="7"/>
  <c r="R44" i="4"/>
  <c r="U36" i="7"/>
  <c r="S43" i="4"/>
  <c r="T50" i="7" l="1"/>
  <c r="T53" i="7" s="1"/>
  <c r="S57" i="7"/>
  <c r="S61" i="7" s="1"/>
  <c r="S51" i="7"/>
  <c r="U44" i="7"/>
  <c r="U47" i="7" s="1"/>
  <c r="U48" i="7" s="1"/>
  <c r="V29" i="7"/>
  <c r="T56" i="4"/>
  <c r="V66" i="7"/>
  <c r="V34" i="7"/>
  <c r="T55" i="4"/>
  <c r="S44" i="4"/>
  <c r="W26" i="7"/>
  <c r="W28" i="7" l="1"/>
  <c r="T57" i="7"/>
  <c r="T61" i="7" s="1"/>
  <c r="T51" i="7"/>
  <c r="U50" i="7"/>
  <c r="U53" i="7" s="1"/>
  <c r="Q46" i="4"/>
  <c r="Q53" i="4"/>
  <c r="S66" i="7"/>
  <c r="Q45" i="4"/>
  <c r="W25" i="7"/>
  <c r="W27" i="7"/>
  <c r="V36" i="7"/>
  <c r="T43" i="4"/>
  <c r="V44" i="7" l="1"/>
  <c r="V47" i="7" s="1"/>
  <c r="V48" i="7" s="1"/>
  <c r="U57" i="7"/>
  <c r="U61" i="7" s="1"/>
  <c r="U51" i="7"/>
  <c r="T44" i="4"/>
  <c r="W34" i="7"/>
  <c r="U55" i="4"/>
  <c r="W66" i="7"/>
  <c r="U56" i="4"/>
  <c r="W29" i="7"/>
  <c r="T66" i="7"/>
  <c r="R45" i="4"/>
  <c r="R53" i="4"/>
  <c r="R46" i="4"/>
  <c r="S55" i="7"/>
  <c r="Q54" i="4"/>
  <c r="Q57" i="4" s="1"/>
  <c r="X26" i="7"/>
  <c r="X28" i="7" l="1"/>
  <c r="V50" i="7"/>
  <c r="V53" i="7" s="1"/>
  <c r="U43" i="4"/>
  <c r="W36" i="7"/>
  <c r="R54" i="4"/>
  <c r="R57" i="4" s="1"/>
  <c r="T55" i="7"/>
  <c r="X27" i="7"/>
  <c r="X25" i="7"/>
  <c r="S45" i="4"/>
  <c r="U66" i="7"/>
  <c r="S53" i="4"/>
  <c r="S46" i="4"/>
  <c r="W44" i="7" l="1"/>
  <c r="W47" i="7" s="1"/>
  <c r="W48" i="7" s="1"/>
  <c r="V57" i="7"/>
  <c r="V61" i="7" s="1"/>
  <c r="V51" i="7"/>
  <c r="X34" i="7"/>
  <c r="V55" i="4"/>
  <c r="X66" i="7"/>
  <c r="S54" i="4"/>
  <c r="S57" i="4" s="1"/>
  <c r="U55" i="7"/>
  <c r="V56" i="4"/>
  <c r="X29" i="7"/>
  <c r="U44" i="4"/>
  <c r="W50" i="7" l="1"/>
  <c r="W51" i="7" s="1"/>
  <c r="V43" i="4"/>
  <c r="X36" i="7"/>
  <c r="E68" i="7"/>
  <c r="I30" i="4" a="1"/>
  <c r="I30" i="4" s="1"/>
  <c r="T45" i="4"/>
  <c r="T53" i="4"/>
  <c r="T46" i="4"/>
  <c r="I31" i="4" l="1"/>
  <c r="E83" i="7"/>
  <c r="W57" i="7"/>
  <c r="W61" i="7" s="1"/>
  <c r="W53" i="7"/>
  <c r="X44" i="7"/>
  <c r="X47" i="7" s="1"/>
  <c r="X48" i="7" s="1"/>
  <c r="X50" i="7" s="1"/>
  <c r="V44" i="4"/>
  <c r="U53" i="4"/>
  <c r="U45" i="4"/>
  <c r="U46" i="4"/>
  <c r="T54" i="4"/>
  <c r="T57" i="4" s="1"/>
  <c r="V55" i="7"/>
  <c r="X57" i="7" l="1"/>
  <c r="X61" i="7" s="1"/>
  <c r="X53" i="7"/>
  <c r="X51" i="7"/>
  <c r="W55" i="7"/>
  <c r="U54" i="4"/>
  <c r="U57" i="4" s="1"/>
  <c r="E70" i="7" l="1"/>
  <c r="I29" i="4" s="1"/>
  <c r="E79" i="7"/>
  <c r="V46" i="4"/>
  <c r="V45" i="4"/>
  <c r="V53" i="4"/>
  <c r="E81" i="7" l="1"/>
  <c r="E87" i="7"/>
  <c r="X55" i="7"/>
  <c r="E74" i="7" s="1"/>
  <c r="V54" i="4"/>
  <c r="V57" i="4" s="1"/>
  <c r="E72" i="7"/>
  <c r="E84" i="7" s="1"/>
  <c r="D31" i="4" l="1"/>
  <c r="E86" i="7"/>
  <c r="I28" i="4"/>
  <c r="I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34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Kosten (70-100 €/kW)
85€/kW x 3.075 kW x 8
Quelle:http://www.rosolarwiki.de/wiki/Investitionskosten_Windkraft</t>
        </r>
      </text>
    </comment>
    <comment ref="G4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Bei über 20 MW doppelte Kabelführung</t>
        </r>
      </text>
    </comment>
    <comment ref="H97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Quelle:
Deutsche WindGuard - Kostensituation der Windenergie an Land in Deutschland</t>
        </r>
      </text>
    </comment>
    <comment ref="D10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Abschaltung:
Häufigkeit*Vollaststunden[h]*Anlagenleistung[kw]*(Vergütung+Bonus)[€/kWh]
</t>
        </r>
      </text>
    </comment>
  </commentList>
</comments>
</file>

<file path=xl/sharedStrings.xml><?xml version="1.0" encoding="utf-8"?>
<sst xmlns="http://schemas.openxmlformats.org/spreadsheetml/2006/main" count="512" uniqueCount="271">
  <si>
    <t>Task</t>
  </si>
  <si>
    <t>This spreadsheet model calculates the relevant financial indicators, provides a detailed P&amp;L state-ment and optimizes the project's financing structure.</t>
  </si>
  <si>
    <t>Colour Codes:</t>
  </si>
  <si>
    <t>Fixed Values:</t>
  </si>
  <si>
    <t>Input Value:</t>
  </si>
  <si>
    <t>Input value (indirect):</t>
  </si>
  <si>
    <t>Selectable options (Drop-Down)</t>
  </si>
  <si>
    <t>Inputs</t>
  </si>
  <si>
    <t>Finanzierung</t>
  </si>
  <si>
    <t>Fremdkapitalanteil</t>
  </si>
  <si>
    <t>Other</t>
  </si>
  <si>
    <t>Abschreibung</t>
  </si>
  <si>
    <t>Jahre</t>
  </si>
  <si>
    <t>Projektkosten</t>
  </si>
  <si>
    <t>EUR (real)</t>
  </si>
  <si>
    <t>Schulden</t>
  </si>
  <si>
    <t>Steuersatz</t>
  </si>
  <si>
    <t>EPC Contract</t>
  </si>
  <si>
    <t>Laufzeit</t>
  </si>
  <si>
    <t>Inflation</t>
  </si>
  <si>
    <t>p.a.</t>
  </si>
  <si>
    <t>Grid Connection</t>
  </si>
  <si>
    <t>Tilgungszeit</t>
  </si>
  <si>
    <t>years</t>
  </si>
  <si>
    <t>Development Costs</t>
  </si>
  <si>
    <t>Annuity (yearly)</t>
  </si>
  <si>
    <t>Schuldzins</t>
  </si>
  <si>
    <t>Financing Costs</t>
  </si>
  <si>
    <t>Constant Principal</t>
  </si>
  <si>
    <t>Tilgungsfreie Anlaufzeit</t>
  </si>
  <si>
    <t>Volatility</t>
  </si>
  <si>
    <t>Contingencies</t>
  </si>
  <si>
    <t>Feed-in Tariff</t>
  </si>
  <si>
    <t>ct/kWh</t>
  </si>
  <si>
    <t>Production</t>
  </si>
  <si>
    <t>kWh</t>
  </si>
  <si>
    <t>Degradation</t>
  </si>
  <si>
    <t>Lifetime</t>
  </si>
  <si>
    <t>Nominal Power</t>
  </si>
  <si>
    <t>[MW]</t>
  </si>
  <si>
    <t>Betriebskosten (1.-10. Jahr)</t>
  </si>
  <si>
    <t>Betriebskosten (11.-20. Jahr)</t>
  </si>
  <si>
    <t>Optimistic Case</t>
  </si>
  <si>
    <t>P-50</t>
  </si>
  <si>
    <t>Bank Case</t>
  </si>
  <si>
    <t>P-75</t>
  </si>
  <si>
    <t>Bank Guidelines</t>
  </si>
  <si>
    <t>P-90</t>
  </si>
  <si>
    <t>Worst Case</t>
  </si>
  <si>
    <t>ADSCR 1.60</t>
  </si>
  <si>
    <t>DSCR 1.50</t>
  </si>
  <si>
    <t>WACC Parameters</t>
  </si>
  <si>
    <t>Risk free rate</t>
  </si>
  <si>
    <t>10 years German Eurobond (http://www.bloomberg.com/markets/rates-bonds/government-bonds/germany/)</t>
  </si>
  <si>
    <t>β-coefficient</t>
  </si>
  <si>
    <t>Location</t>
  </si>
  <si>
    <t>Freiburg</t>
  </si>
  <si>
    <t>Market risk</t>
  </si>
  <si>
    <t>of Germany, as of January 2014 (http://pages.stern.nyu.edu/~adamodar/New_Home_Page/datafile/ctryprem.html)</t>
  </si>
  <si>
    <t>Ergebnisse</t>
  </si>
  <si>
    <t>Parameter</t>
  </si>
  <si>
    <t>Value</t>
  </si>
  <si>
    <t>Unit</t>
  </si>
  <si>
    <t>Cost of equity</t>
  </si>
  <si>
    <t xml:space="preserve">IRR </t>
  </si>
  <si>
    <t>%</t>
  </si>
  <si>
    <t>Shares collected</t>
  </si>
  <si>
    <t>n</t>
  </si>
  <si>
    <t>IRR of sponsors</t>
  </si>
  <si>
    <t>WACC</t>
  </si>
  <si>
    <t>DSCR (Minimum)</t>
  </si>
  <si>
    <t>NPV (Project)</t>
  </si>
  <si>
    <t>EUR</t>
  </si>
  <si>
    <t>ADSCR</t>
  </si>
  <si>
    <t>LCE</t>
  </si>
  <si>
    <t>Gewinn &amp; Verlustrechnung</t>
  </si>
  <si>
    <t>Einnahmen</t>
  </si>
  <si>
    <t>Betriebskosten</t>
  </si>
  <si>
    <t>EBITDA</t>
  </si>
  <si>
    <t>Depreciations</t>
  </si>
  <si>
    <t>EBIT</t>
  </si>
  <si>
    <t>Net financial income</t>
  </si>
  <si>
    <t>EBT</t>
  </si>
  <si>
    <t>Accounting tax</t>
  </si>
  <si>
    <t>Profit after tax</t>
  </si>
  <si>
    <t>Cash Waterfall</t>
  </si>
  <si>
    <t>Revenues</t>
  </si>
  <si>
    <t>TAX</t>
  </si>
  <si>
    <t>CFADS</t>
  </si>
  <si>
    <t>Interest</t>
  </si>
  <si>
    <t>Repayment</t>
  </si>
  <si>
    <t>Cash flow for shareholder</t>
  </si>
  <si>
    <t>Berechnungen</t>
  </si>
  <si>
    <t>Year</t>
  </si>
  <si>
    <t>Discount rate</t>
  </si>
  <si>
    <t>verkaufte Energie</t>
  </si>
  <si>
    <t>Energiepreis</t>
  </si>
  <si>
    <t>EUR (nominal)</t>
  </si>
  <si>
    <t>Expenses</t>
  </si>
  <si>
    <t>Investition</t>
  </si>
  <si>
    <t>Total</t>
  </si>
  <si>
    <t>EUR (linear,nominal)</t>
  </si>
  <si>
    <t>Eröffnungsbilanz</t>
  </si>
  <si>
    <t>Tilgung</t>
  </si>
  <si>
    <t>Zinsen</t>
  </si>
  <si>
    <t>Höhe der Rate</t>
  </si>
  <si>
    <t>Einkommen</t>
  </si>
  <si>
    <t>Einnahmen vor Zinsen, Steuern,  Abschreibung</t>
  </si>
  <si>
    <t>PBT</t>
  </si>
  <si>
    <t>Versteuerbares Einkommen</t>
  </si>
  <si>
    <t>PBT before loss cary forward</t>
  </si>
  <si>
    <t>Loss carry forward</t>
  </si>
  <si>
    <t>PBT after loss cary forward</t>
  </si>
  <si>
    <t>Körperschaftssteuer</t>
  </si>
  <si>
    <t>Solidaritätszuschlag</t>
  </si>
  <si>
    <t>Gewerbeertrag</t>
  </si>
  <si>
    <t>Tax paid</t>
  </si>
  <si>
    <t>Gewerbesteuer</t>
  </si>
  <si>
    <t>Steuern</t>
  </si>
  <si>
    <t>Gewinn nach Steuern</t>
  </si>
  <si>
    <t>Net cash flow after taxes (CFADS)</t>
  </si>
  <si>
    <t>Cash flow for shareholders</t>
  </si>
  <si>
    <t>Eigenkapitalrendite</t>
  </si>
  <si>
    <t>E</t>
  </si>
  <si>
    <t>DSCR</t>
  </si>
  <si>
    <t>Internal Rate of Return Shareholders</t>
  </si>
  <si>
    <t>Internal Rate of Return Project</t>
  </si>
  <si>
    <t>Net Present Value Project</t>
  </si>
  <si>
    <t>Euro</t>
  </si>
  <si>
    <t>Ertrag</t>
  </si>
  <si>
    <t>Verzinsung:</t>
  </si>
  <si>
    <t>Prozent</t>
  </si>
  <si>
    <t>interner Zinsfuß</t>
  </si>
  <si>
    <t>Kapitalwert</t>
  </si>
  <si>
    <t>Ausschüttung in % des EK</t>
  </si>
  <si>
    <t>Inflation Rate</t>
  </si>
  <si>
    <t>Variation</t>
  </si>
  <si>
    <t>DSCR (min)</t>
  </si>
  <si>
    <t>Interest Rate</t>
  </si>
  <si>
    <t>Debt</t>
  </si>
  <si>
    <t>Maturity</t>
  </si>
  <si>
    <t>OPEX</t>
  </si>
  <si>
    <t>CAPEX</t>
  </si>
  <si>
    <t>O&amp;M</t>
  </si>
  <si>
    <t>Asset Management</t>
  </si>
  <si>
    <t>Lease</t>
  </si>
  <si>
    <t>Others</t>
  </si>
  <si>
    <t>Sensitivity Analysis</t>
  </si>
  <si>
    <t>=&gt; lower CAPEX, Interest &amp; OPEX =&gt; not realistic / low impact</t>
  </si>
  <si>
    <t>- what else can be done? =&gt; Debt / Maturity</t>
  </si>
  <si>
    <t>INVESTITION</t>
  </si>
  <si>
    <t>€</t>
  </si>
  <si>
    <t>WEA inkl. Optionen</t>
  </si>
  <si>
    <t>Fundamente</t>
  </si>
  <si>
    <t>Zuwegung, Kranstellflächen</t>
  </si>
  <si>
    <t>Erdkabel (In- und Extern)</t>
  </si>
  <si>
    <t>Gutachten, Genehmigungen</t>
  </si>
  <si>
    <t>Ausgleichsmaßnahmen &amp; Entschädigungen</t>
  </si>
  <si>
    <t>Finanzierungsnebenkosten</t>
  </si>
  <si>
    <t>Projektierung</t>
  </si>
  <si>
    <t>Notar, Amtsgericht, etc.</t>
  </si>
  <si>
    <t>Sonstiges, Reserve</t>
  </si>
  <si>
    <t>SUMME</t>
  </si>
  <si>
    <t>Input</t>
  </si>
  <si>
    <t>Projekt / Anlage</t>
  </si>
  <si>
    <t>Projekt:</t>
  </si>
  <si>
    <t>Nentzelsrode, Thüringen</t>
  </si>
  <si>
    <t>Gesellschaftsform Betreiber</t>
  </si>
  <si>
    <t>Mittlere Windge- schwindigkeit in Nabenhöhe</t>
  </si>
  <si>
    <t>m/s</t>
  </si>
  <si>
    <t>Anlagentyp</t>
  </si>
  <si>
    <t>VESTAS V112-3.075</t>
  </si>
  <si>
    <t>Bruttoenergieertrag</t>
  </si>
  <si>
    <t>kWh/a</t>
  </si>
  <si>
    <t>Anzahl Anlagen</t>
  </si>
  <si>
    <t>Park Effizienz</t>
  </si>
  <si>
    <t>Installierte Leistung</t>
  </si>
  <si>
    <t>MW</t>
  </si>
  <si>
    <t>Park Result</t>
  </si>
  <si>
    <t>Inbetriebnahme</t>
  </si>
  <si>
    <t>Sicherheitsabschlag</t>
  </si>
  <si>
    <t>Preis pro Anlage</t>
  </si>
  <si>
    <t>Verluste</t>
  </si>
  <si>
    <t>Referenzertrag pro Anlage</t>
  </si>
  <si>
    <t>Nettoenergieertrag</t>
  </si>
  <si>
    <t>Vollaststunden</t>
  </si>
  <si>
    <t>Vergütung</t>
  </si>
  <si>
    <t>Referenzenergieertrag</t>
  </si>
  <si>
    <t>Energieertrag</t>
  </si>
  <si>
    <t>kWh/5a</t>
  </si>
  <si>
    <t>Degression</t>
  </si>
  <si>
    <t>SDL-Bonus</t>
  </si>
  <si>
    <t>€cent/kWh</t>
  </si>
  <si>
    <t>Einnahmen Vergütung</t>
  </si>
  <si>
    <t>€/a</t>
  </si>
  <si>
    <t>Repowering-Bonus</t>
  </si>
  <si>
    <t>Vergütung total</t>
  </si>
  <si>
    <t>Grundvergütung</t>
  </si>
  <si>
    <t>WEA, inkl. Trafo, Transport, Montage</t>
  </si>
  <si>
    <t>Fundament</t>
  </si>
  <si>
    <t>Zahlung GU</t>
  </si>
  <si>
    <t>ca.9% seiner Leistungen (Int., ext. Verkabelung; Übergabestation, Netzanschluss, Zuwegung, Kranstellflächen, Versicherung, Ausgleichsmaßnahmen)</t>
  </si>
  <si>
    <t>Zuwegung (Ausbau vorhandene Wege)</t>
  </si>
  <si>
    <t>Länge [km]</t>
  </si>
  <si>
    <t>Preis pro km [€]</t>
  </si>
  <si>
    <t>Zuwegung (neu Errichtung)</t>
  </si>
  <si>
    <t>Kranstellflächen</t>
  </si>
  <si>
    <t>Anzahl</t>
  </si>
  <si>
    <t>Preis pro Fläche [€]</t>
  </si>
  <si>
    <t>Interne Verkabelung</t>
  </si>
  <si>
    <t>Externe Verkabelung</t>
  </si>
  <si>
    <t>Übergabestation</t>
  </si>
  <si>
    <t>Netzanschluss</t>
  </si>
  <si>
    <t>an TEN Thüringer Energienetze</t>
  </si>
  <si>
    <t>SDL-Anlagenzertifikat; Konformitätserklärung</t>
  </si>
  <si>
    <t>Windgutachten</t>
  </si>
  <si>
    <t>Pro Stück        €</t>
  </si>
  <si>
    <t>Faunistisches Gutachten</t>
  </si>
  <si>
    <t>Schall-, Schattengutachten</t>
  </si>
  <si>
    <t>UVP/LBP</t>
  </si>
  <si>
    <t>Baugenehmigung nach BImSchG</t>
  </si>
  <si>
    <t>Pro WEA       €</t>
  </si>
  <si>
    <t>Standortrechte</t>
  </si>
  <si>
    <t>Entschädigung Repowering</t>
  </si>
  <si>
    <t>Entschädigung externe Kabeltrasse</t>
  </si>
  <si>
    <t>Entschädigung Ernteausfall</t>
  </si>
  <si>
    <t>Fläche      ha</t>
  </si>
  <si>
    <t>Preis pro ha [€]</t>
  </si>
  <si>
    <t>Ausgleichsmaßnahmen</t>
  </si>
  <si>
    <t>Pro WEA        €</t>
  </si>
  <si>
    <t>Versicherung</t>
  </si>
  <si>
    <t>Rechtsberatung, Notar, Amtsgericht</t>
  </si>
  <si>
    <t>Abnahmegutachten</t>
  </si>
  <si>
    <t>Vorfinanzierung</t>
  </si>
  <si>
    <t>Strukturierungsgebühr Bank</t>
  </si>
  <si>
    <t>1% FK</t>
  </si>
  <si>
    <t>Bereitstellungsprovision</t>
  </si>
  <si>
    <t>Avalprovision</t>
  </si>
  <si>
    <t>1,5%-2% Bürgschaftsbetrag</t>
  </si>
  <si>
    <t>Reserve</t>
  </si>
  <si>
    <t>WEA:</t>
  </si>
  <si>
    <t>Projektentwicklung:</t>
  </si>
  <si>
    <t>Infrastruktur:</t>
  </si>
  <si>
    <t>Gesamt</t>
  </si>
  <si>
    <t>Spezifischer Kaufpreis</t>
  </si>
  <si>
    <t>€/kWh</t>
  </si>
  <si>
    <t>Abschreibungsfähige Investitionskosten</t>
  </si>
  <si>
    <t>Wartungskosten:</t>
  </si>
  <si>
    <t>0-10 24,1 Euro/MWh ; 11-20 26,8 Euro/MWh</t>
  </si>
  <si>
    <t>Wartung (Vollwartung) (1.-10. Jahr)</t>
  </si>
  <si>
    <t>Wartung (Vollwartung) (11.-20. Jahr)</t>
  </si>
  <si>
    <t>Pachten</t>
  </si>
  <si>
    <t>€/kW</t>
  </si>
  <si>
    <t>Konzept Rückenwind</t>
  </si>
  <si>
    <t>Abschaltungskosten, Altanlagen</t>
  </si>
  <si>
    <t>Jahresabschluss, Steuerberatung</t>
  </si>
  <si>
    <t>Versicherungen</t>
  </si>
  <si>
    <t>Bauherren-, Betreiberhaftpflicht; Maschinen-, MBU-Versicherung</t>
  </si>
  <si>
    <t>Rückbaurückstellungen</t>
  </si>
  <si>
    <t>Pro MW        €</t>
  </si>
  <si>
    <t>Strombezug</t>
  </si>
  <si>
    <t>Diverses</t>
  </si>
  <si>
    <t>Inflation (Basis 2014)</t>
  </si>
  <si>
    <t>Destatis</t>
  </si>
  <si>
    <t>Summe</t>
  </si>
  <si>
    <t>Freibetrag</t>
  </si>
  <si>
    <t>Steuermesszahl</t>
  </si>
  <si>
    <t>Hebesatz Standortgemeinde</t>
  </si>
  <si>
    <t>Hamburg</t>
  </si>
  <si>
    <t>Sonstiges</t>
  </si>
  <si>
    <t>Erwartete Eigenkapitalverzinsung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</si>
</sst>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\ _€_-;\-* #,##0\ _€_-;_-* &quot;-&quot;??\ _€_-;_-@_-"/>
    <numFmt numFmtId="167" formatCode="0.0%"/>
    <numFmt numFmtId="168" formatCode="0.000%"/>
    <numFmt numFmtId="169" formatCode="0.000"/>
    <numFmt numFmtId="170" formatCode="#,##0_ ;\-#,##0\ "/>
    <numFmt numFmtId="171" formatCode="0.0000"/>
    <numFmt numFmtId="172" formatCode="#,##0.0000"/>
    <numFmt numFmtId="173" formatCode="#,##0\ &quot;€&quot;"/>
    <numFmt numFmtId="174" formatCode="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  <font>
      <b/>
      <u/>
      <sz val="7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</cellStyleXfs>
  <cellXfs count="3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8" fillId="2" borderId="0" xfId="0" applyFont="1" applyFill="1"/>
    <xf numFmtId="168" fontId="0" fillId="2" borderId="0" xfId="3" applyNumberFormat="1" applyFont="1" applyFill="1" applyAlignment="1"/>
    <xf numFmtId="165" fontId="0" fillId="2" borderId="0" xfId="1" applyFont="1" applyFill="1" applyAlignment="1"/>
    <xf numFmtId="0" fontId="0" fillId="2" borderId="1" xfId="0" applyFill="1" applyBorder="1"/>
    <xf numFmtId="0" fontId="4" fillId="2" borderId="1" xfId="0" applyFont="1" applyFill="1" applyBorder="1"/>
    <xf numFmtId="0" fontId="4" fillId="2" borderId="0" xfId="0" applyFont="1" applyFill="1"/>
    <xf numFmtId="44" fontId="4" fillId="2" borderId="2" xfId="0" applyNumberFormat="1" applyFont="1" applyFill="1" applyBorder="1"/>
    <xf numFmtId="169" fontId="0" fillId="2" borderId="0" xfId="0" applyNumberFormat="1" applyFill="1"/>
    <xf numFmtId="0" fontId="7" fillId="2" borderId="0" xfId="0" applyFont="1" applyFill="1"/>
    <xf numFmtId="3" fontId="0" fillId="3" borderId="3" xfId="0" applyNumberFormat="1" applyFill="1" applyBorder="1"/>
    <xf numFmtId="3" fontId="0" fillId="0" borderId="3" xfId="0" applyNumberFormat="1" applyBorder="1"/>
    <xf numFmtId="3" fontId="9" fillId="5" borderId="3" xfId="0" applyNumberFormat="1" applyFont="1" applyFill="1" applyBorder="1"/>
    <xf numFmtId="0" fontId="0" fillId="4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5" fontId="0" fillId="2" borderId="0" xfId="1" applyFont="1" applyFill="1" applyBorder="1" applyAlignment="1"/>
    <xf numFmtId="166" fontId="0" fillId="2" borderId="0" xfId="0" applyNumberFormat="1" applyFill="1"/>
    <xf numFmtId="2" fontId="0" fillId="2" borderId="0" xfId="0" applyNumberFormat="1" applyFill="1" applyAlignment="1">
      <alignment horizontal="center"/>
    </xf>
    <xf numFmtId="0" fontId="3" fillId="2" borderId="9" xfId="0" applyFont="1" applyFill="1" applyBorder="1"/>
    <xf numFmtId="165" fontId="0" fillId="2" borderId="8" xfId="1" applyFont="1" applyFill="1" applyBorder="1" applyAlignment="1"/>
    <xf numFmtId="0" fontId="5" fillId="2" borderId="11" xfId="0" applyFont="1" applyFill="1" applyBorder="1"/>
    <xf numFmtId="0" fontId="3" fillId="2" borderId="11" xfId="0" applyFont="1" applyFill="1" applyBorder="1"/>
    <xf numFmtId="165" fontId="0" fillId="2" borderId="11" xfId="0" applyNumberFormat="1" applyFill="1" applyBorder="1"/>
    <xf numFmtId="0" fontId="0" fillId="2" borderId="11" xfId="0" applyFill="1" applyBorder="1"/>
    <xf numFmtId="0" fontId="3" fillId="2" borderId="4" xfId="0" applyFont="1" applyFill="1" applyBorder="1"/>
    <xf numFmtId="0" fontId="3" fillId="2" borderId="12" xfId="0" applyFont="1" applyFill="1" applyBorder="1"/>
    <xf numFmtId="165" fontId="4" fillId="2" borderId="0" xfId="1" applyFont="1" applyFill="1" applyBorder="1" applyAlignment="1"/>
    <xf numFmtId="165" fontId="4" fillId="2" borderId="2" xfId="1" applyFont="1" applyFill="1" applyBorder="1" applyAlignment="1"/>
    <xf numFmtId="0" fontId="4" fillId="2" borderId="5" xfId="0" applyFont="1" applyFill="1" applyBorder="1"/>
    <xf numFmtId="165" fontId="4" fillId="2" borderId="8" xfId="1" applyFont="1" applyFill="1" applyBorder="1" applyAlignment="1"/>
    <xf numFmtId="0" fontId="0" fillId="2" borderId="9" xfId="0" applyFill="1" applyBorder="1"/>
    <xf numFmtId="165" fontId="6" fillId="2" borderId="2" xfId="1" applyFont="1" applyFill="1" applyBorder="1" applyAlignment="1"/>
    <xf numFmtId="165" fontId="6" fillId="2" borderId="10" xfId="1" applyFont="1" applyFill="1" applyBorder="1" applyAlignment="1"/>
    <xf numFmtId="0" fontId="4" fillId="2" borderId="2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165" fontId="6" fillId="2" borderId="0" xfId="1" applyFont="1" applyFill="1" applyBorder="1" applyAlignment="1"/>
    <xf numFmtId="0" fontId="3" fillId="2" borderId="5" xfId="0" applyFont="1" applyFill="1" applyBorder="1"/>
    <xf numFmtId="0" fontId="6" fillId="2" borderId="5" xfId="0" applyFont="1" applyFill="1" applyBorder="1"/>
    <xf numFmtId="165" fontId="6" fillId="2" borderId="5" xfId="1" applyFont="1" applyFill="1" applyBorder="1" applyAlignment="1"/>
    <xf numFmtId="165" fontId="0" fillId="2" borderId="1" xfId="1" applyFont="1" applyFill="1" applyBorder="1" applyAlignment="1"/>
    <xf numFmtId="0" fontId="4" fillId="2" borderId="14" xfId="0" applyFont="1" applyFill="1" applyBorder="1"/>
    <xf numFmtId="0" fontId="0" fillId="2" borderId="14" xfId="0" applyFill="1" applyBorder="1"/>
    <xf numFmtId="165" fontId="0" fillId="2" borderId="5" xfId="1" applyFont="1" applyFill="1" applyBorder="1" applyAlignment="1"/>
    <xf numFmtId="10" fontId="0" fillId="2" borderId="0" xfId="2" applyNumberFormat="1" applyFont="1" applyFill="1" applyBorder="1" applyAlignment="1">
      <alignment horizontal="right"/>
    </xf>
    <xf numFmtId="44" fontId="0" fillId="2" borderId="1" xfId="2" applyFont="1" applyFill="1" applyBorder="1" applyAlignment="1"/>
    <xf numFmtId="0" fontId="3" fillId="2" borderId="14" xfId="0" applyFont="1" applyFill="1" applyBorder="1"/>
    <xf numFmtId="165" fontId="4" fillId="2" borderId="14" xfId="1" applyFont="1" applyFill="1" applyBorder="1" applyAlignment="1"/>
    <xf numFmtId="165" fontId="6" fillId="2" borderId="6" xfId="1" applyFont="1" applyFill="1" applyBorder="1" applyAlignment="1"/>
    <xf numFmtId="165" fontId="6" fillId="2" borderId="8" xfId="1" applyFont="1" applyFill="1" applyBorder="1" applyAlignment="1"/>
    <xf numFmtId="0" fontId="4" fillId="2" borderId="7" xfId="0" applyFont="1" applyFill="1" applyBorder="1"/>
    <xf numFmtId="165" fontId="0" fillId="2" borderId="6" xfId="1" applyFont="1" applyFill="1" applyBorder="1" applyAlignment="1"/>
    <xf numFmtId="0" fontId="6" fillId="2" borderId="15" xfId="0" applyFont="1" applyFill="1" applyBorder="1"/>
    <xf numFmtId="165" fontId="0" fillId="2" borderId="16" xfId="1" applyFont="1" applyFill="1" applyBorder="1" applyAlignment="1"/>
    <xf numFmtId="0" fontId="0" fillId="2" borderId="17" xfId="0" applyFill="1" applyBorder="1"/>
    <xf numFmtId="0" fontId="3" fillId="2" borderId="15" xfId="0" applyFont="1" applyFill="1" applyBorder="1"/>
    <xf numFmtId="0" fontId="0" fillId="2" borderId="2" xfId="0" applyFill="1" applyBorder="1"/>
    <xf numFmtId="165" fontId="0" fillId="2" borderId="2" xfId="0" applyNumberFormat="1" applyFill="1" applyBorder="1"/>
    <xf numFmtId="165" fontId="4" fillId="2" borderId="0" xfId="0" applyNumberFormat="1" applyFont="1" applyFill="1"/>
    <xf numFmtId="0" fontId="6" fillId="2" borderId="12" xfId="0" applyFont="1" applyFill="1" applyBorder="1"/>
    <xf numFmtId="0" fontId="6" fillId="2" borderId="11" xfId="0" applyFont="1" applyFill="1" applyBorder="1"/>
    <xf numFmtId="0" fontId="4" fillId="2" borderId="11" xfId="0" applyFont="1" applyFill="1" applyBorder="1"/>
    <xf numFmtId="165" fontId="4" fillId="2" borderId="11" xfId="1" applyFont="1" applyFill="1" applyBorder="1" applyAlignment="1"/>
    <xf numFmtId="165" fontId="4" fillId="2" borderId="13" xfId="1" applyFont="1" applyFill="1" applyBorder="1" applyAlignment="1"/>
    <xf numFmtId="165" fontId="0" fillId="2" borderId="14" xfId="1" applyFont="1" applyFill="1" applyBorder="1" applyAlignment="1"/>
    <xf numFmtId="165" fontId="0" fillId="2" borderId="11" xfId="1" applyFont="1" applyFill="1" applyBorder="1" applyAlignment="1"/>
    <xf numFmtId="165" fontId="0" fillId="2" borderId="13" xfId="1" applyFont="1" applyFill="1" applyBorder="1" applyAlignment="1"/>
    <xf numFmtId="0" fontId="6" fillId="2" borderId="12" xfId="1" applyNumberFormat="1" applyFont="1" applyFill="1" applyBorder="1" applyAlignment="1">
      <alignment horizontal="left"/>
    </xf>
    <xf numFmtId="44" fontId="4" fillId="2" borderId="5" xfId="2" applyFont="1" applyFill="1" applyBorder="1" applyAlignment="1"/>
    <xf numFmtId="0" fontId="6" fillId="2" borderId="4" xfId="0" applyFont="1" applyFill="1" applyBorder="1"/>
    <xf numFmtId="0" fontId="7" fillId="2" borderId="5" xfId="0" applyFont="1" applyFill="1" applyBorder="1"/>
    <xf numFmtId="44" fontId="10" fillId="2" borderId="5" xfId="0" applyNumberFormat="1" applyFont="1" applyFill="1" applyBorder="1"/>
    <xf numFmtId="168" fontId="7" fillId="2" borderId="5" xfId="0" applyNumberFormat="1" applyFont="1" applyFill="1" applyBorder="1"/>
    <xf numFmtId="0" fontId="4" fillId="2" borderId="6" xfId="0" applyFont="1" applyFill="1" applyBorder="1"/>
    <xf numFmtId="0" fontId="7" fillId="2" borderId="7" xfId="0" applyFont="1" applyFill="1" applyBorder="1"/>
    <xf numFmtId="44" fontId="4" fillId="2" borderId="0" xfId="2" applyFont="1" applyFill="1" applyBorder="1" applyAlignment="1"/>
    <xf numFmtId="44" fontId="4" fillId="2" borderId="8" xfId="2" applyFont="1" applyFill="1" applyBorder="1" applyAlignment="1"/>
    <xf numFmtId="165" fontId="0" fillId="2" borderId="0" xfId="0" applyNumberFormat="1" applyFill="1"/>
    <xf numFmtId="0" fontId="0" fillId="2" borderId="0" xfId="0" applyFill="1" applyAlignment="1">
      <alignment horizontal="right"/>
    </xf>
    <xf numFmtId="44" fontId="4" fillId="2" borderId="6" xfId="2" applyFont="1" applyFill="1" applyBorder="1" applyAlignment="1"/>
    <xf numFmtId="44" fontId="4" fillId="2" borderId="10" xfId="0" applyNumberFormat="1" applyFont="1" applyFill="1" applyBorder="1"/>
    <xf numFmtId="0" fontId="6" fillId="2" borderId="9" xfId="0" applyFont="1" applyFill="1" applyBorder="1" applyAlignment="1">
      <alignment horizontal="right"/>
    </xf>
    <xf numFmtId="169" fontId="0" fillId="2" borderId="5" xfId="0" applyNumberFormat="1" applyFill="1" applyBorder="1"/>
    <xf numFmtId="169" fontId="0" fillId="2" borderId="6" xfId="0" applyNumberFormat="1" applyFill="1" applyBorder="1"/>
    <xf numFmtId="0" fontId="0" fillId="2" borderId="8" xfId="0" applyFill="1" applyBorder="1"/>
    <xf numFmtId="0" fontId="3" fillId="2" borderId="7" xfId="0" applyFont="1" applyFill="1" applyBorder="1"/>
    <xf numFmtId="0" fontId="4" fillId="2" borderId="8" xfId="0" applyFont="1" applyFill="1" applyBorder="1"/>
    <xf numFmtId="0" fontId="4" fillId="2" borderId="10" xfId="0" applyFont="1" applyFill="1" applyBorder="1"/>
    <xf numFmtId="10" fontId="0" fillId="2" borderId="0" xfId="0" applyNumberFormat="1" applyFill="1"/>
    <xf numFmtId="168" fontId="0" fillId="2" borderId="0" xfId="0" applyNumberFormat="1" applyFill="1"/>
    <xf numFmtId="2" fontId="4" fillId="2" borderId="2" xfId="0" applyNumberFormat="1" applyFont="1" applyFill="1" applyBorder="1"/>
    <xf numFmtId="0" fontId="11" fillId="6" borderId="0" xfId="0" applyFont="1" applyFill="1"/>
    <xf numFmtId="0" fontId="2" fillId="6" borderId="0" xfId="0" applyFont="1" applyFill="1"/>
    <xf numFmtId="165" fontId="0" fillId="2" borderId="2" xfId="1" applyFont="1" applyFill="1" applyBorder="1" applyAlignment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/>
    <xf numFmtId="0" fontId="13" fillId="6" borderId="0" xfId="0" applyFont="1" applyFill="1"/>
    <xf numFmtId="0" fontId="14" fillId="6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NumberFormat="1" applyFont="1" applyFill="1" applyAlignment="1">
      <alignment horizontal="left"/>
    </xf>
    <xf numFmtId="0" fontId="18" fillId="2" borderId="0" xfId="3" applyNumberFormat="1" applyFont="1" applyFill="1" applyAlignment="1">
      <alignment horizontal="left"/>
    </xf>
    <xf numFmtId="0" fontId="19" fillId="2" borderId="4" xfId="0" applyFont="1" applyFill="1" applyBorder="1" applyAlignment="1">
      <alignment horizontal="left"/>
    </xf>
    <xf numFmtId="0" fontId="20" fillId="2" borderId="5" xfId="0" applyFont="1" applyFill="1" applyBorder="1"/>
    <xf numFmtId="10" fontId="20" fillId="3" borderId="5" xfId="3" applyNumberFormat="1" applyFont="1" applyFill="1" applyBorder="1"/>
    <xf numFmtId="0" fontId="20" fillId="2" borderId="6" xfId="0" applyFont="1" applyFill="1" applyBorder="1"/>
    <xf numFmtId="0" fontId="20" fillId="2" borderId="0" xfId="0" applyFont="1" applyFill="1"/>
    <xf numFmtId="0" fontId="19" fillId="2" borderId="4" xfId="0" applyFont="1" applyFill="1" applyBorder="1"/>
    <xf numFmtId="0" fontId="20" fillId="4" borderId="5" xfId="2" applyNumberFormat="1" applyFont="1" applyFill="1" applyBorder="1"/>
    <xf numFmtId="0" fontId="20" fillId="2" borderId="4" xfId="0" applyFont="1" applyFill="1" applyBorder="1"/>
    <xf numFmtId="0" fontId="17" fillId="2" borderId="0" xfId="0" applyFont="1" applyFill="1"/>
    <xf numFmtId="0" fontId="18" fillId="2" borderId="0" xfId="0" applyFont="1" applyFill="1"/>
    <xf numFmtId="0" fontId="20" fillId="2" borderId="7" xfId="0" applyFont="1" applyFill="1" applyBorder="1"/>
    <xf numFmtId="165" fontId="20" fillId="3" borderId="0" xfId="1" applyFont="1" applyFill="1" applyBorder="1"/>
    <xf numFmtId="0" fontId="20" fillId="2" borderId="8" xfId="0" applyFont="1" applyFill="1" applyBorder="1"/>
    <xf numFmtId="10" fontId="20" fillId="4" borderId="0" xfId="3" applyNumberFormat="1" applyFont="1" applyFill="1" applyBorder="1"/>
    <xf numFmtId="0" fontId="20" fillId="3" borderId="0" xfId="0" applyFont="1" applyFill="1"/>
    <xf numFmtId="0" fontId="20" fillId="2" borderId="9" xfId="0" applyFont="1" applyFill="1" applyBorder="1"/>
    <xf numFmtId="0" fontId="20" fillId="2" borderId="2" xfId="0" applyFont="1" applyFill="1" applyBorder="1"/>
    <xf numFmtId="0" fontId="20" fillId="2" borderId="10" xfId="0" applyFont="1" applyFill="1" applyBorder="1"/>
    <xf numFmtId="167" fontId="20" fillId="3" borderId="0" xfId="3" applyNumberFormat="1" applyFont="1" applyFill="1" applyBorder="1"/>
    <xf numFmtId="165" fontId="20" fillId="3" borderId="2" xfId="1" applyFont="1" applyFill="1" applyBorder="1"/>
    <xf numFmtId="166" fontId="20" fillId="3" borderId="5" xfId="1" applyNumberFormat="1" applyFont="1" applyFill="1" applyBorder="1" applyAlignment="1">
      <alignment horizontal="right"/>
    </xf>
    <xf numFmtId="0" fontId="20" fillId="2" borderId="6" xfId="0" applyFont="1" applyFill="1" applyBorder="1" applyAlignment="1">
      <alignment horizontal="left"/>
    </xf>
    <xf numFmtId="0" fontId="20" fillId="4" borderId="0" xfId="0" applyFont="1" applyFill="1"/>
    <xf numFmtId="0" fontId="18" fillId="2" borderId="8" xfId="0" applyFont="1" applyFill="1" applyBorder="1"/>
    <xf numFmtId="0" fontId="17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2" borderId="10" xfId="0" applyFont="1" applyFill="1" applyBorder="1"/>
    <xf numFmtId="0" fontId="18" fillId="2" borderId="7" xfId="0" applyFont="1" applyFill="1" applyBorder="1"/>
    <xf numFmtId="165" fontId="18" fillId="3" borderId="0" xfId="1" applyFont="1" applyFill="1" applyBorder="1"/>
    <xf numFmtId="0" fontId="18" fillId="2" borderId="0" xfId="0" applyFont="1" applyFill="1" applyAlignment="1">
      <alignment horizontal="right"/>
    </xf>
    <xf numFmtId="0" fontId="18" fillId="2" borderId="9" xfId="0" applyFont="1" applyFill="1" applyBorder="1"/>
    <xf numFmtId="0" fontId="20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6" fillId="2" borderId="4" xfId="0" applyFont="1" applyFill="1" applyBorder="1"/>
    <xf numFmtId="0" fontId="20" fillId="2" borderId="6" xfId="0" applyFont="1" applyFill="1" applyBorder="1" applyAlignment="1">
      <alignment horizontal="center"/>
    </xf>
    <xf numFmtId="10" fontId="20" fillId="2" borderId="0" xfId="3" applyNumberFormat="1" applyFont="1" applyFill="1"/>
    <xf numFmtId="0" fontId="20" fillId="2" borderId="8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left"/>
    </xf>
    <xf numFmtId="165" fontId="18" fillId="3" borderId="2" xfId="1" applyFont="1" applyFill="1" applyBorder="1"/>
    <xf numFmtId="0" fontId="18" fillId="2" borderId="5" xfId="0" applyFont="1" applyFill="1" applyBorder="1"/>
    <xf numFmtId="10" fontId="20" fillId="2" borderId="5" xfId="3" applyNumberFormat="1" applyFont="1" applyFill="1" applyBorder="1"/>
    <xf numFmtId="15" fontId="21" fillId="2" borderId="0" xfId="0" applyNumberFormat="1" applyFont="1" applyFill="1"/>
    <xf numFmtId="0" fontId="20" fillId="2" borderId="0" xfId="1" applyNumberFormat="1" applyFont="1" applyFill="1" applyBorder="1"/>
    <xf numFmtId="10" fontId="20" fillId="2" borderId="2" xfId="3" applyNumberFormat="1" applyFont="1" applyFill="1" applyBorder="1"/>
    <xf numFmtId="0" fontId="19" fillId="2" borderId="9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center"/>
    </xf>
    <xf numFmtId="0" fontId="18" fillId="6" borderId="0" xfId="0" applyFont="1" applyFill="1"/>
    <xf numFmtId="0" fontId="20" fillId="6" borderId="0" xfId="0" applyFont="1" applyFill="1"/>
    <xf numFmtId="0" fontId="22" fillId="2" borderId="0" xfId="0" applyFont="1" applyFill="1"/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/>
    <xf numFmtId="0" fontId="20" fillId="2" borderId="7" xfId="0" applyFont="1" applyFill="1" applyBorder="1" applyAlignment="1">
      <alignment vertical="top"/>
    </xf>
    <xf numFmtId="168" fontId="20" fillId="2" borderId="0" xfId="3" applyNumberFormat="1" applyFont="1" applyFill="1" applyBorder="1" applyAlignment="1">
      <alignment horizontal="center"/>
    </xf>
    <xf numFmtId="169" fontId="20" fillId="2" borderId="0" xfId="0" applyNumberFormat="1" applyFont="1" applyFill="1" applyAlignment="1">
      <alignment horizontal="center"/>
    </xf>
    <xf numFmtId="1" fontId="20" fillId="2" borderId="0" xfId="0" applyNumberFormat="1" applyFont="1" applyFill="1" applyAlignment="1">
      <alignment horizontal="center"/>
    </xf>
    <xf numFmtId="169" fontId="20" fillId="2" borderId="0" xfId="1" applyNumberFormat="1" applyFont="1" applyFill="1" applyBorder="1" applyAlignment="1">
      <alignment horizontal="center"/>
    </xf>
    <xf numFmtId="168" fontId="20" fillId="2" borderId="0" xfId="0" applyNumberFormat="1" applyFont="1" applyFill="1" applyAlignment="1">
      <alignment horizontal="center"/>
    </xf>
    <xf numFmtId="165" fontId="20" fillId="2" borderId="0" xfId="1" applyFont="1" applyFill="1" applyBorder="1" applyAlignment="1">
      <alignment horizontal="center"/>
    </xf>
    <xf numFmtId="2" fontId="20" fillId="2" borderId="2" xfId="0" applyNumberFormat="1" applyFont="1" applyFill="1" applyBorder="1" applyAlignment="1">
      <alignment horizontal="center"/>
    </xf>
    <xf numFmtId="169" fontId="18" fillId="2" borderId="0" xfId="0" applyNumberFormat="1" applyFont="1" applyFill="1"/>
    <xf numFmtId="169" fontId="20" fillId="2" borderId="0" xfId="0" applyNumberFormat="1" applyFont="1" applyFill="1"/>
    <xf numFmtId="0" fontId="16" fillId="2" borderId="0" xfId="0" applyFont="1" applyFill="1" applyAlignment="1">
      <alignment vertical="center"/>
    </xf>
    <xf numFmtId="165" fontId="20" fillId="2" borderId="0" xfId="0" applyNumberFormat="1" applyFont="1" applyFill="1"/>
    <xf numFmtId="0" fontId="16" fillId="2" borderId="18" xfId="0" applyFont="1" applyFill="1" applyBorder="1"/>
    <xf numFmtId="0" fontId="19" fillId="2" borderId="18" xfId="0" applyFont="1" applyFill="1" applyBorder="1"/>
    <xf numFmtId="0" fontId="3" fillId="0" borderId="0" xfId="0" applyFont="1"/>
    <xf numFmtId="169" fontId="0" fillId="0" borderId="0" xfId="0" applyNumberFormat="1"/>
    <xf numFmtId="168" fontId="0" fillId="0" borderId="0" xfId="0" quotePrefix="1" applyNumberFormat="1"/>
    <xf numFmtId="168" fontId="0" fillId="0" borderId="0" xfId="3" quotePrefix="1" applyNumberFormat="1" applyFont="1"/>
    <xf numFmtId="9" fontId="0" fillId="0" borderId="0" xfId="0" quotePrefix="1" applyNumberFormat="1" applyAlignment="1">
      <alignment horizontal="right"/>
    </xf>
    <xf numFmtId="168" fontId="24" fillId="8" borderId="19" xfId="5" quotePrefix="1" applyNumberFormat="1" applyBorder="1"/>
    <xf numFmtId="10" fontId="24" fillId="8" borderId="18" xfId="5" quotePrefix="1" applyNumberFormat="1" applyBorder="1" applyAlignment="1">
      <alignment horizontal="right"/>
    </xf>
    <xf numFmtId="169" fontId="24" fillId="8" borderId="18" xfId="5" applyNumberFormat="1" applyBorder="1"/>
    <xf numFmtId="169" fontId="24" fillId="8" borderId="20" xfId="5" applyNumberFormat="1" applyBorder="1"/>
    <xf numFmtId="10" fontId="24" fillId="8" borderId="19" xfId="5" applyNumberFormat="1" applyBorder="1"/>
    <xf numFmtId="2" fontId="0" fillId="0" borderId="0" xfId="0" applyNumberFormat="1"/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0" borderId="1" xfId="0" applyNumberFormat="1" applyBorder="1"/>
    <xf numFmtId="3" fontId="0" fillId="0" borderId="0" xfId="0" applyNumberFormat="1"/>
    <xf numFmtId="3" fontId="0" fillId="0" borderId="26" xfId="0" applyNumberFormat="1" applyBorder="1"/>
    <xf numFmtId="9" fontId="0" fillId="0" borderId="0" xfId="3" applyFont="1"/>
    <xf numFmtId="9" fontId="0" fillId="0" borderId="25" xfId="0" applyNumberFormat="1" applyBorder="1"/>
    <xf numFmtId="3" fontId="24" fillId="8" borderId="19" xfId="5" applyNumberFormat="1" applyBorder="1"/>
    <xf numFmtId="0" fontId="3" fillId="0" borderId="21" xfId="0" applyFont="1" applyBorder="1"/>
    <xf numFmtId="0" fontId="0" fillId="2" borderId="0" xfId="0" quotePrefix="1" applyFill="1"/>
    <xf numFmtId="9" fontId="0" fillId="0" borderId="25" xfId="3" applyFont="1" applyBorder="1"/>
    <xf numFmtId="0" fontId="23" fillId="7" borderId="0" xfId="4"/>
    <xf numFmtId="9" fontId="23" fillId="7" borderId="0" xfId="4" quotePrefix="1" applyNumberFormat="1" applyAlignment="1">
      <alignment horizontal="right"/>
    </xf>
    <xf numFmtId="9" fontId="23" fillId="7" borderId="0" xfId="4" quotePrefix="1" applyNumberFormat="1" applyBorder="1" applyAlignment="1">
      <alignment horizontal="right"/>
    </xf>
    <xf numFmtId="9" fontId="24" fillId="8" borderId="19" xfId="5" applyNumberFormat="1" applyBorder="1"/>
    <xf numFmtId="2" fontId="24" fillId="8" borderId="19" xfId="5" applyNumberFormat="1" applyBorder="1"/>
    <xf numFmtId="0" fontId="20" fillId="2" borderId="6" xfId="0" applyFont="1" applyFill="1" applyBorder="1" applyAlignment="1">
      <alignment wrapText="1"/>
    </xf>
    <xf numFmtId="0" fontId="20" fillId="2" borderId="10" xfId="0" applyFont="1" applyFill="1" applyBorder="1" applyAlignment="1">
      <alignment wrapText="1"/>
    </xf>
    <xf numFmtId="2" fontId="23" fillId="7" borderId="0" xfId="4" applyNumberFormat="1"/>
    <xf numFmtId="169" fontId="23" fillId="7" borderId="0" xfId="4" applyNumberFormat="1"/>
    <xf numFmtId="165" fontId="20" fillId="2" borderId="2" xfId="0" applyNumberFormat="1" applyFont="1" applyFill="1" applyBorder="1"/>
    <xf numFmtId="0" fontId="19" fillId="2" borderId="0" xfId="0" applyFont="1" applyFill="1" applyAlignment="1">
      <alignment horizontal="left"/>
    </xf>
    <xf numFmtId="165" fontId="0" fillId="2" borderId="0" xfId="1" applyFont="1" applyFill="1" applyBorder="1"/>
    <xf numFmtId="0" fontId="2" fillId="9" borderId="0" xfId="0" applyFont="1" applyFill="1"/>
    <xf numFmtId="0" fontId="0" fillId="10" borderId="0" xfId="0" applyFill="1"/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7" fontId="0" fillId="0" borderId="0" xfId="3" applyNumberFormat="1" applyFont="1" applyFill="1"/>
    <xf numFmtId="3" fontId="0" fillId="0" borderId="0" xfId="3" applyNumberFormat="1" applyFont="1" applyFill="1"/>
    <xf numFmtId="14" fontId="0" fillId="11" borderId="0" xfId="0" applyNumberFormat="1" applyFill="1"/>
    <xf numFmtId="9" fontId="0" fillId="11" borderId="0" xfId="3" applyFont="1" applyFill="1"/>
    <xf numFmtId="170" fontId="0" fillId="0" borderId="0" xfId="1" applyNumberFormat="1" applyFont="1" applyFill="1"/>
    <xf numFmtId="10" fontId="0" fillId="0" borderId="0" xfId="0" applyNumberFormat="1"/>
    <xf numFmtId="9" fontId="0" fillId="0" borderId="0" xfId="3" applyFont="1" applyFill="1"/>
    <xf numFmtId="167" fontId="0" fillId="11" borderId="0" xfId="3" applyNumberFormat="1" applyFont="1" applyFill="1"/>
    <xf numFmtId="2" fontId="3" fillId="0" borderId="0" xfId="0" applyNumberFormat="1" applyFont="1"/>
    <xf numFmtId="0" fontId="6" fillId="10" borderId="0" xfId="0" applyFont="1" applyFill="1"/>
    <xf numFmtId="3" fontId="4" fillId="12" borderId="0" xfId="0" applyNumberFormat="1" applyFont="1" applyFill="1"/>
    <xf numFmtId="3" fontId="0" fillId="12" borderId="0" xfId="0" applyNumberFormat="1" applyFill="1"/>
    <xf numFmtId="0" fontId="0" fillId="12" borderId="0" xfId="0" applyFill="1"/>
    <xf numFmtId="10" fontId="0" fillId="12" borderId="0" xfId="3" applyNumberFormat="1" applyFont="1" applyFill="1"/>
    <xf numFmtId="172" fontId="0" fillId="0" borderId="0" xfId="0" applyNumberFormat="1"/>
    <xf numFmtId="171" fontId="0" fillId="0" borderId="0" xfId="3" applyNumberFormat="1" applyFont="1"/>
    <xf numFmtId="3" fontId="0" fillId="0" borderId="0" xfId="3" applyNumberFormat="1" applyFont="1"/>
    <xf numFmtId="173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167" fontId="4" fillId="0" borderId="0" xfId="3" applyNumberFormat="1" applyFont="1" applyFill="1"/>
    <xf numFmtId="9" fontId="4" fillId="0" borderId="0" xfId="3" applyFont="1" applyFill="1"/>
    <xf numFmtId="9" fontId="4" fillId="0" borderId="0" xfId="0" applyNumberFormat="1" applyFont="1"/>
    <xf numFmtId="10" fontId="0" fillId="0" borderId="0" xfId="3" applyNumberFormat="1" applyFont="1"/>
    <xf numFmtId="0" fontId="0" fillId="12" borderId="0" xfId="0" applyFill="1" applyAlignment="1">
      <alignment horizontal="right"/>
    </xf>
    <xf numFmtId="171" fontId="0" fillId="12" borderId="0" xfId="0" applyNumberFormat="1" applyFill="1"/>
    <xf numFmtId="0" fontId="16" fillId="2" borderId="26" xfId="0" applyFont="1" applyFill="1" applyBorder="1"/>
    <xf numFmtId="2" fontId="20" fillId="3" borderId="0" xfId="2" applyNumberFormat="1" applyFont="1" applyFill="1" applyBorder="1" applyAlignment="1">
      <alignment horizontal="right"/>
    </xf>
    <xf numFmtId="10" fontId="20" fillId="0" borderId="0" xfId="3" applyNumberFormat="1" applyFont="1" applyFill="1" applyBorder="1"/>
    <xf numFmtId="9" fontId="0" fillId="0" borderId="0" xfId="0" applyNumberFormat="1"/>
    <xf numFmtId="3" fontId="0" fillId="0" borderId="28" xfId="0" applyNumberFormat="1" applyBorder="1"/>
    <xf numFmtId="170" fontId="20" fillId="3" borderId="5" xfId="1" applyNumberFormat="1" applyFont="1" applyFill="1" applyBorder="1" applyAlignment="1">
      <alignment horizontal="center"/>
    </xf>
    <xf numFmtId="0" fontId="20" fillId="2" borderId="0" xfId="0" applyFont="1" applyFill="1" applyAlignment="1">
      <alignment horizontal="right"/>
    </xf>
    <xf numFmtId="164" fontId="20" fillId="3" borderId="5" xfId="1" applyNumberFormat="1" applyFont="1" applyFill="1" applyBorder="1" applyAlignment="1">
      <alignment horizontal="center"/>
    </xf>
    <xf numFmtId="164" fontId="18" fillId="3" borderId="0" xfId="1" applyNumberFormat="1" applyFont="1" applyFill="1" applyBorder="1"/>
    <xf numFmtId="1" fontId="20" fillId="2" borderId="2" xfId="0" applyNumberFormat="1" applyFont="1" applyFill="1" applyBorder="1"/>
    <xf numFmtId="167" fontId="0" fillId="0" borderId="0" xfId="3" applyNumberFormat="1" applyFont="1"/>
    <xf numFmtId="167" fontId="20" fillId="2" borderId="0" xfId="3" applyNumberFormat="1" applyFont="1" applyFill="1" applyBorder="1"/>
    <xf numFmtId="0" fontId="20" fillId="2" borderId="5" xfId="0" applyFont="1" applyFill="1" applyBorder="1" applyAlignment="1">
      <alignment horizontal="right"/>
    </xf>
    <xf numFmtId="0" fontId="20" fillId="2" borderId="2" xfId="0" applyFont="1" applyFill="1" applyBorder="1" applyAlignment="1">
      <alignment horizontal="right"/>
    </xf>
    <xf numFmtId="1" fontId="20" fillId="3" borderId="2" xfId="3" applyNumberFormat="1" applyFont="1" applyFill="1" applyBorder="1"/>
    <xf numFmtId="166" fontId="20" fillId="2" borderId="0" xfId="0" applyNumberFormat="1" applyFont="1" applyFill="1"/>
    <xf numFmtId="166" fontId="18" fillId="2" borderId="0" xfId="0" applyNumberFormat="1" applyFont="1" applyFill="1"/>
    <xf numFmtId="166" fontId="18" fillId="6" borderId="0" xfId="0" applyNumberFormat="1" applyFont="1" applyFill="1"/>
    <xf numFmtId="166" fontId="20" fillId="6" borderId="0" xfId="0" applyNumberFormat="1" applyFont="1" applyFill="1"/>
    <xf numFmtId="0" fontId="3" fillId="2" borderId="21" xfId="0" applyFont="1" applyFill="1" applyBorder="1" applyAlignment="1">
      <alignment horizontal="left"/>
    </xf>
    <xf numFmtId="0" fontId="5" fillId="2" borderId="1" xfId="0" applyFont="1" applyFill="1" applyBorder="1"/>
    <xf numFmtId="0" fontId="0" fillId="2" borderId="22" xfId="0" applyFill="1" applyBorder="1"/>
    <xf numFmtId="0" fontId="0" fillId="2" borderId="23" xfId="0" applyFill="1" applyBorder="1"/>
    <xf numFmtId="166" fontId="0" fillId="2" borderId="24" xfId="0" applyNumberFormat="1" applyFill="1" applyBorder="1"/>
    <xf numFmtId="2" fontId="0" fillId="2" borderId="24" xfId="0" applyNumberFormat="1" applyFill="1" applyBorder="1" applyAlignment="1">
      <alignment horizontal="center"/>
    </xf>
    <xf numFmtId="0" fontId="3" fillId="2" borderId="25" xfId="0" applyFont="1" applyFill="1" applyBorder="1"/>
    <xf numFmtId="0" fontId="3" fillId="2" borderId="26" xfId="0" applyFont="1" applyFill="1" applyBorder="1"/>
    <xf numFmtId="165" fontId="3" fillId="2" borderId="26" xfId="1" applyFont="1" applyFill="1" applyBorder="1" applyAlignment="1"/>
    <xf numFmtId="165" fontId="3" fillId="2" borderId="27" xfId="1" applyFont="1" applyFill="1" applyBorder="1" applyAlignment="1"/>
    <xf numFmtId="0" fontId="3" fillId="2" borderId="21" xfId="0" applyFont="1" applyFill="1" applyBorder="1"/>
    <xf numFmtId="165" fontId="0" fillId="2" borderId="24" xfId="1" applyFont="1" applyFill="1" applyBorder="1" applyAlignment="1"/>
    <xf numFmtId="9" fontId="0" fillId="2" borderId="0" xfId="1" applyNumberFormat="1" applyFont="1" applyFill="1" applyBorder="1" applyAlignment="1"/>
    <xf numFmtId="0" fontId="0" fillId="2" borderId="26" xfId="0" applyFill="1" applyBorder="1"/>
    <xf numFmtId="10" fontId="0" fillId="2" borderId="26" xfId="1" applyNumberFormat="1" applyFont="1" applyFill="1" applyBorder="1" applyAlignment="1"/>
    <xf numFmtId="165" fontId="0" fillId="2" borderId="0" xfId="2" applyNumberFormat="1" applyFont="1" applyFill="1" applyBorder="1" applyAlignment="1"/>
    <xf numFmtId="9" fontId="0" fillId="0" borderId="0" xfId="3" applyFont="1" applyFill="1" applyAlignment="1">
      <alignment horizontal="right"/>
    </xf>
    <xf numFmtId="0" fontId="0" fillId="0" borderId="0" xfId="0" applyAlignment="1">
      <alignment horizontal="center"/>
    </xf>
    <xf numFmtId="170" fontId="0" fillId="0" borderId="0" xfId="1" applyNumberFormat="1" applyFont="1" applyFill="1" applyAlignment="1">
      <alignment horizontal="right"/>
    </xf>
    <xf numFmtId="10" fontId="0" fillId="0" borderId="0" xfId="3" applyNumberFormat="1" applyFont="1" applyFill="1"/>
    <xf numFmtId="14" fontId="0" fillId="0" borderId="0" xfId="0" applyNumberFormat="1"/>
    <xf numFmtId="0" fontId="27" fillId="2" borderId="0" xfId="0" applyFont="1" applyFill="1" applyAlignment="1">
      <alignment horizontal="left" wrapText="1" readingOrder="1"/>
    </xf>
    <xf numFmtId="3" fontId="0" fillId="2" borderId="0" xfId="0" applyNumberFormat="1" applyFill="1"/>
    <xf numFmtId="2" fontId="0" fillId="2" borderId="0" xfId="0" applyNumberFormat="1" applyFill="1"/>
    <xf numFmtId="174" fontId="0" fillId="2" borderId="0" xfId="0" applyNumberFormat="1" applyFill="1"/>
    <xf numFmtId="0" fontId="0" fillId="2" borderId="28" xfId="0" applyFill="1" applyBorder="1"/>
    <xf numFmtId="3" fontId="0" fillId="2" borderId="28" xfId="0" applyNumberFormat="1" applyFill="1" applyBorder="1"/>
    <xf numFmtId="174" fontId="0" fillId="2" borderId="28" xfId="0" applyNumberFormat="1" applyFill="1" applyBorder="1"/>
    <xf numFmtId="0" fontId="0" fillId="2" borderId="26" xfId="0" applyFill="1" applyBorder="1" applyAlignment="1">
      <alignment horizontal="right"/>
    </xf>
    <xf numFmtId="0" fontId="29" fillId="2" borderId="26" xfId="0" applyFont="1" applyFill="1" applyBorder="1"/>
    <xf numFmtId="0" fontId="29" fillId="2" borderId="26" xfId="0" applyFont="1" applyFill="1" applyBorder="1" applyAlignment="1">
      <alignment horizontal="right"/>
    </xf>
    <xf numFmtId="0" fontId="28" fillId="2" borderId="0" xfId="0" applyFont="1" applyFill="1" applyAlignment="1">
      <alignment horizontal="left" wrapText="1" readingOrder="1"/>
    </xf>
    <xf numFmtId="0" fontId="0" fillId="2" borderId="7" xfId="0" applyFill="1" applyBorder="1" applyAlignment="1">
      <alignment horizontal="left"/>
    </xf>
    <xf numFmtId="171" fontId="0" fillId="2" borderId="0" xfId="3" applyNumberFormat="1" applyFont="1" applyFill="1"/>
    <xf numFmtId="3" fontId="0" fillId="2" borderId="26" xfId="0" applyNumberFormat="1" applyFill="1" applyBorder="1"/>
    <xf numFmtId="0" fontId="0" fillId="2" borderId="2" xfId="0" applyFill="1" applyBorder="1" applyAlignment="1">
      <alignment horizontal="right"/>
    </xf>
    <xf numFmtId="3" fontId="0" fillId="2" borderId="2" xfId="0" applyNumberFormat="1" applyFill="1" applyBorder="1"/>
    <xf numFmtId="170" fontId="0" fillId="2" borderId="0" xfId="1" applyNumberFormat="1" applyFont="1" applyFill="1" applyBorder="1"/>
    <xf numFmtId="0" fontId="0" fillId="2" borderId="0" xfId="1" applyNumberFormat="1" applyFont="1" applyFill="1" applyBorder="1"/>
    <xf numFmtId="0" fontId="0" fillId="2" borderId="0" xfId="0" applyFill="1" applyAlignment="1">
      <alignment horizontal="left" wrapText="1"/>
    </xf>
    <xf numFmtId="0" fontId="27" fillId="2" borderId="0" xfId="0" applyFont="1" applyFill="1" applyAlignment="1">
      <alignment horizontal="left" wrapText="1" readingOrder="1"/>
    </xf>
    <xf numFmtId="0" fontId="27" fillId="2" borderId="1" xfId="0" applyFont="1" applyFill="1" applyBorder="1" applyAlignment="1">
      <alignment horizontal="left" wrapText="1" readingOrder="1"/>
    </xf>
    <xf numFmtId="0" fontId="28" fillId="2" borderId="0" xfId="0" applyFont="1" applyFill="1" applyAlignment="1">
      <alignment horizontal="left" readingOrder="1"/>
    </xf>
    <xf numFmtId="0" fontId="0" fillId="0" borderId="0" xfId="0" applyAlignment="1">
      <alignment horizontal="right"/>
    </xf>
    <xf numFmtId="9" fontId="0" fillId="0" borderId="0" xfId="3" applyFont="1" applyAlignment="1">
      <alignment horizontal="right"/>
    </xf>
  </cellXfs>
  <cellStyles count="6">
    <cellStyle name="Komma" xfId="1" builtinId="3"/>
    <cellStyle name="Neutral" xfId="5" builtinId="28"/>
    <cellStyle name="Prozent" xfId="3" builtinId="5"/>
    <cellStyle name="Schlecht" xfId="4" builtinId="27"/>
    <cellStyle name="Standard" xfId="0" builtinId="0"/>
    <cellStyle name="Währung" xfId="2" builtinId="4"/>
  </cellStyles>
  <dxfs count="0"/>
  <tableStyles count="0" defaultTableStyle="TableStyleMedium9" defaultPivotStyle="PivotStyleLight16"/>
  <colors>
    <mruColors>
      <color rgb="FFFF0F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Berechnungen!$B$29</c:f>
              <c:strCache>
                <c:ptCount val="1"/>
                <c:pt idx="0">
                  <c:v>Höhe der Rate</c:v>
                </c:pt>
              </c:strCache>
            </c:strRef>
          </c:tx>
          <c:marker>
            <c:symbol val="none"/>
          </c:marker>
          <c:cat>
            <c:numRef>
              <c:f>Berechnungen!$E$1:$X$1</c:f>
              <c:numCache>
                <c:formatCode>General</c:formatCode>
                <c:ptCount val="2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</c:numCache>
            </c:numRef>
          </c:cat>
          <c:val>
            <c:numRef>
              <c:f>Berechnungen!$E$29:$X$29</c:f>
              <c:numCache>
                <c:formatCode>_-* #,##0.00\ _€_-;\-* #,##0.00\ _€_-;_-* "-"??\ _€_-;_-@_-</c:formatCode>
                <c:ptCount val="20"/>
                <c:pt idx="0">
                  <c:v>618471</c:v>
                </c:pt>
                <c:pt idx="1">
                  <c:v>618471</c:v>
                </c:pt>
                <c:pt idx="2">
                  <c:v>2860145.1884615384</c:v>
                </c:pt>
                <c:pt idx="3">
                  <c:v>2812570.4984615385</c:v>
                </c:pt>
                <c:pt idx="4">
                  <c:v>2764995.8084615385</c:v>
                </c:pt>
                <c:pt idx="5">
                  <c:v>2717421.1184615386</c:v>
                </c:pt>
                <c:pt idx="6">
                  <c:v>2669846.4184615384</c:v>
                </c:pt>
                <c:pt idx="7">
                  <c:v>2622271.7284615384</c:v>
                </c:pt>
                <c:pt idx="8">
                  <c:v>2574697.0384615385</c:v>
                </c:pt>
                <c:pt idx="9">
                  <c:v>2527122.3484615386</c:v>
                </c:pt>
                <c:pt idx="10">
                  <c:v>2581493.4184615384</c:v>
                </c:pt>
                <c:pt idx="11">
                  <c:v>2511264.1184615386</c:v>
                </c:pt>
                <c:pt idx="12">
                  <c:v>2441034.8084615385</c:v>
                </c:pt>
                <c:pt idx="13">
                  <c:v>2370805.4984615385</c:v>
                </c:pt>
                <c:pt idx="14">
                  <c:v>2300576.1884615384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A-406B-BDE7-065B3E5354C5}"/>
            </c:ext>
          </c:extLst>
        </c:ser>
        <c:ser>
          <c:idx val="1"/>
          <c:order val="1"/>
          <c:tx>
            <c:v>Cash Flow nach Steuern</c:v>
          </c:tx>
          <c:marker>
            <c:symbol val="none"/>
          </c:marker>
          <c:cat>
            <c:numRef>
              <c:f>Berechnungen!$E$1:$X$1</c:f>
              <c:numCache>
                <c:formatCode>General</c:formatCode>
                <c:ptCount val="2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</c:numCache>
            </c:numRef>
          </c:cat>
          <c:val>
            <c:numRef>
              <c:f>Berechnungen!$E$53:$X$53</c:f>
              <c:numCache>
                <c:formatCode>_-* #,##0.00\ _€_-;\-* #,##0.00\ _€_-;_-* "-"??\ _€_-;_-@_-</c:formatCode>
                <c:ptCount val="20"/>
                <c:pt idx="0">
                  <c:v>3966902.2108870279</c:v>
                </c:pt>
                <c:pt idx="1">
                  <c:v>3895717.7662792853</c:v>
                </c:pt>
                <c:pt idx="2">
                  <c:v>3839505.4205771377</c:v>
                </c:pt>
                <c:pt idx="3">
                  <c:v>3798236.6931100911</c:v>
                </c:pt>
                <c:pt idx="4">
                  <c:v>3755486.7597196475</c:v>
                </c:pt>
                <c:pt idx="5">
                  <c:v>3711225.9962873384</c:v>
                </c:pt>
                <c:pt idx="6">
                  <c:v>3665424.1931049759</c:v>
                </c:pt>
                <c:pt idx="7">
                  <c:v>3618050.5154544059</c:v>
                </c:pt>
                <c:pt idx="8">
                  <c:v>3569073.5328767677</c:v>
                </c:pt>
                <c:pt idx="9">
                  <c:v>3518461.1792735197</c:v>
                </c:pt>
                <c:pt idx="10">
                  <c:v>3395913.1029577497</c:v>
                </c:pt>
                <c:pt idx="11">
                  <c:v>3357546.2606549859</c:v>
                </c:pt>
                <c:pt idx="12">
                  <c:v>3317443.9564295262</c:v>
                </c:pt>
                <c:pt idx="13">
                  <c:v>3275571.474012414</c:v>
                </c:pt>
                <c:pt idx="14">
                  <c:v>3231893.4098398169</c:v>
                </c:pt>
                <c:pt idx="15">
                  <c:v>3162170.3461517245</c:v>
                </c:pt>
                <c:pt idx="16">
                  <c:v>4652267.2930823499</c:v>
                </c:pt>
                <c:pt idx="17">
                  <c:v>4554546.3051000256</c:v>
                </c:pt>
                <c:pt idx="18">
                  <c:v>4454870.8973580552</c:v>
                </c:pt>
                <c:pt idx="19">
                  <c:v>4353201.9814612456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A-406B-BDE7-065B3E535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20224"/>
        <c:axId val="146021760"/>
      </c:lineChart>
      <c:lineChart>
        <c:grouping val="standard"/>
        <c:varyColors val="0"/>
        <c:ser>
          <c:idx val="2"/>
          <c:order val="2"/>
          <c:tx>
            <c:strRef>
              <c:f>Berechnungen!$A$66</c:f>
              <c:strCache>
                <c:ptCount val="1"/>
                <c:pt idx="0">
                  <c:v>DSCR</c:v>
                </c:pt>
              </c:strCache>
            </c:strRef>
          </c:tx>
          <c:marker>
            <c:symbol val="none"/>
          </c:marker>
          <c:cat>
            <c:numRef>
              <c:f>'Eingaben und Ergebnisse'!$D$1:$X$1</c:f>
              <c:numCache>
                <c:formatCode>General</c:formatCode>
                <c:ptCount val="21"/>
              </c:numCache>
            </c:numRef>
          </c:cat>
          <c:val>
            <c:numRef>
              <c:f>Berechnungen!$E$66:$X$66</c:f>
              <c:numCache>
                <c:formatCode>0.000</c:formatCode>
                <c:ptCount val="20"/>
                <c:pt idx="0">
                  <c:v>6.4140472405125344</c:v>
                </c:pt>
                <c:pt idx="1">
                  <c:v>6.2989497749761671</c:v>
                </c:pt>
                <c:pt idx="2">
                  <c:v>1.3424162647639555</c:v>
                </c:pt>
                <c:pt idx="3">
                  <c:v>1.350450307001267</c:v>
                </c:pt>
                <c:pt idx="4">
                  <c:v>1.3582251185433891</c:v>
                </c:pt>
                <c:pt idx="5">
                  <c:v>1.3657161825504764</c:v>
                </c:pt>
                <c:pt idx="6">
                  <c:v>1.3728970205024471</c:v>
                </c:pt>
                <c:pt idx="7">
                  <c:v>1.3797389783007274</c:v>
                </c:pt>
                <c:pt idx="8">
                  <c:v>1.3862110685494089</c:v>
                </c:pt>
                <c:pt idx="9">
                  <c:v>1.392279713491311</c:v>
                </c:pt>
                <c:pt idx="10">
                  <c:v>1.3154839282842608</c:v>
                </c:pt>
                <c:pt idx="11">
                  <c:v>1.3369944785863066</c:v>
                </c:pt>
                <c:pt idx="12">
                  <c:v>1.3590318109885309</c:v>
                </c:pt>
                <c:pt idx="13">
                  <c:v>1.3816280905953675</c:v>
                </c:pt>
                <c:pt idx="14">
                  <c:v>1.4048191170756563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A-406B-BDE7-065B3E535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33888"/>
        <c:axId val="147732352"/>
      </c:lineChart>
      <c:catAx>
        <c:axId val="14602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0217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46021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EUR</a:t>
                </a:r>
              </a:p>
            </c:rich>
          </c:tx>
          <c:overlay val="0"/>
        </c:title>
        <c:numFmt formatCode="_-* #,##0.00\ _€_-;\-* #,##0.00\ _€_-;_-* &quot;-&quot;??\ _€_-;_-@_-" sourceLinked="1"/>
        <c:majorTickMark val="out"/>
        <c:minorTickMark val="none"/>
        <c:tickLblPos val="nextTo"/>
        <c:crossAx val="146020224"/>
        <c:crosses val="autoZero"/>
        <c:crossBetween val="between"/>
      </c:valAx>
      <c:valAx>
        <c:axId val="14773235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crossAx val="147733888"/>
        <c:crosses val="max"/>
        <c:crossBetween val="between"/>
      </c:valAx>
      <c:catAx>
        <c:axId val="14773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4773235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Cash Flow Genossenschafter</c:v>
          </c:tx>
          <c:marker>
            <c:symbol val="none"/>
          </c:marker>
          <c:cat>
            <c:numRef>
              <c:f>Berechnungen!$E$1:$X$1</c:f>
              <c:numCache>
                <c:formatCode>General</c:formatCode>
                <c:ptCount val="2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</c:numCache>
            </c:numRef>
          </c:cat>
          <c:val>
            <c:numRef>
              <c:f>Berechnungen!$E$57:$X$57</c:f>
              <c:numCache>
                <c:formatCode>_-* #,##0.00\ _€_-;\-* #,##0.00\ _€_-;_-* "-"??\ _€_-;_-@_-</c:formatCode>
                <c:ptCount val="20"/>
                <c:pt idx="0">
                  <c:v>2920994.0702</c:v>
                </c:pt>
                <c:pt idx="1">
                  <c:v>2878854.7702040002</c:v>
                </c:pt>
                <c:pt idx="2">
                  <c:v>594198.49574654177</c:v>
                </c:pt>
                <c:pt idx="3">
                  <c:v>597931.45803070301</c:v>
                </c:pt>
                <c:pt idx="4">
                  <c:v>600787.58576054778</c:v>
                </c:pt>
                <c:pt idx="5">
                  <c:v>602749.3422449897</c:v>
                </c:pt>
                <c:pt idx="6">
                  <c:v>603798.85005912045</c:v>
                </c:pt>
                <c:pt idx="7">
                  <c:v>603917.84402953368</c:v>
                </c:pt>
                <c:pt idx="8">
                  <c:v>603087.72407935513</c:v>
                </c:pt>
                <c:pt idx="9">
                  <c:v>601289.50793017307</c:v>
                </c:pt>
                <c:pt idx="10">
                  <c:v>496558.07365800766</c:v>
                </c:pt>
                <c:pt idx="11">
                  <c:v>515419.80210039858</c:v>
                </c:pt>
                <c:pt idx="12">
                  <c:v>533254.18911163742</c:v>
                </c:pt>
                <c:pt idx="13">
                  <c:v>550040.67766310088</c:v>
                </c:pt>
                <c:pt idx="14">
                  <c:v>565758.30978559377</c:v>
                </c:pt>
                <c:pt idx="15">
                  <c:v>2810732.5868120748</c:v>
                </c:pt>
                <c:pt idx="16">
                  <c:v>2754018.637148316</c:v>
                </c:pt>
                <c:pt idx="17">
                  <c:v>2696170.4084912823</c:v>
                </c:pt>
                <c:pt idx="18">
                  <c:v>2637165.2152611078</c:v>
                </c:pt>
                <c:pt idx="19">
                  <c:v>2576979.9181663301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C-4CEC-ADD0-FD9911F4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73888"/>
        <c:axId val="126775680"/>
      </c:lineChart>
      <c:catAx>
        <c:axId val="1267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775680"/>
        <c:crosses val="autoZero"/>
        <c:auto val="1"/>
        <c:lblAlgn val="ctr"/>
        <c:lblOffset val="100"/>
        <c:tickLblSkip val="2"/>
        <c:noMultiLvlLbl val="0"/>
      </c:catAx>
      <c:valAx>
        <c:axId val="126775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EUR</a:t>
                </a:r>
              </a:p>
            </c:rich>
          </c:tx>
          <c:overlay val="0"/>
        </c:title>
        <c:numFmt formatCode="_-* #,##0.00\ _€_-;\-* #,##0.00\ _€_-;_-* &quot;-&quot;??\ _€_-;_-@_-" sourceLinked="1"/>
        <c:majorTickMark val="out"/>
        <c:minorTickMark val="none"/>
        <c:tickLblPos val="nextTo"/>
        <c:crossAx val="12677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 - Inflation Rate</c:v>
          </c:tx>
          <c:marker>
            <c:symbol val="none"/>
          </c:marker>
          <c:xVal>
            <c:numRef>
              <c:f>Data_Sensitivity!$B$4:$B$16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Data_Sensitivity!$C$4:$C$16</c:f>
              <c:numCache>
                <c:formatCode>0.000</c:formatCode>
                <c:ptCount val="13"/>
                <c:pt idx="0">
                  <c:v>1.1963064101146692</c:v>
                </c:pt>
                <c:pt idx="1">
                  <c:v>1.1837308430650411</c:v>
                </c:pt>
                <c:pt idx="2">
                  <c:v>1.1707998000909963</c:v>
                </c:pt>
                <c:pt idx="3">
                  <c:v>1.1644010134384928</c:v>
                </c:pt>
                <c:pt idx="4">
                  <c:v>1.1580462896883572</c:v>
                </c:pt>
                <c:pt idx="5">
                  <c:v>1.1517353114355411</c:v>
                </c:pt>
                <c:pt idx="6">
                  <c:v>1.1454677635249477</c:v>
                </c:pt>
                <c:pt idx="7">
                  <c:v>1.1392433330362086</c:v>
                </c:pt>
                <c:pt idx="8">
                  <c:v>1.1336073200093801</c:v>
                </c:pt>
                <c:pt idx="9">
                  <c:v>1.12743382064867</c:v>
                </c:pt>
                <c:pt idx="10">
                  <c:v>1.1213026148788801</c:v>
                </c:pt>
                <c:pt idx="11">
                  <c:v>1.1091658688427184</c:v>
                </c:pt>
                <c:pt idx="12">
                  <c:v>1.097793918332113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0-4740-B2B0-A2F6051C21B1}"/>
            </c:ext>
          </c:extLst>
        </c:ser>
        <c:ser>
          <c:idx val="1"/>
          <c:order val="1"/>
          <c:tx>
            <c:v>Sensitivity - Interest Rate</c:v>
          </c:tx>
          <c:marker>
            <c:symbol val="none"/>
          </c:marker>
          <c:xVal>
            <c:numRef>
              <c:f>Data_Sensitivity!$G$4:$G$16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Data_Sensitivity!$H$4:$H$16</c:f>
              <c:numCache>
                <c:formatCode>0.000</c:formatCode>
                <c:ptCount val="13"/>
                <c:pt idx="0">
                  <c:v>1.011306311667038</c:v>
                </c:pt>
                <c:pt idx="1">
                  <c:v>1.041333175856531</c:v>
                </c:pt>
                <c:pt idx="2">
                  <c:v>1.074027200258918</c:v>
                </c:pt>
                <c:pt idx="3">
                  <c:v>1.0912600676161133</c:v>
                </c:pt>
                <c:pt idx="4">
                  <c:v>1.1090341500859264</c:v>
                </c:pt>
                <c:pt idx="5">
                  <c:v>1.1273177719772112</c:v>
                </c:pt>
                <c:pt idx="6">
                  <c:v>1.1454677635249477</c:v>
                </c:pt>
                <c:pt idx="7">
                  <c:v>1.164774220007545</c:v>
                </c:pt>
                <c:pt idx="8">
                  <c:v>1.1842917480602622</c:v>
                </c:pt>
                <c:pt idx="9">
                  <c:v>1.2044109675718855</c:v>
                </c:pt>
                <c:pt idx="10">
                  <c:v>1.2250337677909566</c:v>
                </c:pt>
                <c:pt idx="11">
                  <c:v>1.2680754940400816</c:v>
                </c:pt>
                <c:pt idx="12">
                  <c:v>1.3136547866638153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0-4740-B2B0-A2F6051C21B1}"/>
            </c:ext>
          </c:extLst>
        </c:ser>
        <c:ser>
          <c:idx val="2"/>
          <c:order val="2"/>
          <c:tx>
            <c:v>Sensitivity - OPEX</c:v>
          </c:tx>
          <c:marker>
            <c:symbol val="none"/>
          </c:marker>
          <c:xVal>
            <c:numRef>
              <c:f>Data_Sensitivity!$B$24:$B$36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Data_Sensitivity!$C$24:$C$36</c:f>
              <c:numCache>
                <c:formatCode>0.000</c:formatCode>
                <c:ptCount val="13"/>
                <c:pt idx="0">
                  <c:v>1.0096257507828874</c:v>
                </c:pt>
                <c:pt idx="1">
                  <c:v>1.0433518929023056</c:v>
                </c:pt>
                <c:pt idx="2">
                  <c:v>1.0772829899216361</c:v>
                </c:pt>
                <c:pt idx="3">
                  <c:v>1.0943012408773776</c:v>
                </c:pt>
                <c:pt idx="4">
                  <c:v>1.1113431862003307</c:v>
                </c:pt>
                <c:pt idx="5">
                  <c:v>1.1284010730318301</c:v>
                </c:pt>
                <c:pt idx="6">
                  <c:v>1.1454677635249477</c:v>
                </c:pt>
                <c:pt idx="7">
                  <c:v>1.1625366982015579</c:v>
                </c:pt>
                <c:pt idx="8">
                  <c:v>1.1796018612110843</c:v>
                </c:pt>
                <c:pt idx="9">
                  <c:v>1.1966577475594611</c:v>
                </c:pt>
                <c:pt idx="10">
                  <c:v>1.2136993320889065</c:v>
                </c:pt>
                <c:pt idx="11">
                  <c:v>1.2476003739404145</c:v>
                </c:pt>
                <c:pt idx="12">
                  <c:v>1.2815014157919227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B0-4740-B2B0-A2F6051C21B1}"/>
            </c:ext>
          </c:extLst>
        </c:ser>
        <c:ser>
          <c:idx val="3"/>
          <c:order val="3"/>
          <c:tx>
            <c:v>Sensitivity - CAPEX</c:v>
          </c:tx>
          <c:marker>
            <c:symbol val="none"/>
          </c:marker>
          <c:xVal>
            <c:numRef>
              <c:f>Data_Sensitivity!$G$24:$G$36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Data_Sensitivity!$H$24:$H$36</c:f>
              <c:numCache>
                <c:formatCode>General</c:formatCode>
                <c:ptCount val="13"/>
                <c:pt idx="0">
                  <c:v>0.83721660320897218</c:v>
                </c:pt>
                <c:pt idx="1">
                  <c:v>0.90161788037889334</c:v>
                </c:pt>
                <c:pt idx="2">
                  <c:v>0.973936606465726</c:v>
                </c:pt>
                <c:pt idx="3">
                  <c:v>1.0110472310371352</c:v>
                </c:pt>
                <c:pt idx="4">
                  <c:v>1.052110476470937</c:v>
                </c:pt>
                <c:pt idx="5">
                  <c:v>1.0961889816977508</c:v>
                </c:pt>
                <c:pt idx="6" formatCode="0.000">
                  <c:v>1.1454677635249477</c:v>
                </c:pt>
                <c:pt idx="7">
                  <c:v>1.1999930588034904</c:v>
                </c:pt>
                <c:pt idx="8">
                  <c:v>1.260177314772851</c:v>
                </c:pt>
                <c:pt idx="9">
                  <c:v>1.3274008832258051</c:v>
                </c:pt>
                <c:pt idx="10">
                  <c:v>1.4030273977565526</c:v>
                </c:pt>
                <c:pt idx="11">
                  <c:v>1.5866917900431718</c:v>
                </c:pt>
                <c:pt idx="12">
                  <c:v>1.8315776464253317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0-4740-B2B0-A2F6051C2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34432"/>
        <c:axId val="130836352"/>
      </c:scatterChart>
      <c:valAx>
        <c:axId val="130834432"/>
        <c:scaling>
          <c:orientation val="minMax"/>
          <c:max val="0.4"/>
          <c:min val="-0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Variation of Parameters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30836352"/>
        <c:crosses val="autoZero"/>
        <c:crossBetween val="midCat"/>
        <c:majorUnit val="0.1"/>
      </c:valAx>
      <c:valAx>
        <c:axId val="130836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ADSCR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130834432"/>
        <c:crossesAt val="-0.4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 - Inflation Rate</c:v>
          </c:tx>
          <c:marker>
            <c:symbol val="none"/>
          </c:marker>
          <c:xVal>
            <c:numRef>
              <c:f>Data_Sensitivity!$B$4:$B$16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Data_Sensitivity!$D$4:$D$16</c:f>
              <c:numCache>
                <c:formatCode>0.000</c:formatCode>
                <c:ptCount val="13"/>
                <c:pt idx="0">
                  <c:v>1.1227560143048103</c:v>
                </c:pt>
                <c:pt idx="1">
                  <c:v>1.12110651967067</c:v>
                </c:pt>
                <c:pt idx="2">
                  <c:v>1.1194570250365306</c:v>
                </c:pt>
                <c:pt idx="3">
                  <c:v>1.1186322777194604</c:v>
                </c:pt>
                <c:pt idx="4">
                  <c:v>1.1178075304023902</c:v>
                </c:pt>
                <c:pt idx="5">
                  <c:v>1.1169827830853201</c:v>
                </c:pt>
                <c:pt idx="6">
                  <c:v>1.1161580357682499</c:v>
                </c:pt>
                <c:pt idx="7">
                  <c:v>1.11533328845118</c:v>
                </c:pt>
                <c:pt idx="8">
                  <c:v>1.1145085411341098</c:v>
                </c:pt>
                <c:pt idx="9">
                  <c:v>1.1136837938170394</c:v>
                </c:pt>
                <c:pt idx="10">
                  <c:v>1.1128590464999695</c:v>
                </c:pt>
                <c:pt idx="11">
                  <c:v>1.0922890976855772</c:v>
                </c:pt>
                <c:pt idx="12">
                  <c:v>1.0700532907231874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3-4EEA-8861-01C58E92BD20}"/>
            </c:ext>
          </c:extLst>
        </c:ser>
        <c:ser>
          <c:idx val="1"/>
          <c:order val="1"/>
          <c:tx>
            <c:v>Sensitivity - Interest Rate</c:v>
          </c:tx>
          <c:marker>
            <c:symbol val="none"/>
          </c:marker>
          <c:xVal>
            <c:numRef>
              <c:f>Data_Sensitivity!$G$4:$G$16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Data_Sensitivity!$I$4:$I$16</c:f>
              <c:numCache>
                <c:formatCode>0.000</c:formatCode>
                <c:ptCount val="13"/>
                <c:pt idx="0">
                  <c:v>0.96948213948755479</c:v>
                </c:pt>
                <c:pt idx="1">
                  <c:v>1.0032550965499167</c:v>
                </c:pt>
                <c:pt idx="2">
                  <c:v>1.0388732022263716</c:v>
                </c:pt>
                <c:pt idx="3">
                  <c:v>1.0574131252373329</c:v>
                </c:pt>
                <c:pt idx="4">
                  <c:v>1.0764622710433973</c:v>
                </c:pt>
                <c:pt idx="5">
                  <c:v>1.096037922385465</c:v>
                </c:pt>
                <c:pt idx="6">
                  <c:v>1.1161580357682499</c:v>
                </c:pt>
                <c:pt idx="7">
                  <c:v>1.1368412706266842</c:v>
                </c:pt>
                <c:pt idx="8">
                  <c:v>1.1581070198681007</c:v>
                </c:pt>
                <c:pt idx="9">
                  <c:v>1.1774433374343876</c:v>
                </c:pt>
                <c:pt idx="10">
                  <c:v>1.1962442386059318</c:v>
                </c:pt>
                <c:pt idx="11">
                  <c:v>1.2353741211181797</c:v>
                </c:pt>
                <c:pt idx="12">
                  <c:v>1.2766548570497047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53-4EEA-8861-01C58E92BD20}"/>
            </c:ext>
          </c:extLst>
        </c:ser>
        <c:ser>
          <c:idx val="2"/>
          <c:order val="2"/>
          <c:tx>
            <c:v>Sensitivity - OPEX</c:v>
          </c:tx>
          <c:marker>
            <c:symbol val="none"/>
          </c:marker>
          <c:xVal>
            <c:numRef>
              <c:f>Data_Sensitivity!$B$24:$B$36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Data_Sensitivity!$D$24:$D$36</c:f>
              <c:numCache>
                <c:formatCode>0.000</c:formatCode>
                <c:ptCount val="13"/>
                <c:pt idx="0">
                  <c:v>0.97720582312914628</c:v>
                </c:pt>
                <c:pt idx="1">
                  <c:v>1.0119438762889219</c:v>
                </c:pt>
                <c:pt idx="2">
                  <c:v>1.0466819294486978</c:v>
                </c:pt>
                <c:pt idx="3">
                  <c:v>1.0640509560285856</c:v>
                </c:pt>
                <c:pt idx="4">
                  <c:v>1.0814199826084734</c:v>
                </c:pt>
                <c:pt idx="5">
                  <c:v>1.0987890091883612</c:v>
                </c:pt>
                <c:pt idx="6">
                  <c:v>1.1161580357682499</c:v>
                </c:pt>
                <c:pt idx="7">
                  <c:v>1.133527062348137</c:v>
                </c:pt>
                <c:pt idx="8">
                  <c:v>1.1508960889280249</c:v>
                </c:pt>
                <c:pt idx="9">
                  <c:v>1.1682651155079127</c:v>
                </c:pt>
                <c:pt idx="10">
                  <c:v>1.1848723903871361</c:v>
                </c:pt>
                <c:pt idx="11">
                  <c:v>1.2153550320348392</c:v>
                </c:pt>
                <c:pt idx="12">
                  <c:v>1.2458376736825425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53-4EEA-8861-01C58E92BD20}"/>
            </c:ext>
          </c:extLst>
        </c:ser>
        <c:ser>
          <c:idx val="3"/>
          <c:order val="3"/>
          <c:tx>
            <c:v>Sensitivity - CAPEX</c:v>
          </c:tx>
          <c:marker>
            <c:symbol val="none"/>
          </c:marker>
          <c:xVal>
            <c:numRef>
              <c:f>Data_Sensitivity!$G$24:$G$36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Data_Sensitivity!$I$24:$I$36</c:f>
              <c:numCache>
                <c:formatCode>General</c:formatCode>
                <c:ptCount val="13"/>
                <c:pt idx="0">
                  <c:v>0.79725573983446374</c:v>
                </c:pt>
                <c:pt idx="1">
                  <c:v>0.85858310443711472</c:v>
                </c:pt>
                <c:pt idx="2">
                  <c:v>0.93013169647354099</c:v>
                </c:pt>
                <c:pt idx="3">
                  <c:v>0.97057220501586883</c:v>
                </c:pt>
                <c:pt idx="4">
                  <c:v>1.014689123425681</c:v>
                </c:pt>
                <c:pt idx="5">
                  <c:v>1.0630076531126182</c:v>
                </c:pt>
                <c:pt idx="6" formatCode="0.000">
                  <c:v>1.1161580357682499</c:v>
                </c:pt>
                <c:pt idx="7">
                  <c:v>1.1749031955455254</c:v>
                </c:pt>
                <c:pt idx="8">
                  <c:v>1.232732515579134</c:v>
                </c:pt>
                <c:pt idx="9">
                  <c:v>1.2967474617481953</c:v>
                </c:pt>
                <c:pt idx="10">
                  <c:v>1.3687642761883894</c:v>
                </c:pt>
                <c:pt idx="11">
                  <c:v>1.5436622541145748</c:v>
                </c:pt>
                <c:pt idx="12">
                  <c:v>1.7768595580161555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53-4EEA-8861-01C58E92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60096"/>
        <c:axId val="133062016"/>
      </c:scatterChart>
      <c:valAx>
        <c:axId val="133060096"/>
        <c:scaling>
          <c:orientation val="minMax"/>
          <c:max val="0.4"/>
          <c:min val="-0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Variation of Parameters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3062016"/>
        <c:crosses val="autoZero"/>
        <c:crossBetween val="midCat"/>
        <c:majorUnit val="0.1"/>
      </c:valAx>
      <c:valAx>
        <c:axId val="133062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DSCR (min)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133060096"/>
        <c:crossesAt val="-0.4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 - Inflation Rate</c:v>
          </c:tx>
          <c:marker>
            <c:symbol val="none"/>
          </c:marker>
          <c:xVal>
            <c:numRef>
              <c:f>Data_Sensitivity!$B$4:$B$16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Data_Sensitivity!$C$4:$C$16</c:f>
              <c:numCache>
                <c:formatCode>0.000</c:formatCode>
                <c:ptCount val="13"/>
                <c:pt idx="0">
                  <c:v>1.1963064101146692</c:v>
                </c:pt>
                <c:pt idx="1">
                  <c:v>1.1837308430650411</c:v>
                </c:pt>
                <c:pt idx="2">
                  <c:v>1.1707998000909963</c:v>
                </c:pt>
                <c:pt idx="3">
                  <c:v>1.1644010134384928</c:v>
                </c:pt>
                <c:pt idx="4">
                  <c:v>1.1580462896883572</c:v>
                </c:pt>
                <c:pt idx="5">
                  <c:v>1.1517353114355411</c:v>
                </c:pt>
                <c:pt idx="6">
                  <c:v>1.1454677635249477</c:v>
                </c:pt>
                <c:pt idx="7">
                  <c:v>1.1392433330362086</c:v>
                </c:pt>
                <c:pt idx="8">
                  <c:v>1.1336073200093801</c:v>
                </c:pt>
                <c:pt idx="9">
                  <c:v>1.12743382064867</c:v>
                </c:pt>
                <c:pt idx="10">
                  <c:v>1.1213026148788801</c:v>
                </c:pt>
                <c:pt idx="11">
                  <c:v>1.1091658688427184</c:v>
                </c:pt>
                <c:pt idx="12">
                  <c:v>1.097793918332113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9-4C23-A8F1-9A2FC9763314}"/>
            </c:ext>
          </c:extLst>
        </c:ser>
        <c:ser>
          <c:idx val="1"/>
          <c:order val="1"/>
          <c:tx>
            <c:v>Sensitivity - Interest Rate</c:v>
          </c:tx>
          <c:marker>
            <c:symbol val="none"/>
          </c:marker>
          <c:xVal>
            <c:numRef>
              <c:f>Data_Sensitivity!$G$4:$G$16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Data_Sensitivity!$H$4:$H$16</c:f>
              <c:numCache>
                <c:formatCode>0.000</c:formatCode>
                <c:ptCount val="13"/>
                <c:pt idx="0">
                  <c:v>1.011306311667038</c:v>
                </c:pt>
                <c:pt idx="1">
                  <c:v>1.041333175856531</c:v>
                </c:pt>
                <c:pt idx="2">
                  <c:v>1.074027200258918</c:v>
                </c:pt>
                <c:pt idx="3">
                  <c:v>1.0912600676161133</c:v>
                </c:pt>
                <c:pt idx="4">
                  <c:v>1.1090341500859264</c:v>
                </c:pt>
                <c:pt idx="5">
                  <c:v>1.1273177719772112</c:v>
                </c:pt>
                <c:pt idx="6">
                  <c:v>1.1454677635249477</c:v>
                </c:pt>
                <c:pt idx="7">
                  <c:v>1.164774220007545</c:v>
                </c:pt>
                <c:pt idx="8">
                  <c:v>1.1842917480602622</c:v>
                </c:pt>
                <c:pt idx="9">
                  <c:v>1.2044109675718855</c:v>
                </c:pt>
                <c:pt idx="10">
                  <c:v>1.2250337677909566</c:v>
                </c:pt>
                <c:pt idx="11">
                  <c:v>1.2680754940400816</c:v>
                </c:pt>
                <c:pt idx="12">
                  <c:v>1.3136547866638153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B9-4C23-A8F1-9A2FC9763314}"/>
            </c:ext>
          </c:extLst>
        </c:ser>
        <c:ser>
          <c:idx val="2"/>
          <c:order val="2"/>
          <c:tx>
            <c:v>Sensitivity - OPEX</c:v>
          </c:tx>
          <c:marker>
            <c:symbol val="none"/>
          </c:marker>
          <c:xVal>
            <c:numRef>
              <c:f>Data_Sensitivity!$B$24:$B$36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Data_Sensitivity!$C$24:$C$36</c:f>
              <c:numCache>
                <c:formatCode>0.000</c:formatCode>
                <c:ptCount val="13"/>
                <c:pt idx="0">
                  <c:v>1.0096257507828874</c:v>
                </c:pt>
                <c:pt idx="1">
                  <c:v>1.0433518929023056</c:v>
                </c:pt>
                <c:pt idx="2">
                  <c:v>1.0772829899216361</c:v>
                </c:pt>
                <c:pt idx="3">
                  <c:v>1.0943012408773776</c:v>
                </c:pt>
                <c:pt idx="4">
                  <c:v>1.1113431862003307</c:v>
                </c:pt>
                <c:pt idx="5">
                  <c:v>1.1284010730318301</c:v>
                </c:pt>
                <c:pt idx="6">
                  <c:v>1.1454677635249477</c:v>
                </c:pt>
                <c:pt idx="7">
                  <c:v>1.1625366982015579</c:v>
                </c:pt>
                <c:pt idx="8">
                  <c:v>1.1796018612110843</c:v>
                </c:pt>
                <c:pt idx="9">
                  <c:v>1.1966577475594611</c:v>
                </c:pt>
                <c:pt idx="10">
                  <c:v>1.2136993320889065</c:v>
                </c:pt>
                <c:pt idx="11">
                  <c:v>1.2476003739404145</c:v>
                </c:pt>
                <c:pt idx="12">
                  <c:v>1.2815014157919227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B9-4C23-A8F1-9A2FC9763314}"/>
            </c:ext>
          </c:extLst>
        </c:ser>
        <c:ser>
          <c:idx val="3"/>
          <c:order val="3"/>
          <c:tx>
            <c:v>Sensitivity - CAPEX</c:v>
          </c:tx>
          <c:marker>
            <c:symbol val="none"/>
          </c:marker>
          <c:xVal>
            <c:numRef>
              <c:f>Data_Sensitivity!$G$24:$G$36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Data_Sensitivity!$H$24:$H$36</c:f>
              <c:numCache>
                <c:formatCode>General</c:formatCode>
                <c:ptCount val="13"/>
                <c:pt idx="0">
                  <c:v>0.83721660320897218</c:v>
                </c:pt>
                <c:pt idx="1">
                  <c:v>0.90161788037889334</c:v>
                </c:pt>
                <c:pt idx="2">
                  <c:v>0.973936606465726</c:v>
                </c:pt>
                <c:pt idx="3">
                  <c:v>1.0110472310371352</c:v>
                </c:pt>
                <c:pt idx="4">
                  <c:v>1.052110476470937</c:v>
                </c:pt>
                <c:pt idx="5">
                  <c:v>1.0961889816977508</c:v>
                </c:pt>
                <c:pt idx="6" formatCode="0.000">
                  <c:v>1.1454677635249477</c:v>
                </c:pt>
                <c:pt idx="7">
                  <c:v>1.1999930588034904</c:v>
                </c:pt>
                <c:pt idx="8">
                  <c:v>1.260177314772851</c:v>
                </c:pt>
                <c:pt idx="9">
                  <c:v>1.3274008832258051</c:v>
                </c:pt>
                <c:pt idx="10">
                  <c:v>1.4030273977565526</c:v>
                </c:pt>
                <c:pt idx="11">
                  <c:v>1.5866917900431718</c:v>
                </c:pt>
                <c:pt idx="12">
                  <c:v>1.8315776464253317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B9-4C23-A8F1-9A2FC9763314}"/>
            </c:ext>
          </c:extLst>
        </c:ser>
        <c:ser>
          <c:idx val="4"/>
          <c:order val="4"/>
          <c:tx>
            <c:v>Sensitivity - Amount of Debt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Data_Sensitivity!$L$6:$L$16</c:f>
              <c:numCache>
                <c:formatCode>0%</c:formatCode>
                <c:ptCount val="11"/>
                <c:pt idx="0">
                  <c:v>0.2</c:v>
                </c:pt>
                <c:pt idx="1">
                  <c:v>0.15</c:v>
                </c:pt>
                <c:pt idx="2">
                  <c:v>0.1</c:v>
                </c:pt>
                <c:pt idx="3">
                  <c:v>0.05</c:v>
                </c:pt>
                <c:pt idx="4" formatCode="0.00%">
                  <c:v>0</c:v>
                </c:pt>
                <c:pt idx="5">
                  <c:v>-0.05</c:v>
                </c:pt>
                <c:pt idx="6">
                  <c:v>-0.1</c:v>
                </c:pt>
                <c:pt idx="7">
                  <c:v>-0.15</c:v>
                </c:pt>
                <c:pt idx="8">
                  <c:v>-0.2</c:v>
                </c:pt>
                <c:pt idx="9">
                  <c:v>-0.3</c:v>
                </c:pt>
                <c:pt idx="10">
                  <c:v>-0.4</c:v>
                </c:pt>
              </c:numCache>
            </c:numRef>
          </c:xVal>
          <c:yVal>
            <c:numRef>
              <c:f>Data_Sensitivity!$M$6:$M$16</c:f>
              <c:numCache>
                <c:formatCode>0.000</c:formatCode>
                <c:ptCount val="11"/>
                <c:pt idx="0">
                  <c:v>0.96122491130039411</c:v>
                </c:pt>
                <c:pt idx="1">
                  <c:v>1.0012896802898863</c:v>
                </c:pt>
                <c:pt idx="2">
                  <c:v>1.0451174031759685</c:v>
                </c:pt>
                <c:pt idx="3">
                  <c:v>1.09318828755982</c:v>
                </c:pt>
                <c:pt idx="4">
                  <c:v>1.1454677635249477</c:v>
                </c:pt>
                <c:pt idx="5">
                  <c:v>1.2039720518266523</c:v>
                </c:pt>
                <c:pt idx="6">
                  <c:v>1.2686431734754335</c:v>
                </c:pt>
                <c:pt idx="7">
                  <c:v>1.3409626883608259</c:v>
                </c:pt>
                <c:pt idx="8">
                  <c:v>1.4222399550311657</c:v>
                </c:pt>
                <c:pt idx="9">
                  <c:v>1.6196276025139373</c:v>
                </c:pt>
                <c:pt idx="10">
                  <c:v>1.8828111324909667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B9-4C23-A8F1-9A2FC9763314}"/>
            </c:ext>
          </c:extLst>
        </c:ser>
        <c:ser>
          <c:idx val="5"/>
          <c:order val="5"/>
          <c:tx>
            <c:v>Sensitivity - Maturity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Data_Sensitivity!$Q$4:$Q$16</c:f>
              <c:numCache>
                <c:formatCode>0%</c:formatCode>
                <c:ptCount val="13"/>
                <c:pt idx="0">
                  <c:v>0.4</c:v>
                </c:pt>
                <c:pt idx="1">
                  <c:v>0.33333333333333331</c:v>
                </c:pt>
                <c:pt idx="2">
                  <c:v>0.26666666666666666</c:v>
                </c:pt>
                <c:pt idx="3">
                  <c:v>0.2</c:v>
                </c:pt>
                <c:pt idx="4">
                  <c:v>0.13333333333333333</c:v>
                </c:pt>
                <c:pt idx="5">
                  <c:v>6.6666666666666666E-2</c:v>
                </c:pt>
                <c:pt idx="6" formatCode="0.00%">
                  <c:v>0</c:v>
                </c:pt>
                <c:pt idx="7">
                  <c:v>-6.6666666666666666E-2</c:v>
                </c:pt>
                <c:pt idx="8">
                  <c:v>-0.13333333333333333</c:v>
                </c:pt>
                <c:pt idx="9">
                  <c:v>-0.2</c:v>
                </c:pt>
                <c:pt idx="10">
                  <c:v>-0.26666666666666666</c:v>
                </c:pt>
                <c:pt idx="11">
                  <c:v>-0.33333333333333331</c:v>
                </c:pt>
                <c:pt idx="12">
                  <c:v>-0.4</c:v>
                </c:pt>
              </c:numCache>
            </c:numRef>
          </c:xVal>
          <c:yVal>
            <c:numRef>
              <c:f>Data_Sensitivity!$R$4:$R$16</c:f>
              <c:numCache>
                <c:formatCode>0.000</c:formatCode>
                <c:ptCount val="13"/>
                <c:pt idx="1">
                  <c:v>1.386758295945262</c:v>
                </c:pt>
                <c:pt idx="2">
                  <c:v>1.3421844946820818</c:v>
                </c:pt>
                <c:pt idx="3">
                  <c:v>1.2962089815627471</c:v>
                </c:pt>
                <c:pt idx="4">
                  <c:v>1.248266308758782</c:v>
                </c:pt>
                <c:pt idx="5">
                  <c:v>1.1982582296320159</c:v>
                </c:pt>
                <c:pt idx="6">
                  <c:v>1.1454677635249477</c:v>
                </c:pt>
                <c:pt idx="7">
                  <c:v>1.0909102473133536</c:v>
                </c:pt>
                <c:pt idx="8">
                  <c:v>1.0339486501204398</c:v>
                </c:pt>
                <c:pt idx="9">
                  <c:v>0.97387700126252097</c:v>
                </c:pt>
                <c:pt idx="10">
                  <c:v>0.91161687850827566</c:v>
                </c:pt>
                <c:pt idx="11">
                  <c:v>0.84655740572418048</c:v>
                </c:pt>
                <c:pt idx="12">
                  <c:v>0.77856292610727307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B9-4C23-A8F1-9A2FC976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82816"/>
        <c:axId val="134884736"/>
      </c:scatterChart>
      <c:valAx>
        <c:axId val="134882816"/>
        <c:scaling>
          <c:orientation val="minMax"/>
          <c:max val="0.4"/>
          <c:min val="-0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Variation of Parameters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34884736"/>
        <c:crosses val="autoZero"/>
        <c:crossBetween val="midCat"/>
        <c:majorUnit val="0.1"/>
      </c:valAx>
      <c:valAx>
        <c:axId val="134884736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ADSCR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134882816"/>
        <c:crossesAt val="-0.4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 - Inflation Rate</c:v>
          </c:tx>
          <c:marker>
            <c:symbol val="none"/>
          </c:marker>
          <c:xVal>
            <c:numRef>
              <c:f>Data_Sensitivity!$B$4:$B$16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Data_Sensitivity!$D$4:$D$16</c:f>
              <c:numCache>
                <c:formatCode>0.000</c:formatCode>
                <c:ptCount val="13"/>
                <c:pt idx="0">
                  <c:v>1.1227560143048103</c:v>
                </c:pt>
                <c:pt idx="1">
                  <c:v>1.12110651967067</c:v>
                </c:pt>
                <c:pt idx="2">
                  <c:v>1.1194570250365306</c:v>
                </c:pt>
                <c:pt idx="3">
                  <c:v>1.1186322777194604</c:v>
                </c:pt>
                <c:pt idx="4">
                  <c:v>1.1178075304023902</c:v>
                </c:pt>
                <c:pt idx="5">
                  <c:v>1.1169827830853201</c:v>
                </c:pt>
                <c:pt idx="6">
                  <c:v>1.1161580357682499</c:v>
                </c:pt>
                <c:pt idx="7">
                  <c:v>1.11533328845118</c:v>
                </c:pt>
                <c:pt idx="8">
                  <c:v>1.1145085411341098</c:v>
                </c:pt>
                <c:pt idx="9">
                  <c:v>1.1136837938170394</c:v>
                </c:pt>
                <c:pt idx="10">
                  <c:v>1.1128590464999695</c:v>
                </c:pt>
                <c:pt idx="11">
                  <c:v>1.0922890976855772</c:v>
                </c:pt>
                <c:pt idx="12">
                  <c:v>1.0700532907231874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C-4B65-A542-FBBBA073BCDD}"/>
            </c:ext>
          </c:extLst>
        </c:ser>
        <c:ser>
          <c:idx val="1"/>
          <c:order val="1"/>
          <c:tx>
            <c:v>Sensitivity - Interest Rate</c:v>
          </c:tx>
          <c:marker>
            <c:symbol val="none"/>
          </c:marker>
          <c:xVal>
            <c:numRef>
              <c:f>Data_Sensitivity!$G$4:$G$16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Data_Sensitivity!$I$4:$I$16</c:f>
              <c:numCache>
                <c:formatCode>0.000</c:formatCode>
                <c:ptCount val="13"/>
                <c:pt idx="0">
                  <c:v>0.96948213948755479</c:v>
                </c:pt>
                <c:pt idx="1">
                  <c:v>1.0032550965499167</c:v>
                </c:pt>
                <c:pt idx="2">
                  <c:v>1.0388732022263716</c:v>
                </c:pt>
                <c:pt idx="3">
                  <c:v>1.0574131252373329</c:v>
                </c:pt>
                <c:pt idx="4">
                  <c:v>1.0764622710433973</c:v>
                </c:pt>
                <c:pt idx="5">
                  <c:v>1.096037922385465</c:v>
                </c:pt>
                <c:pt idx="6">
                  <c:v>1.1161580357682499</c:v>
                </c:pt>
                <c:pt idx="7">
                  <c:v>1.1368412706266842</c:v>
                </c:pt>
                <c:pt idx="8">
                  <c:v>1.1581070198681007</c:v>
                </c:pt>
                <c:pt idx="9">
                  <c:v>1.1774433374343876</c:v>
                </c:pt>
                <c:pt idx="10">
                  <c:v>1.1962442386059318</c:v>
                </c:pt>
                <c:pt idx="11">
                  <c:v>1.2353741211181797</c:v>
                </c:pt>
                <c:pt idx="12">
                  <c:v>1.2766548570497047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5C-4B65-A542-FBBBA073BCDD}"/>
            </c:ext>
          </c:extLst>
        </c:ser>
        <c:ser>
          <c:idx val="2"/>
          <c:order val="2"/>
          <c:tx>
            <c:v>Sensitivity - OPEX</c:v>
          </c:tx>
          <c:marker>
            <c:symbol val="none"/>
          </c:marker>
          <c:xVal>
            <c:numRef>
              <c:f>Data_Sensitivity!$B$24:$B$36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Data_Sensitivity!$D$24:$D$36</c:f>
              <c:numCache>
                <c:formatCode>0.000</c:formatCode>
                <c:ptCount val="13"/>
                <c:pt idx="0">
                  <c:v>0.97720582312914628</c:v>
                </c:pt>
                <c:pt idx="1">
                  <c:v>1.0119438762889219</c:v>
                </c:pt>
                <c:pt idx="2">
                  <c:v>1.0466819294486978</c:v>
                </c:pt>
                <c:pt idx="3">
                  <c:v>1.0640509560285856</c:v>
                </c:pt>
                <c:pt idx="4">
                  <c:v>1.0814199826084734</c:v>
                </c:pt>
                <c:pt idx="5">
                  <c:v>1.0987890091883612</c:v>
                </c:pt>
                <c:pt idx="6">
                  <c:v>1.1161580357682499</c:v>
                </c:pt>
                <c:pt idx="7">
                  <c:v>1.133527062348137</c:v>
                </c:pt>
                <c:pt idx="8">
                  <c:v>1.1508960889280249</c:v>
                </c:pt>
                <c:pt idx="9">
                  <c:v>1.1682651155079127</c:v>
                </c:pt>
                <c:pt idx="10">
                  <c:v>1.1848723903871361</c:v>
                </c:pt>
                <c:pt idx="11">
                  <c:v>1.2153550320348392</c:v>
                </c:pt>
                <c:pt idx="12">
                  <c:v>1.2458376736825425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5C-4B65-A542-FBBBA073BCDD}"/>
            </c:ext>
          </c:extLst>
        </c:ser>
        <c:ser>
          <c:idx val="3"/>
          <c:order val="3"/>
          <c:tx>
            <c:v>Sensitivity - CAPEX</c:v>
          </c:tx>
          <c:marker>
            <c:symbol val="none"/>
          </c:marker>
          <c:xVal>
            <c:numRef>
              <c:f>Data_Sensitivity!$G$24:$G$36</c:f>
              <c:numCache>
                <c:formatCode>0%</c:formatCode>
                <c:ptCount val="13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 formatCode="0.00%">
                  <c:v>0</c:v>
                </c:pt>
                <c:pt idx="7">
                  <c:v>-0.05</c:v>
                </c:pt>
                <c:pt idx="8">
                  <c:v>-0.1</c:v>
                </c:pt>
                <c:pt idx="9">
                  <c:v>-0.15</c:v>
                </c:pt>
                <c:pt idx="10">
                  <c:v>-0.2</c:v>
                </c:pt>
                <c:pt idx="11">
                  <c:v>-0.3</c:v>
                </c:pt>
                <c:pt idx="12">
                  <c:v>-0.4</c:v>
                </c:pt>
              </c:numCache>
            </c:numRef>
          </c:xVal>
          <c:yVal>
            <c:numRef>
              <c:f>Data_Sensitivity!$I$24:$I$36</c:f>
              <c:numCache>
                <c:formatCode>General</c:formatCode>
                <c:ptCount val="13"/>
                <c:pt idx="0">
                  <c:v>0.79725573983446374</c:v>
                </c:pt>
                <c:pt idx="1">
                  <c:v>0.85858310443711472</c:v>
                </c:pt>
                <c:pt idx="2">
                  <c:v>0.93013169647354099</c:v>
                </c:pt>
                <c:pt idx="3">
                  <c:v>0.97057220501586883</c:v>
                </c:pt>
                <c:pt idx="4">
                  <c:v>1.014689123425681</c:v>
                </c:pt>
                <c:pt idx="5">
                  <c:v>1.0630076531126182</c:v>
                </c:pt>
                <c:pt idx="6" formatCode="0.000">
                  <c:v>1.1161580357682499</c:v>
                </c:pt>
                <c:pt idx="7">
                  <c:v>1.1749031955455254</c:v>
                </c:pt>
                <c:pt idx="8">
                  <c:v>1.232732515579134</c:v>
                </c:pt>
                <c:pt idx="9">
                  <c:v>1.2967474617481953</c:v>
                </c:pt>
                <c:pt idx="10">
                  <c:v>1.3687642761883894</c:v>
                </c:pt>
                <c:pt idx="11">
                  <c:v>1.5436622541145748</c:v>
                </c:pt>
                <c:pt idx="12">
                  <c:v>1.7768595580161555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5C-4B65-A542-FBBBA073BCDD}"/>
            </c:ext>
          </c:extLst>
        </c:ser>
        <c:ser>
          <c:idx val="4"/>
          <c:order val="4"/>
          <c:tx>
            <c:v>Sensitivity - Amount of Debt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Data_Sensitivity!$L$6:$L$16</c:f>
              <c:numCache>
                <c:formatCode>0%</c:formatCode>
                <c:ptCount val="11"/>
                <c:pt idx="0">
                  <c:v>0.2</c:v>
                </c:pt>
                <c:pt idx="1">
                  <c:v>0.15</c:v>
                </c:pt>
                <c:pt idx="2">
                  <c:v>0.1</c:v>
                </c:pt>
                <c:pt idx="3">
                  <c:v>0.05</c:v>
                </c:pt>
                <c:pt idx="4" formatCode="0.00%">
                  <c:v>0</c:v>
                </c:pt>
                <c:pt idx="5">
                  <c:v>-0.05</c:v>
                </c:pt>
                <c:pt idx="6">
                  <c:v>-0.1</c:v>
                </c:pt>
                <c:pt idx="7">
                  <c:v>-0.15</c:v>
                </c:pt>
                <c:pt idx="8">
                  <c:v>-0.2</c:v>
                </c:pt>
                <c:pt idx="9">
                  <c:v>-0.3</c:v>
                </c:pt>
                <c:pt idx="10">
                  <c:v>-0.4</c:v>
                </c:pt>
              </c:numCache>
            </c:numRef>
          </c:xVal>
          <c:yVal>
            <c:numRef>
              <c:f>Data_Sensitivity!$N$6:$N$16</c:f>
              <c:numCache>
                <c:formatCode>0.000</c:formatCode>
                <c:ptCount val="11"/>
                <c:pt idx="0">
                  <c:v>0.93013169647354099</c:v>
                </c:pt>
                <c:pt idx="1">
                  <c:v>0.97057220501586883</c:v>
                </c:pt>
                <c:pt idx="2">
                  <c:v>1.014689123425681</c:v>
                </c:pt>
                <c:pt idx="3">
                  <c:v>1.0630076531126182</c:v>
                </c:pt>
                <c:pt idx="4">
                  <c:v>1.1161580357682499</c:v>
                </c:pt>
                <c:pt idx="5">
                  <c:v>1.1749031955455254</c:v>
                </c:pt>
                <c:pt idx="6">
                  <c:v>1.2401755952980547</c:v>
                </c:pt>
                <c:pt idx="7">
                  <c:v>1.3103092668832164</c:v>
                </c:pt>
                <c:pt idx="8">
                  <c:v>1.3879768334630025</c:v>
                </c:pt>
                <c:pt idx="9">
                  <c:v>1.5765980665853401</c:v>
                </c:pt>
                <c:pt idx="10">
                  <c:v>1.8280930440817906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5C-4B65-A542-FBBBA073BCDD}"/>
            </c:ext>
          </c:extLst>
        </c:ser>
        <c:ser>
          <c:idx val="5"/>
          <c:order val="5"/>
          <c:tx>
            <c:v>Sensitivity - Maturity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Data_Sensitivity!$Q$4:$Q$16</c:f>
              <c:numCache>
                <c:formatCode>0%</c:formatCode>
                <c:ptCount val="13"/>
                <c:pt idx="0">
                  <c:v>0.4</c:v>
                </c:pt>
                <c:pt idx="1">
                  <c:v>0.33333333333333331</c:v>
                </c:pt>
                <c:pt idx="2">
                  <c:v>0.26666666666666666</c:v>
                </c:pt>
                <c:pt idx="3">
                  <c:v>0.2</c:v>
                </c:pt>
                <c:pt idx="4">
                  <c:v>0.13333333333333333</c:v>
                </c:pt>
                <c:pt idx="5">
                  <c:v>6.6666666666666666E-2</c:v>
                </c:pt>
                <c:pt idx="6" formatCode="0.00%">
                  <c:v>0</c:v>
                </c:pt>
                <c:pt idx="7">
                  <c:v>-6.6666666666666666E-2</c:v>
                </c:pt>
                <c:pt idx="8">
                  <c:v>-0.13333333333333333</c:v>
                </c:pt>
                <c:pt idx="9">
                  <c:v>-0.2</c:v>
                </c:pt>
                <c:pt idx="10">
                  <c:v>-0.26666666666666666</c:v>
                </c:pt>
                <c:pt idx="11">
                  <c:v>-0.33333333333333331</c:v>
                </c:pt>
                <c:pt idx="12">
                  <c:v>-0.4</c:v>
                </c:pt>
              </c:numCache>
            </c:numRef>
          </c:xVal>
          <c:yVal>
            <c:numRef>
              <c:f>Data_Sensitivity!$S$4:$S$16</c:f>
              <c:numCache>
                <c:formatCode>0.000</c:formatCode>
                <c:ptCount val="13"/>
                <c:pt idx="1">
                  <c:v>1.3288575719762916</c:v>
                </c:pt>
                <c:pt idx="2">
                  <c:v>1.2907468271001632</c:v>
                </c:pt>
                <c:pt idx="3">
                  <c:v>1.2505399912558484</c:v>
                </c:pt>
                <c:pt idx="4">
                  <c:v>1.2081217794400958</c:v>
                </c:pt>
                <c:pt idx="5">
                  <c:v>1.1633705659744771</c:v>
                </c:pt>
                <c:pt idx="6">
                  <c:v>1.1161580357682499</c:v>
                </c:pt>
                <c:pt idx="7">
                  <c:v>1.0663488164006787</c:v>
                </c:pt>
                <c:pt idx="8">
                  <c:v>1.0138000899678921</c:v>
                </c:pt>
                <c:pt idx="9">
                  <c:v>0.95836118358130218</c:v>
                </c:pt>
                <c:pt idx="10">
                  <c:v>0.89987313734344965</c:v>
                </c:pt>
                <c:pt idx="11">
                  <c:v>0.83816824856251537</c:v>
                </c:pt>
                <c:pt idx="12">
                  <c:v>0.7730695908986297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45C-4B65-A542-FBBBA073B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41600"/>
        <c:axId val="145243520"/>
      </c:scatterChart>
      <c:valAx>
        <c:axId val="145241600"/>
        <c:scaling>
          <c:orientation val="minMax"/>
          <c:max val="0.4"/>
          <c:min val="-0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Variation of Parameters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45243520"/>
        <c:crosses val="autoZero"/>
        <c:crossBetween val="midCat"/>
        <c:majorUnit val="0.1"/>
      </c:valAx>
      <c:valAx>
        <c:axId val="145243520"/>
        <c:scaling>
          <c:orientation val="minMax"/>
          <c:min val="0.6000000000000004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DSCR (min)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145241600"/>
        <c:crossesAt val="-0.4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Tilgung</c:v>
          </c:tx>
          <c:invertIfNegative val="0"/>
          <c:cat>
            <c:numRef>
              <c:f>Berechnungen!$E$1:$X$1</c:f>
              <c:numCache>
                <c:formatCode>General</c:formatCode>
                <c:ptCount val="2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</c:numCache>
            </c:numRef>
          </c:cat>
          <c:val>
            <c:numRef>
              <c:f>Berechnungen!$E$27:$X$27</c:f>
              <c:numCache>
                <c:formatCode>_-* #,##0.00\ _€_-;\-* #,##0.00\ _€_-;_-* "-"??\ _€_-;_-@_-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2265461.5384615385</c:v>
                </c:pt>
                <c:pt idx="3">
                  <c:v>2265461.5384615385</c:v>
                </c:pt>
                <c:pt idx="4">
                  <c:v>2265461.5384615385</c:v>
                </c:pt>
                <c:pt idx="5">
                  <c:v>2265461.5384615385</c:v>
                </c:pt>
                <c:pt idx="6">
                  <c:v>2265461.5384615385</c:v>
                </c:pt>
                <c:pt idx="7">
                  <c:v>2265461.5384615385</c:v>
                </c:pt>
                <c:pt idx="8">
                  <c:v>2265461.5384615385</c:v>
                </c:pt>
                <c:pt idx="9">
                  <c:v>2265461.5384615385</c:v>
                </c:pt>
                <c:pt idx="10">
                  <c:v>2265461.5384615385</c:v>
                </c:pt>
                <c:pt idx="11">
                  <c:v>2265461.5384615385</c:v>
                </c:pt>
                <c:pt idx="12">
                  <c:v>2265461.5384615385</c:v>
                </c:pt>
                <c:pt idx="13">
                  <c:v>2265461.5384615385</c:v>
                </c:pt>
                <c:pt idx="14">
                  <c:v>2265461.5384615385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B-47B1-A4F7-0C6551D25E30}"/>
            </c:ext>
          </c:extLst>
        </c:ser>
        <c:ser>
          <c:idx val="1"/>
          <c:order val="1"/>
          <c:tx>
            <c:v>Zinsen</c:v>
          </c:tx>
          <c:invertIfNegative val="0"/>
          <c:cat>
            <c:numRef>
              <c:f>Berechnungen!$E$1:$X$1</c:f>
              <c:numCache>
                <c:formatCode>General</c:formatCode>
                <c:ptCount val="2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</c:numCache>
            </c:numRef>
          </c:cat>
          <c:val>
            <c:numRef>
              <c:f>Berechnungen!$E$28:$X$28</c:f>
              <c:numCache>
                <c:formatCode>_-* #,##0.00\ _€_-;\-* #,##0.00\ _€_-;_-* "-"??\ _€_-;_-@_-</c:formatCode>
                <c:ptCount val="20"/>
                <c:pt idx="0">
                  <c:v>618471</c:v>
                </c:pt>
                <c:pt idx="1">
                  <c:v>618471</c:v>
                </c:pt>
                <c:pt idx="2">
                  <c:v>594683.65</c:v>
                </c:pt>
                <c:pt idx="3">
                  <c:v>547108.96</c:v>
                </c:pt>
                <c:pt idx="4">
                  <c:v>499534.27</c:v>
                </c:pt>
                <c:pt idx="5">
                  <c:v>451959.58</c:v>
                </c:pt>
                <c:pt idx="6">
                  <c:v>404384.88</c:v>
                </c:pt>
                <c:pt idx="7">
                  <c:v>356810.19</c:v>
                </c:pt>
                <c:pt idx="8">
                  <c:v>309235.5</c:v>
                </c:pt>
                <c:pt idx="9">
                  <c:v>261660.81</c:v>
                </c:pt>
                <c:pt idx="10">
                  <c:v>316031.88</c:v>
                </c:pt>
                <c:pt idx="11">
                  <c:v>245802.58</c:v>
                </c:pt>
                <c:pt idx="12">
                  <c:v>175573.27</c:v>
                </c:pt>
                <c:pt idx="13">
                  <c:v>105343.96</c:v>
                </c:pt>
                <c:pt idx="14">
                  <c:v>35114.65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AB-47B1-A4F7-0C6551D25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20192"/>
        <c:axId val="154121728"/>
      </c:barChart>
      <c:catAx>
        <c:axId val="1541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21728"/>
        <c:crosses val="autoZero"/>
        <c:auto val="1"/>
        <c:lblAlgn val="ctr"/>
        <c:lblOffset val="100"/>
        <c:noMultiLvlLbl val="0"/>
      </c:catAx>
      <c:valAx>
        <c:axId val="154121728"/>
        <c:scaling>
          <c:orientation val="minMax"/>
        </c:scaling>
        <c:delete val="0"/>
        <c:axPos val="l"/>
        <c:majorGridlines/>
        <c:numFmt formatCode="_-* #,##0.00\ _€_-;\-* #,##0.00\ _€_-;_-* &quot;-&quot;??\ _€_-;_-@_-" sourceLinked="1"/>
        <c:majorTickMark val="out"/>
        <c:minorTickMark val="none"/>
        <c:tickLblPos val="nextTo"/>
        <c:crossAx val="154120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123824</xdr:rowOff>
    </xdr:from>
    <xdr:to>
      <xdr:col>15</xdr:col>
      <xdr:colOff>533400</xdr:colOff>
      <xdr:row>17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761999</xdr:colOff>
      <xdr:row>18</xdr:row>
      <xdr:rowOff>152399</xdr:rowOff>
    </xdr:from>
    <xdr:to>
      <xdr:col>15</xdr:col>
      <xdr:colOff>533399</xdr:colOff>
      <xdr:row>34</xdr:row>
      <xdr:rowOff>180974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754380</xdr:colOff>
      <xdr:row>39</xdr:row>
      <xdr:rowOff>38100</xdr:rowOff>
    </xdr:from>
    <xdr:to>
      <xdr:col>8</xdr:col>
      <xdr:colOff>571500</xdr:colOff>
      <xdr:row>56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259080</xdr:colOff>
      <xdr:row>39</xdr:row>
      <xdr:rowOff>30480</xdr:rowOff>
    </xdr:from>
    <xdr:to>
      <xdr:col>17</xdr:col>
      <xdr:colOff>76200</xdr:colOff>
      <xdr:row>56</xdr:row>
      <xdr:rowOff>30480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762000</xdr:colOff>
      <xdr:row>60</xdr:row>
      <xdr:rowOff>53340</xdr:rowOff>
    </xdr:from>
    <xdr:to>
      <xdr:col>8</xdr:col>
      <xdr:colOff>579120</xdr:colOff>
      <xdr:row>77</xdr:row>
      <xdr:rowOff>53340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289560</xdr:colOff>
      <xdr:row>60</xdr:row>
      <xdr:rowOff>0</xdr:rowOff>
    </xdr:from>
    <xdr:to>
      <xdr:col>17</xdr:col>
      <xdr:colOff>106680</xdr:colOff>
      <xdr:row>77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704849</xdr:colOff>
      <xdr:row>81</xdr:row>
      <xdr:rowOff>190500</xdr:rowOff>
    </xdr:from>
    <xdr:to>
      <xdr:col>17</xdr:col>
      <xdr:colOff>752474</xdr:colOff>
      <xdr:row>96</xdr:row>
      <xdr:rowOff>47625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D17"/>
  <sheetViews>
    <sheetView workbookViewId="0"/>
  </sheetViews>
  <sheetFormatPr defaultColWidth="0" defaultRowHeight="15" customHeight="1" zeroHeight="1"/>
  <cols>
    <col min="1" max="1" width="7.140625" style="1" customWidth="1"/>
    <col min="2" max="2" width="32" style="1" customWidth="1"/>
    <col min="3" max="3" width="13.140625" style="1" customWidth="1"/>
    <col min="4" max="4" width="4.85546875" style="1" customWidth="1"/>
    <col min="5" max="16384" width="9.140625" style="1" hidden="1"/>
  </cols>
  <sheetData>
    <row r="1" spans="2:3" ht="22.5" customHeight="1"/>
    <row r="2" spans="2:3" ht="21">
      <c r="B2" s="5" t="s">
        <v>0</v>
      </c>
    </row>
    <row r="3" spans="2:3" ht="45" customHeight="1">
      <c r="B3" s="305" t="s">
        <v>1</v>
      </c>
      <c r="C3" s="305"/>
    </row>
    <row r="4" spans="2:3"/>
    <row r="5" spans="2:3" ht="21">
      <c r="B5" s="5" t="s">
        <v>2</v>
      </c>
    </row>
    <row r="6" spans="2:3">
      <c r="B6" s="1" t="s">
        <v>3</v>
      </c>
      <c r="C6" s="17"/>
    </row>
    <row r="7" spans="2:3">
      <c r="B7" s="2" t="s">
        <v>4</v>
      </c>
      <c r="C7" s="14"/>
    </row>
    <row r="8" spans="2:3">
      <c r="B8" s="2" t="s">
        <v>5</v>
      </c>
      <c r="C8" s="15"/>
    </row>
    <row r="9" spans="2:3">
      <c r="B9" s="1" t="s">
        <v>6</v>
      </c>
      <c r="C9" s="16"/>
    </row>
    <row r="10" spans="2:3" ht="26.25" customHeight="1"/>
    <row r="11" spans="2:3" hidden="1"/>
    <row r="12" spans="2:3" hidden="1"/>
    <row r="13" spans="2:3" hidden="1"/>
    <row r="14" spans="2:3" hidden="1"/>
    <row r="15" spans="2:3" hidden="1"/>
    <row r="16" spans="2:3" hidden="1"/>
    <row r="17" hidden="1"/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X57"/>
  <sheetViews>
    <sheetView topLeftCell="A31" workbookViewId="0">
      <selection activeCell="F8" sqref="F8"/>
    </sheetView>
  </sheetViews>
  <sheetFormatPr defaultColWidth="11.42578125" defaultRowHeight="15"/>
  <cols>
    <col min="1" max="1" width="30.85546875" style="1" customWidth="1"/>
    <col min="2" max="5" width="10.7109375" style="1" customWidth="1"/>
    <col min="6" max="6" width="11.28515625" style="1" customWidth="1"/>
    <col min="7" max="15" width="10.7109375" style="1" customWidth="1"/>
    <col min="16" max="16" width="11.140625" style="1" customWidth="1"/>
    <col min="17" max="22" width="10.7109375" style="1" customWidth="1"/>
    <col min="23" max="24" width="16.5703125" style="1" bestFit="1" customWidth="1"/>
    <col min="25" max="25" width="16.7109375" style="1" bestFit="1" customWidth="1"/>
    <col min="26" max="16384" width="11.42578125" style="1"/>
  </cols>
  <sheetData>
    <row r="1" spans="1:22" s="3" customFormat="1" ht="9.9499999999999993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</row>
    <row r="2" spans="1:22" s="4" customFormat="1" ht="15.75" customHeight="1">
      <c r="A2" s="104" t="s">
        <v>7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</row>
    <row r="3" spans="1:22" s="4" customFormat="1" ht="9.9499999999999993" customHeight="1" thickBo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6"/>
      <c r="L3" s="106"/>
      <c r="M3" s="106"/>
      <c r="N3" s="106"/>
      <c r="O3" s="106"/>
      <c r="P3" s="106"/>
      <c r="Q3" s="105"/>
      <c r="R3" s="105"/>
      <c r="S3" s="105"/>
      <c r="T3" s="105"/>
      <c r="U3" s="105"/>
      <c r="V3" s="105"/>
    </row>
    <row r="4" spans="1:22" ht="9.9499999999999993" customHeight="1" thickTop="1">
      <c r="A4" s="107">
        <v>2</v>
      </c>
      <c r="B4" s="108"/>
      <c r="C4" s="108"/>
      <c r="D4" s="109" t="s">
        <v>8</v>
      </c>
      <c r="E4" s="259" t="s">
        <v>9</v>
      </c>
      <c r="F4" s="111">
        <v>0.8</v>
      </c>
      <c r="G4" s="112"/>
      <c r="H4" s="113"/>
      <c r="I4" s="114" t="s">
        <v>10</v>
      </c>
      <c r="J4" s="110" t="s">
        <v>11</v>
      </c>
      <c r="K4" s="115">
        <v>16</v>
      </c>
      <c r="L4" s="112" t="s">
        <v>12</v>
      </c>
      <c r="M4" s="113"/>
      <c r="N4" s="116" t="s">
        <v>13</v>
      </c>
      <c r="O4" s="110"/>
      <c r="P4" s="252">
        <f>'Weitere Eingaben'!D72</f>
        <v>36813750</v>
      </c>
      <c r="Q4" s="112" t="s">
        <v>14</v>
      </c>
      <c r="R4" s="113"/>
      <c r="S4" s="113"/>
      <c r="T4" s="113"/>
      <c r="U4" s="113"/>
      <c r="V4" s="113"/>
    </row>
    <row r="5" spans="1:22" ht="9.9499999999999993" customHeight="1">
      <c r="A5" s="117"/>
      <c r="B5" s="118"/>
      <c r="C5" s="118"/>
      <c r="D5" s="119"/>
      <c r="E5" s="253" t="s">
        <v>15</v>
      </c>
      <c r="F5" s="120">
        <f>F4*P4</f>
        <v>29451000</v>
      </c>
      <c r="G5" s="121" t="s">
        <v>14</v>
      </c>
      <c r="H5" s="113"/>
      <c r="I5" s="119"/>
      <c r="J5" s="113" t="s">
        <v>16</v>
      </c>
      <c r="K5" s="127">
        <f>'Weitere Eingaben'!D116</f>
        <v>0.13300000000000001</v>
      </c>
      <c r="L5" s="121"/>
      <c r="M5" s="113"/>
      <c r="N5" s="119"/>
      <c r="O5" s="113" t="s">
        <v>17</v>
      </c>
      <c r="P5" s="120"/>
      <c r="Q5" s="121" t="s">
        <v>14</v>
      </c>
      <c r="R5" s="113"/>
      <c r="S5" s="113"/>
      <c r="T5" s="113"/>
      <c r="U5" s="113"/>
      <c r="V5" s="113"/>
    </row>
    <row r="6" spans="1:22" ht="9.9499999999999993" customHeight="1">
      <c r="A6" s="117"/>
      <c r="B6" s="118"/>
      <c r="C6" s="118"/>
      <c r="D6" s="119"/>
      <c r="E6" s="253" t="s">
        <v>18</v>
      </c>
      <c r="F6" s="113">
        <v>15</v>
      </c>
      <c r="G6" s="121"/>
      <c r="H6" s="113"/>
      <c r="I6" s="119"/>
      <c r="J6" s="113" t="s">
        <v>19</v>
      </c>
      <c r="K6" s="122">
        <v>0.02</v>
      </c>
      <c r="L6" s="121" t="s">
        <v>20</v>
      </c>
      <c r="M6" s="113"/>
      <c r="N6" s="119"/>
      <c r="O6" s="113" t="s">
        <v>21</v>
      </c>
      <c r="P6" s="120"/>
      <c r="Q6" s="121" t="s">
        <v>14</v>
      </c>
      <c r="R6" s="113"/>
      <c r="S6" s="113"/>
      <c r="T6" s="113"/>
      <c r="U6" s="113"/>
      <c r="V6" s="113"/>
    </row>
    <row r="7" spans="1:22" ht="9.9499999999999993" customHeight="1">
      <c r="A7" s="117"/>
      <c r="B7" s="118"/>
      <c r="C7" s="118"/>
      <c r="D7" s="119"/>
      <c r="E7" s="253" t="s">
        <v>22</v>
      </c>
      <c r="F7" s="123">
        <v>13</v>
      </c>
      <c r="G7" s="121" t="s">
        <v>23</v>
      </c>
      <c r="H7" s="113"/>
      <c r="I7" s="119"/>
      <c r="J7" s="113"/>
      <c r="K7" s="249"/>
      <c r="L7" s="121"/>
      <c r="M7" s="113"/>
      <c r="N7" s="119"/>
      <c r="O7" s="113" t="s">
        <v>24</v>
      </c>
      <c r="P7" s="120"/>
      <c r="Q7" s="121" t="s">
        <v>14</v>
      </c>
      <c r="R7" s="113"/>
      <c r="S7" s="113"/>
      <c r="T7" s="113"/>
      <c r="U7" s="113"/>
      <c r="V7" s="113"/>
    </row>
    <row r="8" spans="1:22" ht="9.9499999999999993" customHeight="1">
      <c r="A8" s="117"/>
      <c r="B8" s="117" t="s">
        <v>25</v>
      </c>
      <c r="C8" s="118"/>
      <c r="D8" s="119"/>
      <c r="E8" s="253" t="s">
        <v>26</v>
      </c>
      <c r="F8" s="127">
        <v>2.1000000000000001E-2</v>
      </c>
      <c r="G8" s="121" t="s">
        <v>20</v>
      </c>
      <c r="H8" s="113"/>
      <c r="I8" s="119"/>
      <c r="J8" s="118"/>
      <c r="K8" s="113"/>
      <c r="L8" s="121"/>
      <c r="M8" s="113"/>
      <c r="N8" s="119"/>
      <c r="O8" s="113" t="s">
        <v>27</v>
      </c>
      <c r="P8" s="120"/>
      <c r="Q8" s="121" t="s">
        <v>14</v>
      </c>
      <c r="R8" s="113"/>
      <c r="S8" s="113"/>
      <c r="T8" s="113"/>
      <c r="U8" s="113"/>
      <c r="V8" s="113"/>
    </row>
    <row r="9" spans="1:22" ht="9.9499999999999993" customHeight="1" thickBot="1">
      <c r="A9" s="117"/>
      <c r="B9" s="117" t="s">
        <v>28</v>
      </c>
      <c r="C9" s="118"/>
      <c r="D9" s="36"/>
      <c r="E9" s="260" t="s">
        <v>29</v>
      </c>
      <c r="F9" s="261">
        <v>2</v>
      </c>
      <c r="G9" s="126" t="s">
        <v>12</v>
      </c>
      <c r="H9" s="113"/>
      <c r="I9" s="119"/>
      <c r="J9" s="113" t="s">
        <v>30</v>
      </c>
      <c r="K9" s="127"/>
      <c r="L9" s="121"/>
      <c r="M9" s="113"/>
      <c r="N9" s="124"/>
      <c r="O9" s="125" t="s">
        <v>31</v>
      </c>
      <c r="P9" s="128"/>
      <c r="Q9" s="126" t="s">
        <v>14</v>
      </c>
      <c r="R9" s="113"/>
      <c r="S9" s="113"/>
      <c r="T9" s="113"/>
      <c r="U9" s="113"/>
      <c r="V9" s="113"/>
    </row>
    <row r="10" spans="1:22" ht="9.9499999999999993" customHeight="1" thickTop="1" thickBot="1">
      <c r="A10" s="117"/>
      <c r="B10" s="118"/>
      <c r="C10" s="118"/>
      <c r="D10" s="118"/>
      <c r="E10" s="118"/>
      <c r="F10" s="113"/>
      <c r="G10" s="113"/>
      <c r="H10" s="113"/>
      <c r="I10" s="119"/>
      <c r="J10" s="113" t="s">
        <v>32</v>
      </c>
      <c r="K10" s="248">
        <f>'Weitere Eingaben'!D27</f>
        <v>8.93</v>
      </c>
      <c r="L10" s="121" t="s">
        <v>33</v>
      </c>
      <c r="M10" s="113"/>
      <c r="N10" s="113"/>
      <c r="O10" s="113"/>
      <c r="P10" s="174"/>
      <c r="Q10" s="113"/>
      <c r="R10" s="113"/>
      <c r="S10" s="113"/>
      <c r="T10" s="113"/>
      <c r="U10" s="113"/>
      <c r="V10" s="113"/>
    </row>
    <row r="11" spans="1:22" ht="9.9499999999999993" customHeight="1" thickTop="1" thickBot="1">
      <c r="A11" s="117"/>
      <c r="B11" s="118"/>
      <c r="C11" s="118"/>
      <c r="D11" s="114" t="s">
        <v>34</v>
      </c>
      <c r="E11" s="110" t="s">
        <v>34</v>
      </c>
      <c r="F11" s="129">
        <f>'Weitere Eingaben'!I13</f>
        <v>63229900</v>
      </c>
      <c r="G11" s="130" t="s">
        <v>35</v>
      </c>
      <c r="H11" s="113"/>
      <c r="I11" s="119"/>
      <c r="J11" s="113" t="s">
        <v>36</v>
      </c>
      <c r="K11" s="127"/>
      <c r="L11" s="132"/>
      <c r="M11" s="113"/>
      <c r="N11" s="113"/>
      <c r="O11" s="125"/>
      <c r="P11" s="113"/>
      <c r="Q11" s="113"/>
      <c r="R11" s="113"/>
      <c r="S11" s="113"/>
      <c r="T11" s="113"/>
      <c r="U11" s="113"/>
      <c r="V11" s="113"/>
    </row>
    <row r="12" spans="1:22" ht="9.9499999999999993" customHeight="1" thickTop="1">
      <c r="A12" s="133">
        <v>2</v>
      </c>
      <c r="B12" s="134"/>
      <c r="C12" s="134"/>
      <c r="D12" s="119"/>
      <c r="E12" s="113" t="s">
        <v>37</v>
      </c>
      <c r="F12" s="131">
        <v>20</v>
      </c>
      <c r="G12" s="121" t="s">
        <v>23</v>
      </c>
      <c r="H12" s="113"/>
      <c r="I12" s="119"/>
      <c r="J12" s="113" t="s">
        <v>38</v>
      </c>
      <c r="K12" s="123">
        <f>'Weitere Eingaben'!D9*'Weitere Eingaben'!D10</f>
        <v>24.6</v>
      </c>
      <c r="L12" s="132" t="s">
        <v>39</v>
      </c>
      <c r="M12" s="113"/>
      <c r="N12" s="116"/>
      <c r="O12" s="253" t="s">
        <v>40</v>
      </c>
      <c r="P12" s="254">
        <f>'Weitere Eingaben'!J111</f>
        <v>1824475.4900000002</v>
      </c>
      <c r="Q12" s="112"/>
      <c r="R12" s="113"/>
      <c r="S12" s="113"/>
      <c r="T12" s="113"/>
      <c r="U12" s="113"/>
      <c r="V12" s="113"/>
    </row>
    <row r="13" spans="1:22" ht="9.9499999999999993" customHeight="1" thickBot="1">
      <c r="A13" s="117"/>
      <c r="B13" s="118"/>
      <c r="C13" s="118"/>
      <c r="D13" s="119"/>
      <c r="E13" s="135"/>
      <c r="F13" s="258"/>
      <c r="G13" s="121"/>
      <c r="H13" s="113"/>
      <c r="I13" s="124"/>
      <c r="J13" s="125"/>
      <c r="K13" s="256"/>
      <c r="L13" s="138"/>
      <c r="M13" s="113"/>
      <c r="N13" s="139"/>
      <c r="O13" s="253" t="s">
        <v>41</v>
      </c>
      <c r="P13" s="255">
        <f>'Weitere Eingaben'!J112</f>
        <v>1995196.2200000002</v>
      </c>
      <c r="Q13" s="121" t="s">
        <v>14</v>
      </c>
      <c r="R13" s="113"/>
      <c r="S13" s="113"/>
      <c r="T13" s="113"/>
      <c r="U13" s="113"/>
      <c r="V13" s="113"/>
    </row>
    <row r="14" spans="1:22" ht="9.9499999999999993" customHeight="1" thickTop="1" thickBot="1">
      <c r="A14" s="117"/>
      <c r="B14" s="118"/>
      <c r="C14" s="118"/>
      <c r="D14" s="119"/>
      <c r="E14" s="136" t="s">
        <v>42</v>
      </c>
      <c r="F14" s="137" t="s">
        <v>43</v>
      </c>
      <c r="G14" s="121"/>
      <c r="H14" s="113"/>
      <c r="I14" s="113"/>
      <c r="J14" s="113"/>
      <c r="K14" s="110"/>
      <c r="L14" s="113"/>
      <c r="M14" s="113"/>
      <c r="N14" s="139"/>
      <c r="O14" s="134"/>
      <c r="P14" s="140"/>
      <c r="Q14" s="121" t="s">
        <v>14</v>
      </c>
      <c r="R14" s="113"/>
      <c r="S14" s="113"/>
      <c r="T14" s="113"/>
      <c r="U14" s="113"/>
      <c r="V14" s="113"/>
    </row>
    <row r="15" spans="1:22" ht="9.9499999999999993" customHeight="1" thickTop="1">
      <c r="A15" s="141"/>
      <c r="B15" s="141"/>
      <c r="C15" s="141"/>
      <c r="D15" s="119"/>
      <c r="E15" s="136" t="s">
        <v>44</v>
      </c>
      <c r="F15" s="137" t="s">
        <v>45</v>
      </c>
      <c r="G15" s="121"/>
      <c r="H15" s="113"/>
      <c r="I15" s="145" t="s">
        <v>46</v>
      </c>
      <c r="J15" s="110"/>
      <c r="K15" s="146" t="s">
        <v>47</v>
      </c>
      <c r="L15" s="113"/>
      <c r="M15" s="113"/>
      <c r="N15" s="139"/>
      <c r="O15" s="134"/>
      <c r="P15" s="140"/>
      <c r="Q15" s="121" t="s">
        <v>14</v>
      </c>
      <c r="R15" s="113"/>
      <c r="S15" s="113"/>
      <c r="T15" s="113"/>
      <c r="U15" s="113"/>
      <c r="V15" s="113"/>
    </row>
    <row r="16" spans="1:22" ht="9.9499999999999993" customHeight="1" thickBot="1">
      <c r="A16" s="118"/>
      <c r="B16" s="118"/>
      <c r="C16" s="118"/>
      <c r="D16" s="142"/>
      <c r="E16" s="143" t="s">
        <v>48</v>
      </c>
      <c r="F16" s="144" t="s">
        <v>47</v>
      </c>
      <c r="G16" s="126"/>
      <c r="H16" s="113"/>
      <c r="I16" s="119"/>
      <c r="J16" s="113"/>
      <c r="K16" s="148" t="s">
        <v>49</v>
      </c>
      <c r="L16" s="113"/>
      <c r="M16" s="113"/>
      <c r="N16" s="142"/>
      <c r="O16" s="149"/>
      <c r="P16" s="150"/>
      <c r="Q16" s="126" t="s">
        <v>14</v>
      </c>
      <c r="R16" s="113"/>
      <c r="S16" s="113"/>
      <c r="T16" s="113"/>
      <c r="U16" s="113"/>
      <c r="V16" s="113"/>
    </row>
    <row r="17" spans="1:22" ht="9.9499999999999993" customHeight="1" thickTop="1" thickBot="1">
      <c r="A17" s="118"/>
      <c r="B17" s="118"/>
      <c r="C17" s="118"/>
      <c r="D17" s="118"/>
      <c r="E17" s="118"/>
      <c r="F17" s="113"/>
      <c r="G17" s="147"/>
      <c r="H17" s="113"/>
      <c r="I17" s="119"/>
      <c r="J17" s="113"/>
      <c r="K17" s="148" t="s">
        <v>50</v>
      </c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</row>
    <row r="18" spans="1:22" ht="9.9499999999999993" customHeight="1" thickTop="1">
      <c r="A18" s="118"/>
      <c r="B18" s="118"/>
      <c r="C18" s="113"/>
      <c r="D18" s="145" t="s">
        <v>51</v>
      </c>
      <c r="E18" s="151" t="s">
        <v>52</v>
      </c>
      <c r="F18" s="152">
        <v>1.18E-2</v>
      </c>
      <c r="G18" s="209" t="s">
        <v>53</v>
      </c>
      <c r="H18" s="113"/>
      <c r="I18" s="119"/>
      <c r="J18" s="136"/>
      <c r="K18" s="121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</row>
    <row r="19" spans="1:22" ht="9.9499999999999993" customHeight="1" thickBot="1">
      <c r="A19" s="113"/>
      <c r="B19" s="118"/>
      <c r="C19" s="113"/>
      <c r="D19" s="139"/>
      <c r="E19" s="153" t="s">
        <v>54</v>
      </c>
      <c r="F19" s="154">
        <v>1.5</v>
      </c>
      <c r="G19" s="121"/>
      <c r="H19" s="113"/>
      <c r="I19" s="156" t="s">
        <v>55</v>
      </c>
      <c r="J19" s="125"/>
      <c r="K19" s="157" t="s">
        <v>56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</row>
    <row r="20" spans="1:22" ht="9.9499999999999993" customHeight="1" thickTop="1" thickBot="1">
      <c r="A20" s="113"/>
      <c r="B20" s="118"/>
      <c r="C20" s="113"/>
      <c r="D20" s="142"/>
      <c r="E20" s="125" t="s">
        <v>57</v>
      </c>
      <c r="F20" s="155">
        <v>0.05</v>
      </c>
      <c r="G20" s="210" t="s">
        <v>58</v>
      </c>
      <c r="H20" s="113"/>
      <c r="I20" s="214"/>
      <c r="J20" s="113"/>
      <c r="K20" s="136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</row>
    <row r="21" spans="1:22" ht="9.9499999999999993" customHeight="1" thickTop="1">
      <c r="A21" s="113"/>
      <c r="B21" s="118"/>
      <c r="C21" s="118"/>
      <c r="D21" s="118"/>
      <c r="E21" s="113"/>
      <c r="F21" s="113"/>
      <c r="G21" s="147"/>
      <c r="H21" s="113"/>
      <c r="I21" s="113"/>
      <c r="J21" s="113"/>
      <c r="K21" s="118"/>
      <c r="L21" s="118"/>
      <c r="M21" s="118"/>
      <c r="N21" s="118"/>
      <c r="O21" s="118"/>
      <c r="P21" s="118"/>
      <c r="Q21" s="113"/>
      <c r="R21" s="113"/>
      <c r="S21" s="113"/>
      <c r="T21" s="113"/>
      <c r="U21" s="113"/>
      <c r="V21" s="113"/>
    </row>
    <row r="22" spans="1:22" s="4" customFormat="1" ht="9.9499999999999993" customHeight="1">
      <c r="A22" s="118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5"/>
      <c r="T22" s="105"/>
      <c r="U22" s="105"/>
      <c r="V22" s="105"/>
    </row>
    <row r="23" spans="1:22" ht="15.75" customHeight="1">
      <c r="A23" s="104" t="s">
        <v>59</v>
      </c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9"/>
      <c r="T23" s="159"/>
      <c r="U23" s="159"/>
      <c r="V23" s="159"/>
    </row>
    <row r="24" spans="1:22" ht="9.9499999999999993" customHeight="1">
      <c r="A24" s="118"/>
      <c r="B24" s="160"/>
      <c r="C24" s="160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3"/>
      <c r="T24" s="113"/>
      <c r="U24" s="113"/>
      <c r="V24" s="113"/>
    </row>
    <row r="25" spans="1:22" ht="9.9499999999999993" customHeight="1" thickBot="1">
      <c r="A25" s="118"/>
      <c r="B25" s="160"/>
      <c r="C25" s="160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3"/>
      <c r="T25" s="113"/>
      <c r="U25" s="113"/>
      <c r="V25" s="113"/>
    </row>
    <row r="26" spans="1:22" ht="9.9499999999999993" customHeight="1" thickTop="1">
      <c r="A26" s="118"/>
      <c r="B26" s="114" t="s">
        <v>60</v>
      </c>
      <c r="C26" s="151"/>
      <c r="D26" s="161" t="s">
        <v>61</v>
      </c>
      <c r="E26" s="162" t="s">
        <v>62</v>
      </c>
      <c r="F26" s="118"/>
      <c r="G26" s="114" t="s">
        <v>60</v>
      </c>
      <c r="H26" s="151"/>
      <c r="I26" s="161" t="s">
        <v>61</v>
      </c>
      <c r="J26" s="162" t="s">
        <v>62</v>
      </c>
      <c r="K26" s="118"/>
      <c r="L26" s="118"/>
      <c r="M26" s="118"/>
      <c r="N26" s="118"/>
      <c r="O26" s="118"/>
      <c r="P26" s="118"/>
      <c r="Q26" s="118"/>
      <c r="R26" s="118"/>
      <c r="S26" s="113"/>
      <c r="T26" s="113"/>
      <c r="U26" s="113"/>
      <c r="V26" s="113"/>
    </row>
    <row r="27" spans="1:22" ht="9.9499999999999993" customHeight="1">
      <c r="A27" s="118"/>
      <c r="B27" s="119"/>
      <c r="C27" s="113"/>
      <c r="D27" s="113"/>
      <c r="E27" s="121"/>
      <c r="F27" s="118"/>
      <c r="G27" s="119"/>
      <c r="H27" s="113"/>
      <c r="I27" s="113"/>
      <c r="J27" s="121"/>
      <c r="K27" s="118"/>
      <c r="L27" s="118"/>
      <c r="M27" s="118"/>
      <c r="N27" s="118"/>
      <c r="O27" s="118"/>
      <c r="P27" s="118"/>
      <c r="Q27" s="118"/>
      <c r="R27" s="118"/>
      <c r="S27" s="113"/>
      <c r="T27" s="113"/>
      <c r="U27" s="113"/>
      <c r="V27" s="113"/>
    </row>
    <row r="28" spans="1:22" ht="9.9499999999999993" customHeight="1">
      <c r="A28" s="118"/>
      <c r="B28" s="163" t="s">
        <v>63</v>
      </c>
      <c r="C28" s="113"/>
      <c r="D28" s="164">
        <f>(F18+F19*F20)</f>
        <v>8.6800000000000016E-2</v>
      </c>
      <c r="E28" s="121"/>
      <c r="F28" s="118"/>
      <c r="G28" s="119" t="s">
        <v>64</v>
      </c>
      <c r="H28" s="113"/>
      <c r="I28" s="165">
        <f>Berechnungen!E72*100</f>
        <v>7.9532204383790619</v>
      </c>
      <c r="J28" s="121" t="s">
        <v>65</v>
      </c>
      <c r="K28" s="118"/>
      <c r="L28" s="118"/>
      <c r="M28" s="118"/>
      <c r="N28" s="118"/>
      <c r="O28" s="118"/>
      <c r="P28" s="118"/>
      <c r="Q28" s="118"/>
      <c r="R28" s="118"/>
      <c r="S28" s="113"/>
      <c r="T28" s="113"/>
      <c r="U28" s="113"/>
      <c r="V28" s="113"/>
    </row>
    <row r="29" spans="1:22" ht="9.9499999999999993" customHeight="1">
      <c r="A29" s="118"/>
      <c r="B29" s="119" t="s">
        <v>66</v>
      </c>
      <c r="C29" s="113"/>
      <c r="D29" s="166">
        <f>F5/10000</f>
        <v>2945.1</v>
      </c>
      <c r="E29" s="121" t="s">
        <v>67</v>
      </c>
      <c r="F29" s="118"/>
      <c r="G29" s="119" t="s">
        <v>68</v>
      </c>
      <c r="H29" s="113"/>
      <c r="I29" s="167">
        <f>Berechnungen!E70*100</f>
        <v>17.860596684796935</v>
      </c>
      <c r="J29" s="121" t="s">
        <v>65</v>
      </c>
      <c r="K29" s="118"/>
      <c r="L29" s="118"/>
      <c r="M29" s="118"/>
      <c r="N29" s="118"/>
      <c r="O29" s="118"/>
      <c r="P29" s="118"/>
      <c r="Q29" s="118"/>
      <c r="R29" s="118"/>
      <c r="S29" s="113"/>
      <c r="T29" s="113"/>
      <c r="U29" s="113"/>
      <c r="V29" s="113"/>
    </row>
    <row r="30" spans="1:22" ht="9.9499999999999993" customHeight="1">
      <c r="A30" s="118"/>
      <c r="B30" s="119" t="s">
        <v>69</v>
      </c>
      <c r="C30" s="113"/>
      <c r="D30" s="168">
        <f>(1-F4)*D28+F4*F8</f>
        <v>3.4160000000000003E-2</v>
      </c>
      <c r="E30" s="121"/>
      <c r="F30" s="118"/>
      <c r="G30" s="119" t="s">
        <v>70</v>
      </c>
      <c r="H30" s="113"/>
      <c r="I30" s="167">
        <f t="array" ref="I30">MIN(IF(Berechnungen!E66:X66&lt;&gt;0,Berechnungen!E66:X66))</f>
        <v>1.3154839282842608</v>
      </c>
      <c r="J30" s="121"/>
      <c r="K30" s="118"/>
      <c r="L30" s="118"/>
      <c r="M30" s="118"/>
      <c r="N30" s="118"/>
      <c r="O30" s="118"/>
      <c r="P30" s="118"/>
      <c r="Q30" s="118"/>
      <c r="R30" s="118"/>
      <c r="S30" s="113"/>
      <c r="T30" s="113"/>
      <c r="U30" s="113"/>
      <c r="V30" s="113"/>
    </row>
    <row r="31" spans="1:22" ht="9.9499999999999993" customHeight="1">
      <c r="A31" s="118"/>
      <c r="B31" s="119" t="s">
        <v>71</v>
      </c>
      <c r="C31" s="113"/>
      <c r="D31" s="169">
        <f>Berechnungen!E74</f>
        <v>38279759.294618085</v>
      </c>
      <c r="E31" s="121" t="s">
        <v>72</v>
      </c>
      <c r="F31" s="118"/>
      <c r="G31" s="119" t="s">
        <v>73</v>
      </c>
      <c r="H31" s="113"/>
      <c r="I31" s="165">
        <f>Berechnungen!E68</f>
        <v>2.3429914688247542</v>
      </c>
      <c r="J31" s="121"/>
      <c r="K31" s="118"/>
      <c r="L31" s="118"/>
      <c r="M31" s="118"/>
      <c r="N31" s="118"/>
      <c r="O31" s="118"/>
      <c r="P31" s="118"/>
      <c r="Q31" s="118"/>
      <c r="R31" s="118"/>
      <c r="S31" s="113"/>
      <c r="T31" s="113"/>
      <c r="U31" s="113"/>
      <c r="V31" s="113"/>
    </row>
    <row r="32" spans="1:22" ht="9.9499999999999993" customHeight="1" thickBot="1">
      <c r="A32" s="118"/>
      <c r="B32" s="124"/>
      <c r="C32" s="125"/>
      <c r="D32" s="213"/>
      <c r="E32" s="126"/>
      <c r="F32" s="118"/>
      <c r="G32" s="124" t="s">
        <v>74</v>
      </c>
      <c r="H32" s="125"/>
      <c r="I32" s="170">
        <f>Berechnungen!B64</f>
        <v>0</v>
      </c>
      <c r="J32" s="126" t="s">
        <v>33</v>
      </c>
      <c r="K32" s="118"/>
      <c r="L32" s="118"/>
      <c r="M32" s="118"/>
      <c r="N32" s="118"/>
      <c r="O32" s="118"/>
      <c r="P32" s="118"/>
      <c r="Q32" s="118"/>
      <c r="R32" s="118"/>
      <c r="S32" s="113"/>
      <c r="T32" s="113"/>
      <c r="U32" s="113"/>
      <c r="V32" s="113"/>
    </row>
    <row r="33" spans="1:24" ht="9.9499999999999993" customHeight="1" thickTop="1">
      <c r="A33" s="118"/>
      <c r="B33" s="113"/>
      <c r="C33" s="113"/>
      <c r="D33" s="113"/>
      <c r="E33" s="113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2"/>
      <c r="T33" s="172"/>
      <c r="U33" s="172"/>
      <c r="V33" s="172"/>
      <c r="W33" s="12"/>
      <c r="X33" s="12"/>
    </row>
    <row r="34" spans="1:24" ht="9.9499999999999993" customHeight="1">
      <c r="A34" s="118"/>
      <c r="B34" s="113"/>
      <c r="C34" s="113"/>
      <c r="D34" s="113"/>
      <c r="E34" s="113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2"/>
      <c r="T34" s="172"/>
      <c r="U34" s="172"/>
      <c r="V34" s="172"/>
      <c r="W34" s="12"/>
      <c r="X34" s="12"/>
    </row>
    <row r="35" spans="1:24" s="101" customFormat="1" ht="9.9499999999999993" customHeight="1">
      <c r="A35" s="173"/>
      <c r="B35" s="173" t="s">
        <v>62</v>
      </c>
      <c r="C35" s="173">
        <v>2015</v>
      </c>
      <c r="D35" s="173">
        <v>2016</v>
      </c>
      <c r="E35" s="173">
        <v>2017</v>
      </c>
      <c r="F35" s="173">
        <v>2018</v>
      </c>
      <c r="G35" s="173">
        <v>2019</v>
      </c>
      <c r="H35" s="173">
        <v>2020</v>
      </c>
      <c r="I35" s="173">
        <v>2021</v>
      </c>
      <c r="J35" s="173">
        <v>2022</v>
      </c>
      <c r="K35" s="173">
        <v>2023</v>
      </c>
      <c r="L35" s="173">
        <v>2024</v>
      </c>
      <c r="M35" s="173">
        <v>2025</v>
      </c>
      <c r="N35" s="173">
        <v>2026</v>
      </c>
      <c r="O35" s="173">
        <v>2027</v>
      </c>
      <c r="P35" s="173">
        <v>2028</v>
      </c>
      <c r="Q35" s="173">
        <v>2029</v>
      </c>
      <c r="R35" s="173">
        <v>2030</v>
      </c>
      <c r="S35" s="173">
        <v>2031</v>
      </c>
      <c r="T35" s="173">
        <v>2032</v>
      </c>
      <c r="U35" s="173">
        <v>2033</v>
      </c>
      <c r="V35" s="173">
        <v>2034</v>
      </c>
      <c r="W35" s="100"/>
    </row>
    <row r="36" spans="1:24" ht="15.75" customHeight="1">
      <c r="A36" s="104" t="s">
        <v>75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9"/>
      <c r="T36" s="159"/>
      <c r="U36" s="159"/>
      <c r="V36" s="159"/>
    </row>
    <row r="37" spans="1:24" ht="9.9499999999999993" customHeigh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</row>
    <row r="38" spans="1:24" ht="9.9499999999999993" customHeight="1">
      <c r="A38" s="137" t="s">
        <v>76</v>
      </c>
      <c r="B38" s="118" t="s">
        <v>72</v>
      </c>
      <c r="C38" s="262">
        <f>Berechnungen!E11</f>
        <v>5646430.0700000003</v>
      </c>
      <c r="D38" s="262">
        <f>Berechnungen!F11</f>
        <v>5646430.0700000003</v>
      </c>
      <c r="E38" s="262">
        <f>Berechnungen!G11</f>
        <v>5646430.0700000003</v>
      </c>
      <c r="F38" s="262">
        <f>Berechnungen!H11</f>
        <v>5646430.0700000003</v>
      </c>
      <c r="G38" s="262">
        <f>Berechnungen!I11</f>
        <v>5646430.0700000003</v>
      </c>
      <c r="H38" s="262">
        <f>Berechnungen!J11</f>
        <v>5646430.0700000003</v>
      </c>
      <c r="I38" s="262">
        <f>Berechnungen!K11</f>
        <v>5646430.0700000003</v>
      </c>
      <c r="J38" s="262">
        <f>Berechnungen!L11</f>
        <v>5646430.0700000003</v>
      </c>
      <c r="K38" s="262">
        <f>Berechnungen!M11</f>
        <v>5646430.0700000003</v>
      </c>
      <c r="L38" s="262">
        <f>Berechnungen!N11</f>
        <v>5646430.0700000003</v>
      </c>
      <c r="M38" s="262">
        <f>Berechnungen!O11</f>
        <v>5646430.0700000003</v>
      </c>
      <c r="N38" s="262">
        <f>Berechnungen!P11</f>
        <v>5646430.0700000003</v>
      </c>
      <c r="O38" s="262">
        <f>Berechnungen!Q11</f>
        <v>5646430.0700000003</v>
      </c>
      <c r="P38" s="262">
        <f>Berechnungen!R11</f>
        <v>5646430.0700000003</v>
      </c>
      <c r="Q38" s="262">
        <f>Berechnungen!S11</f>
        <v>5646430.0700000003</v>
      </c>
      <c r="R38" s="262">
        <f>Berechnungen!T11</f>
        <v>5646430.0700000003</v>
      </c>
      <c r="S38" s="262">
        <f>Berechnungen!U11</f>
        <v>5646430.0700000003</v>
      </c>
      <c r="T38" s="262">
        <f>Berechnungen!V11</f>
        <v>5646430.0700000003</v>
      </c>
      <c r="U38" s="262">
        <f>Berechnungen!W11</f>
        <v>5646430.0700000003</v>
      </c>
      <c r="V38" s="262">
        <f>Berechnungen!X11</f>
        <v>5646430.0700000003</v>
      </c>
      <c r="W38" s="83"/>
    </row>
    <row r="39" spans="1:24" ht="9.9499999999999993" customHeight="1">
      <c r="A39" s="136" t="s">
        <v>77</v>
      </c>
      <c r="B39" s="118" t="s">
        <v>72</v>
      </c>
      <c r="C39" s="262">
        <f>Berechnungen!E15</f>
        <v>2106964.9998000003</v>
      </c>
      <c r="D39" s="262">
        <f>Berechnungen!F15</f>
        <v>2149104.2997960001</v>
      </c>
      <c r="E39" s="262">
        <f>Berechnungen!G15</f>
        <v>2192086.3857919201</v>
      </c>
      <c r="F39" s="262">
        <f>Berechnungen!H15</f>
        <v>2235928.1135077588</v>
      </c>
      <c r="G39" s="262">
        <f>Berechnungen!I15</f>
        <v>2280646.675777914</v>
      </c>
      <c r="H39" s="262">
        <f>Berechnungen!J15</f>
        <v>2326259.609293472</v>
      </c>
      <c r="I39" s="262">
        <f>Berechnungen!K15</f>
        <v>2372784.8014793415</v>
      </c>
      <c r="J39" s="262">
        <f>Berechnungen!L15</f>
        <v>2420240.4975089282</v>
      </c>
      <c r="K39" s="262">
        <f>Berechnungen!M15</f>
        <v>2468645.3074591067</v>
      </c>
      <c r="L39" s="262">
        <f>Berechnungen!N15</f>
        <v>2518018.2136082887</v>
      </c>
      <c r="M39" s="262">
        <f>Berechnungen!O15</f>
        <v>2568378.5778804542</v>
      </c>
      <c r="N39" s="262">
        <f>Berechnungen!P15</f>
        <v>2619746.1494380631</v>
      </c>
      <c r="O39" s="262">
        <f>Berechnungen!Q15</f>
        <v>2672141.0724268244</v>
      </c>
      <c r="P39" s="262">
        <f>Berechnungen!R15</f>
        <v>2725583.893875361</v>
      </c>
      <c r="Q39" s="262">
        <f>Berechnungen!S15</f>
        <v>2780095.5717528681</v>
      </c>
      <c r="R39" s="262">
        <f>Berechnungen!T15</f>
        <v>2835697.4831879255</v>
      </c>
      <c r="S39" s="262">
        <f>Berechnungen!U15</f>
        <v>2892411.4328516843</v>
      </c>
      <c r="T39" s="262">
        <f>Berechnungen!V15</f>
        <v>2950259.661508718</v>
      </c>
      <c r="U39" s="262">
        <f>Berechnungen!W15</f>
        <v>3009264.8547388925</v>
      </c>
      <c r="V39" s="262">
        <f>Berechnungen!X15</f>
        <v>3069450.1518336702</v>
      </c>
      <c r="W39" s="83"/>
    </row>
    <row r="40" spans="1:24" ht="9.9499999999999993" customHeight="1">
      <c r="A40" s="247" t="s">
        <v>78</v>
      </c>
      <c r="B40" s="118" t="s">
        <v>72</v>
      </c>
      <c r="C40" s="263">
        <f>C38-C39</f>
        <v>3539465.0702</v>
      </c>
      <c r="D40" s="263">
        <f t="shared" ref="D40:V40" si="0">D38-D39</f>
        <v>3497325.7702040002</v>
      </c>
      <c r="E40" s="263">
        <f t="shared" si="0"/>
        <v>3454343.6842080802</v>
      </c>
      <c r="F40" s="263">
        <f t="shared" si="0"/>
        <v>3410501.9564922415</v>
      </c>
      <c r="G40" s="263">
        <f t="shared" si="0"/>
        <v>3365783.3942220863</v>
      </c>
      <c r="H40" s="263">
        <f t="shared" si="0"/>
        <v>3320170.4607065283</v>
      </c>
      <c r="I40" s="263">
        <f t="shared" si="0"/>
        <v>3273645.2685206588</v>
      </c>
      <c r="J40" s="263">
        <f t="shared" si="0"/>
        <v>3226189.5724910721</v>
      </c>
      <c r="K40" s="263">
        <f t="shared" si="0"/>
        <v>3177784.7625408936</v>
      </c>
      <c r="L40" s="263">
        <f t="shared" si="0"/>
        <v>3128411.8563917116</v>
      </c>
      <c r="M40" s="263">
        <f t="shared" si="0"/>
        <v>3078051.492119546</v>
      </c>
      <c r="N40" s="263">
        <f t="shared" si="0"/>
        <v>3026683.9205619371</v>
      </c>
      <c r="O40" s="263">
        <f t="shared" si="0"/>
        <v>2974288.9975731759</v>
      </c>
      <c r="P40" s="263">
        <f t="shared" si="0"/>
        <v>2920846.1761246393</v>
      </c>
      <c r="Q40" s="263">
        <f t="shared" si="0"/>
        <v>2866334.4982471322</v>
      </c>
      <c r="R40" s="263">
        <f t="shared" si="0"/>
        <v>2810732.5868120748</v>
      </c>
      <c r="S40" s="263">
        <f t="shared" si="0"/>
        <v>2754018.637148316</v>
      </c>
      <c r="T40" s="263">
        <f t="shared" si="0"/>
        <v>2696170.4084912823</v>
      </c>
      <c r="U40" s="263">
        <f t="shared" si="0"/>
        <v>2637165.2152611078</v>
      </c>
      <c r="V40" s="263">
        <f t="shared" si="0"/>
        <v>2576979.9181663301</v>
      </c>
    </row>
    <row r="41" spans="1:24" ht="9.9499999999999993" customHeight="1">
      <c r="A41" s="137" t="s">
        <v>79</v>
      </c>
      <c r="B41" s="118" t="s">
        <v>72</v>
      </c>
      <c r="C41" s="263">
        <f>Berechnungen!E35</f>
        <v>2300859.375</v>
      </c>
      <c r="D41" s="263">
        <f>Berechnungen!F35</f>
        <v>2300859.375</v>
      </c>
      <c r="E41" s="263">
        <f>Berechnungen!G35</f>
        <v>2300859.375</v>
      </c>
      <c r="F41" s="263">
        <f>Berechnungen!H35</f>
        <v>2300859.375</v>
      </c>
      <c r="G41" s="263">
        <f>Berechnungen!I35</f>
        <v>2300859.375</v>
      </c>
      <c r="H41" s="263">
        <f>Berechnungen!J35</f>
        <v>2300859.375</v>
      </c>
      <c r="I41" s="263">
        <f>Berechnungen!K35</f>
        <v>2300859.375</v>
      </c>
      <c r="J41" s="263">
        <f>Berechnungen!L35</f>
        <v>2300859.375</v>
      </c>
      <c r="K41" s="263">
        <f>Berechnungen!M35</f>
        <v>2300859.375</v>
      </c>
      <c r="L41" s="263">
        <f>Berechnungen!N35</f>
        <v>2300859.375</v>
      </c>
      <c r="M41" s="263">
        <f>Berechnungen!O35</f>
        <v>2300859.375</v>
      </c>
      <c r="N41" s="263">
        <f>Berechnungen!P35</f>
        <v>2300859.375</v>
      </c>
      <c r="O41" s="263">
        <f>Berechnungen!Q35</f>
        <v>2300859.375</v>
      </c>
      <c r="P41" s="263">
        <f>Berechnungen!R35</f>
        <v>2300859.375</v>
      </c>
      <c r="Q41" s="263">
        <f>Berechnungen!S35</f>
        <v>2300859.375</v>
      </c>
      <c r="R41" s="263">
        <f>Berechnungen!T35</f>
        <v>2300859.375</v>
      </c>
      <c r="S41" s="263">
        <f>Berechnungen!U35</f>
        <v>0</v>
      </c>
      <c r="T41" s="263">
        <f>Berechnungen!V35</f>
        <v>0</v>
      </c>
      <c r="U41" s="263">
        <f>Berechnungen!W35</f>
        <v>0</v>
      </c>
      <c r="V41" s="263">
        <f>Berechnungen!X35</f>
        <v>0</v>
      </c>
    </row>
    <row r="42" spans="1:24" ht="9.9499999999999993" customHeight="1">
      <c r="A42" s="175" t="s">
        <v>80</v>
      </c>
      <c r="B42" s="118" t="s">
        <v>72</v>
      </c>
      <c r="C42" s="263">
        <f>Berechnungen!E22</f>
        <v>1238605.6952</v>
      </c>
      <c r="D42" s="263">
        <f>Berechnungen!F22</f>
        <v>1196466.3952040002</v>
      </c>
      <c r="E42" s="263">
        <f>Berechnungen!G22</f>
        <v>1153484.3092080802</v>
      </c>
      <c r="F42" s="263">
        <f>Berechnungen!H22</f>
        <v>1109642.5814922415</v>
      </c>
      <c r="G42" s="263">
        <f>Berechnungen!I22</f>
        <v>1064924.0192220863</v>
      </c>
      <c r="H42" s="263">
        <f>Berechnungen!J22</f>
        <v>1019311.0857065283</v>
      </c>
      <c r="I42" s="263">
        <f>Berechnungen!K22</f>
        <v>972785.89352065884</v>
      </c>
      <c r="J42" s="263">
        <f>Berechnungen!L22</f>
        <v>925330.19749107212</v>
      </c>
      <c r="K42" s="263">
        <f>Berechnungen!M22</f>
        <v>876925.38754089363</v>
      </c>
      <c r="L42" s="263">
        <f>Berechnungen!N22</f>
        <v>827552.48139171163</v>
      </c>
      <c r="M42" s="263">
        <f>Berechnungen!O22</f>
        <v>777192.11711954605</v>
      </c>
      <c r="N42" s="263">
        <f>Berechnungen!P22</f>
        <v>725824.54556193715</v>
      </c>
      <c r="O42" s="263">
        <f>Berechnungen!Q22</f>
        <v>673429.62257317593</v>
      </c>
      <c r="P42" s="263">
        <f>Berechnungen!R22</f>
        <v>619986.80112463934</v>
      </c>
      <c r="Q42" s="263">
        <f>Berechnungen!S22</f>
        <v>565475.12324713217</v>
      </c>
      <c r="R42" s="263">
        <f>Berechnungen!T22</f>
        <v>509873.21181207476</v>
      </c>
      <c r="S42" s="263">
        <f>Berechnungen!U22</f>
        <v>2754018.637148316</v>
      </c>
      <c r="T42" s="263">
        <f>Berechnungen!V22</f>
        <v>2696170.4084912823</v>
      </c>
      <c r="U42" s="263">
        <f>Berechnungen!W22</f>
        <v>2637165.2152611078</v>
      </c>
      <c r="V42" s="263">
        <f>Berechnungen!X22</f>
        <v>2576979.9181663301</v>
      </c>
    </row>
    <row r="43" spans="1:24" ht="9.9499999999999993" customHeight="1">
      <c r="A43" s="137" t="s">
        <v>81</v>
      </c>
      <c r="B43" s="118" t="s">
        <v>72</v>
      </c>
      <c r="C43" s="263">
        <f>Berechnungen!E34</f>
        <v>618471</v>
      </c>
      <c r="D43" s="263">
        <f>Berechnungen!F34</f>
        <v>618471</v>
      </c>
      <c r="E43" s="263">
        <f>Berechnungen!G34</f>
        <v>594683.65</v>
      </c>
      <c r="F43" s="263">
        <f>Berechnungen!H34</f>
        <v>547108.96</v>
      </c>
      <c r="G43" s="263">
        <f>Berechnungen!I34</f>
        <v>499534.27</v>
      </c>
      <c r="H43" s="263">
        <f>Berechnungen!J34</f>
        <v>451959.58</v>
      </c>
      <c r="I43" s="263">
        <f>Berechnungen!K34</f>
        <v>404384.88</v>
      </c>
      <c r="J43" s="263">
        <f>Berechnungen!L34</f>
        <v>356810.19</v>
      </c>
      <c r="K43" s="263">
        <f>Berechnungen!M34</f>
        <v>309235.5</v>
      </c>
      <c r="L43" s="263">
        <f>Berechnungen!N34</f>
        <v>261660.81</v>
      </c>
      <c r="M43" s="263">
        <f>Berechnungen!O34</f>
        <v>316031.88</v>
      </c>
      <c r="N43" s="263">
        <f>Berechnungen!P34</f>
        <v>245802.58</v>
      </c>
      <c r="O43" s="263">
        <f>Berechnungen!Q34</f>
        <v>175573.27</v>
      </c>
      <c r="P43" s="263">
        <f>Berechnungen!R34</f>
        <v>105343.96</v>
      </c>
      <c r="Q43" s="263">
        <f>Berechnungen!S34</f>
        <v>35114.65</v>
      </c>
      <c r="R43" s="263">
        <f>Berechnungen!T34</f>
        <v>0</v>
      </c>
      <c r="S43" s="263">
        <f>Berechnungen!U34</f>
        <v>0</v>
      </c>
      <c r="T43" s="263">
        <f>Berechnungen!V34</f>
        <v>0</v>
      </c>
      <c r="U43" s="263">
        <f>Berechnungen!W34</f>
        <v>0</v>
      </c>
      <c r="V43" s="263">
        <f>Berechnungen!X34</f>
        <v>0</v>
      </c>
    </row>
    <row r="44" spans="1:24" ht="9.9499999999999993" customHeight="1">
      <c r="A44" s="175" t="s">
        <v>82</v>
      </c>
      <c r="B44" s="118" t="s">
        <v>72</v>
      </c>
      <c r="C44" s="263">
        <f>Berechnungen!E36</f>
        <v>620134.69519999996</v>
      </c>
      <c r="D44" s="263">
        <f>Berechnungen!F36</f>
        <v>577995.39520400017</v>
      </c>
      <c r="E44" s="263">
        <f>Berechnungen!G36</f>
        <v>558800.65920808015</v>
      </c>
      <c r="F44" s="263">
        <f>Berechnungen!H36</f>
        <v>562533.62149224151</v>
      </c>
      <c r="G44" s="263">
        <f>Berechnungen!I36</f>
        <v>565389.74922208628</v>
      </c>
      <c r="H44" s="263">
        <f>Berechnungen!J36</f>
        <v>567351.5057065282</v>
      </c>
      <c r="I44" s="263">
        <f>Berechnungen!K36</f>
        <v>568401.01352065883</v>
      </c>
      <c r="J44" s="263">
        <f>Berechnungen!L36</f>
        <v>568520.00749107217</v>
      </c>
      <c r="K44" s="263">
        <f>Berechnungen!M36</f>
        <v>567689.88754089363</v>
      </c>
      <c r="L44" s="263">
        <f>Berechnungen!N36</f>
        <v>565891.67139171157</v>
      </c>
      <c r="M44" s="263">
        <f>Berechnungen!O36</f>
        <v>461160.23711954604</v>
      </c>
      <c r="N44" s="263">
        <f>Berechnungen!P36</f>
        <v>480021.96556193719</v>
      </c>
      <c r="O44" s="263">
        <f>Berechnungen!Q36</f>
        <v>497856.35257317591</v>
      </c>
      <c r="P44" s="263">
        <f>Berechnungen!R36</f>
        <v>514642.84112463932</v>
      </c>
      <c r="Q44" s="263">
        <f>Berechnungen!S36</f>
        <v>530360.47324713215</v>
      </c>
      <c r="R44" s="263">
        <f>Berechnungen!T36</f>
        <v>509873.21181207476</v>
      </c>
      <c r="S44" s="263">
        <f>Berechnungen!U36</f>
        <v>2754018.637148316</v>
      </c>
      <c r="T44" s="263">
        <f>Berechnungen!V36</f>
        <v>2696170.4084912823</v>
      </c>
      <c r="U44" s="263">
        <f>Berechnungen!W36</f>
        <v>2637165.2152611078</v>
      </c>
      <c r="V44" s="263">
        <f>Berechnungen!X36</f>
        <v>2576979.9181663301</v>
      </c>
    </row>
    <row r="45" spans="1:24" ht="9.9499999999999993" customHeight="1">
      <c r="A45" s="137" t="s">
        <v>83</v>
      </c>
      <c r="B45" s="118" t="s">
        <v>72</v>
      </c>
      <c r="C45" s="263">
        <f>Berechnungen!E48</f>
        <v>65569.941996972004</v>
      </c>
      <c r="D45" s="263">
        <f>Berechnungen!F48</f>
        <v>61114.343111894959</v>
      </c>
      <c r="E45" s="263">
        <f>Berechnungen!G48</f>
        <v>59084.78770136636</v>
      </c>
      <c r="F45" s="263">
        <f>Berechnungen!H48</f>
        <v>59479.49246848216</v>
      </c>
      <c r="G45" s="263">
        <f>Berechnungen!I48</f>
        <v>59781.485133997303</v>
      </c>
      <c r="H45" s="263">
        <f>Berechnungen!J48</f>
        <v>59988.911455879759</v>
      </c>
      <c r="I45" s="263">
        <f>Berechnungen!K48</f>
        <v>60099.881164606872</v>
      </c>
      <c r="J45" s="263">
        <f>Berechnungen!L48</f>
        <v>60112.462992068518</v>
      </c>
      <c r="K45" s="263">
        <f>Berechnungen!M48</f>
        <v>60024.690259136391</v>
      </c>
      <c r="L45" s="263">
        <f>Berechnungen!N48</f>
        <v>59834.555874602622</v>
      </c>
      <c r="M45" s="263">
        <f>Berechnungen!O48</f>
        <v>48760.777671835211</v>
      </c>
      <c r="N45" s="263">
        <f>Berechnungen!P48</f>
        <v>50755.122528691434</v>
      </c>
      <c r="O45" s="263">
        <f>Berechnungen!Q48</f>
        <v>52640.841439324751</v>
      </c>
      <c r="P45" s="263">
        <f>Berechnungen!R48</f>
        <v>54415.760806313738</v>
      </c>
      <c r="Q45" s="263">
        <f>Berechnungen!S48</f>
        <v>56077.664638785529</v>
      </c>
      <c r="R45" s="263">
        <f>Berechnungen!T48</f>
        <v>53911.444050949729</v>
      </c>
      <c r="S45" s="263">
        <f>Berechnungen!U48</f>
        <v>291196.16059887724</v>
      </c>
      <c r="T45" s="263">
        <f>Berechnungen!V48</f>
        <v>285079.57814182574</v>
      </c>
      <c r="U45" s="263">
        <f>Berechnungen!W48</f>
        <v>278840.66403563326</v>
      </c>
      <c r="V45" s="263">
        <f>Berechnungen!X48</f>
        <v>272476.97164731694</v>
      </c>
    </row>
    <row r="46" spans="1:24" ht="9.9499999999999993" customHeight="1">
      <c r="A46" s="175" t="s">
        <v>84</v>
      </c>
      <c r="B46" s="118" t="s">
        <v>72</v>
      </c>
      <c r="C46" s="263">
        <f>Berechnungen!E51</f>
        <v>1047571.8358870279</v>
      </c>
      <c r="D46" s="263">
        <f>Berechnungen!F51</f>
        <v>976387.39127928531</v>
      </c>
      <c r="E46" s="263">
        <f>Berechnungen!G51</f>
        <v>943962.39557713759</v>
      </c>
      <c r="F46" s="263">
        <f>Berechnungen!H51</f>
        <v>950268.35811009142</v>
      </c>
      <c r="G46" s="263">
        <f>Berechnungen!I51</f>
        <v>955093.11471964768</v>
      </c>
      <c r="H46" s="263">
        <f>Berechnungen!J51</f>
        <v>958407.04128733836</v>
      </c>
      <c r="I46" s="263">
        <f>Berechnungen!K51</f>
        <v>960179.93810497574</v>
      </c>
      <c r="J46" s="263">
        <f>Berechnungen!L51</f>
        <v>960380.95045440597</v>
      </c>
      <c r="K46" s="263">
        <f>Berechnungen!M51</f>
        <v>958978.65787676768</v>
      </c>
      <c r="L46" s="263">
        <f>Berechnungen!N51</f>
        <v>955940.99427351961</v>
      </c>
      <c r="M46" s="263">
        <f>Berechnungen!O51</f>
        <v>779021.84795774997</v>
      </c>
      <c r="N46" s="263">
        <f>Berechnungen!P51</f>
        <v>810884.30565498583</v>
      </c>
      <c r="O46" s="263">
        <f>Berechnungen!Q51</f>
        <v>841011.31142952596</v>
      </c>
      <c r="P46" s="263">
        <f>Berechnungen!R51</f>
        <v>869368.1390124138</v>
      </c>
      <c r="Q46" s="263">
        <f>Berechnungen!S51</f>
        <v>895919.38483981672</v>
      </c>
      <c r="R46" s="263">
        <f>Berechnungen!T51</f>
        <v>861310.97115172446</v>
      </c>
      <c r="S46" s="263">
        <f>Berechnungen!U51</f>
        <v>4652267.2930823499</v>
      </c>
      <c r="T46" s="263">
        <f>Berechnungen!V51</f>
        <v>4554546.3051000256</v>
      </c>
      <c r="U46" s="263">
        <f>Berechnungen!W51</f>
        <v>4454870.8973580552</v>
      </c>
      <c r="V46" s="263">
        <f>Berechnungen!X51</f>
        <v>4353201.9814612456</v>
      </c>
    </row>
    <row r="47" spans="1:24" ht="9.9499999999999993" customHeight="1">
      <c r="A47" s="118"/>
      <c r="B47" s="118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2"/>
      <c r="T47" s="262"/>
      <c r="U47" s="262"/>
      <c r="V47" s="262"/>
    </row>
    <row r="48" spans="1:24" ht="9.9499999999999993" customHeight="1">
      <c r="A48" s="118"/>
      <c r="B48" s="118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2"/>
      <c r="T48" s="262"/>
      <c r="U48" s="262"/>
      <c r="V48" s="262"/>
    </row>
    <row r="49" spans="1:22" ht="15.75" customHeight="1">
      <c r="A49" s="104" t="s">
        <v>85</v>
      </c>
      <c r="B49" s="158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5"/>
      <c r="T49" s="265"/>
      <c r="U49" s="265"/>
      <c r="V49" s="265"/>
    </row>
    <row r="50" spans="1:22" ht="9.9499999999999993" customHeight="1">
      <c r="A50" s="118"/>
      <c r="B50" s="118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2"/>
      <c r="T50" s="262"/>
      <c r="U50" s="262"/>
      <c r="V50" s="262"/>
    </row>
    <row r="51" spans="1:22" ht="9.9499999999999993" customHeight="1">
      <c r="A51" s="137" t="s">
        <v>86</v>
      </c>
      <c r="B51" s="118" t="s">
        <v>72</v>
      </c>
      <c r="C51" s="263">
        <f>Berechnungen!E11</f>
        <v>5646430.0700000003</v>
      </c>
      <c r="D51" s="263">
        <f>Berechnungen!F11</f>
        <v>5646430.0700000003</v>
      </c>
      <c r="E51" s="263">
        <f>Berechnungen!G11</f>
        <v>5646430.0700000003</v>
      </c>
      <c r="F51" s="263">
        <f>Berechnungen!H11</f>
        <v>5646430.0700000003</v>
      </c>
      <c r="G51" s="263">
        <f>Berechnungen!I11</f>
        <v>5646430.0700000003</v>
      </c>
      <c r="H51" s="263">
        <f>Berechnungen!J11</f>
        <v>5646430.0700000003</v>
      </c>
      <c r="I51" s="263">
        <f>Berechnungen!K11</f>
        <v>5646430.0700000003</v>
      </c>
      <c r="J51" s="263">
        <f>Berechnungen!L11</f>
        <v>5646430.0700000003</v>
      </c>
      <c r="K51" s="263">
        <f>Berechnungen!M11</f>
        <v>5646430.0700000003</v>
      </c>
      <c r="L51" s="263">
        <f>Berechnungen!N11</f>
        <v>5646430.0700000003</v>
      </c>
      <c r="M51" s="263">
        <f>Berechnungen!O11</f>
        <v>5646430.0700000003</v>
      </c>
      <c r="N51" s="263">
        <f>Berechnungen!P11</f>
        <v>5646430.0700000003</v>
      </c>
      <c r="O51" s="263">
        <f>Berechnungen!Q11</f>
        <v>5646430.0700000003</v>
      </c>
      <c r="P51" s="263">
        <f>Berechnungen!R11</f>
        <v>5646430.0700000003</v>
      </c>
      <c r="Q51" s="263">
        <f>Berechnungen!S11</f>
        <v>5646430.0700000003</v>
      </c>
      <c r="R51" s="263">
        <f>Berechnungen!T11</f>
        <v>5646430.0700000003</v>
      </c>
      <c r="S51" s="263">
        <f>Berechnungen!U11</f>
        <v>5646430.0700000003</v>
      </c>
      <c r="T51" s="263">
        <f>Berechnungen!V11</f>
        <v>5646430.0700000003</v>
      </c>
      <c r="U51" s="263">
        <f>Berechnungen!W11</f>
        <v>5646430.0700000003</v>
      </c>
      <c r="V51" s="263">
        <f>Berechnungen!X11</f>
        <v>5646430.0700000003</v>
      </c>
    </row>
    <row r="52" spans="1:22" ht="9.9499999999999993" customHeight="1">
      <c r="A52" s="136" t="s">
        <v>77</v>
      </c>
      <c r="B52" s="118" t="s">
        <v>72</v>
      </c>
      <c r="C52" s="263">
        <f>Berechnungen!E15</f>
        <v>2106964.9998000003</v>
      </c>
      <c r="D52" s="263">
        <f>Berechnungen!F15</f>
        <v>2149104.2997960001</v>
      </c>
      <c r="E52" s="263">
        <f>Berechnungen!G15</f>
        <v>2192086.3857919201</v>
      </c>
      <c r="F52" s="263">
        <f>Berechnungen!H15</f>
        <v>2235928.1135077588</v>
      </c>
      <c r="G52" s="263">
        <f>Berechnungen!I15</f>
        <v>2280646.675777914</v>
      </c>
      <c r="H52" s="263">
        <f>Berechnungen!J15</f>
        <v>2326259.609293472</v>
      </c>
      <c r="I52" s="263">
        <f>Berechnungen!K15</f>
        <v>2372784.8014793415</v>
      </c>
      <c r="J52" s="263">
        <f>Berechnungen!L15</f>
        <v>2420240.4975089282</v>
      </c>
      <c r="K52" s="263">
        <f>Berechnungen!M15</f>
        <v>2468645.3074591067</v>
      </c>
      <c r="L52" s="263">
        <f>Berechnungen!N15</f>
        <v>2518018.2136082887</v>
      </c>
      <c r="M52" s="263">
        <f>Berechnungen!O15</f>
        <v>2568378.5778804542</v>
      </c>
      <c r="N52" s="263">
        <f>Berechnungen!P15</f>
        <v>2619746.1494380631</v>
      </c>
      <c r="O52" s="263">
        <f>Berechnungen!Q15</f>
        <v>2672141.0724268244</v>
      </c>
      <c r="P52" s="263">
        <f>Berechnungen!R15</f>
        <v>2725583.893875361</v>
      </c>
      <c r="Q52" s="263">
        <f>Berechnungen!S15</f>
        <v>2780095.5717528681</v>
      </c>
      <c r="R52" s="263">
        <f>Berechnungen!T15</f>
        <v>2835697.4831879255</v>
      </c>
      <c r="S52" s="263">
        <f>Berechnungen!U15</f>
        <v>2892411.4328516843</v>
      </c>
      <c r="T52" s="263">
        <f>Berechnungen!V15</f>
        <v>2950259.661508718</v>
      </c>
      <c r="U52" s="263">
        <f>Berechnungen!W15</f>
        <v>3009264.8547388925</v>
      </c>
      <c r="V52" s="263">
        <f>Berechnungen!X15</f>
        <v>3069450.1518336702</v>
      </c>
    </row>
    <row r="53" spans="1:22" ht="9.9499999999999993" customHeight="1">
      <c r="A53" s="137" t="s">
        <v>87</v>
      </c>
      <c r="B53" s="118" t="s">
        <v>72</v>
      </c>
      <c r="C53" s="263">
        <f>Berechnungen!E48</f>
        <v>65569.941996972004</v>
      </c>
      <c r="D53" s="263">
        <f>Berechnungen!F48</f>
        <v>61114.343111894959</v>
      </c>
      <c r="E53" s="263">
        <f>Berechnungen!G48</f>
        <v>59084.78770136636</v>
      </c>
      <c r="F53" s="263">
        <f>Berechnungen!H48</f>
        <v>59479.49246848216</v>
      </c>
      <c r="G53" s="263">
        <f>Berechnungen!I48</f>
        <v>59781.485133997303</v>
      </c>
      <c r="H53" s="263">
        <f>Berechnungen!J48</f>
        <v>59988.911455879759</v>
      </c>
      <c r="I53" s="263">
        <f>Berechnungen!K48</f>
        <v>60099.881164606872</v>
      </c>
      <c r="J53" s="263">
        <f>Berechnungen!L48</f>
        <v>60112.462992068518</v>
      </c>
      <c r="K53" s="263">
        <f>Berechnungen!M48</f>
        <v>60024.690259136391</v>
      </c>
      <c r="L53" s="263">
        <f>Berechnungen!N48</f>
        <v>59834.555874602622</v>
      </c>
      <c r="M53" s="263">
        <f>Berechnungen!O48</f>
        <v>48760.777671835211</v>
      </c>
      <c r="N53" s="263">
        <f>Berechnungen!P48</f>
        <v>50755.122528691434</v>
      </c>
      <c r="O53" s="263">
        <f>Berechnungen!Q48</f>
        <v>52640.841439324751</v>
      </c>
      <c r="P53" s="263">
        <f>Berechnungen!R48</f>
        <v>54415.760806313738</v>
      </c>
      <c r="Q53" s="263">
        <f>Berechnungen!S48</f>
        <v>56077.664638785529</v>
      </c>
      <c r="R53" s="263">
        <f>Berechnungen!T48</f>
        <v>53911.444050949729</v>
      </c>
      <c r="S53" s="263">
        <f>Berechnungen!U48</f>
        <v>291196.16059887724</v>
      </c>
      <c r="T53" s="263">
        <f>Berechnungen!V48</f>
        <v>285079.57814182574</v>
      </c>
      <c r="U53" s="263">
        <f>Berechnungen!W48</f>
        <v>278840.66403563326</v>
      </c>
      <c r="V53" s="263">
        <f>Berechnungen!X48</f>
        <v>272476.97164731694</v>
      </c>
    </row>
    <row r="54" spans="1:22" ht="9.9499999999999993" customHeight="1">
      <c r="A54" s="175" t="s">
        <v>88</v>
      </c>
      <c r="B54" s="118" t="s">
        <v>72</v>
      </c>
      <c r="C54" s="263">
        <f>Berechnungen!E53</f>
        <v>3966902.2108870279</v>
      </c>
      <c r="D54" s="263">
        <f>Berechnungen!F53</f>
        <v>3895717.7662792853</v>
      </c>
      <c r="E54" s="263">
        <f>Berechnungen!G53</f>
        <v>3839505.4205771377</v>
      </c>
      <c r="F54" s="263">
        <f>Berechnungen!H53</f>
        <v>3798236.6931100911</v>
      </c>
      <c r="G54" s="263">
        <f>Berechnungen!I53</f>
        <v>3755486.7597196475</v>
      </c>
      <c r="H54" s="263">
        <f>Berechnungen!J53</f>
        <v>3711225.9962873384</v>
      </c>
      <c r="I54" s="263">
        <f>Berechnungen!K53</f>
        <v>3665424.1931049759</v>
      </c>
      <c r="J54" s="263">
        <f>Berechnungen!L53</f>
        <v>3618050.5154544059</v>
      </c>
      <c r="K54" s="263">
        <f>Berechnungen!M53</f>
        <v>3569073.5328767677</v>
      </c>
      <c r="L54" s="263">
        <f>Berechnungen!N53</f>
        <v>3518461.1792735197</v>
      </c>
      <c r="M54" s="263">
        <f>Berechnungen!O53</f>
        <v>3395913.1029577497</v>
      </c>
      <c r="N54" s="263">
        <f>Berechnungen!P53</f>
        <v>3357546.2606549859</v>
      </c>
      <c r="O54" s="263">
        <f>Berechnungen!Q53</f>
        <v>3317443.9564295262</v>
      </c>
      <c r="P54" s="263">
        <f>Berechnungen!R53</f>
        <v>3275571.474012414</v>
      </c>
      <c r="Q54" s="263">
        <f>Berechnungen!S53</f>
        <v>3231893.4098398169</v>
      </c>
      <c r="R54" s="263">
        <f>Berechnungen!T53</f>
        <v>3162170.3461517245</v>
      </c>
      <c r="S54" s="263">
        <f>Berechnungen!U53</f>
        <v>4652267.2930823499</v>
      </c>
      <c r="T54" s="263">
        <f>Berechnungen!V53</f>
        <v>4554546.3051000256</v>
      </c>
      <c r="U54" s="263">
        <f>Berechnungen!W53</f>
        <v>4454870.8973580552</v>
      </c>
      <c r="V54" s="263">
        <f>Berechnungen!X53</f>
        <v>4353201.9814612456</v>
      </c>
    </row>
    <row r="55" spans="1:22" ht="9.9499999999999993" customHeight="1">
      <c r="A55" s="137" t="s">
        <v>89</v>
      </c>
      <c r="B55" s="118" t="s">
        <v>72</v>
      </c>
      <c r="C55" s="263">
        <f>Berechnungen!E28</f>
        <v>618471</v>
      </c>
      <c r="D55" s="263">
        <f>Berechnungen!F28</f>
        <v>618471</v>
      </c>
      <c r="E55" s="263">
        <f>Berechnungen!G28</f>
        <v>594683.65</v>
      </c>
      <c r="F55" s="263">
        <f>Berechnungen!H28</f>
        <v>547108.96</v>
      </c>
      <c r="G55" s="263">
        <f>Berechnungen!I28</f>
        <v>499534.27</v>
      </c>
      <c r="H55" s="263">
        <f>Berechnungen!J28</f>
        <v>451959.58</v>
      </c>
      <c r="I55" s="263">
        <f>Berechnungen!K28</f>
        <v>404384.88</v>
      </c>
      <c r="J55" s="263">
        <f>Berechnungen!L28</f>
        <v>356810.19</v>
      </c>
      <c r="K55" s="263">
        <f>Berechnungen!M28</f>
        <v>309235.5</v>
      </c>
      <c r="L55" s="263">
        <f>Berechnungen!N28</f>
        <v>261660.81</v>
      </c>
      <c r="M55" s="263">
        <f>Berechnungen!O28</f>
        <v>316031.88</v>
      </c>
      <c r="N55" s="263">
        <f>Berechnungen!P28</f>
        <v>245802.58</v>
      </c>
      <c r="O55" s="263">
        <f>Berechnungen!Q28</f>
        <v>175573.27</v>
      </c>
      <c r="P55" s="263">
        <f>Berechnungen!R28</f>
        <v>105343.96</v>
      </c>
      <c r="Q55" s="263">
        <f>Berechnungen!S28</f>
        <v>35114.65</v>
      </c>
      <c r="R55" s="263">
        <f>Berechnungen!T28</f>
        <v>0</v>
      </c>
      <c r="S55" s="263">
        <f>Berechnungen!U28</f>
        <v>0</v>
      </c>
      <c r="T55" s="263">
        <f>Berechnungen!V28</f>
        <v>0</v>
      </c>
      <c r="U55" s="263">
        <f>Berechnungen!W28</f>
        <v>0</v>
      </c>
      <c r="V55" s="263">
        <f>Berechnungen!X28</f>
        <v>0</v>
      </c>
    </row>
    <row r="56" spans="1:22" ht="9.9499999999999993" customHeight="1">
      <c r="A56" s="137" t="s">
        <v>90</v>
      </c>
      <c r="B56" s="118" t="s">
        <v>72</v>
      </c>
      <c r="C56" s="263">
        <f>Berechnungen!E27</f>
        <v>0</v>
      </c>
      <c r="D56" s="263">
        <f>Berechnungen!F27</f>
        <v>0</v>
      </c>
      <c r="E56" s="263">
        <f>Berechnungen!G27</f>
        <v>2265461.5384615385</v>
      </c>
      <c r="F56" s="263">
        <f>Berechnungen!H27</f>
        <v>2265461.5384615385</v>
      </c>
      <c r="G56" s="263">
        <f>Berechnungen!I27</f>
        <v>2265461.5384615385</v>
      </c>
      <c r="H56" s="263">
        <f>Berechnungen!J27</f>
        <v>2265461.5384615385</v>
      </c>
      <c r="I56" s="263">
        <f>Berechnungen!K27</f>
        <v>2265461.5384615385</v>
      </c>
      <c r="J56" s="263">
        <f>Berechnungen!L27</f>
        <v>2265461.5384615385</v>
      </c>
      <c r="K56" s="263">
        <f>Berechnungen!M27</f>
        <v>2265461.5384615385</v>
      </c>
      <c r="L56" s="263">
        <f>Berechnungen!N27</f>
        <v>2265461.5384615385</v>
      </c>
      <c r="M56" s="263">
        <f>Berechnungen!O27</f>
        <v>2265461.5384615385</v>
      </c>
      <c r="N56" s="263">
        <f>Berechnungen!P27</f>
        <v>2265461.5384615385</v>
      </c>
      <c r="O56" s="263">
        <f>Berechnungen!Q27</f>
        <v>2265461.5384615385</v>
      </c>
      <c r="P56" s="263">
        <f>Berechnungen!R27</f>
        <v>2265461.5384615385</v>
      </c>
      <c r="Q56" s="263">
        <f>Berechnungen!S27</f>
        <v>2265461.5384615385</v>
      </c>
      <c r="R56" s="263">
        <f>Berechnungen!T27</f>
        <v>0</v>
      </c>
      <c r="S56" s="263">
        <f>Berechnungen!U27</f>
        <v>0</v>
      </c>
      <c r="T56" s="263">
        <f>Berechnungen!V27</f>
        <v>0</v>
      </c>
      <c r="U56" s="263">
        <f>Berechnungen!W27</f>
        <v>0</v>
      </c>
      <c r="V56" s="263">
        <f>Berechnungen!X27</f>
        <v>0</v>
      </c>
    </row>
    <row r="57" spans="1:22" ht="9.9499999999999993" customHeight="1">
      <c r="A57" s="176" t="s">
        <v>91</v>
      </c>
      <c r="B57" s="118" t="s">
        <v>72</v>
      </c>
      <c r="C57" s="262">
        <f>C54-C55-C56</f>
        <v>3348431.2108870279</v>
      </c>
      <c r="D57" s="262">
        <f t="shared" ref="D57:V57" si="1">D54-D55-D56</f>
        <v>3277246.7662792853</v>
      </c>
      <c r="E57" s="262">
        <f t="shared" si="1"/>
        <v>979360.23211559933</v>
      </c>
      <c r="F57" s="262">
        <f t="shared" si="1"/>
        <v>985666.19464855269</v>
      </c>
      <c r="G57" s="262">
        <f t="shared" si="1"/>
        <v>990490.95125810895</v>
      </c>
      <c r="H57" s="262">
        <f t="shared" si="1"/>
        <v>993804.87782579986</v>
      </c>
      <c r="I57" s="262">
        <f t="shared" si="1"/>
        <v>995577.77464343747</v>
      </c>
      <c r="J57" s="262">
        <f t="shared" si="1"/>
        <v>995778.78699286748</v>
      </c>
      <c r="K57" s="262">
        <f t="shared" si="1"/>
        <v>994376.49441522919</v>
      </c>
      <c r="L57" s="262">
        <f t="shared" si="1"/>
        <v>991338.83081198111</v>
      </c>
      <c r="M57" s="262">
        <f t="shared" si="1"/>
        <v>814419.68449621135</v>
      </c>
      <c r="N57" s="262">
        <f t="shared" si="1"/>
        <v>846282.14219344733</v>
      </c>
      <c r="O57" s="262">
        <f t="shared" si="1"/>
        <v>876409.14796798769</v>
      </c>
      <c r="P57" s="262">
        <f t="shared" si="1"/>
        <v>904765.97555087553</v>
      </c>
      <c r="Q57" s="262">
        <f t="shared" si="1"/>
        <v>931317.22137827845</v>
      </c>
      <c r="R57" s="262">
        <f t="shared" si="1"/>
        <v>3162170.3461517245</v>
      </c>
      <c r="S57" s="262">
        <f t="shared" si="1"/>
        <v>4652267.2930823499</v>
      </c>
      <c r="T57" s="262">
        <f t="shared" si="1"/>
        <v>4554546.3051000256</v>
      </c>
      <c r="U57" s="262">
        <f t="shared" si="1"/>
        <v>4454870.8973580552</v>
      </c>
      <c r="V57" s="262">
        <f t="shared" si="1"/>
        <v>4353201.9814612456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X87"/>
  <sheetViews>
    <sheetView zoomScale="70" zoomScaleNormal="70" workbookViewId="0">
      <pane ySplit="1" topLeftCell="A40" activePane="bottomLeft" state="frozen"/>
      <selection pane="bottomLeft" activeCell="H91" sqref="H91"/>
    </sheetView>
  </sheetViews>
  <sheetFormatPr defaultColWidth="11.42578125" defaultRowHeight="15"/>
  <cols>
    <col min="1" max="1" width="15.7109375" style="1" customWidth="1"/>
    <col min="2" max="2" width="25.7109375" style="1" customWidth="1"/>
    <col min="3" max="3" width="15.7109375" style="1" customWidth="1"/>
    <col min="4" max="4" width="26.5703125" style="1" customWidth="1"/>
    <col min="5" max="24" width="21.7109375" style="1" customWidth="1"/>
    <col min="25" max="16384" width="11.42578125" style="1"/>
  </cols>
  <sheetData>
    <row r="1" spans="1:24"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  <c r="N1" s="3">
        <v>2024</v>
      </c>
      <c r="O1" s="3">
        <v>2025</v>
      </c>
      <c r="P1" s="3">
        <v>2026</v>
      </c>
      <c r="Q1" s="3">
        <v>2027</v>
      </c>
      <c r="R1" s="3">
        <v>2028</v>
      </c>
      <c r="S1" s="3">
        <v>2029</v>
      </c>
      <c r="T1" s="3">
        <v>2030</v>
      </c>
      <c r="U1" s="3">
        <v>2031</v>
      </c>
      <c r="V1" s="3">
        <v>2032</v>
      </c>
      <c r="W1" s="3">
        <v>2033</v>
      </c>
      <c r="X1" s="3">
        <v>2034</v>
      </c>
    </row>
    <row r="2" spans="1:24" ht="23.25">
      <c r="A2" s="97" t="s">
        <v>92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</row>
    <row r="4" spans="1:24">
      <c r="A4" s="1" t="s">
        <v>93</v>
      </c>
      <c r="D4" s="1">
        <v>0</v>
      </c>
      <c r="E4" s="1">
        <v>1</v>
      </c>
      <c r="F4" s="1">
        <f>IF(E4&lt;'Eingaben und Ergebnisse'!$F$12,E4+1,"0")</f>
        <v>2</v>
      </c>
      <c r="G4" s="1">
        <f>IF(F4&lt;'Eingaben und Ergebnisse'!$F$12,F4+1,"0")</f>
        <v>3</v>
      </c>
      <c r="H4" s="1">
        <f>IF(G4&lt;'Eingaben und Ergebnisse'!$F$12,G4+1,"0")</f>
        <v>4</v>
      </c>
      <c r="I4" s="1">
        <f>IF(H4&lt;'Eingaben und Ergebnisse'!$F$12,H4+1,"0")</f>
        <v>5</v>
      </c>
      <c r="J4" s="1">
        <f>IF(I4&lt;'Eingaben und Ergebnisse'!$F$12,I4+1,"0")</f>
        <v>6</v>
      </c>
      <c r="K4" s="1">
        <f>IF(J4&lt;'Eingaben und Ergebnisse'!$F$12,J4+1,"0")</f>
        <v>7</v>
      </c>
      <c r="L4" s="1">
        <f>IF(K4&lt;'Eingaben und Ergebnisse'!$F$12,K4+1,"0")</f>
        <v>8</v>
      </c>
      <c r="M4" s="1">
        <f>IF(L4&lt;'Eingaben und Ergebnisse'!$F$12,L4+1,"0")</f>
        <v>9</v>
      </c>
      <c r="N4" s="1">
        <f>IF(M4&lt;'Eingaben und Ergebnisse'!$F$12,M4+1,"0")</f>
        <v>10</v>
      </c>
      <c r="O4" s="1">
        <f>IF(N4&lt;'Eingaben und Ergebnisse'!$F$12,N4+1,"0")</f>
        <v>11</v>
      </c>
      <c r="P4" s="1">
        <f>IF(O4&lt;'Eingaben und Ergebnisse'!$F$12,O4+1,"0")</f>
        <v>12</v>
      </c>
      <c r="Q4" s="1">
        <f>IF(P4&lt;'Eingaben und Ergebnisse'!$F$12,P4+1,"0")</f>
        <v>13</v>
      </c>
      <c r="R4" s="1">
        <f>IF(Q4&lt;'Eingaben und Ergebnisse'!$F$12,Q4+1,"0")</f>
        <v>14</v>
      </c>
      <c r="S4" s="1">
        <f>IF(R4&lt;'Eingaben und Ergebnisse'!$F$12,R4+1,"0")</f>
        <v>15</v>
      </c>
      <c r="T4" s="1">
        <f>IF(S4&lt;'Eingaben und Ergebnisse'!$F$12,S4+1,"0")</f>
        <v>16</v>
      </c>
      <c r="U4" s="1">
        <f>IF(T4&lt;'Eingaben und Ergebnisse'!$F$12,T4+1,"0")</f>
        <v>17</v>
      </c>
      <c r="V4" s="1">
        <f>IF(U4&lt;'Eingaben und Ergebnisse'!$F$12,U4+1,"0")</f>
        <v>18</v>
      </c>
      <c r="W4" s="1">
        <f>IF(V4&lt;'Eingaben und Ergebnisse'!$F$12,V4+1,"0")</f>
        <v>19</v>
      </c>
      <c r="X4" s="1">
        <f>IF(W4&lt;'Eingaben und Ergebnisse'!$F$12,W4+1,"0")</f>
        <v>20</v>
      </c>
    </row>
    <row r="6" spans="1:24">
      <c r="A6" s="1" t="s">
        <v>94</v>
      </c>
      <c r="E6" s="6">
        <f>1/(1+'Eingaben und Ergebnisse'!$K$7)^E4</f>
        <v>1</v>
      </c>
      <c r="F6" s="6">
        <f>1/(1+'Eingaben und Ergebnisse'!$K$7)^F4</f>
        <v>1</v>
      </c>
      <c r="G6" s="6">
        <f>1/(1+'Eingaben und Ergebnisse'!$K$7)^G4</f>
        <v>1</v>
      </c>
      <c r="H6" s="6">
        <f>1/(1+'Eingaben und Ergebnisse'!$K$7)^H4</f>
        <v>1</v>
      </c>
      <c r="I6" s="6">
        <f>1/(1+'Eingaben und Ergebnisse'!$K$7)^I4</f>
        <v>1</v>
      </c>
      <c r="J6" s="6">
        <f>1/(1+'Eingaben und Ergebnisse'!$K$7)^J4</f>
        <v>1</v>
      </c>
      <c r="K6" s="6">
        <f>1/(1+'Eingaben und Ergebnisse'!$K$7)^K4</f>
        <v>1</v>
      </c>
      <c r="L6" s="6">
        <f>1/(1+'Eingaben und Ergebnisse'!$K$7)^L4</f>
        <v>1</v>
      </c>
      <c r="M6" s="6">
        <f>1/(1+'Eingaben und Ergebnisse'!$K$7)^M4</f>
        <v>1</v>
      </c>
      <c r="N6" s="6">
        <f>1/(1+'Eingaben und Ergebnisse'!$K$7)^N4</f>
        <v>1</v>
      </c>
      <c r="O6" s="6">
        <f>1/(1+'Eingaben und Ergebnisse'!$K$7)^O4</f>
        <v>1</v>
      </c>
      <c r="P6" s="6">
        <f>1/(1+'Eingaben und Ergebnisse'!$K$7)^P4</f>
        <v>1</v>
      </c>
      <c r="Q6" s="6">
        <f>1/(1+'Eingaben und Ergebnisse'!$K$7)^Q4</f>
        <v>1</v>
      </c>
      <c r="R6" s="6">
        <f>1/(1+'Eingaben und Ergebnisse'!$K$7)^R4</f>
        <v>1</v>
      </c>
      <c r="S6" s="6">
        <f>1/(1+'Eingaben und Ergebnisse'!$K$7)^S4</f>
        <v>1</v>
      </c>
      <c r="T6" s="6">
        <f>1/(1+'Eingaben und Ergebnisse'!$K$7)^T4</f>
        <v>1</v>
      </c>
      <c r="U6" s="6">
        <f>1/(1+'Eingaben und Ergebnisse'!$K$7)^U4</f>
        <v>1</v>
      </c>
      <c r="V6" s="6">
        <f>1/(1+'Eingaben und Ergebnisse'!$K$7)^V4</f>
        <v>1</v>
      </c>
      <c r="W6" s="6">
        <f>1/(1+'Eingaben und Ergebnisse'!$K$7)^W4</f>
        <v>1</v>
      </c>
      <c r="X6" s="6">
        <f>1/(1+'Eingaben und Ergebnisse'!$K$7)^X4</f>
        <v>1</v>
      </c>
    </row>
    <row r="8" spans="1:24">
      <c r="A8" s="266" t="s">
        <v>76</v>
      </c>
      <c r="B8" s="267"/>
      <c r="C8" s="26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68"/>
    </row>
    <row r="9" spans="1:24">
      <c r="A9" s="269"/>
      <c r="B9" s="1" t="s">
        <v>95</v>
      </c>
      <c r="C9" s="1" t="s">
        <v>35</v>
      </c>
      <c r="E9" s="21">
        <f>'Eingaben und Ergebnisse'!$F$11</f>
        <v>63229900</v>
      </c>
      <c r="F9" s="22">
        <f>E9-E9*'Eingaben und Ergebnisse'!$K$11</f>
        <v>63229900</v>
      </c>
      <c r="G9" s="22">
        <f>F9-F9*'Eingaben und Ergebnisse'!$K$11</f>
        <v>63229900</v>
      </c>
      <c r="H9" s="22">
        <f>G9-G9*'Eingaben und Ergebnisse'!$K$11</f>
        <v>63229900</v>
      </c>
      <c r="I9" s="22">
        <f>H9-H9*'Eingaben und Ergebnisse'!$K$11</f>
        <v>63229900</v>
      </c>
      <c r="J9" s="22">
        <f>I9-I9*'Eingaben und Ergebnisse'!$K$11</f>
        <v>63229900</v>
      </c>
      <c r="K9" s="22">
        <f>J9-J9*'Eingaben und Ergebnisse'!$K$11</f>
        <v>63229900</v>
      </c>
      <c r="L9" s="22">
        <f>K9-K9*'Eingaben und Ergebnisse'!$K$11</f>
        <v>63229900</v>
      </c>
      <c r="M9" s="22">
        <f>L9-L9*'Eingaben und Ergebnisse'!$K$11</f>
        <v>63229900</v>
      </c>
      <c r="N9" s="22">
        <f>M9-M9*'Eingaben und Ergebnisse'!$K$11</f>
        <v>63229900</v>
      </c>
      <c r="O9" s="22">
        <f>N9-N9*'Eingaben und Ergebnisse'!$K$11</f>
        <v>63229900</v>
      </c>
      <c r="P9" s="22">
        <f>O9-O9*'Eingaben und Ergebnisse'!$K$11</f>
        <v>63229900</v>
      </c>
      <c r="Q9" s="22">
        <f>P9-P9*'Eingaben und Ergebnisse'!$K$11</f>
        <v>63229900</v>
      </c>
      <c r="R9" s="22">
        <f>Q9-Q9*'Eingaben und Ergebnisse'!$K$11</f>
        <v>63229900</v>
      </c>
      <c r="S9" s="22">
        <f>R9-R9*'Eingaben und Ergebnisse'!$K$11</f>
        <v>63229900</v>
      </c>
      <c r="T9" s="22">
        <f>S9-S9*'Eingaben und Ergebnisse'!$K$11</f>
        <v>63229900</v>
      </c>
      <c r="U9" s="22">
        <f>T9-T9*'Eingaben und Ergebnisse'!$K$11</f>
        <v>63229900</v>
      </c>
      <c r="V9" s="22">
        <f>U9-U9*'Eingaben und Ergebnisse'!$K$11</f>
        <v>63229900</v>
      </c>
      <c r="W9" s="22">
        <f>V9-V9*'Eingaben und Ergebnisse'!$K$11</f>
        <v>63229900</v>
      </c>
      <c r="X9" s="270">
        <f>W9-W9*'Eingaben und Ergebnisse'!$K$11</f>
        <v>63229900</v>
      </c>
    </row>
    <row r="10" spans="1:24">
      <c r="A10" s="269"/>
      <c r="B10" s="1" t="s">
        <v>96</v>
      </c>
      <c r="C10" s="1" t="s">
        <v>33</v>
      </c>
      <c r="E10" s="23">
        <f>'Eingaben und Ergebnisse'!$K$10</f>
        <v>8.93</v>
      </c>
      <c r="F10" s="23">
        <f>'Eingaben und Ergebnisse'!$K$10</f>
        <v>8.93</v>
      </c>
      <c r="G10" s="23">
        <f>'Eingaben und Ergebnisse'!$K$10</f>
        <v>8.93</v>
      </c>
      <c r="H10" s="23">
        <f>'Eingaben und Ergebnisse'!$K$10</f>
        <v>8.93</v>
      </c>
      <c r="I10" s="23">
        <f>'Eingaben und Ergebnisse'!$K$10</f>
        <v>8.93</v>
      </c>
      <c r="J10" s="23">
        <f>'Eingaben und Ergebnisse'!$K$10</f>
        <v>8.93</v>
      </c>
      <c r="K10" s="23">
        <f>'Eingaben und Ergebnisse'!$K$10</f>
        <v>8.93</v>
      </c>
      <c r="L10" s="23">
        <f>'Eingaben und Ergebnisse'!$K$10</f>
        <v>8.93</v>
      </c>
      <c r="M10" s="23">
        <f>'Eingaben und Ergebnisse'!$K$10</f>
        <v>8.93</v>
      </c>
      <c r="N10" s="23">
        <f>'Eingaben und Ergebnisse'!$K$10</f>
        <v>8.93</v>
      </c>
      <c r="O10" s="23">
        <f>'Eingaben und Ergebnisse'!$K$10</f>
        <v>8.93</v>
      </c>
      <c r="P10" s="23">
        <f>'Eingaben und Ergebnisse'!$K$10</f>
        <v>8.93</v>
      </c>
      <c r="Q10" s="23">
        <f>'Eingaben und Ergebnisse'!$K$10</f>
        <v>8.93</v>
      </c>
      <c r="R10" s="23">
        <f>'Eingaben und Ergebnisse'!$K$10</f>
        <v>8.93</v>
      </c>
      <c r="S10" s="23">
        <f>'Eingaben und Ergebnisse'!$K$10</f>
        <v>8.93</v>
      </c>
      <c r="T10" s="23">
        <f>'Eingaben und Ergebnisse'!$K$10</f>
        <v>8.93</v>
      </c>
      <c r="U10" s="23">
        <f>'Eingaben und Ergebnisse'!$K$10</f>
        <v>8.93</v>
      </c>
      <c r="V10" s="23">
        <f>'Eingaben und Ergebnisse'!$K$10</f>
        <v>8.93</v>
      </c>
      <c r="W10" s="23">
        <f>'Eingaben und Ergebnisse'!$K$10</f>
        <v>8.93</v>
      </c>
      <c r="X10" s="271">
        <f>'Eingaben und Ergebnisse'!$K$10</f>
        <v>8.93</v>
      </c>
    </row>
    <row r="11" spans="1:24">
      <c r="A11" s="272"/>
      <c r="B11" s="273" t="s">
        <v>76</v>
      </c>
      <c r="C11" s="273" t="s">
        <v>97</v>
      </c>
      <c r="D11" s="273"/>
      <c r="E11" s="274">
        <f t="shared" ref="E11:X11" si="0">E10*E9/100</f>
        <v>5646430.0700000003</v>
      </c>
      <c r="F11" s="274">
        <f t="shared" si="0"/>
        <v>5646430.0700000003</v>
      </c>
      <c r="G11" s="274">
        <f t="shared" si="0"/>
        <v>5646430.0700000003</v>
      </c>
      <c r="H11" s="274">
        <f t="shared" si="0"/>
        <v>5646430.0700000003</v>
      </c>
      <c r="I11" s="274">
        <f t="shared" si="0"/>
        <v>5646430.0700000003</v>
      </c>
      <c r="J11" s="274">
        <f t="shared" si="0"/>
        <v>5646430.0700000003</v>
      </c>
      <c r="K11" s="274">
        <f t="shared" si="0"/>
        <v>5646430.0700000003</v>
      </c>
      <c r="L11" s="274">
        <f t="shared" si="0"/>
        <v>5646430.0700000003</v>
      </c>
      <c r="M11" s="274">
        <f t="shared" si="0"/>
        <v>5646430.0700000003</v>
      </c>
      <c r="N11" s="274">
        <f t="shared" si="0"/>
        <v>5646430.0700000003</v>
      </c>
      <c r="O11" s="274">
        <f t="shared" si="0"/>
        <v>5646430.0700000003</v>
      </c>
      <c r="P11" s="274">
        <f t="shared" si="0"/>
        <v>5646430.0700000003</v>
      </c>
      <c r="Q11" s="274">
        <f t="shared" si="0"/>
        <v>5646430.0700000003</v>
      </c>
      <c r="R11" s="274">
        <f t="shared" si="0"/>
        <v>5646430.0700000003</v>
      </c>
      <c r="S11" s="274">
        <f t="shared" si="0"/>
        <v>5646430.0700000003</v>
      </c>
      <c r="T11" s="274">
        <f t="shared" si="0"/>
        <v>5646430.0700000003</v>
      </c>
      <c r="U11" s="274">
        <f t="shared" si="0"/>
        <v>5646430.0700000003</v>
      </c>
      <c r="V11" s="274">
        <f t="shared" si="0"/>
        <v>5646430.0700000003</v>
      </c>
      <c r="W11" s="274">
        <f t="shared" si="0"/>
        <v>5646430.0700000003</v>
      </c>
      <c r="X11" s="275">
        <f t="shared" si="0"/>
        <v>5646430.0700000003</v>
      </c>
    </row>
    <row r="13" spans="1:24">
      <c r="A13" s="276" t="s">
        <v>98</v>
      </c>
      <c r="B13" s="267"/>
      <c r="C13" s="2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68"/>
    </row>
    <row r="14" spans="1:24">
      <c r="A14" s="269"/>
      <c r="B14" s="1" t="s">
        <v>99</v>
      </c>
      <c r="C14" s="1" t="s">
        <v>97</v>
      </c>
      <c r="D14" s="21">
        <f>'Eingaben und Ergebnisse'!P4</f>
        <v>36813750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77"/>
    </row>
    <row r="15" spans="1:24">
      <c r="A15" s="269"/>
      <c r="B15" s="1" t="s">
        <v>77</v>
      </c>
      <c r="C15" s="1" t="s">
        <v>97</v>
      </c>
      <c r="D15" s="21"/>
      <c r="E15" s="21">
        <f>'Eingaben und Ergebnisse'!P12+'Eingaben und Ergebnisse'!P12*'Eingaben und Ergebnisse'!$K$6+'Weitere Eingaben'!$J$113</f>
        <v>2106964.9998000003</v>
      </c>
      <c r="F15" s="21">
        <f>(E15-'Weitere Eingaben'!$J$113)+'Eingaben und Ergebnisse'!$K$6*E15+'Weitere Eingaben'!$J$113</f>
        <v>2149104.2997960001</v>
      </c>
      <c r="G15" s="21">
        <f>(F15-'Weitere Eingaben'!$J$113)+'Eingaben und Ergebnisse'!$K$6*F15+'Weitere Eingaben'!$J$113</f>
        <v>2192086.3857919201</v>
      </c>
      <c r="H15" s="21">
        <f>(G15-'Weitere Eingaben'!$J$113)+'Eingaben und Ergebnisse'!$K$6*G15+'Weitere Eingaben'!$J$113</f>
        <v>2235928.1135077588</v>
      </c>
      <c r="I15" s="21">
        <f>(H15-'Weitere Eingaben'!$J$113)+'Eingaben und Ergebnisse'!$K$6*H15+'Weitere Eingaben'!$J$113</f>
        <v>2280646.675777914</v>
      </c>
      <c r="J15" s="21">
        <f>(I15-'Weitere Eingaben'!$J$113)+'Eingaben und Ergebnisse'!$K$6*I15+'Weitere Eingaben'!$J$113</f>
        <v>2326259.609293472</v>
      </c>
      <c r="K15" s="21">
        <f>(J15-'Weitere Eingaben'!$J$113)+'Eingaben und Ergebnisse'!$K$6*J15+'Weitere Eingaben'!$J$113</f>
        <v>2372784.8014793415</v>
      </c>
      <c r="L15" s="21">
        <f>(K15-'Weitere Eingaben'!$J$113)+'Eingaben und Ergebnisse'!$K$6*K15+'Weitere Eingaben'!$J$113</f>
        <v>2420240.4975089282</v>
      </c>
      <c r="M15" s="21">
        <f>(L15-'Weitere Eingaben'!$J$113)+'Eingaben und Ergebnisse'!$K$6*L15+'Weitere Eingaben'!$J$113</f>
        <v>2468645.3074591067</v>
      </c>
      <c r="N15" s="21">
        <f>M15+'Eingaben und Ergebnisse'!$K$6*M15</f>
        <v>2518018.2136082887</v>
      </c>
      <c r="O15" s="21">
        <f>(N15-'Weitere Eingaben'!$J$113)+'Eingaben und Ergebnisse'!$K$6*N15+'Weitere Eingaben'!$J$113</f>
        <v>2568378.5778804542</v>
      </c>
      <c r="P15" s="21">
        <f>(O15-'Weitere Eingaben'!$J$113)+'Eingaben und Ergebnisse'!$K$6*O15+'Weitere Eingaben'!$J$113</f>
        <v>2619746.1494380631</v>
      </c>
      <c r="Q15" s="21">
        <f>(P15-'Weitere Eingaben'!$J$113)+'Eingaben und Ergebnisse'!$K$6*P15+'Weitere Eingaben'!$J$113</f>
        <v>2672141.0724268244</v>
      </c>
      <c r="R15" s="21">
        <f>(Q15-'Weitere Eingaben'!$J$113)+'Eingaben und Ergebnisse'!$K$6*Q15+'Weitere Eingaben'!$J$113</f>
        <v>2725583.893875361</v>
      </c>
      <c r="S15" s="21">
        <f>(R15-'Weitere Eingaben'!$J$113)+'Eingaben und Ergebnisse'!$K$6*R15+'Weitere Eingaben'!$J$113</f>
        <v>2780095.5717528681</v>
      </c>
      <c r="T15" s="21">
        <f>(S15-'Weitere Eingaben'!$J$113)+'Eingaben und Ergebnisse'!$K$6*S15+'Weitere Eingaben'!$J$113</f>
        <v>2835697.4831879255</v>
      </c>
      <c r="U15" s="21">
        <f>(T15-'Weitere Eingaben'!$J$113)+'Eingaben und Ergebnisse'!$K$6*T15+'Weitere Eingaben'!$J$113</f>
        <v>2892411.4328516843</v>
      </c>
      <c r="V15" s="21">
        <f>(U15-'Weitere Eingaben'!$J$113)+'Eingaben und Ergebnisse'!$K$6*U15+'Weitere Eingaben'!$J$113</f>
        <v>2950259.661508718</v>
      </c>
      <c r="W15" s="21">
        <f>(V15-'Weitere Eingaben'!$J$113)+'Eingaben und Ergebnisse'!$K$6*V15+'Weitere Eingaben'!$J$113</f>
        <v>3009264.8547388925</v>
      </c>
      <c r="X15" s="277">
        <f>(W15-'Weitere Eingaben'!$J$113)+'Eingaben und Ergebnisse'!$K$6*W15+'Weitere Eingaben'!$J$113</f>
        <v>3069450.1518336702</v>
      </c>
    </row>
    <row r="16" spans="1:24">
      <c r="A16" s="272"/>
      <c r="B16" s="273" t="s">
        <v>100</v>
      </c>
      <c r="C16" s="273" t="s">
        <v>97</v>
      </c>
      <c r="D16" s="274">
        <f t="shared" ref="D16:X16" si="1">SUM(D14:D15)</f>
        <v>36813750</v>
      </c>
      <c r="E16" s="274">
        <f t="shared" si="1"/>
        <v>2106964.9998000003</v>
      </c>
      <c r="F16" s="274">
        <f t="shared" si="1"/>
        <v>2149104.2997960001</v>
      </c>
      <c r="G16" s="274">
        <f t="shared" si="1"/>
        <v>2192086.3857919201</v>
      </c>
      <c r="H16" s="274">
        <f t="shared" si="1"/>
        <v>2235928.1135077588</v>
      </c>
      <c r="I16" s="274">
        <f t="shared" si="1"/>
        <v>2280646.675777914</v>
      </c>
      <c r="J16" s="274">
        <f t="shared" si="1"/>
        <v>2326259.609293472</v>
      </c>
      <c r="K16" s="274">
        <f t="shared" si="1"/>
        <v>2372784.8014793415</v>
      </c>
      <c r="L16" s="274">
        <f t="shared" si="1"/>
        <v>2420240.4975089282</v>
      </c>
      <c r="M16" s="274">
        <f t="shared" si="1"/>
        <v>2468645.3074591067</v>
      </c>
      <c r="N16" s="274">
        <f t="shared" si="1"/>
        <v>2518018.2136082887</v>
      </c>
      <c r="O16" s="274">
        <f t="shared" si="1"/>
        <v>2568378.5778804542</v>
      </c>
      <c r="P16" s="274">
        <f t="shared" si="1"/>
        <v>2619746.1494380631</v>
      </c>
      <c r="Q16" s="274">
        <f t="shared" si="1"/>
        <v>2672141.0724268244</v>
      </c>
      <c r="R16" s="274">
        <f t="shared" si="1"/>
        <v>2725583.893875361</v>
      </c>
      <c r="S16" s="274">
        <f t="shared" si="1"/>
        <v>2780095.5717528681</v>
      </c>
      <c r="T16" s="274">
        <f t="shared" si="1"/>
        <v>2835697.4831879255</v>
      </c>
      <c r="U16" s="274">
        <f t="shared" si="1"/>
        <v>2892411.4328516843</v>
      </c>
      <c r="V16" s="274">
        <f t="shared" si="1"/>
        <v>2950259.661508718</v>
      </c>
      <c r="W16" s="274">
        <f t="shared" si="1"/>
        <v>3009264.8547388925</v>
      </c>
      <c r="X16" s="275">
        <f t="shared" si="1"/>
        <v>3069450.1518336702</v>
      </c>
    </row>
    <row r="17" spans="1:24" ht="15.75" thickBot="1"/>
    <row r="18" spans="1:24" ht="16.5" thickTop="1" thickBot="1">
      <c r="A18" s="31" t="s">
        <v>78</v>
      </c>
      <c r="B18" s="26"/>
      <c r="C18" s="27" t="s">
        <v>97</v>
      </c>
      <c r="D18" s="28">
        <f>D16*-1</f>
        <v>-36813750</v>
      </c>
      <c r="E18" s="71">
        <f>E11-E16</f>
        <v>3539465.0702</v>
      </c>
      <c r="F18" s="71">
        <f t="shared" ref="F18:X18" si="2">F11-F16</f>
        <v>3497325.7702040002</v>
      </c>
      <c r="G18" s="71">
        <f t="shared" si="2"/>
        <v>3454343.6842080802</v>
      </c>
      <c r="H18" s="71">
        <f t="shared" si="2"/>
        <v>3410501.9564922415</v>
      </c>
      <c r="I18" s="71">
        <f t="shared" si="2"/>
        <v>3365783.3942220863</v>
      </c>
      <c r="J18" s="71">
        <f t="shared" si="2"/>
        <v>3320170.4607065283</v>
      </c>
      <c r="K18" s="71">
        <f t="shared" si="2"/>
        <v>3273645.2685206588</v>
      </c>
      <c r="L18" s="71">
        <f t="shared" si="2"/>
        <v>3226189.5724910721</v>
      </c>
      <c r="M18" s="71">
        <f t="shared" si="2"/>
        <v>3177784.7625408936</v>
      </c>
      <c r="N18" s="71">
        <f t="shared" si="2"/>
        <v>3128411.8563917116</v>
      </c>
      <c r="O18" s="71">
        <f t="shared" si="2"/>
        <v>3078051.492119546</v>
      </c>
      <c r="P18" s="71">
        <f t="shared" si="2"/>
        <v>3026683.9205619371</v>
      </c>
      <c r="Q18" s="71">
        <f t="shared" si="2"/>
        <v>2974288.9975731759</v>
      </c>
      <c r="R18" s="71">
        <f t="shared" si="2"/>
        <v>2920846.1761246393</v>
      </c>
      <c r="S18" s="71">
        <f t="shared" si="2"/>
        <v>2866334.4982471322</v>
      </c>
      <c r="T18" s="71">
        <f t="shared" si="2"/>
        <v>2810732.5868120748</v>
      </c>
      <c r="U18" s="71">
        <f t="shared" si="2"/>
        <v>2754018.637148316</v>
      </c>
      <c r="V18" s="71">
        <f t="shared" si="2"/>
        <v>2696170.4084912823</v>
      </c>
      <c r="W18" s="71">
        <f t="shared" si="2"/>
        <v>2637165.2152611078</v>
      </c>
      <c r="X18" s="72">
        <f t="shared" si="2"/>
        <v>2576979.9181663301</v>
      </c>
    </row>
    <row r="19" spans="1:24" ht="16.5" thickTop="1" thickBot="1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6.5" thickTop="1" thickBot="1">
      <c r="A20" s="31" t="s">
        <v>11</v>
      </c>
      <c r="B20" s="29"/>
      <c r="C20" s="27" t="s">
        <v>101</v>
      </c>
      <c r="D20" s="29"/>
      <c r="E20" s="71">
        <f>IF(E4&lt;='Eingaben und Ergebnisse'!$K$4,'Eingaben und Ergebnisse'!$P$4/'Eingaben und Ergebnisse'!$K$4,0)</f>
        <v>2300859.375</v>
      </c>
      <c r="F20" s="71">
        <f>IF(F4&lt;='Eingaben und Ergebnisse'!$K$4,'Eingaben und Ergebnisse'!$P$4/'Eingaben und Ergebnisse'!$K$4,0)</f>
        <v>2300859.375</v>
      </c>
      <c r="G20" s="71">
        <f>IF(G4&lt;='Eingaben und Ergebnisse'!$K$4,'Eingaben und Ergebnisse'!$P$4/'Eingaben und Ergebnisse'!$K$4,0)</f>
        <v>2300859.375</v>
      </c>
      <c r="H20" s="71">
        <f>IF(H4&lt;='Eingaben und Ergebnisse'!$K$4,'Eingaben und Ergebnisse'!$P$4/'Eingaben und Ergebnisse'!$K$4,0)</f>
        <v>2300859.375</v>
      </c>
      <c r="I20" s="71">
        <f>IF(I4&lt;='Eingaben und Ergebnisse'!$K$4,'Eingaben und Ergebnisse'!$P$4/'Eingaben und Ergebnisse'!$K$4,0)</f>
        <v>2300859.375</v>
      </c>
      <c r="J20" s="71">
        <f>IF(J4&lt;='Eingaben und Ergebnisse'!$K$4,'Eingaben und Ergebnisse'!$P$4/'Eingaben und Ergebnisse'!$K$4,0)</f>
        <v>2300859.375</v>
      </c>
      <c r="K20" s="71">
        <f>IF(K4&lt;='Eingaben und Ergebnisse'!$K$4,'Eingaben und Ergebnisse'!$P$4/'Eingaben und Ergebnisse'!$K$4,0)</f>
        <v>2300859.375</v>
      </c>
      <c r="L20" s="71">
        <f>IF(L4&lt;='Eingaben und Ergebnisse'!$K$4,'Eingaben und Ergebnisse'!$P$4/'Eingaben und Ergebnisse'!$K$4,0)</f>
        <v>2300859.375</v>
      </c>
      <c r="M20" s="71">
        <f>IF(M4&lt;='Eingaben und Ergebnisse'!$K$4,'Eingaben und Ergebnisse'!$P$4/'Eingaben und Ergebnisse'!$K$4,0)</f>
        <v>2300859.375</v>
      </c>
      <c r="N20" s="71">
        <f>IF(N4&lt;='Eingaben und Ergebnisse'!$K$4,'Eingaben und Ergebnisse'!$P$4/'Eingaben und Ergebnisse'!$K$4,0)</f>
        <v>2300859.375</v>
      </c>
      <c r="O20" s="71">
        <f>IF(O4&lt;='Eingaben und Ergebnisse'!$K$4,'Eingaben und Ergebnisse'!$P$4/'Eingaben und Ergebnisse'!$K$4,0)</f>
        <v>2300859.375</v>
      </c>
      <c r="P20" s="71">
        <f>IF(P4&lt;='Eingaben und Ergebnisse'!$K$4,'Eingaben und Ergebnisse'!$P$4/'Eingaben und Ergebnisse'!$K$4,0)</f>
        <v>2300859.375</v>
      </c>
      <c r="Q20" s="71">
        <f>IF(Q4&lt;='Eingaben und Ergebnisse'!$K$4,'Eingaben und Ergebnisse'!$P$4/'Eingaben und Ergebnisse'!$K$4,0)</f>
        <v>2300859.375</v>
      </c>
      <c r="R20" s="71">
        <f>IF(R4&lt;='Eingaben und Ergebnisse'!$K$4,'Eingaben und Ergebnisse'!$P$4/'Eingaben und Ergebnisse'!$K$4,0)</f>
        <v>2300859.375</v>
      </c>
      <c r="S20" s="71">
        <f>IF(S4&lt;='Eingaben und Ergebnisse'!$K$4,'Eingaben und Ergebnisse'!$P$4/'Eingaben und Ergebnisse'!$K$4,0)</f>
        <v>2300859.375</v>
      </c>
      <c r="T20" s="71">
        <f>IF(T4&lt;='Eingaben und Ergebnisse'!$K$4,'Eingaben und Ergebnisse'!$P$4/'Eingaben und Ergebnisse'!$K$4,0)</f>
        <v>2300859.375</v>
      </c>
      <c r="U20" s="71">
        <f>IF(U4&lt;='Eingaben und Ergebnisse'!$K$4,'Eingaben und Ergebnisse'!$P$4/'Eingaben und Ergebnisse'!$K$4,0)</f>
        <v>0</v>
      </c>
      <c r="V20" s="71">
        <f>IF(V4&lt;='Eingaben und Ergebnisse'!$K$4,'Eingaben und Ergebnisse'!$P$4/'Eingaben und Ergebnisse'!$K$4,0)</f>
        <v>0</v>
      </c>
      <c r="W20" s="71">
        <f>IF(W4&lt;='Eingaben und Ergebnisse'!$K$4,'Eingaben und Ergebnisse'!$P$4/'Eingaben und Ergebnisse'!$K$4,0)</f>
        <v>0</v>
      </c>
      <c r="X20" s="72">
        <f>IF(X4&lt;='Eingaben und Ergebnisse'!$K$4,'Eingaben und Ergebnisse'!$P$4/'Eingaben und Ergebnisse'!$K$4,0)</f>
        <v>0</v>
      </c>
    </row>
    <row r="21" spans="1:24" ht="16.5" thickTop="1" thickBot="1"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71"/>
    </row>
    <row r="22" spans="1:24" ht="16.5" thickTop="1" thickBot="1">
      <c r="A22" s="31" t="s">
        <v>80</v>
      </c>
      <c r="B22" s="29"/>
      <c r="C22" s="27" t="s">
        <v>72</v>
      </c>
      <c r="D22" s="29"/>
      <c r="E22" s="71">
        <f t="shared" ref="E22:X22" si="3">E18-E20</f>
        <v>1238605.6952</v>
      </c>
      <c r="F22" s="71">
        <f t="shared" si="3"/>
        <v>1196466.3952040002</v>
      </c>
      <c r="G22" s="71">
        <f t="shared" si="3"/>
        <v>1153484.3092080802</v>
      </c>
      <c r="H22" s="71">
        <f t="shared" si="3"/>
        <v>1109642.5814922415</v>
      </c>
      <c r="I22" s="71">
        <f t="shared" si="3"/>
        <v>1064924.0192220863</v>
      </c>
      <c r="J22" s="71">
        <f t="shared" si="3"/>
        <v>1019311.0857065283</v>
      </c>
      <c r="K22" s="71">
        <f t="shared" si="3"/>
        <v>972785.89352065884</v>
      </c>
      <c r="L22" s="71">
        <f t="shared" si="3"/>
        <v>925330.19749107212</v>
      </c>
      <c r="M22" s="71">
        <f t="shared" si="3"/>
        <v>876925.38754089363</v>
      </c>
      <c r="N22" s="71">
        <f t="shared" si="3"/>
        <v>827552.48139171163</v>
      </c>
      <c r="O22" s="71">
        <f t="shared" si="3"/>
        <v>777192.11711954605</v>
      </c>
      <c r="P22" s="71">
        <f t="shared" si="3"/>
        <v>725824.54556193715</v>
      </c>
      <c r="Q22" s="71">
        <f t="shared" si="3"/>
        <v>673429.62257317593</v>
      </c>
      <c r="R22" s="71">
        <f t="shared" si="3"/>
        <v>619986.80112463934</v>
      </c>
      <c r="S22" s="71">
        <f t="shared" si="3"/>
        <v>565475.12324713217</v>
      </c>
      <c r="T22" s="71">
        <f t="shared" si="3"/>
        <v>509873.21181207476</v>
      </c>
      <c r="U22" s="71">
        <f t="shared" si="3"/>
        <v>2754018.637148316</v>
      </c>
      <c r="V22" s="71">
        <f t="shared" si="3"/>
        <v>2696170.4084912823</v>
      </c>
      <c r="W22" s="71">
        <f t="shared" si="3"/>
        <v>2637165.2152611078</v>
      </c>
      <c r="X22" s="72">
        <f t="shared" si="3"/>
        <v>2576979.9181663301</v>
      </c>
    </row>
    <row r="23" spans="1:24" ht="16.5" thickTop="1" thickBot="1"/>
    <row r="24" spans="1:24" ht="15.75" thickTop="1">
      <c r="A24" s="30" t="s">
        <v>8</v>
      </c>
      <c r="B24" s="18"/>
      <c r="C24" s="18"/>
      <c r="D24" s="18"/>
      <c r="E24" s="18"/>
      <c r="F24" s="3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/>
    </row>
    <row r="25" spans="1:24">
      <c r="A25" s="20"/>
      <c r="B25" s="1" t="s">
        <v>102</v>
      </c>
      <c r="C25" s="1" t="s">
        <v>72</v>
      </c>
      <c r="E25" s="21">
        <f t="shared" ref="E25:X25" si="4">ROUND(E26,2)</f>
        <v>29451000</v>
      </c>
      <c r="F25" s="21">
        <f t="shared" si="4"/>
        <v>29451000</v>
      </c>
      <c r="G25" s="21">
        <f t="shared" si="4"/>
        <v>29451000</v>
      </c>
      <c r="H25" s="21">
        <f t="shared" si="4"/>
        <v>27185538.460000001</v>
      </c>
      <c r="I25" s="21">
        <f t="shared" si="4"/>
        <v>24920076.920000002</v>
      </c>
      <c r="J25" s="21">
        <f t="shared" si="4"/>
        <v>22654615.379999999</v>
      </c>
      <c r="K25" s="21">
        <f t="shared" si="4"/>
        <v>20389153.850000001</v>
      </c>
      <c r="L25" s="21">
        <f t="shared" si="4"/>
        <v>18123692.309999999</v>
      </c>
      <c r="M25" s="21">
        <f t="shared" si="4"/>
        <v>15858230.77</v>
      </c>
      <c r="N25" s="21">
        <f t="shared" si="4"/>
        <v>13592769.23</v>
      </c>
      <c r="O25" s="21">
        <f t="shared" si="4"/>
        <v>11327307.689999999</v>
      </c>
      <c r="P25" s="21">
        <f t="shared" si="4"/>
        <v>9061846.1500000004</v>
      </c>
      <c r="Q25" s="21">
        <f t="shared" si="4"/>
        <v>6796384.6200000001</v>
      </c>
      <c r="R25" s="21">
        <f t="shared" si="4"/>
        <v>4530923.08</v>
      </c>
      <c r="S25" s="21">
        <f t="shared" si="4"/>
        <v>2265461.54</v>
      </c>
      <c r="T25" s="21">
        <f t="shared" si="4"/>
        <v>0</v>
      </c>
      <c r="U25" s="21">
        <f t="shared" si="4"/>
        <v>0</v>
      </c>
      <c r="V25" s="21">
        <f t="shared" si="4"/>
        <v>0</v>
      </c>
      <c r="W25" s="21">
        <f t="shared" si="4"/>
        <v>0</v>
      </c>
      <c r="X25" s="25">
        <f t="shared" si="4"/>
        <v>0</v>
      </c>
    </row>
    <row r="26" spans="1:24">
      <c r="A26" s="20"/>
      <c r="B26" s="1" t="s">
        <v>102</v>
      </c>
      <c r="C26" s="1" t="s">
        <v>72</v>
      </c>
      <c r="E26" s="32">
        <f>'Eingaben und Ergebnisse'!F5</f>
        <v>29451000</v>
      </c>
      <c r="F26" s="32">
        <f t="shared" ref="F26:X26" si="5">IF(E26-E27&lt;=1,0,E26-E27)</f>
        <v>29451000</v>
      </c>
      <c r="G26" s="32">
        <f t="shared" si="5"/>
        <v>29451000</v>
      </c>
      <c r="H26" s="32">
        <f t="shared" si="5"/>
        <v>27185538.46153846</v>
      </c>
      <c r="I26" s="32">
        <f t="shared" si="5"/>
        <v>24920076.92307692</v>
      </c>
      <c r="J26" s="32">
        <f t="shared" si="5"/>
        <v>22654615.38461538</v>
      </c>
      <c r="K26" s="32">
        <f t="shared" si="5"/>
        <v>20389153.84615384</v>
      </c>
      <c r="L26" s="32">
        <f t="shared" si="5"/>
        <v>18123692.307692301</v>
      </c>
      <c r="M26" s="32">
        <f t="shared" si="5"/>
        <v>15858230.769230762</v>
      </c>
      <c r="N26" s="32">
        <f t="shared" si="5"/>
        <v>13592769.230769224</v>
      </c>
      <c r="O26" s="32">
        <f t="shared" si="5"/>
        <v>11327307.692307686</v>
      </c>
      <c r="P26" s="32">
        <f t="shared" si="5"/>
        <v>9061846.1538461484</v>
      </c>
      <c r="Q26" s="32">
        <f t="shared" si="5"/>
        <v>6796384.6153846104</v>
      </c>
      <c r="R26" s="32">
        <f t="shared" si="5"/>
        <v>4530923.0769230723</v>
      </c>
      <c r="S26" s="32">
        <f t="shared" si="5"/>
        <v>2265461.5384615338</v>
      </c>
      <c r="T26" s="32">
        <f t="shared" si="5"/>
        <v>0</v>
      </c>
      <c r="U26" s="32">
        <f t="shared" si="5"/>
        <v>0</v>
      </c>
      <c r="V26" s="32">
        <f t="shared" si="5"/>
        <v>0</v>
      </c>
      <c r="W26" s="32">
        <f t="shared" si="5"/>
        <v>0</v>
      </c>
      <c r="X26" s="35">
        <f t="shared" si="5"/>
        <v>0</v>
      </c>
    </row>
    <row r="27" spans="1:24">
      <c r="A27" s="20"/>
      <c r="B27" s="10" t="s">
        <v>103</v>
      </c>
      <c r="C27" s="1" t="s">
        <v>72</v>
      </c>
      <c r="E27" s="32">
        <f>IF('Eingaben und Ergebnisse'!F9&gt;=Berechnungen!E4,0,IF(E26=0,0,IF('Eingaben und Ergebnisse'!$A$12=2,'Eingaben und Ergebnisse'!$F$5/'Eingaben und Ergebnisse'!$F$7,IF('Eingaben und Ergebnisse'!$A$12=1,PMT('Eingaben und Ergebnisse'!$F$8,'Eingaben und Ergebnisse'!$F$7,'Eingaben und Ergebnisse'!$F$5)*-1-E28,0))))</f>
        <v>0</v>
      </c>
      <c r="F27" s="32">
        <f>IF('Eingaben und Ergebnisse'!G9&gt;=Berechnungen!F4,0,IF(F26=0,0,IF('Eingaben und Ergebnisse'!$A$12=2,'Eingaben und Ergebnisse'!$F$5/'Eingaben und Ergebnisse'!$F$7,IF('Eingaben und Ergebnisse'!$A$12=1,PMT('Eingaben und Ergebnisse'!$F$8,'Eingaben und Ergebnisse'!$F$7,'Eingaben und Ergebnisse'!$F$5)*-1-F28,0))))</f>
        <v>0</v>
      </c>
      <c r="G27" s="32">
        <f>IF('Eingaben und Ergebnisse'!H9&gt;=Berechnungen!G4,0,IF(G26=0,0,IF('Eingaben und Ergebnisse'!$A$12=2,'Eingaben und Ergebnisse'!$F$5/'Eingaben und Ergebnisse'!$F$7,IF('Eingaben und Ergebnisse'!$A$12=1,PMT('Eingaben und Ergebnisse'!$F$8,'Eingaben und Ergebnisse'!$F$7,'Eingaben und Ergebnisse'!$F$5)*-1-G28,0))))</f>
        <v>2265461.5384615385</v>
      </c>
      <c r="H27" s="32">
        <f>IF('Eingaben und Ergebnisse'!I9&gt;=Berechnungen!H4,0,IF(H26=0,0,IF('Eingaben und Ergebnisse'!$A$12=2,'Eingaben und Ergebnisse'!$F$5/'Eingaben und Ergebnisse'!$F$7,IF('Eingaben und Ergebnisse'!$A$12=1,PMT('Eingaben und Ergebnisse'!$F$8,'Eingaben und Ergebnisse'!$F$7,'Eingaben und Ergebnisse'!$F$5)*-1-H28,0))))</f>
        <v>2265461.5384615385</v>
      </c>
      <c r="I27" s="32">
        <f>IF(I26=0,0,IF('Eingaben und Ergebnisse'!$A$12=2,'Eingaben und Ergebnisse'!$F$5/'Eingaben und Ergebnisse'!$F$7,IF('Eingaben und Ergebnisse'!$A$12=1,PMT('Eingaben und Ergebnisse'!$F$8,'Eingaben und Ergebnisse'!$F$7,'Eingaben und Ergebnisse'!$F$5)*-1-I28,0)))</f>
        <v>2265461.5384615385</v>
      </c>
      <c r="J27" s="32">
        <f>IF(J26=0,0,IF('Eingaben und Ergebnisse'!$A$12=2,'Eingaben und Ergebnisse'!$F$5/'Eingaben und Ergebnisse'!$F$7,IF('Eingaben und Ergebnisse'!$A$12=1,PMT('Eingaben und Ergebnisse'!$F$8,'Eingaben und Ergebnisse'!$F$7,'Eingaben und Ergebnisse'!$F$5)*-1-J28,0)))</f>
        <v>2265461.5384615385</v>
      </c>
      <c r="K27" s="32">
        <f>IF(K26=0,0,IF('Eingaben und Ergebnisse'!$A$12=2,'Eingaben und Ergebnisse'!$F$5/'Eingaben und Ergebnisse'!$F$7,IF('Eingaben und Ergebnisse'!$A$12=1,PMT('Eingaben und Ergebnisse'!$F$8,'Eingaben und Ergebnisse'!$F$7,'Eingaben und Ergebnisse'!$F$5)*-1-K28,0)))</f>
        <v>2265461.5384615385</v>
      </c>
      <c r="L27" s="32">
        <f>IF(L26=0,0,IF('Eingaben und Ergebnisse'!$A$12=2,'Eingaben und Ergebnisse'!$F$5/'Eingaben und Ergebnisse'!$F$7,IF('Eingaben und Ergebnisse'!$A$12=1,PMT('Eingaben und Ergebnisse'!$F$8,'Eingaben und Ergebnisse'!$F$7,'Eingaben und Ergebnisse'!$F$5)*-1-L28,0)))</f>
        <v>2265461.5384615385</v>
      </c>
      <c r="M27" s="32">
        <f>IF(M26=0,0,IF('Eingaben und Ergebnisse'!$A$12=2,'Eingaben und Ergebnisse'!$F$5/'Eingaben und Ergebnisse'!$F$7,IF('Eingaben und Ergebnisse'!$A$12=1,PMT('Eingaben und Ergebnisse'!$F$8,'Eingaben und Ergebnisse'!$F$7,'Eingaben und Ergebnisse'!$F$5)*-1-M28,0)))</f>
        <v>2265461.5384615385</v>
      </c>
      <c r="N27" s="32">
        <f>IF(N26=0,0,IF('Eingaben und Ergebnisse'!$A$12=2,'Eingaben und Ergebnisse'!$F$5/'Eingaben und Ergebnisse'!$F$7,IF('Eingaben und Ergebnisse'!$A$12=1,PMT('Eingaben und Ergebnisse'!$F$8,'Eingaben und Ergebnisse'!$F$7,'Eingaben und Ergebnisse'!$F$5)*-1-N28,0)))</f>
        <v>2265461.5384615385</v>
      </c>
      <c r="O27" s="32">
        <f>IF(O26=0,0,IF('Eingaben und Ergebnisse'!$A$12=2,'Eingaben und Ergebnisse'!$F$5/'Eingaben und Ergebnisse'!$F$7,IF('Eingaben und Ergebnisse'!$A$12=1,PMT('Eingaben und Ergebnisse'!$F$8,'Eingaben und Ergebnisse'!$F$7,'Eingaben und Ergebnisse'!$F$5)*-1-O28,0)))</f>
        <v>2265461.5384615385</v>
      </c>
      <c r="P27" s="32">
        <f>IF(P26=0,0,IF('Eingaben und Ergebnisse'!$A$12=2,'Eingaben und Ergebnisse'!$F$5/'Eingaben und Ergebnisse'!$F$7,IF('Eingaben und Ergebnisse'!$A$12=1,PMT('Eingaben und Ergebnisse'!$F$8,'Eingaben und Ergebnisse'!$F$7,'Eingaben und Ergebnisse'!$F$5)*-1-P28,0)))</f>
        <v>2265461.5384615385</v>
      </c>
      <c r="Q27" s="32">
        <f>IF(Q26=0,0,IF('Eingaben und Ergebnisse'!$A$12=2,'Eingaben und Ergebnisse'!$F$5/'Eingaben und Ergebnisse'!$F$7,IF('Eingaben und Ergebnisse'!$A$12=1,PMT('Eingaben und Ergebnisse'!$F$8,'Eingaben und Ergebnisse'!$F$7,'Eingaben und Ergebnisse'!$F$5)*-1-Q28,0)))</f>
        <v>2265461.5384615385</v>
      </c>
      <c r="R27" s="32">
        <f>IF(R26=0,0,IF('Eingaben und Ergebnisse'!$A$12=2,'Eingaben und Ergebnisse'!$F$5/'Eingaben und Ergebnisse'!$F$7,IF('Eingaben und Ergebnisse'!$A$12=1,PMT('Eingaben und Ergebnisse'!$F$8,'Eingaben und Ergebnisse'!$F$7,'Eingaben und Ergebnisse'!$F$5)*-1-R28,0)))</f>
        <v>2265461.5384615385</v>
      </c>
      <c r="S27" s="32">
        <f>IF(S26=0,0,IF('Eingaben und Ergebnisse'!$A$12=2,'Eingaben und Ergebnisse'!$F$5/'Eingaben und Ergebnisse'!$F$7,IF('Eingaben und Ergebnisse'!$A$12=1,PMT('Eingaben und Ergebnisse'!$F$8,'Eingaben und Ergebnisse'!$F$7,'Eingaben und Ergebnisse'!$F$5)*-1-S28,0)))</f>
        <v>2265461.5384615385</v>
      </c>
      <c r="T27" s="32">
        <f>IF(T26=0,0,IF('Eingaben und Ergebnisse'!$A$12=2,'Eingaben und Ergebnisse'!$F$5/'Eingaben und Ergebnisse'!$F$7,IF('Eingaben und Ergebnisse'!$A$12=1,PMT('Eingaben und Ergebnisse'!$F$8,'Eingaben und Ergebnisse'!$F$7,'Eingaben und Ergebnisse'!$F$5)*-1-T28,0)))</f>
        <v>0</v>
      </c>
      <c r="U27" s="32">
        <f>IF(U26=0,0,IF('Eingaben und Ergebnisse'!$A$12=2,'Eingaben und Ergebnisse'!$F$5/'Eingaben und Ergebnisse'!$F$7,IF('Eingaben und Ergebnisse'!$A$12=1,PMT('Eingaben und Ergebnisse'!$F$8,'Eingaben und Ergebnisse'!$F$7,'Eingaben und Ergebnisse'!$F$5)*-1-U28,0)))</f>
        <v>0</v>
      </c>
      <c r="V27" s="32">
        <f>IF(V26=0,0,IF('Eingaben und Ergebnisse'!$A$12=2,'Eingaben und Ergebnisse'!$F$5/'Eingaben und Ergebnisse'!$F$7,IF('Eingaben und Ergebnisse'!$A$12=1,PMT('Eingaben und Ergebnisse'!$F$8,'Eingaben und Ergebnisse'!$F$7,'Eingaben und Ergebnisse'!$F$5)*-1-V28,0)))</f>
        <v>0</v>
      </c>
      <c r="W27" s="32">
        <f>IF(W26=0,0,IF('Eingaben und Ergebnisse'!$A$12=2,'Eingaben und Ergebnisse'!$F$5/'Eingaben und Ergebnisse'!$F$7,IF('Eingaben und Ergebnisse'!$A$12=1,PMT('Eingaben und Ergebnisse'!$F$8,'Eingaben und Ergebnisse'!$F$7,'Eingaben und Ergebnisse'!$F$5)*-1-W28,0)))</f>
        <v>0</v>
      </c>
      <c r="X27" s="35">
        <f>IF(X26=0,0,IF('Eingaben und Ergebnisse'!$A$12=2,'Eingaben und Ergebnisse'!$F$5/'Eingaben und Ergebnisse'!$F$7,IF('Eingaben und Ergebnisse'!$A$12=1,PMT('Eingaben und Ergebnisse'!$F$8,'Eingaben und Ergebnisse'!$F$7,'Eingaben und Ergebnisse'!$F$5)*-1-X28,0)))</f>
        <v>0</v>
      </c>
    </row>
    <row r="28" spans="1:24" ht="15.75" thickBot="1">
      <c r="A28" s="20"/>
      <c r="B28" s="39" t="s">
        <v>104</v>
      </c>
      <c r="C28" s="1" t="s">
        <v>72</v>
      </c>
      <c r="E28" s="33">
        <f>IF('Eingaben und Ergebnisse'!$A$12=2,ROUND((E26-E27/2)*'Eingaben und Ergebnisse'!$F$8,2),IF('Eingaben und Ergebnisse'!$A$12=1,ROUND(E26*'Eingaben und Ergebnisse'!$F$8,2),0))</f>
        <v>618471</v>
      </c>
      <c r="F28" s="33">
        <f>IF('Eingaben und Ergebnisse'!$A$12=2,ROUND((F26-F27/2)*'Eingaben und Ergebnisse'!$F$8,2),IF('Eingaben und Ergebnisse'!$A$12=1,ROUND(F26*'Eingaben und Ergebnisse'!$F$8,2),0))</f>
        <v>618471</v>
      </c>
      <c r="G28" s="33">
        <f>IF('Eingaben und Ergebnisse'!$A$12=2,ROUND((G26-G27/2)*'Eingaben und Ergebnisse'!$F$8,2),IF('Eingaben und Ergebnisse'!$A$12=1,ROUND(G26*'Eingaben und Ergebnisse'!$F$8,2),0))</f>
        <v>594683.65</v>
      </c>
      <c r="H28" s="33">
        <f>IF('Eingaben und Ergebnisse'!$A$12=2,ROUND((H26-H27/2)*'Eingaben und Ergebnisse'!$F$8,2),IF('Eingaben und Ergebnisse'!$A$12=1,ROUND(H26*'Eingaben und Ergebnisse'!$F$8,2),0))</f>
        <v>547108.96</v>
      </c>
      <c r="I28" s="33">
        <f>IF('Eingaben und Ergebnisse'!$A$12=2,ROUND((I26-I27/2)*'Eingaben und Ergebnisse'!$F$8,2),IF('Eingaben und Ergebnisse'!$A$12=1,ROUND(I26*'Eingaben und Ergebnisse'!$F$8,2),0))</f>
        <v>499534.27</v>
      </c>
      <c r="J28" s="33">
        <f>IF('Eingaben und Ergebnisse'!$A$12=2,ROUND((J26-J27/2)*'Eingaben und Ergebnisse'!$F$8,2),IF('Eingaben und Ergebnisse'!$A$12=1,ROUND(J26*'Eingaben und Ergebnisse'!$F$8,2),0))</f>
        <v>451959.58</v>
      </c>
      <c r="K28" s="33">
        <f>IF('Eingaben und Ergebnisse'!$A$12=2,ROUND((K26-K27/2)*'Eingaben und Ergebnisse'!$F$8,2),IF('Eingaben und Ergebnisse'!$A$12=1,ROUND(K26*'Eingaben und Ergebnisse'!$F$8,2),0))</f>
        <v>404384.88</v>
      </c>
      <c r="L28" s="33">
        <f>IF('Eingaben und Ergebnisse'!$A$12=2,ROUND((L26-L27/2)*'Eingaben und Ergebnisse'!$F$8,2),IF('Eingaben und Ergebnisse'!$A$12=1,ROUND(L26*'Eingaben und Ergebnisse'!$F$8,2),0))</f>
        <v>356810.19</v>
      </c>
      <c r="M28" s="33">
        <f>IF('Eingaben und Ergebnisse'!$A$12=2,ROUND((M26-M27/2)*'Eingaben und Ergebnisse'!$F$8,2),IF('Eingaben und Ergebnisse'!$A$12=1,ROUND(M26*'Eingaben und Ergebnisse'!$F$8,2),0))</f>
        <v>309235.5</v>
      </c>
      <c r="N28" s="33">
        <f>IF('Eingaben und Ergebnisse'!$A$12=2,ROUND((N26-N27/2)*'Eingaben und Ergebnisse'!$F$8,2),IF('Eingaben und Ergebnisse'!$A$12=1,ROUND(N26*'Eingaben und Ergebnisse'!$F$8,2),0))</f>
        <v>261660.81</v>
      </c>
      <c r="O28" s="33">
        <f>IF('Eingaben und Ergebnisse'!$A$12=2,ROUND((O26-O27/2)*('Eingaben und Ergebnisse'!$F$8+0.01),2),IF('Eingaben und Ergebnisse'!$A$12=1,ROUND(O26*('Eingaben und Ergebnisse'!$F$8+0.01),2),0))</f>
        <v>316031.88</v>
      </c>
      <c r="P28" s="33">
        <f>IF('Eingaben und Ergebnisse'!$A$12=2,ROUND((P26-P27/2)*('Eingaben und Ergebnisse'!$F$8+0.01),2),IF('Eingaben und Ergebnisse'!$A$12=1,ROUND(P26*('Eingaben und Ergebnisse'!$F$8+0.01),2),0))</f>
        <v>245802.58</v>
      </c>
      <c r="Q28" s="33">
        <f>IF('Eingaben und Ergebnisse'!$A$12=2,ROUND((Q26-Q27/2)*('Eingaben und Ergebnisse'!$F$8+0.01),2),IF('Eingaben und Ergebnisse'!$A$12=1,ROUND(Q26*('Eingaben und Ergebnisse'!$F$8+0.01),2),0))</f>
        <v>175573.27</v>
      </c>
      <c r="R28" s="33">
        <f>IF('Eingaben und Ergebnisse'!$A$12=2,ROUND((R26-R27/2)*('Eingaben und Ergebnisse'!$F$8+0.01),2),IF('Eingaben und Ergebnisse'!$A$12=1,ROUND(R26*('Eingaben und Ergebnisse'!$F$8+0.01),2),0))</f>
        <v>105343.96</v>
      </c>
      <c r="S28" s="33">
        <f>IF('Eingaben und Ergebnisse'!$A$12=2,ROUND((S26-S27/2)*('Eingaben und Ergebnisse'!$F$8+0.01),2),IF('Eingaben und Ergebnisse'!$A$12=1,ROUND(S26*('Eingaben und Ergebnisse'!$F$8+0.01),2),0))</f>
        <v>35114.65</v>
      </c>
      <c r="T28" s="33">
        <f>IF('Eingaben und Ergebnisse'!$A$12=2,ROUND((T26-T27/2)*('Eingaben und Ergebnisse'!$F$8+0.01),2),IF('Eingaben und Ergebnisse'!$A$12=1,ROUND(T26*('Eingaben und Ergebnisse'!$F$8+0.01),2),0))</f>
        <v>0</v>
      </c>
      <c r="U28" s="33">
        <f>IF('Eingaben und Ergebnisse'!$A$12=2,ROUND((U26-U27/2)*('Eingaben und Ergebnisse'!$F$8+0.01),2),IF('Eingaben und Ergebnisse'!$A$12=1,ROUND(U26*('Eingaben und Ergebnisse'!$F$8+0.01),2),0))</f>
        <v>0</v>
      </c>
      <c r="V28" s="33">
        <f>IF('Eingaben und Ergebnisse'!$A$12=2,ROUND((V26-V27/2)*('Eingaben und Ergebnisse'!$F$8+0.01),2),IF('Eingaben und Ergebnisse'!$A$12=1,ROUND(V26*('Eingaben und Ergebnisse'!$F$8+0.01),2),0))</f>
        <v>0</v>
      </c>
      <c r="W28" s="33">
        <f>IF('Eingaben und Ergebnisse'!$A$12=2,ROUND((W26-W27/2)*('Eingaben und Ergebnisse'!$F$8+0.01),2),IF('Eingaben und Ergebnisse'!$A$12=1,ROUND(W26*('Eingaben und Ergebnisse'!$F$8+0.01),2),0))</f>
        <v>0</v>
      </c>
      <c r="X28" s="33">
        <f>IF('Eingaben und Ergebnisse'!$A$12=2,ROUND((X26-X27/2)*('Eingaben und Ergebnisse'!$F$8+0.01),2),IF('Eingaben und Ergebnisse'!$A$12=1,ROUND(X26*('Eingaben und Ergebnisse'!$F$8+0.01),2),0))</f>
        <v>0</v>
      </c>
    </row>
    <row r="29" spans="1:24" ht="16.5" thickTop="1" thickBot="1">
      <c r="A29" s="36"/>
      <c r="B29" s="40" t="s">
        <v>105</v>
      </c>
      <c r="C29" s="27" t="s">
        <v>72</v>
      </c>
      <c r="D29" s="29"/>
      <c r="E29" s="37">
        <f t="shared" ref="E29:X29" si="6">E27+E28</f>
        <v>618471</v>
      </c>
      <c r="F29" s="37">
        <f t="shared" si="6"/>
        <v>618471</v>
      </c>
      <c r="G29" s="37">
        <f t="shared" si="6"/>
        <v>2860145.1884615384</v>
      </c>
      <c r="H29" s="37">
        <f t="shared" si="6"/>
        <v>2812570.4984615385</v>
      </c>
      <c r="I29" s="37">
        <f t="shared" si="6"/>
        <v>2764995.8084615385</v>
      </c>
      <c r="J29" s="37">
        <f t="shared" si="6"/>
        <v>2717421.1184615386</v>
      </c>
      <c r="K29" s="37">
        <f t="shared" si="6"/>
        <v>2669846.4184615384</v>
      </c>
      <c r="L29" s="37">
        <f t="shared" si="6"/>
        <v>2622271.7284615384</v>
      </c>
      <c r="M29" s="37">
        <f t="shared" si="6"/>
        <v>2574697.0384615385</v>
      </c>
      <c r="N29" s="37">
        <f t="shared" si="6"/>
        <v>2527122.3484615386</v>
      </c>
      <c r="O29" s="37">
        <f t="shared" si="6"/>
        <v>2581493.4184615384</v>
      </c>
      <c r="P29" s="37">
        <f t="shared" si="6"/>
        <v>2511264.1184615386</v>
      </c>
      <c r="Q29" s="37">
        <f t="shared" si="6"/>
        <v>2441034.8084615385</v>
      </c>
      <c r="R29" s="37">
        <f t="shared" si="6"/>
        <v>2370805.4984615385</v>
      </c>
      <c r="S29" s="37">
        <f t="shared" si="6"/>
        <v>2300576.1884615384</v>
      </c>
      <c r="T29" s="37">
        <f t="shared" si="6"/>
        <v>0</v>
      </c>
      <c r="U29" s="37">
        <f t="shared" si="6"/>
        <v>0</v>
      </c>
      <c r="V29" s="37">
        <f t="shared" si="6"/>
        <v>0</v>
      </c>
      <c r="W29" s="37">
        <f t="shared" si="6"/>
        <v>0</v>
      </c>
      <c r="X29" s="38">
        <f t="shared" si="6"/>
        <v>0</v>
      </c>
    </row>
    <row r="30" spans="1:24" ht="16.5" thickTop="1" thickBot="1">
      <c r="B30" s="41"/>
      <c r="C30" s="3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</row>
    <row r="31" spans="1:24" ht="15.75" thickTop="1">
      <c r="A31" s="30" t="s">
        <v>106</v>
      </c>
      <c r="B31" s="44"/>
      <c r="C31" s="43"/>
      <c r="D31" s="18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54"/>
    </row>
    <row r="32" spans="1:24">
      <c r="A32" s="20"/>
      <c r="B32" s="10" t="s">
        <v>107</v>
      </c>
      <c r="C32" s="1" t="s">
        <v>72</v>
      </c>
      <c r="E32" s="32">
        <f t="shared" ref="E32:X32" si="7">E18</f>
        <v>3539465.0702</v>
      </c>
      <c r="F32" s="32">
        <f t="shared" si="7"/>
        <v>3497325.7702040002</v>
      </c>
      <c r="G32" s="32">
        <f t="shared" si="7"/>
        <v>3454343.6842080802</v>
      </c>
      <c r="H32" s="32">
        <f t="shared" si="7"/>
        <v>3410501.9564922415</v>
      </c>
      <c r="I32" s="32">
        <f t="shared" si="7"/>
        <v>3365783.3942220863</v>
      </c>
      <c r="J32" s="32">
        <f t="shared" si="7"/>
        <v>3320170.4607065283</v>
      </c>
      <c r="K32" s="32">
        <f t="shared" si="7"/>
        <v>3273645.2685206588</v>
      </c>
      <c r="L32" s="32">
        <f t="shared" si="7"/>
        <v>3226189.5724910721</v>
      </c>
      <c r="M32" s="32">
        <f t="shared" si="7"/>
        <v>3177784.7625408936</v>
      </c>
      <c r="N32" s="32">
        <f t="shared" si="7"/>
        <v>3128411.8563917116</v>
      </c>
      <c r="O32" s="32">
        <f t="shared" si="7"/>
        <v>3078051.492119546</v>
      </c>
      <c r="P32" s="32">
        <f t="shared" si="7"/>
        <v>3026683.9205619371</v>
      </c>
      <c r="Q32" s="32">
        <f t="shared" si="7"/>
        <v>2974288.9975731759</v>
      </c>
      <c r="R32" s="32">
        <f t="shared" si="7"/>
        <v>2920846.1761246393</v>
      </c>
      <c r="S32" s="32">
        <f t="shared" si="7"/>
        <v>2866334.4982471322</v>
      </c>
      <c r="T32" s="32">
        <f t="shared" si="7"/>
        <v>2810732.5868120748</v>
      </c>
      <c r="U32" s="32">
        <f t="shared" si="7"/>
        <v>2754018.637148316</v>
      </c>
      <c r="V32" s="32">
        <f t="shared" si="7"/>
        <v>2696170.4084912823</v>
      </c>
      <c r="W32" s="32">
        <f t="shared" si="7"/>
        <v>2637165.2152611078</v>
      </c>
      <c r="X32" s="35">
        <f t="shared" si="7"/>
        <v>2576979.9181663301</v>
      </c>
    </row>
    <row r="33" spans="1:24">
      <c r="A33" s="20"/>
      <c r="B33" s="41"/>
      <c r="C33" s="3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55"/>
    </row>
    <row r="34" spans="1:24">
      <c r="A34" s="20"/>
      <c r="B34" s="1" t="s">
        <v>104</v>
      </c>
      <c r="C34" s="1" t="s">
        <v>72</v>
      </c>
      <c r="E34" s="21">
        <f t="shared" ref="E34:X34" si="8">E28</f>
        <v>618471</v>
      </c>
      <c r="F34" s="21">
        <f t="shared" si="8"/>
        <v>618471</v>
      </c>
      <c r="G34" s="21">
        <f t="shared" si="8"/>
        <v>594683.65</v>
      </c>
      <c r="H34" s="21">
        <f t="shared" si="8"/>
        <v>547108.96</v>
      </c>
      <c r="I34" s="21">
        <f t="shared" si="8"/>
        <v>499534.27</v>
      </c>
      <c r="J34" s="21">
        <f t="shared" si="8"/>
        <v>451959.58</v>
      </c>
      <c r="K34" s="21">
        <f t="shared" si="8"/>
        <v>404384.88</v>
      </c>
      <c r="L34" s="21">
        <f t="shared" si="8"/>
        <v>356810.19</v>
      </c>
      <c r="M34" s="21">
        <f t="shared" si="8"/>
        <v>309235.5</v>
      </c>
      <c r="N34" s="21">
        <f t="shared" si="8"/>
        <v>261660.81</v>
      </c>
      <c r="O34" s="21">
        <f t="shared" si="8"/>
        <v>316031.88</v>
      </c>
      <c r="P34" s="21">
        <f t="shared" si="8"/>
        <v>245802.58</v>
      </c>
      <c r="Q34" s="21">
        <f t="shared" si="8"/>
        <v>175573.27</v>
      </c>
      <c r="R34" s="21">
        <f t="shared" si="8"/>
        <v>105343.96</v>
      </c>
      <c r="S34" s="21">
        <f t="shared" si="8"/>
        <v>35114.65</v>
      </c>
      <c r="T34" s="21">
        <f t="shared" si="8"/>
        <v>0</v>
      </c>
      <c r="U34" s="21">
        <f t="shared" si="8"/>
        <v>0</v>
      </c>
      <c r="V34" s="21">
        <f t="shared" si="8"/>
        <v>0</v>
      </c>
      <c r="W34" s="21">
        <f t="shared" si="8"/>
        <v>0</v>
      </c>
      <c r="X34" s="25">
        <f t="shared" si="8"/>
        <v>0</v>
      </c>
    </row>
    <row r="35" spans="1:24" ht="15.75" thickBot="1">
      <c r="A35" s="20"/>
      <c r="B35" s="10" t="s">
        <v>11</v>
      </c>
      <c r="C35" s="1" t="s">
        <v>72</v>
      </c>
      <c r="E35" s="32">
        <f t="shared" ref="E35:X35" si="9">E20</f>
        <v>2300859.375</v>
      </c>
      <c r="F35" s="32">
        <f t="shared" si="9"/>
        <v>2300859.375</v>
      </c>
      <c r="G35" s="32">
        <f t="shared" si="9"/>
        <v>2300859.375</v>
      </c>
      <c r="H35" s="32">
        <f t="shared" si="9"/>
        <v>2300859.375</v>
      </c>
      <c r="I35" s="32">
        <f t="shared" si="9"/>
        <v>2300859.375</v>
      </c>
      <c r="J35" s="32">
        <f t="shared" si="9"/>
        <v>2300859.375</v>
      </c>
      <c r="K35" s="32">
        <f t="shared" si="9"/>
        <v>2300859.375</v>
      </c>
      <c r="L35" s="32">
        <f t="shared" si="9"/>
        <v>2300859.375</v>
      </c>
      <c r="M35" s="32">
        <f t="shared" si="9"/>
        <v>2300859.375</v>
      </c>
      <c r="N35" s="32">
        <f t="shared" si="9"/>
        <v>2300859.375</v>
      </c>
      <c r="O35" s="32">
        <f t="shared" si="9"/>
        <v>2300859.375</v>
      </c>
      <c r="P35" s="32">
        <f t="shared" si="9"/>
        <v>2300859.375</v>
      </c>
      <c r="Q35" s="32">
        <f t="shared" si="9"/>
        <v>2300859.375</v>
      </c>
      <c r="R35" s="32">
        <f t="shared" si="9"/>
        <v>2300859.375</v>
      </c>
      <c r="S35" s="32">
        <f t="shared" si="9"/>
        <v>2300859.375</v>
      </c>
      <c r="T35" s="32">
        <f t="shared" si="9"/>
        <v>2300859.375</v>
      </c>
      <c r="U35" s="32">
        <f t="shared" si="9"/>
        <v>0</v>
      </c>
      <c r="V35" s="32">
        <f t="shared" si="9"/>
        <v>0</v>
      </c>
      <c r="W35" s="32">
        <f t="shared" si="9"/>
        <v>0</v>
      </c>
      <c r="X35" s="35">
        <f t="shared" si="9"/>
        <v>0</v>
      </c>
    </row>
    <row r="36" spans="1:24" ht="15.75" thickTop="1">
      <c r="A36" s="56"/>
      <c r="B36" s="34" t="s">
        <v>108</v>
      </c>
      <c r="C36" s="34" t="s">
        <v>72</v>
      </c>
      <c r="D36" s="34"/>
      <c r="E36" s="49">
        <f t="shared" ref="E36:X36" si="10">E18-E20-E34</f>
        <v>620134.69519999996</v>
      </c>
      <c r="F36" s="49">
        <f t="shared" si="10"/>
        <v>577995.39520400017</v>
      </c>
      <c r="G36" s="49">
        <f t="shared" si="10"/>
        <v>558800.65920808015</v>
      </c>
      <c r="H36" s="49">
        <f t="shared" si="10"/>
        <v>562533.62149224151</v>
      </c>
      <c r="I36" s="49">
        <f t="shared" si="10"/>
        <v>565389.74922208628</v>
      </c>
      <c r="J36" s="49">
        <f t="shared" si="10"/>
        <v>567351.5057065282</v>
      </c>
      <c r="K36" s="49">
        <f t="shared" si="10"/>
        <v>568401.01352065883</v>
      </c>
      <c r="L36" s="49">
        <f t="shared" si="10"/>
        <v>568520.00749107217</v>
      </c>
      <c r="M36" s="49">
        <f t="shared" si="10"/>
        <v>567689.88754089363</v>
      </c>
      <c r="N36" s="49">
        <f t="shared" si="10"/>
        <v>565891.67139171157</v>
      </c>
      <c r="O36" s="49">
        <f t="shared" si="10"/>
        <v>461160.23711954604</v>
      </c>
      <c r="P36" s="49">
        <f t="shared" si="10"/>
        <v>480021.96556193719</v>
      </c>
      <c r="Q36" s="49">
        <f t="shared" si="10"/>
        <v>497856.35257317591</v>
      </c>
      <c r="R36" s="49">
        <f t="shared" si="10"/>
        <v>514642.84112463932</v>
      </c>
      <c r="S36" s="49">
        <f t="shared" si="10"/>
        <v>530360.47324713215</v>
      </c>
      <c r="T36" s="49">
        <f t="shared" si="10"/>
        <v>509873.21181207476</v>
      </c>
      <c r="U36" s="49">
        <f t="shared" si="10"/>
        <v>2754018.637148316</v>
      </c>
      <c r="V36" s="49">
        <f t="shared" si="10"/>
        <v>2696170.4084912823</v>
      </c>
      <c r="W36" s="49">
        <f t="shared" si="10"/>
        <v>2637165.2152611078</v>
      </c>
      <c r="X36" s="57">
        <f t="shared" si="10"/>
        <v>2576979.9181663301</v>
      </c>
    </row>
    <row r="37" spans="1:24">
      <c r="A37" s="56"/>
      <c r="B37" s="10"/>
      <c r="C37" s="10"/>
      <c r="D37" s="1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5"/>
    </row>
    <row r="38" spans="1:24">
      <c r="A38" s="58" t="s">
        <v>109</v>
      </c>
      <c r="B38" s="9"/>
      <c r="C38" s="9"/>
      <c r="D38" s="9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59"/>
    </row>
    <row r="39" spans="1:24">
      <c r="A39" s="56"/>
      <c r="B39" s="10" t="s">
        <v>110</v>
      </c>
      <c r="C39" s="10"/>
      <c r="D39" s="10" t="s">
        <v>72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5"/>
    </row>
    <row r="40" spans="1:24" ht="15.75" thickBot="1">
      <c r="A40" s="20"/>
      <c r="B40" s="10" t="s">
        <v>111</v>
      </c>
      <c r="D40" s="1" t="s">
        <v>72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5"/>
    </row>
    <row r="41" spans="1:24" ht="15.75" thickTop="1">
      <c r="A41" s="60"/>
      <c r="B41" s="47" t="s">
        <v>112</v>
      </c>
      <c r="C41" s="48"/>
      <c r="D41" s="48" t="s">
        <v>72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</row>
    <row r="42" spans="1:24">
      <c r="A42" s="20"/>
      <c r="B42" s="1" t="s">
        <v>113</v>
      </c>
      <c r="E42" s="278">
        <f>'Weitere Eingaben'!$D$123</f>
        <v>0.15</v>
      </c>
      <c r="F42" s="278">
        <f>'Weitere Eingaben'!$D$123</f>
        <v>0.15</v>
      </c>
      <c r="G42" s="278">
        <f>'Weitere Eingaben'!$D$123</f>
        <v>0.15</v>
      </c>
      <c r="H42" s="278">
        <f>'Weitere Eingaben'!$D$123</f>
        <v>0.15</v>
      </c>
      <c r="I42" s="278">
        <f>'Weitere Eingaben'!$D$123</f>
        <v>0.15</v>
      </c>
      <c r="J42" s="278">
        <f>'Weitere Eingaben'!$D$123</f>
        <v>0.15</v>
      </c>
      <c r="K42" s="278">
        <f>'Weitere Eingaben'!$D$123</f>
        <v>0.15</v>
      </c>
      <c r="L42" s="278">
        <f>'Weitere Eingaben'!$D$123</f>
        <v>0.15</v>
      </c>
      <c r="M42" s="278">
        <f>'Weitere Eingaben'!$D$123</f>
        <v>0.15</v>
      </c>
      <c r="N42" s="278">
        <f>'Weitere Eingaben'!$D$123</f>
        <v>0.15</v>
      </c>
      <c r="O42" s="278">
        <f>'Weitere Eingaben'!$D$123</f>
        <v>0.15</v>
      </c>
      <c r="P42" s="278">
        <f>'Weitere Eingaben'!$D$123</f>
        <v>0.15</v>
      </c>
      <c r="Q42" s="278">
        <f>'Weitere Eingaben'!$D$123</f>
        <v>0.15</v>
      </c>
      <c r="R42" s="278">
        <f>'Weitere Eingaben'!$D$123</f>
        <v>0.15</v>
      </c>
      <c r="S42" s="278">
        <f>'Weitere Eingaben'!$D$123</f>
        <v>0.15</v>
      </c>
      <c r="T42" s="278">
        <f>'Weitere Eingaben'!$D$123</f>
        <v>0.15</v>
      </c>
      <c r="U42" s="278">
        <f>'Weitere Eingaben'!$D$123</f>
        <v>0.15</v>
      </c>
      <c r="V42" s="278">
        <f>'Weitere Eingaben'!$D$123</f>
        <v>0.15</v>
      </c>
      <c r="W42" s="278">
        <f>'Weitere Eingaben'!$D$123</f>
        <v>0.15</v>
      </c>
      <c r="X42" s="278">
        <f>'Weitere Eingaben'!$D$123</f>
        <v>0.15</v>
      </c>
    </row>
    <row r="43" spans="1:24">
      <c r="A43" s="20"/>
      <c r="B43" s="279" t="s">
        <v>114</v>
      </c>
      <c r="C43" s="279"/>
      <c r="D43" s="279"/>
      <c r="E43" s="280">
        <f>'Weitere Eingaben'!$D$124</f>
        <v>5.5E-2</v>
      </c>
      <c r="F43" s="280">
        <f>'Weitere Eingaben'!$D$124</f>
        <v>5.5E-2</v>
      </c>
      <c r="G43" s="280">
        <f>'Weitere Eingaben'!$D$124</f>
        <v>5.5E-2</v>
      </c>
      <c r="H43" s="280">
        <f>'Weitere Eingaben'!$D$124</f>
        <v>5.5E-2</v>
      </c>
      <c r="I43" s="280">
        <f>'Weitere Eingaben'!$D$124</f>
        <v>5.5E-2</v>
      </c>
      <c r="J43" s="280">
        <f>'Weitere Eingaben'!$D$124</f>
        <v>5.5E-2</v>
      </c>
      <c r="K43" s="280">
        <f>'Weitere Eingaben'!$D$124</f>
        <v>5.5E-2</v>
      </c>
      <c r="L43" s="280">
        <f>'Weitere Eingaben'!$D$124</f>
        <v>5.5E-2</v>
      </c>
      <c r="M43" s="280">
        <f>'Weitere Eingaben'!$D$124</f>
        <v>5.5E-2</v>
      </c>
      <c r="N43" s="280">
        <f>'Weitere Eingaben'!$D$124</f>
        <v>5.5E-2</v>
      </c>
      <c r="O43" s="280">
        <f>'Weitere Eingaben'!$D$124</f>
        <v>5.5E-2</v>
      </c>
      <c r="P43" s="280">
        <f>'Weitere Eingaben'!$D$124</f>
        <v>5.5E-2</v>
      </c>
      <c r="Q43" s="280">
        <f>'Weitere Eingaben'!$D$124</f>
        <v>5.5E-2</v>
      </c>
      <c r="R43" s="280">
        <f>'Weitere Eingaben'!$D$124</f>
        <v>5.5E-2</v>
      </c>
      <c r="S43" s="280">
        <f>'Weitere Eingaben'!$D$124</f>
        <v>5.5E-2</v>
      </c>
      <c r="T43" s="280">
        <f>'Weitere Eingaben'!$D$124</f>
        <v>5.5E-2</v>
      </c>
      <c r="U43" s="280">
        <f>'Weitere Eingaben'!$D$124</f>
        <v>5.5E-2</v>
      </c>
      <c r="V43" s="280">
        <f>'Weitere Eingaben'!$D$124</f>
        <v>5.5E-2</v>
      </c>
      <c r="W43" s="280">
        <f>'Weitere Eingaben'!$D$124</f>
        <v>5.5E-2</v>
      </c>
      <c r="X43" s="280">
        <f>'Weitere Eingaben'!$D$124</f>
        <v>5.5E-2</v>
      </c>
    </row>
    <row r="44" spans="1:24">
      <c r="A44" s="20"/>
      <c r="B44" s="10" t="s">
        <v>115</v>
      </c>
      <c r="E44" s="281">
        <f>E36-(E42*E36)-(E43*E36)</f>
        <v>493007.08268400002</v>
      </c>
      <c r="F44" s="281">
        <f t="shared" ref="F44:X44" si="11">F36-(F42*F36)-(F43*F36)</f>
        <v>459506.3391871801</v>
      </c>
      <c r="G44" s="281">
        <f t="shared" si="11"/>
        <v>444246.52407042374</v>
      </c>
      <c r="H44" s="281">
        <f t="shared" si="11"/>
        <v>447214.22908633202</v>
      </c>
      <c r="I44" s="281">
        <f t="shared" si="11"/>
        <v>449484.85063155863</v>
      </c>
      <c r="J44" s="281">
        <f t="shared" si="11"/>
        <v>451044.4470366899</v>
      </c>
      <c r="K44" s="281">
        <f t="shared" si="11"/>
        <v>451878.8057489238</v>
      </c>
      <c r="L44" s="281">
        <f t="shared" si="11"/>
        <v>451973.40595540236</v>
      </c>
      <c r="M44" s="281">
        <f t="shared" si="11"/>
        <v>451313.46059501043</v>
      </c>
      <c r="N44" s="281">
        <f t="shared" si="11"/>
        <v>449883.87875641068</v>
      </c>
      <c r="O44" s="281">
        <f t="shared" si="11"/>
        <v>366622.38851003913</v>
      </c>
      <c r="P44" s="281">
        <f t="shared" si="11"/>
        <v>381617.46262174007</v>
      </c>
      <c r="Q44" s="281">
        <f t="shared" si="11"/>
        <v>395795.80029567482</v>
      </c>
      <c r="R44" s="281">
        <f t="shared" si="11"/>
        <v>409141.05869408825</v>
      </c>
      <c r="S44" s="281">
        <f t="shared" si="11"/>
        <v>421636.5762314701</v>
      </c>
      <c r="T44" s="281">
        <f t="shared" si="11"/>
        <v>405349.20339059946</v>
      </c>
      <c r="U44" s="281">
        <f t="shared" si="11"/>
        <v>2189444.8165329113</v>
      </c>
      <c r="V44" s="281">
        <f t="shared" si="11"/>
        <v>2143455.4747505696</v>
      </c>
      <c r="W44" s="281">
        <f t="shared" si="11"/>
        <v>2096546.3461325809</v>
      </c>
      <c r="X44" s="281">
        <f t="shared" si="11"/>
        <v>2048699.0349422323</v>
      </c>
    </row>
    <row r="45" spans="1:24">
      <c r="A45" s="61" t="s">
        <v>116</v>
      </c>
      <c r="B45" s="9"/>
      <c r="C45" s="8"/>
      <c r="D45" s="8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</row>
    <row r="46" spans="1:24">
      <c r="A46" s="20"/>
      <c r="B46" s="10" t="s">
        <v>117</v>
      </c>
      <c r="D46" s="1" t="s">
        <v>65</v>
      </c>
      <c r="E46" s="50">
        <f>'Eingaben und Ergebnisse'!$K$5</f>
        <v>0.13300000000000001</v>
      </c>
      <c r="F46" s="50">
        <f>'Eingaben und Ergebnisse'!$K$5</f>
        <v>0.13300000000000001</v>
      </c>
      <c r="G46" s="50">
        <f>'Eingaben und Ergebnisse'!$K$5</f>
        <v>0.13300000000000001</v>
      </c>
      <c r="H46" s="50">
        <f>'Eingaben und Ergebnisse'!$K$5</f>
        <v>0.13300000000000001</v>
      </c>
      <c r="I46" s="50">
        <f>'Eingaben und Ergebnisse'!$K$5</f>
        <v>0.13300000000000001</v>
      </c>
      <c r="J46" s="50">
        <f>'Eingaben und Ergebnisse'!$K$5</f>
        <v>0.13300000000000001</v>
      </c>
      <c r="K46" s="50">
        <f>'Eingaben und Ergebnisse'!$K$5</f>
        <v>0.13300000000000001</v>
      </c>
      <c r="L46" s="50">
        <f>'Eingaben und Ergebnisse'!$K$5</f>
        <v>0.13300000000000001</v>
      </c>
      <c r="M46" s="50">
        <f>'Eingaben und Ergebnisse'!$K$5</f>
        <v>0.13300000000000001</v>
      </c>
      <c r="N46" s="50">
        <f>'Eingaben und Ergebnisse'!$K$5</f>
        <v>0.13300000000000001</v>
      </c>
      <c r="O46" s="50">
        <f>'Eingaben und Ergebnisse'!$K$5</f>
        <v>0.13300000000000001</v>
      </c>
      <c r="P46" s="50">
        <f>'Eingaben und Ergebnisse'!$K$5</f>
        <v>0.13300000000000001</v>
      </c>
      <c r="Q46" s="50">
        <f>'Eingaben und Ergebnisse'!$K$5</f>
        <v>0.13300000000000001</v>
      </c>
      <c r="R46" s="50">
        <f>'Eingaben und Ergebnisse'!$K$5</f>
        <v>0.13300000000000001</v>
      </c>
      <c r="S46" s="50">
        <f>'Eingaben und Ergebnisse'!$K$5</f>
        <v>0.13300000000000001</v>
      </c>
      <c r="T46" s="50">
        <f>'Eingaben und Ergebnisse'!$K$5</f>
        <v>0.13300000000000001</v>
      </c>
      <c r="U46" s="50">
        <f>'Eingaben und Ergebnisse'!$K$5</f>
        <v>0.13300000000000001</v>
      </c>
      <c r="V46" s="50">
        <f>'Eingaben und Ergebnisse'!$K$5</f>
        <v>0.13300000000000001</v>
      </c>
      <c r="W46" s="50">
        <f>'Eingaben und Ergebnisse'!$K$5</f>
        <v>0.13300000000000001</v>
      </c>
      <c r="X46" s="50">
        <f>'Eingaben und Ergebnisse'!$K$5</f>
        <v>0.13300000000000001</v>
      </c>
    </row>
    <row r="47" spans="1:24" ht="15.75" thickBot="1">
      <c r="A47" s="20"/>
      <c r="B47" s="10" t="s">
        <v>109</v>
      </c>
      <c r="D47" s="1" t="s">
        <v>72</v>
      </c>
      <c r="E47" s="21">
        <f>E44</f>
        <v>493007.08268400002</v>
      </c>
      <c r="F47" s="21">
        <f t="shared" ref="F47:X47" si="12">F44</f>
        <v>459506.3391871801</v>
      </c>
      <c r="G47" s="21">
        <f t="shared" si="12"/>
        <v>444246.52407042374</v>
      </c>
      <c r="H47" s="21">
        <f t="shared" si="12"/>
        <v>447214.22908633202</v>
      </c>
      <c r="I47" s="21">
        <f t="shared" si="12"/>
        <v>449484.85063155863</v>
      </c>
      <c r="J47" s="21">
        <f t="shared" si="12"/>
        <v>451044.4470366899</v>
      </c>
      <c r="K47" s="21">
        <f t="shared" si="12"/>
        <v>451878.8057489238</v>
      </c>
      <c r="L47" s="21">
        <f t="shared" si="12"/>
        <v>451973.40595540236</v>
      </c>
      <c r="M47" s="21">
        <f t="shared" si="12"/>
        <v>451313.46059501043</v>
      </c>
      <c r="N47" s="21">
        <f t="shared" si="12"/>
        <v>449883.87875641068</v>
      </c>
      <c r="O47" s="21">
        <f t="shared" si="12"/>
        <v>366622.38851003913</v>
      </c>
      <c r="P47" s="21">
        <f t="shared" si="12"/>
        <v>381617.46262174007</v>
      </c>
      <c r="Q47" s="21">
        <f t="shared" si="12"/>
        <v>395795.80029567482</v>
      </c>
      <c r="R47" s="21">
        <f t="shared" si="12"/>
        <v>409141.05869408825</v>
      </c>
      <c r="S47" s="21">
        <f t="shared" si="12"/>
        <v>421636.5762314701</v>
      </c>
      <c r="T47" s="21">
        <f t="shared" si="12"/>
        <v>405349.20339059946</v>
      </c>
      <c r="U47" s="21">
        <f t="shared" si="12"/>
        <v>2189444.8165329113</v>
      </c>
      <c r="V47" s="21">
        <f t="shared" si="12"/>
        <v>2143455.4747505696</v>
      </c>
      <c r="W47" s="21">
        <f t="shared" si="12"/>
        <v>2096546.3461325809</v>
      </c>
      <c r="X47" s="21">
        <f t="shared" si="12"/>
        <v>2048699.0349422323</v>
      </c>
    </row>
    <row r="48" spans="1:24" ht="15.75" thickTop="1">
      <c r="A48" s="60"/>
      <c r="B48" s="47" t="s">
        <v>116</v>
      </c>
      <c r="C48" s="52"/>
      <c r="D48" s="48" t="s">
        <v>72</v>
      </c>
      <c r="E48" s="53">
        <f>IF(E46*E47&gt;=0,E46*E47,0)</f>
        <v>65569.941996972004</v>
      </c>
      <c r="F48" s="53">
        <f t="shared" ref="F48:X48" si="13">IF(F46*F47&gt;=0,F46*F47,0)</f>
        <v>61114.343111894959</v>
      </c>
      <c r="G48" s="53">
        <f t="shared" si="13"/>
        <v>59084.78770136636</v>
      </c>
      <c r="H48" s="53">
        <f t="shared" si="13"/>
        <v>59479.49246848216</v>
      </c>
      <c r="I48" s="53">
        <f t="shared" si="13"/>
        <v>59781.485133997303</v>
      </c>
      <c r="J48" s="53">
        <f t="shared" si="13"/>
        <v>59988.911455879759</v>
      </c>
      <c r="K48" s="53">
        <f t="shared" si="13"/>
        <v>60099.881164606872</v>
      </c>
      <c r="L48" s="53">
        <f t="shared" si="13"/>
        <v>60112.462992068518</v>
      </c>
      <c r="M48" s="53">
        <f t="shared" si="13"/>
        <v>60024.690259136391</v>
      </c>
      <c r="N48" s="53">
        <f t="shared" si="13"/>
        <v>59834.555874602622</v>
      </c>
      <c r="O48" s="53">
        <f t="shared" si="13"/>
        <v>48760.777671835211</v>
      </c>
      <c r="P48" s="53">
        <f t="shared" si="13"/>
        <v>50755.122528691434</v>
      </c>
      <c r="Q48" s="53">
        <f t="shared" si="13"/>
        <v>52640.841439324751</v>
      </c>
      <c r="R48" s="53">
        <f t="shared" si="13"/>
        <v>54415.760806313738</v>
      </c>
      <c r="S48" s="53">
        <f t="shared" si="13"/>
        <v>56077.664638785529</v>
      </c>
      <c r="T48" s="53">
        <f t="shared" si="13"/>
        <v>53911.444050949729</v>
      </c>
      <c r="U48" s="53">
        <f t="shared" si="13"/>
        <v>291196.16059887724</v>
      </c>
      <c r="V48" s="53">
        <f t="shared" si="13"/>
        <v>285079.57814182574</v>
      </c>
      <c r="W48" s="53">
        <f t="shared" si="13"/>
        <v>278840.66403563326</v>
      </c>
      <c r="X48" s="53">
        <f t="shared" si="13"/>
        <v>272476.97164731694</v>
      </c>
    </row>
    <row r="49" spans="1:24">
      <c r="A49" s="20"/>
      <c r="B49" s="10"/>
      <c r="C49" s="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spans="1:24">
      <c r="A50" s="20"/>
      <c r="B50" s="10" t="s">
        <v>118</v>
      </c>
      <c r="C50" s="1" t="s">
        <v>72</v>
      </c>
      <c r="E50" s="32">
        <f>E48+E39-E44</f>
        <v>-427437.140687028</v>
      </c>
      <c r="F50" s="32">
        <f t="shared" ref="F50:X50" si="14">F48+F39-F44</f>
        <v>-398391.99607528513</v>
      </c>
      <c r="G50" s="32">
        <f t="shared" si="14"/>
        <v>-385161.73636905738</v>
      </c>
      <c r="H50" s="32">
        <f t="shared" si="14"/>
        <v>-387734.73661784985</v>
      </c>
      <c r="I50" s="32">
        <f t="shared" si="14"/>
        <v>-389703.36549756135</v>
      </c>
      <c r="J50" s="32">
        <f t="shared" si="14"/>
        <v>-391055.53558081016</v>
      </c>
      <c r="K50" s="32">
        <f t="shared" si="14"/>
        <v>-391778.9245843169</v>
      </c>
      <c r="L50" s="32">
        <f t="shared" si="14"/>
        <v>-391860.94296333386</v>
      </c>
      <c r="M50" s="32">
        <f t="shared" si="14"/>
        <v>-391288.77033587405</v>
      </c>
      <c r="N50" s="32">
        <f>N48+N39-N44</f>
        <v>-390049.32288180804</v>
      </c>
      <c r="O50" s="32">
        <f t="shared" si="14"/>
        <v>-317861.61083820392</v>
      </c>
      <c r="P50" s="32">
        <f t="shared" si="14"/>
        <v>-330862.34009304864</v>
      </c>
      <c r="Q50" s="32">
        <f t="shared" si="14"/>
        <v>-343154.95885635004</v>
      </c>
      <c r="R50" s="32">
        <f t="shared" si="14"/>
        <v>-354725.29788777453</v>
      </c>
      <c r="S50" s="32">
        <f t="shared" si="14"/>
        <v>-365558.91159268457</v>
      </c>
      <c r="T50" s="32">
        <f t="shared" si="14"/>
        <v>-351437.75933964975</v>
      </c>
      <c r="U50" s="32">
        <f t="shared" si="14"/>
        <v>-1898248.6559340339</v>
      </c>
      <c r="V50" s="32">
        <f t="shared" si="14"/>
        <v>-1858375.8966087438</v>
      </c>
      <c r="W50" s="32">
        <f t="shared" si="14"/>
        <v>-1817705.6820969477</v>
      </c>
      <c r="X50" s="32">
        <f t="shared" si="14"/>
        <v>-1776222.0632949155</v>
      </c>
    </row>
    <row r="51" spans="1:24" ht="15.75" thickBot="1">
      <c r="A51" s="36"/>
      <c r="B51" s="39" t="s">
        <v>119</v>
      </c>
      <c r="C51" s="62" t="s">
        <v>72</v>
      </c>
      <c r="D51" s="63">
        <f>D18</f>
        <v>-36813750</v>
      </c>
      <c r="E51" s="33">
        <f>E36-E50</f>
        <v>1047571.8358870279</v>
      </c>
      <c r="F51" s="33">
        <f t="shared" ref="F51:X51" si="15">F36-F50</f>
        <v>976387.39127928531</v>
      </c>
      <c r="G51" s="33">
        <f t="shared" si="15"/>
        <v>943962.39557713759</v>
      </c>
      <c r="H51" s="33">
        <f t="shared" si="15"/>
        <v>950268.35811009142</v>
      </c>
      <c r="I51" s="33">
        <f t="shared" si="15"/>
        <v>955093.11471964768</v>
      </c>
      <c r="J51" s="33">
        <f t="shared" si="15"/>
        <v>958407.04128733836</v>
      </c>
      <c r="K51" s="33">
        <f t="shared" si="15"/>
        <v>960179.93810497574</v>
      </c>
      <c r="L51" s="33">
        <f t="shared" si="15"/>
        <v>960380.95045440597</v>
      </c>
      <c r="M51" s="33">
        <f t="shared" si="15"/>
        <v>958978.65787676768</v>
      </c>
      <c r="N51" s="33">
        <f t="shared" si="15"/>
        <v>955940.99427351961</v>
      </c>
      <c r="O51" s="33">
        <f t="shared" si="15"/>
        <v>779021.84795774997</v>
      </c>
      <c r="P51" s="33">
        <f t="shared" si="15"/>
        <v>810884.30565498583</v>
      </c>
      <c r="Q51" s="33">
        <f t="shared" si="15"/>
        <v>841011.31142952596</v>
      </c>
      <c r="R51" s="33">
        <f t="shared" si="15"/>
        <v>869368.1390124138</v>
      </c>
      <c r="S51" s="33">
        <f t="shared" si="15"/>
        <v>895919.38483981672</v>
      </c>
      <c r="T51" s="33">
        <f t="shared" si="15"/>
        <v>861310.97115172446</v>
      </c>
      <c r="U51" s="33">
        <f t="shared" si="15"/>
        <v>4652267.2930823499</v>
      </c>
      <c r="V51" s="33">
        <f t="shared" si="15"/>
        <v>4554546.3051000256</v>
      </c>
      <c r="W51" s="33">
        <f t="shared" si="15"/>
        <v>4454870.8973580552</v>
      </c>
      <c r="X51" s="33">
        <f t="shared" si="15"/>
        <v>4353201.9814612456</v>
      </c>
    </row>
    <row r="52" spans="1:24" ht="16.5" thickTop="1" thickBot="1">
      <c r="A52" s="10"/>
      <c r="B52" s="10"/>
      <c r="C52" s="10"/>
      <c r="D52" s="64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spans="1:24" ht="16.5" thickTop="1" thickBot="1">
      <c r="A53" s="65" t="s">
        <v>120</v>
      </c>
      <c r="B53" s="66"/>
      <c r="C53" s="67" t="s">
        <v>97</v>
      </c>
      <c r="D53" s="68">
        <f>D16*-1</f>
        <v>-36813750</v>
      </c>
      <c r="E53" s="68">
        <f>E18-E50</f>
        <v>3966902.2108870279</v>
      </c>
      <c r="F53" s="68">
        <f t="shared" ref="F53:X53" si="16">F18-F50</f>
        <v>3895717.7662792853</v>
      </c>
      <c r="G53" s="68">
        <f t="shared" si="16"/>
        <v>3839505.4205771377</v>
      </c>
      <c r="H53" s="68">
        <f t="shared" si="16"/>
        <v>3798236.6931100911</v>
      </c>
      <c r="I53" s="68">
        <f t="shared" si="16"/>
        <v>3755486.7597196475</v>
      </c>
      <c r="J53" s="68">
        <f t="shared" si="16"/>
        <v>3711225.9962873384</v>
      </c>
      <c r="K53" s="68">
        <f t="shared" si="16"/>
        <v>3665424.1931049759</v>
      </c>
      <c r="L53" s="68">
        <f t="shared" si="16"/>
        <v>3618050.5154544059</v>
      </c>
      <c r="M53" s="68">
        <f t="shared" si="16"/>
        <v>3569073.5328767677</v>
      </c>
      <c r="N53" s="68">
        <f t="shared" si="16"/>
        <v>3518461.1792735197</v>
      </c>
      <c r="O53" s="68">
        <f t="shared" si="16"/>
        <v>3395913.1029577497</v>
      </c>
      <c r="P53" s="68">
        <f t="shared" si="16"/>
        <v>3357546.2606549859</v>
      </c>
      <c r="Q53" s="68">
        <f t="shared" si="16"/>
        <v>3317443.9564295262</v>
      </c>
      <c r="R53" s="68">
        <f t="shared" si="16"/>
        <v>3275571.474012414</v>
      </c>
      <c r="S53" s="68">
        <f t="shared" si="16"/>
        <v>3231893.4098398169</v>
      </c>
      <c r="T53" s="68">
        <f t="shared" si="16"/>
        <v>3162170.3461517245</v>
      </c>
      <c r="U53" s="68">
        <f t="shared" si="16"/>
        <v>4652267.2930823499</v>
      </c>
      <c r="V53" s="68">
        <f t="shared" si="16"/>
        <v>4554546.3051000256</v>
      </c>
      <c r="W53" s="68">
        <f t="shared" si="16"/>
        <v>4454870.8973580552</v>
      </c>
      <c r="X53" s="68">
        <f t="shared" si="16"/>
        <v>4353201.9814612456</v>
      </c>
    </row>
    <row r="54" spans="1:24" ht="16.5" thickTop="1" thickBot="1">
      <c r="A54" s="10"/>
      <c r="B54" s="10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6.5" thickTop="1" thickBot="1">
      <c r="A55" s="65" t="s">
        <v>120</v>
      </c>
      <c r="B55" s="67"/>
      <c r="C55" s="67" t="s">
        <v>14</v>
      </c>
      <c r="D55" s="68">
        <f>D53</f>
        <v>-36813750</v>
      </c>
      <c r="E55" s="68">
        <f t="shared" ref="E55:X55" si="17">E53*E6</f>
        <v>3966902.2108870279</v>
      </c>
      <c r="F55" s="68">
        <f t="shared" si="17"/>
        <v>3895717.7662792853</v>
      </c>
      <c r="G55" s="68">
        <f t="shared" si="17"/>
        <v>3839505.4205771377</v>
      </c>
      <c r="H55" s="68">
        <f t="shared" si="17"/>
        <v>3798236.6931100911</v>
      </c>
      <c r="I55" s="68">
        <f t="shared" si="17"/>
        <v>3755486.7597196475</v>
      </c>
      <c r="J55" s="68">
        <f t="shared" si="17"/>
        <v>3711225.9962873384</v>
      </c>
      <c r="K55" s="68">
        <f t="shared" si="17"/>
        <v>3665424.1931049759</v>
      </c>
      <c r="L55" s="68">
        <f t="shared" si="17"/>
        <v>3618050.5154544059</v>
      </c>
      <c r="M55" s="68">
        <f t="shared" si="17"/>
        <v>3569073.5328767677</v>
      </c>
      <c r="N55" s="68">
        <f t="shared" si="17"/>
        <v>3518461.1792735197</v>
      </c>
      <c r="O55" s="68">
        <f t="shared" si="17"/>
        <v>3395913.1029577497</v>
      </c>
      <c r="P55" s="68">
        <f t="shared" si="17"/>
        <v>3357546.2606549859</v>
      </c>
      <c r="Q55" s="68">
        <f t="shared" si="17"/>
        <v>3317443.9564295262</v>
      </c>
      <c r="R55" s="68">
        <f t="shared" si="17"/>
        <v>3275571.474012414</v>
      </c>
      <c r="S55" s="68">
        <f t="shared" si="17"/>
        <v>3231893.4098398169</v>
      </c>
      <c r="T55" s="68">
        <f t="shared" si="17"/>
        <v>3162170.3461517245</v>
      </c>
      <c r="U55" s="68">
        <f t="shared" si="17"/>
        <v>4652267.2930823499</v>
      </c>
      <c r="V55" s="68">
        <f t="shared" si="17"/>
        <v>4554546.3051000256</v>
      </c>
      <c r="W55" s="68">
        <f t="shared" si="17"/>
        <v>4454870.8973580552</v>
      </c>
      <c r="X55" s="69">
        <f t="shared" si="17"/>
        <v>4353201.9814612456</v>
      </c>
    </row>
    <row r="56" spans="1:24" ht="16.5" thickTop="1" thickBot="1">
      <c r="B56" s="13"/>
      <c r="C56" s="1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6.5" thickTop="1" thickBot="1">
      <c r="A57" s="73" t="s">
        <v>121</v>
      </c>
      <c r="B57" s="68"/>
      <c r="C57" s="68" t="s">
        <v>72</v>
      </c>
      <c r="D57" s="68">
        <f>('Eingaben und Ergebnisse'!P4-'Eingaben und Ergebnisse'!F5)*-1</f>
        <v>-7362750</v>
      </c>
      <c r="E57" s="68">
        <f>E11-E16-E41-E29</f>
        <v>2920994.0702</v>
      </c>
      <c r="F57" s="68">
        <f>F11-F16-F41-F29</f>
        <v>2878854.7702040002</v>
      </c>
      <c r="G57" s="68">
        <f t="shared" ref="F57:X57" si="18">G11-G16-G41-G29</f>
        <v>594198.49574654177</v>
      </c>
      <c r="H57" s="68">
        <f t="shared" si="18"/>
        <v>597931.45803070301</v>
      </c>
      <c r="I57" s="68">
        <f t="shared" si="18"/>
        <v>600787.58576054778</v>
      </c>
      <c r="J57" s="68">
        <f t="shared" si="18"/>
        <v>602749.3422449897</v>
      </c>
      <c r="K57" s="68">
        <f t="shared" si="18"/>
        <v>603798.85005912045</v>
      </c>
      <c r="L57" s="68">
        <f t="shared" si="18"/>
        <v>603917.84402953368</v>
      </c>
      <c r="M57" s="68">
        <f t="shared" si="18"/>
        <v>603087.72407935513</v>
      </c>
      <c r="N57" s="68">
        <f t="shared" si="18"/>
        <v>601289.50793017307</v>
      </c>
      <c r="O57" s="68">
        <f t="shared" si="18"/>
        <v>496558.07365800766</v>
      </c>
      <c r="P57" s="68">
        <f t="shared" si="18"/>
        <v>515419.80210039858</v>
      </c>
      <c r="Q57" s="68">
        <f t="shared" si="18"/>
        <v>533254.18911163742</v>
      </c>
      <c r="R57" s="68">
        <f t="shared" si="18"/>
        <v>550040.67766310088</v>
      </c>
      <c r="S57" s="68">
        <f t="shared" si="18"/>
        <v>565758.30978559377</v>
      </c>
      <c r="T57" s="68">
        <f t="shared" si="18"/>
        <v>2810732.5868120748</v>
      </c>
      <c r="U57" s="68">
        <f>U11-U16-U41-U29</f>
        <v>2754018.637148316</v>
      </c>
      <c r="V57" s="68">
        <f t="shared" si="18"/>
        <v>2696170.4084912823</v>
      </c>
      <c r="W57" s="68">
        <f t="shared" si="18"/>
        <v>2637165.2152611078</v>
      </c>
      <c r="X57" s="69">
        <f t="shared" si="18"/>
        <v>2576979.9181663301</v>
      </c>
    </row>
    <row r="58" spans="1:24" ht="16.5" thickTop="1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8" thickTop="1">
      <c r="A59" s="75"/>
      <c r="B59" s="76"/>
      <c r="C59" s="76"/>
      <c r="D59" s="34"/>
      <c r="E59" s="77"/>
      <c r="F59" s="34"/>
      <c r="G59" s="34"/>
      <c r="H59" s="34"/>
      <c r="I59" s="78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79"/>
    </row>
    <row r="60" spans="1:24">
      <c r="A60" s="80"/>
      <c r="B60" s="10"/>
      <c r="C60" s="10"/>
      <c r="D60" s="10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2"/>
    </row>
    <row r="61" spans="1:24">
      <c r="A61" s="298" t="s">
        <v>122</v>
      </c>
      <c r="C61" s="10"/>
      <c r="D61" s="83"/>
      <c r="E61" s="83">
        <f>-E57/$D$57</f>
        <v>0.39672596111507247</v>
      </c>
      <c r="F61" s="83">
        <f t="shared" ref="F61:X61" si="19">-F57/$D$57</f>
        <v>0.39100265121102851</v>
      </c>
      <c r="G61" s="83">
        <f t="shared" si="19"/>
        <v>8.0703337169745246E-2</v>
      </c>
      <c r="H61" s="83">
        <f t="shared" si="19"/>
        <v>8.1210343693688236E-2</v>
      </c>
      <c r="I61" s="83">
        <f t="shared" si="19"/>
        <v>8.1598259585147909E-2</v>
      </c>
      <c r="J61" s="83">
        <f t="shared" si="19"/>
        <v>8.1864703031474612E-2</v>
      </c>
      <c r="K61" s="83">
        <f t="shared" si="19"/>
        <v>8.2007245941953813E-2</v>
      </c>
      <c r="L61" s="83">
        <f t="shared" si="19"/>
        <v>8.202340756232844E-2</v>
      </c>
      <c r="M61" s="83">
        <f t="shared" si="19"/>
        <v>8.1910661652148331E-2</v>
      </c>
      <c r="N61" s="83">
        <f t="shared" si="19"/>
        <v>8.1666430060802431E-2</v>
      </c>
      <c r="O61" s="83">
        <f t="shared" si="19"/>
        <v>6.7441930482225756E-2</v>
      </c>
      <c r="P61" s="83">
        <f t="shared" si="19"/>
        <v>7.0003708138996784E-2</v>
      </c>
      <c r="Q61" s="83">
        <f t="shared" si="19"/>
        <v>7.2425953497217407E-2</v>
      </c>
      <c r="R61" s="83">
        <f t="shared" si="19"/>
        <v>7.4705874525564611E-2</v>
      </c>
      <c r="S61" s="83">
        <f t="shared" si="19"/>
        <v>7.6840624737441007E-2</v>
      </c>
      <c r="T61" s="83">
        <f t="shared" si="19"/>
        <v>0.38175037680378593</v>
      </c>
      <c r="U61" s="83">
        <f t="shared" si="19"/>
        <v>0.37404755521351613</v>
      </c>
      <c r="V61" s="83">
        <f t="shared" si="19"/>
        <v>0.36619067719144099</v>
      </c>
      <c r="W61" s="83">
        <f t="shared" si="19"/>
        <v>0.35817666160892436</v>
      </c>
      <c r="X61" s="83">
        <f t="shared" si="19"/>
        <v>0.3500023657147574</v>
      </c>
    </row>
    <row r="62" spans="1:24" ht="15.75" thickBot="1">
      <c r="A62" s="20" t="s">
        <v>123</v>
      </c>
      <c r="B62" s="84"/>
      <c r="C62" s="10"/>
      <c r="D62" s="10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2"/>
    </row>
    <row r="63" spans="1:24" ht="15.75" thickTop="1">
      <c r="A63" s="56"/>
      <c r="B63" s="34"/>
      <c r="C63" s="34"/>
      <c r="D63" s="3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85"/>
    </row>
    <row r="64" spans="1:24" ht="15.75" thickBot="1">
      <c r="A64" s="87"/>
      <c r="B64" s="96"/>
      <c r="C64" s="39"/>
      <c r="D64" s="39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86"/>
    </row>
    <row r="65" spans="1:24" ht="16.5" thickTop="1" thickBot="1">
      <c r="B65" s="13"/>
      <c r="C65" s="1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.75" thickTop="1">
      <c r="A66" s="30" t="s">
        <v>124</v>
      </c>
      <c r="B66" s="34"/>
      <c r="C66" s="34"/>
      <c r="D66" s="34"/>
      <c r="E66" s="88">
        <f>IF(E28&lt;&gt;0,E53/(E27+E28),0)</f>
        <v>6.4140472405125344</v>
      </c>
      <c r="F66" s="88">
        <f t="shared" ref="E66:X66" si="20">IF(F28&lt;&gt;0,F53/(F27+F28),0)</f>
        <v>6.2989497749761671</v>
      </c>
      <c r="G66" s="88">
        <f t="shared" si="20"/>
        <v>1.3424162647639555</v>
      </c>
      <c r="H66" s="88">
        <f t="shared" si="20"/>
        <v>1.350450307001267</v>
      </c>
      <c r="I66" s="88">
        <f t="shared" si="20"/>
        <v>1.3582251185433891</v>
      </c>
      <c r="J66" s="88">
        <f t="shared" si="20"/>
        <v>1.3657161825504764</v>
      </c>
      <c r="K66" s="88">
        <f t="shared" si="20"/>
        <v>1.3728970205024471</v>
      </c>
      <c r="L66" s="88">
        <f t="shared" si="20"/>
        <v>1.3797389783007274</v>
      </c>
      <c r="M66" s="88">
        <f t="shared" si="20"/>
        <v>1.3862110685494089</v>
      </c>
      <c r="N66" s="88">
        <f t="shared" si="20"/>
        <v>1.392279713491311</v>
      </c>
      <c r="O66" s="88">
        <f t="shared" si="20"/>
        <v>1.3154839282842608</v>
      </c>
      <c r="P66" s="88">
        <f t="shared" si="20"/>
        <v>1.3369944785863066</v>
      </c>
      <c r="Q66" s="88">
        <f t="shared" si="20"/>
        <v>1.3590318109885309</v>
      </c>
      <c r="R66" s="88">
        <f t="shared" si="20"/>
        <v>1.3816280905953675</v>
      </c>
      <c r="S66" s="88">
        <f t="shared" si="20"/>
        <v>1.4048191170756563</v>
      </c>
      <c r="T66" s="88">
        <f t="shared" si="20"/>
        <v>0</v>
      </c>
      <c r="U66" s="88">
        <f t="shared" si="20"/>
        <v>0</v>
      </c>
      <c r="V66" s="88">
        <f t="shared" si="20"/>
        <v>0</v>
      </c>
      <c r="W66" s="88">
        <f t="shared" si="20"/>
        <v>0</v>
      </c>
      <c r="X66" s="89">
        <f t="shared" si="20"/>
        <v>0</v>
      </c>
    </row>
    <row r="67" spans="1:24">
      <c r="A67" s="56"/>
      <c r="B67" s="10"/>
      <c r="C67" s="10"/>
      <c r="X67" s="90"/>
    </row>
    <row r="68" spans="1:24">
      <c r="A68" s="91" t="s">
        <v>73</v>
      </c>
      <c r="B68" s="10"/>
      <c r="C68" s="10"/>
      <c r="D68" s="10"/>
      <c r="E68" s="12">
        <f>SUM(E66:X66)/'Eingaben und Ergebnisse'!F7</f>
        <v>2.3429914688247542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92"/>
    </row>
    <row r="69" spans="1:24">
      <c r="A69" s="5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92"/>
    </row>
    <row r="70" spans="1:24">
      <c r="A70" s="91" t="s">
        <v>125</v>
      </c>
      <c r="B70" s="10"/>
      <c r="C70" s="10" t="s">
        <v>65</v>
      </c>
      <c r="D70" s="10"/>
      <c r="E70" s="94">
        <f>IRR(D57:X57)</f>
        <v>0.17860596684796934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92"/>
    </row>
    <row r="71" spans="1:24">
      <c r="A71" s="5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92"/>
    </row>
    <row r="72" spans="1:24">
      <c r="A72" s="91" t="s">
        <v>126</v>
      </c>
      <c r="B72" s="10"/>
      <c r="C72" s="10" t="s">
        <v>65</v>
      </c>
      <c r="D72" s="10"/>
      <c r="E72" s="95">
        <f>IRR(D53:X53)</f>
        <v>7.953220438379062E-2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92"/>
    </row>
    <row r="73" spans="1:24">
      <c r="A73" s="5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92"/>
    </row>
    <row r="74" spans="1:24" ht="15.75" thickBot="1">
      <c r="A74" s="24" t="s">
        <v>127</v>
      </c>
      <c r="B74" s="39"/>
      <c r="C74" s="39" t="s">
        <v>72</v>
      </c>
      <c r="D74" s="39"/>
      <c r="E74" s="99">
        <f>SUM(E55:X55)+D55</f>
        <v>38279759.294618085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93"/>
    </row>
    <row r="75" spans="1:24" ht="15.75" thickTop="1"/>
    <row r="76" spans="1:24">
      <c r="A76" s="3"/>
    </row>
    <row r="77" spans="1:24"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</row>
    <row r="78" spans="1:24">
      <c r="D78" s="1" t="s">
        <v>99</v>
      </c>
      <c r="E78" s="303">
        <f>-D57</f>
        <v>7362750</v>
      </c>
      <c r="F78" s="215"/>
      <c r="G78" s="1" t="s">
        <v>99</v>
      </c>
      <c r="H78" s="303">
        <v>7362750</v>
      </c>
      <c r="I78" s="304" t="s">
        <v>128</v>
      </c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</row>
    <row r="79" spans="1:24">
      <c r="D79" s="1" t="s">
        <v>129</v>
      </c>
      <c r="E79" s="303">
        <f>SUM(E57:X57)</f>
        <v>26743707.466482818</v>
      </c>
      <c r="F79" s="215"/>
      <c r="G79" s="1" t="s">
        <v>129</v>
      </c>
      <c r="H79" s="303">
        <v>26743707</v>
      </c>
      <c r="I79" s="304" t="s">
        <v>128</v>
      </c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</row>
    <row r="80" spans="1:24">
      <c r="E80" s="83"/>
      <c r="F80" s="83"/>
      <c r="H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</row>
    <row r="81" spans="1:9">
      <c r="D81" s="1" t="s">
        <v>130</v>
      </c>
      <c r="E81" s="12">
        <f>100*(((E79/E78)^(1/20))-1)</f>
        <v>6.661841622530984</v>
      </c>
      <c r="G81" s="1" t="s">
        <v>130</v>
      </c>
      <c r="H81" s="1">
        <v>6.6619999999999999</v>
      </c>
      <c r="I81" s="1" t="s">
        <v>131</v>
      </c>
    </row>
    <row r="82" spans="1:9">
      <c r="A82" s="3"/>
      <c r="E82" s="83"/>
    </row>
    <row r="83" spans="1:9">
      <c r="D83" s="1" t="s">
        <v>124</v>
      </c>
      <c r="E83" s="289">
        <f>E68</f>
        <v>2.3429914688247542</v>
      </c>
      <c r="G83" s="1" t="s">
        <v>124</v>
      </c>
      <c r="H83" s="1">
        <v>2.34</v>
      </c>
    </row>
    <row r="84" spans="1:9">
      <c r="D84" s="1" t="s">
        <v>132</v>
      </c>
      <c r="E84" s="95">
        <f>E72</f>
        <v>7.953220438379062E-2</v>
      </c>
      <c r="G84" s="1" t="s">
        <v>132</v>
      </c>
      <c r="H84" s="1">
        <v>7.95</v>
      </c>
      <c r="I84" s="1" t="s">
        <v>131</v>
      </c>
    </row>
    <row r="86" spans="1:9">
      <c r="D86" s="1" t="s">
        <v>133</v>
      </c>
      <c r="E86" s="22">
        <f>E74</f>
        <v>38279759.294618085</v>
      </c>
      <c r="G86" s="1" t="s">
        <v>133</v>
      </c>
      <c r="H86" s="288">
        <v>38279759</v>
      </c>
      <c r="I86" s="1" t="s">
        <v>128</v>
      </c>
    </row>
    <row r="87" spans="1:9">
      <c r="D87" s="1" t="s">
        <v>134</v>
      </c>
      <c r="E87" s="83">
        <f>E79/(E78/100)</f>
        <v>363.22987289372611</v>
      </c>
      <c r="G87" s="1" t="s">
        <v>134</v>
      </c>
      <c r="H87" s="1">
        <v>363.23</v>
      </c>
      <c r="I87" s="1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43"/>
  <sheetViews>
    <sheetView topLeftCell="C1" workbookViewId="0">
      <selection activeCell="P17" sqref="P17"/>
    </sheetView>
  </sheetViews>
  <sheetFormatPr defaultColWidth="11.42578125" defaultRowHeight="15"/>
  <cols>
    <col min="1" max="1" width="12.28515625" bestFit="1" customWidth="1"/>
    <col min="2" max="2" width="12.28515625" customWidth="1"/>
    <col min="6" max="6" width="11.7109375" bestFit="1" customWidth="1"/>
    <col min="8" max="8" width="16.85546875" bestFit="1" customWidth="1"/>
  </cols>
  <sheetData>
    <row r="2" spans="1:19">
      <c r="A2" s="177" t="s">
        <v>135</v>
      </c>
      <c r="B2" t="s">
        <v>136</v>
      </c>
      <c r="C2" t="s">
        <v>73</v>
      </c>
      <c r="D2" t="s">
        <v>137</v>
      </c>
      <c r="F2" s="177" t="s">
        <v>138</v>
      </c>
      <c r="G2" t="s">
        <v>136</v>
      </c>
      <c r="H2" t="s">
        <v>73</v>
      </c>
      <c r="I2" t="s">
        <v>137</v>
      </c>
      <c r="K2" s="177" t="s">
        <v>139</v>
      </c>
      <c r="L2" t="s">
        <v>136</v>
      </c>
      <c r="M2" t="s">
        <v>73</v>
      </c>
      <c r="N2" t="s">
        <v>137</v>
      </c>
      <c r="P2" s="177" t="s">
        <v>140</v>
      </c>
      <c r="Q2" t="s">
        <v>136</v>
      </c>
      <c r="R2" t="s">
        <v>73</v>
      </c>
      <c r="S2" t="s">
        <v>137</v>
      </c>
    </row>
    <row r="4" spans="1:19">
      <c r="A4" s="179">
        <f>$A$10*(1+0.4)</f>
        <v>2.0999999999999998E-2</v>
      </c>
      <c r="B4" s="181">
        <v>0.4</v>
      </c>
      <c r="C4" s="178">
        <v>1.1963064101146692</v>
      </c>
      <c r="D4" s="178">
        <v>1.1227560143048103</v>
      </c>
      <c r="F4" s="179">
        <f>$F$10*(1+0.4)</f>
        <v>7.6999999999999999E-2</v>
      </c>
      <c r="G4" s="181">
        <v>0.4</v>
      </c>
      <c r="H4" s="178">
        <v>1.011306311667038</v>
      </c>
      <c r="I4" s="178">
        <v>0.96948213948755479</v>
      </c>
      <c r="K4" s="204">
        <f>$K$10*(1+0.4)</f>
        <v>1.1199999999999999</v>
      </c>
      <c r="L4" s="205">
        <v>0.4</v>
      </c>
      <c r="P4" s="211">
        <f>$P$10*(1+Q4)</f>
        <v>21</v>
      </c>
      <c r="Q4" s="205">
        <v>0.4</v>
      </c>
      <c r="R4" s="212"/>
      <c r="S4" s="212"/>
    </row>
    <row r="5" spans="1:19">
      <c r="A5" s="179">
        <f>$A$10*(1+0.3)</f>
        <v>1.95E-2</v>
      </c>
      <c r="B5" s="181">
        <v>0.3</v>
      </c>
      <c r="C5" s="178">
        <v>1.1837308430650411</v>
      </c>
      <c r="D5" s="178">
        <v>1.12110651967067</v>
      </c>
      <c r="F5" s="179">
        <f>$F$10*(1+0.3)</f>
        <v>7.1500000000000008E-2</v>
      </c>
      <c r="G5" s="181">
        <v>0.3</v>
      </c>
      <c r="H5" s="178">
        <v>1.041333175856531</v>
      </c>
      <c r="I5" s="178">
        <v>1.0032550965499167</v>
      </c>
      <c r="K5" s="204">
        <f>$K$10*(1+0.3)</f>
        <v>1.04</v>
      </c>
      <c r="L5" s="206">
        <v>0.3</v>
      </c>
      <c r="P5" s="187">
        <v>20</v>
      </c>
      <c r="Q5" s="181">
        <f>(P5-$P$10)/$P$10</f>
        <v>0.33333333333333331</v>
      </c>
      <c r="R5" s="178">
        <v>1.386758295945262</v>
      </c>
      <c r="S5" s="178">
        <v>1.3288575719762916</v>
      </c>
    </row>
    <row r="6" spans="1:19">
      <c r="A6" s="179">
        <f>$A$10*(1+0.2)</f>
        <v>1.7999999999999999E-2</v>
      </c>
      <c r="B6" s="181">
        <v>0.2</v>
      </c>
      <c r="C6" s="178">
        <v>1.1707998000909963</v>
      </c>
      <c r="D6" s="178">
        <v>1.1194570250365306</v>
      </c>
      <c r="F6" s="179">
        <f>$F$10*(1+0.2)</f>
        <v>6.6000000000000003E-2</v>
      </c>
      <c r="G6" s="181">
        <v>0.2</v>
      </c>
      <c r="H6" s="178">
        <v>1.074027200258918</v>
      </c>
      <c r="I6" s="178">
        <v>1.0388732022263716</v>
      </c>
      <c r="K6">
        <f>$K$10*(1+0.2)</f>
        <v>0.96</v>
      </c>
      <c r="L6" s="181">
        <v>0.2</v>
      </c>
      <c r="M6" s="178">
        <v>0.96122491130039411</v>
      </c>
      <c r="N6" s="178">
        <v>0.93013169647354099</v>
      </c>
      <c r="P6" s="187">
        <v>19</v>
      </c>
      <c r="Q6" s="181">
        <f t="shared" ref="Q6:Q15" si="0">(P6-$P$10)/$P$10</f>
        <v>0.26666666666666666</v>
      </c>
      <c r="R6" s="178">
        <v>1.3421844946820818</v>
      </c>
      <c r="S6" s="178">
        <v>1.2907468271001632</v>
      </c>
    </row>
    <row r="7" spans="1:19">
      <c r="A7" s="180">
        <f>$A$10*(1+0.15)</f>
        <v>1.7249999999999998E-2</v>
      </c>
      <c r="B7" s="181">
        <v>0.15</v>
      </c>
      <c r="C7" s="178">
        <v>1.1644010134384928</v>
      </c>
      <c r="D7" s="178">
        <v>1.1186322777194604</v>
      </c>
      <c r="F7" s="179">
        <f>$F$10*(1+0.15)</f>
        <v>6.3250000000000001E-2</v>
      </c>
      <c r="G7" s="181">
        <v>0.15</v>
      </c>
      <c r="H7" s="178">
        <v>1.0912600676161133</v>
      </c>
      <c r="I7" s="178">
        <v>1.0574131252373329</v>
      </c>
      <c r="K7">
        <f>$K$10*(1+0.15)</f>
        <v>0.91999999999999993</v>
      </c>
      <c r="L7" s="181">
        <v>0.15</v>
      </c>
      <c r="M7" s="178">
        <v>1.0012896802898863</v>
      </c>
      <c r="N7" s="178">
        <v>0.97057220501586883</v>
      </c>
      <c r="P7" s="187">
        <v>18</v>
      </c>
      <c r="Q7" s="181">
        <f t="shared" si="0"/>
        <v>0.2</v>
      </c>
      <c r="R7" s="178">
        <v>1.2962089815627471</v>
      </c>
      <c r="S7" s="178">
        <v>1.2505399912558484</v>
      </c>
    </row>
    <row r="8" spans="1:19">
      <c r="A8" s="179">
        <f>$A$10*(1+0.1)</f>
        <v>1.6500000000000001E-2</v>
      </c>
      <c r="B8" s="181">
        <v>0.1</v>
      </c>
      <c r="C8" s="178">
        <v>1.1580462896883572</v>
      </c>
      <c r="D8" s="178">
        <v>1.1178075304023902</v>
      </c>
      <c r="F8" s="179">
        <f>$F$10*(1+0.1)</f>
        <v>6.0500000000000005E-2</v>
      </c>
      <c r="G8" s="181">
        <v>0.1</v>
      </c>
      <c r="H8" s="178">
        <v>1.1090341500859264</v>
      </c>
      <c r="I8" s="178">
        <v>1.0764622710433973</v>
      </c>
      <c r="K8">
        <f>$K$10*(1+0.1)</f>
        <v>0.88000000000000012</v>
      </c>
      <c r="L8" s="181">
        <v>0.1</v>
      </c>
      <c r="M8" s="178">
        <v>1.0451174031759685</v>
      </c>
      <c r="N8" s="178">
        <v>1.014689123425681</v>
      </c>
      <c r="P8" s="187">
        <v>17</v>
      </c>
      <c r="Q8" s="181">
        <f t="shared" si="0"/>
        <v>0.13333333333333333</v>
      </c>
      <c r="R8" s="178">
        <v>1.248266308758782</v>
      </c>
      <c r="S8" s="178">
        <v>1.2081217794400958</v>
      </c>
    </row>
    <row r="9" spans="1:19">
      <c r="A9" s="180">
        <f>$A$10*(1+0.05)</f>
        <v>1.575E-2</v>
      </c>
      <c r="B9" s="181">
        <v>0.05</v>
      </c>
      <c r="C9" s="178">
        <v>1.1517353114355411</v>
      </c>
      <c r="D9" s="178">
        <v>1.1169827830853201</v>
      </c>
      <c r="F9" s="179">
        <f>$F$10*(1+0.05)</f>
        <v>5.7750000000000003E-2</v>
      </c>
      <c r="G9" s="181">
        <v>0.05</v>
      </c>
      <c r="H9" s="178">
        <v>1.1273177719772112</v>
      </c>
      <c r="I9" s="178">
        <v>1.096037922385465</v>
      </c>
      <c r="K9">
        <f>$K$10*(1+0.05)</f>
        <v>0.84000000000000008</v>
      </c>
      <c r="L9" s="181">
        <v>0.05</v>
      </c>
      <c r="M9" s="178">
        <v>1.09318828755982</v>
      </c>
      <c r="N9" s="178">
        <v>1.0630076531126182</v>
      </c>
      <c r="P9" s="187">
        <v>16</v>
      </c>
      <c r="Q9" s="181">
        <f t="shared" si="0"/>
        <v>6.6666666666666666E-2</v>
      </c>
      <c r="R9" s="178">
        <v>1.1982582296320159</v>
      </c>
      <c r="S9" s="178">
        <v>1.1633705659744771</v>
      </c>
    </row>
    <row r="10" spans="1:19">
      <c r="A10" s="182">
        <v>1.4999999999999999E-2</v>
      </c>
      <c r="B10" s="183">
        <v>0</v>
      </c>
      <c r="C10" s="184">
        <v>1.1454677635249477</v>
      </c>
      <c r="D10" s="185">
        <v>1.1161580357682499</v>
      </c>
      <c r="F10" s="186">
        <v>5.5E-2</v>
      </c>
      <c r="G10" s="183">
        <v>0</v>
      </c>
      <c r="H10" s="184">
        <v>1.1454677635249477</v>
      </c>
      <c r="I10" s="185">
        <v>1.1161580357682499</v>
      </c>
      <c r="K10" s="207">
        <v>0.8</v>
      </c>
      <c r="L10" s="183">
        <v>0</v>
      </c>
      <c r="M10" s="184">
        <v>1.1454677635249477</v>
      </c>
      <c r="N10" s="185">
        <v>1.1161580357682499</v>
      </c>
      <c r="P10" s="208">
        <v>15</v>
      </c>
      <c r="Q10" s="183">
        <v>0</v>
      </c>
      <c r="R10" s="184">
        <v>1.1454677635249477</v>
      </c>
      <c r="S10" s="185">
        <v>1.1161580357682499</v>
      </c>
    </row>
    <row r="11" spans="1:19">
      <c r="A11" s="179">
        <f>$A$10*(1-0.05)</f>
        <v>1.4249999999999999E-2</v>
      </c>
      <c r="B11" s="181">
        <v>-0.05</v>
      </c>
      <c r="C11" s="178">
        <v>1.1392433330362086</v>
      </c>
      <c r="D11" s="178">
        <v>1.11533328845118</v>
      </c>
      <c r="F11" s="179">
        <f>$F$10*(1-0.05)</f>
        <v>5.2249999999999998E-2</v>
      </c>
      <c r="G11" s="181">
        <v>-0.05</v>
      </c>
      <c r="H11" s="178">
        <v>1.164774220007545</v>
      </c>
      <c r="I11" s="178">
        <v>1.1368412706266842</v>
      </c>
      <c r="K11">
        <f>$K$10*(1-0.05)</f>
        <v>0.76</v>
      </c>
      <c r="L11" s="181">
        <v>-0.05</v>
      </c>
      <c r="M11" s="178">
        <v>1.2039720518266523</v>
      </c>
      <c r="N11" s="178">
        <v>1.1749031955455254</v>
      </c>
      <c r="P11" s="187">
        <v>14</v>
      </c>
      <c r="Q11" s="181">
        <f t="shared" si="0"/>
        <v>-6.6666666666666666E-2</v>
      </c>
      <c r="R11" s="178">
        <v>1.0909102473133536</v>
      </c>
      <c r="S11" s="178">
        <v>1.0663488164006787</v>
      </c>
    </row>
    <row r="12" spans="1:19">
      <c r="A12" s="179">
        <f>$A$10*(1-0.1)</f>
        <v>1.35E-2</v>
      </c>
      <c r="B12" s="181">
        <v>-0.1</v>
      </c>
      <c r="C12" s="178">
        <v>1.1336073200093801</v>
      </c>
      <c r="D12" s="178">
        <v>1.1145085411341098</v>
      </c>
      <c r="F12" s="179">
        <f>$F$10*(1-0.1)</f>
        <v>4.9500000000000002E-2</v>
      </c>
      <c r="G12" s="181">
        <v>-0.1</v>
      </c>
      <c r="H12" s="178">
        <v>1.1842917480602622</v>
      </c>
      <c r="I12" s="178">
        <v>1.1581070198681007</v>
      </c>
      <c r="K12">
        <f>$K$10*(1-0.1)</f>
        <v>0.72000000000000008</v>
      </c>
      <c r="L12" s="181">
        <v>-0.1</v>
      </c>
      <c r="M12" s="178">
        <v>1.2686431734754335</v>
      </c>
      <c r="N12" s="178">
        <v>1.2401755952980547</v>
      </c>
      <c r="P12" s="187">
        <v>13</v>
      </c>
      <c r="Q12" s="181">
        <f t="shared" si="0"/>
        <v>-0.13333333333333333</v>
      </c>
      <c r="R12" s="178">
        <v>1.0339486501204398</v>
      </c>
      <c r="S12" s="178">
        <v>1.0138000899678921</v>
      </c>
    </row>
    <row r="13" spans="1:19">
      <c r="A13" s="179">
        <f>$A$10*(1-0.15)</f>
        <v>1.2749999999999999E-2</v>
      </c>
      <c r="B13" s="181">
        <v>-0.15</v>
      </c>
      <c r="C13" s="178">
        <v>1.12743382064867</v>
      </c>
      <c r="D13" s="178">
        <v>1.1136837938170394</v>
      </c>
      <c r="F13" s="179">
        <f>$F$10*(1-0.15)</f>
        <v>4.675E-2</v>
      </c>
      <c r="G13" s="181">
        <v>-0.15</v>
      </c>
      <c r="H13" s="178">
        <v>1.2044109675718855</v>
      </c>
      <c r="I13" s="178">
        <v>1.1774433374343876</v>
      </c>
      <c r="K13">
        <f>$K$10*(1-0.15)</f>
        <v>0.68</v>
      </c>
      <c r="L13" s="181">
        <v>-0.15</v>
      </c>
      <c r="M13" s="178">
        <v>1.3409626883608259</v>
      </c>
      <c r="N13" s="178">
        <v>1.3103092668832164</v>
      </c>
      <c r="P13" s="187">
        <v>12</v>
      </c>
      <c r="Q13" s="181">
        <f t="shared" si="0"/>
        <v>-0.2</v>
      </c>
      <c r="R13" s="178">
        <v>0.97387700126252097</v>
      </c>
      <c r="S13" s="178">
        <v>0.95836118358130218</v>
      </c>
    </row>
    <row r="14" spans="1:19">
      <c r="A14" s="179">
        <f>$A$10*(1-0.2)</f>
        <v>1.2E-2</v>
      </c>
      <c r="B14" s="181">
        <v>-0.2</v>
      </c>
      <c r="C14" s="178">
        <v>1.1213026148788801</v>
      </c>
      <c r="D14" s="178">
        <v>1.1128590464999695</v>
      </c>
      <c r="F14" s="179">
        <f>$F$10*(1-0.2)</f>
        <v>4.4000000000000004E-2</v>
      </c>
      <c r="G14" s="181">
        <v>-0.2</v>
      </c>
      <c r="H14" s="178">
        <v>1.2250337677909566</v>
      </c>
      <c r="I14" s="178">
        <v>1.1962442386059318</v>
      </c>
      <c r="K14">
        <f>$K$10*(1-0.2)</f>
        <v>0.64000000000000012</v>
      </c>
      <c r="L14" s="181">
        <v>-0.2</v>
      </c>
      <c r="M14" s="178">
        <v>1.4222399550311657</v>
      </c>
      <c r="N14" s="178">
        <v>1.3879768334630025</v>
      </c>
      <c r="P14" s="187">
        <v>11</v>
      </c>
      <c r="Q14" s="181">
        <f t="shared" si="0"/>
        <v>-0.26666666666666666</v>
      </c>
      <c r="R14" s="178">
        <v>0.91161687850827566</v>
      </c>
      <c r="S14" s="178">
        <v>0.89987313734344965</v>
      </c>
    </row>
    <row r="15" spans="1:19">
      <c r="A15" s="179">
        <f>$A$10*(1-0.3)</f>
        <v>1.0499999999999999E-2</v>
      </c>
      <c r="B15" s="181">
        <v>-0.3</v>
      </c>
      <c r="C15" s="178">
        <v>1.1091658688427184</v>
      </c>
      <c r="D15" s="178">
        <v>1.0922890976855772</v>
      </c>
      <c r="F15" s="179">
        <f>$F$10*(1-0.3)</f>
        <v>3.85E-2</v>
      </c>
      <c r="G15" s="181">
        <v>-0.3</v>
      </c>
      <c r="H15" s="178">
        <v>1.2680754940400816</v>
      </c>
      <c r="I15" s="178">
        <v>1.2353741211181797</v>
      </c>
      <c r="K15">
        <f>$K$10*(1-0.3)</f>
        <v>0.55999999999999994</v>
      </c>
      <c r="L15" s="181">
        <v>-0.3</v>
      </c>
      <c r="M15" s="178">
        <v>1.6196276025139373</v>
      </c>
      <c r="N15" s="178">
        <v>1.5765980665853401</v>
      </c>
      <c r="P15" s="187">
        <v>10</v>
      </c>
      <c r="Q15" s="181">
        <f t="shared" si="0"/>
        <v>-0.33333333333333331</v>
      </c>
      <c r="R15" s="178">
        <v>0.84655740572418048</v>
      </c>
      <c r="S15" s="178">
        <v>0.83816824856251537</v>
      </c>
    </row>
    <row r="16" spans="1:19">
      <c r="A16" s="179">
        <f>$A$10*(1-0.4)</f>
        <v>8.9999999999999993E-3</v>
      </c>
      <c r="B16" s="181">
        <v>-0.4</v>
      </c>
      <c r="C16" s="178">
        <v>1.097793918332113</v>
      </c>
      <c r="D16" s="178">
        <v>1.0700532907231874</v>
      </c>
      <c r="F16" s="179">
        <f>$F$10*(1-0.4)</f>
        <v>3.3000000000000002E-2</v>
      </c>
      <c r="G16" s="181">
        <v>-0.4</v>
      </c>
      <c r="H16" s="178">
        <v>1.3136547866638153</v>
      </c>
      <c r="I16" s="178">
        <v>1.2766548570497047</v>
      </c>
      <c r="K16">
        <f>$K$10*(1-0.4)</f>
        <v>0.48</v>
      </c>
      <c r="L16" s="181">
        <v>-0.4</v>
      </c>
      <c r="M16" s="178">
        <v>1.8828111324909667</v>
      </c>
      <c r="N16" s="178">
        <v>1.8280930440817906</v>
      </c>
      <c r="P16" s="187">
        <v>9</v>
      </c>
      <c r="Q16" s="181">
        <f>(P16-P10)/P10</f>
        <v>-0.4</v>
      </c>
      <c r="R16" s="178">
        <v>0.77856292610727307</v>
      </c>
      <c r="S16" s="178">
        <v>0.7730695908986297</v>
      </c>
    </row>
    <row r="22" spans="1:9">
      <c r="A22" s="177" t="s">
        <v>141</v>
      </c>
      <c r="B22" t="s">
        <v>136</v>
      </c>
      <c r="C22" t="s">
        <v>73</v>
      </c>
      <c r="D22" t="s">
        <v>137</v>
      </c>
      <c r="F22" s="177" t="s">
        <v>142</v>
      </c>
      <c r="G22" t="s">
        <v>136</v>
      </c>
      <c r="H22" t="s">
        <v>73</v>
      </c>
      <c r="I22" t="s">
        <v>137</v>
      </c>
    </row>
    <row r="24" spans="1:9">
      <c r="A24" s="196">
        <f>$A$30*(1+0.4)</f>
        <v>2310000</v>
      </c>
      <c r="B24" s="181">
        <v>0.4</v>
      </c>
      <c r="C24" s="178">
        <v>1.0096257507828874</v>
      </c>
      <c r="D24" s="178">
        <v>0.97720582312914628</v>
      </c>
      <c r="F24" s="196">
        <f>$F$30*(1+0.4)</f>
        <v>84686000</v>
      </c>
      <c r="G24" s="181">
        <v>0.4</v>
      </c>
      <c r="H24">
        <v>0.83721660320897218</v>
      </c>
      <c r="I24">
        <v>0.79725573983446374</v>
      </c>
    </row>
    <row r="25" spans="1:9">
      <c r="A25" s="196">
        <f>$A$30*(1+0.3)</f>
        <v>2145000</v>
      </c>
      <c r="B25" s="181">
        <v>0.3</v>
      </c>
      <c r="C25" s="178">
        <v>1.0433518929023056</v>
      </c>
      <c r="D25" s="178">
        <v>1.0119438762889219</v>
      </c>
      <c r="F25" s="196">
        <f>$F$30*(1+0.3)</f>
        <v>78637000</v>
      </c>
      <c r="G25" s="181">
        <v>0.3</v>
      </c>
      <c r="H25">
        <v>0.90161788037889334</v>
      </c>
      <c r="I25">
        <v>0.85858310443711472</v>
      </c>
    </row>
    <row r="26" spans="1:9">
      <c r="A26" s="196">
        <f>$A$30*(1+0.2)</f>
        <v>1980000</v>
      </c>
      <c r="B26" s="181">
        <v>0.2</v>
      </c>
      <c r="C26" s="178">
        <v>1.0772829899216361</v>
      </c>
      <c r="D26" s="178">
        <v>1.0466819294486978</v>
      </c>
      <c r="F26" s="196">
        <f>$F$30*(1+0.2)</f>
        <v>72588000</v>
      </c>
      <c r="G26" s="181">
        <v>0.2</v>
      </c>
      <c r="H26">
        <v>0.973936606465726</v>
      </c>
      <c r="I26">
        <v>0.93013169647354099</v>
      </c>
    </row>
    <row r="27" spans="1:9">
      <c r="A27" s="196">
        <f>$A$30*(1+0.15)</f>
        <v>1897499.9999999998</v>
      </c>
      <c r="B27" s="181">
        <v>0.15</v>
      </c>
      <c r="C27" s="178">
        <v>1.0943012408773776</v>
      </c>
      <c r="D27" s="178">
        <v>1.0640509560285856</v>
      </c>
      <c r="F27" s="196">
        <f>$F$30*(1+0.15)</f>
        <v>69563500</v>
      </c>
      <c r="G27" s="181">
        <v>0.15</v>
      </c>
      <c r="H27">
        <v>1.0110472310371352</v>
      </c>
      <c r="I27">
        <v>0.97057220501586883</v>
      </c>
    </row>
    <row r="28" spans="1:9">
      <c r="A28" s="196">
        <f>$A$30*(1+0.1)</f>
        <v>1815000.0000000002</v>
      </c>
      <c r="B28" s="181">
        <v>0.1</v>
      </c>
      <c r="C28" s="178">
        <v>1.1113431862003307</v>
      </c>
      <c r="D28" s="178">
        <v>1.0814199826084734</v>
      </c>
      <c r="F28" s="196">
        <f>$F$30*(1+0.1)</f>
        <v>66539000.000000007</v>
      </c>
      <c r="G28" s="181">
        <v>0.1</v>
      </c>
      <c r="H28">
        <v>1.052110476470937</v>
      </c>
      <c r="I28">
        <v>1.014689123425681</v>
      </c>
    </row>
    <row r="29" spans="1:9">
      <c r="A29" s="196">
        <f>$A$30*(1+0.05)</f>
        <v>1732500</v>
      </c>
      <c r="B29" s="181">
        <v>0.05</v>
      </c>
      <c r="C29" s="178">
        <v>1.1284010730318301</v>
      </c>
      <c r="D29" s="178">
        <v>1.0987890091883612</v>
      </c>
      <c r="F29" s="196">
        <f>$F$30*(1+0.05)</f>
        <v>63514500</v>
      </c>
      <c r="G29" s="181">
        <v>0.05</v>
      </c>
      <c r="H29">
        <v>1.0961889816977508</v>
      </c>
      <c r="I29">
        <v>1.0630076531126182</v>
      </c>
    </row>
    <row r="30" spans="1:9">
      <c r="A30" s="200">
        <v>1650000</v>
      </c>
      <c r="B30" s="183">
        <v>0</v>
      </c>
      <c r="C30" s="184">
        <v>1.1454677635249477</v>
      </c>
      <c r="D30" s="185">
        <v>1.1161580357682499</v>
      </c>
      <c r="F30" s="200">
        <v>60490000</v>
      </c>
      <c r="G30" s="183">
        <v>0</v>
      </c>
      <c r="H30" s="184">
        <v>1.1454677635249477</v>
      </c>
      <c r="I30" s="185">
        <v>1.1161580357682499</v>
      </c>
    </row>
    <row r="31" spans="1:9">
      <c r="A31" s="196">
        <f>$A$30*(1-0.05)</f>
        <v>1567500</v>
      </c>
      <c r="B31" s="181">
        <v>-0.05</v>
      </c>
      <c r="C31" s="178">
        <v>1.1625366982015579</v>
      </c>
      <c r="D31" s="178">
        <v>1.133527062348137</v>
      </c>
      <c r="F31" s="196">
        <f>$F$30*(1-0.05)</f>
        <v>57465500</v>
      </c>
      <c r="G31" s="181">
        <v>-0.05</v>
      </c>
      <c r="H31">
        <v>1.1999930588034904</v>
      </c>
      <c r="I31">
        <v>1.1749031955455254</v>
      </c>
    </row>
    <row r="32" spans="1:9">
      <c r="A32" s="196">
        <f>$A$30*(1-0.1)</f>
        <v>1485000</v>
      </c>
      <c r="B32" s="181">
        <v>-0.1</v>
      </c>
      <c r="C32" s="178">
        <v>1.1796018612110843</v>
      </c>
      <c r="D32" s="178">
        <v>1.1508960889280249</v>
      </c>
      <c r="F32" s="196">
        <f>$F$30*(1-0.1)</f>
        <v>54441000</v>
      </c>
      <c r="G32" s="181">
        <v>-0.1</v>
      </c>
      <c r="H32">
        <v>1.260177314772851</v>
      </c>
      <c r="I32">
        <v>1.232732515579134</v>
      </c>
    </row>
    <row r="33" spans="1:11">
      <c r="A33" s="196">
        <f>$A$30*(1-0.15)</f>
        <v>1402500</v>
      </c>
      <c r="B33" s="181">
        <v>-0.15</v>
      </c>
      <c r="C33" s="178">
        <v>1.1966577475594611</v>
      </c>
      <c r="D33" s="178">
        <v>1.1682651155079127</v>
      </c>
      <c r="F33" s="196">
        <f>$F$30*(1-0.15)</f>
        <v>51416500</v>
      </c>
      <c r="G33" s="181">
        <v>-0.15</v>
      </c>
      <c r="H33">
        <v>1.3274008832258051</v>
      </c>
      <c r="I33">
        <v>1.2967474617481953</v>
      </c>
    </row>
    <row r="34" spans="1:11">
      <c r="A34" s="196">
        <f>$A$30*(1-0.2)</f>
        <v>1320000</v>
      </c>
      <c r="B34" s="181">
        <v>-0.2</v>
      </c>
      <c r="C34" s="178">
        <v>1.2136993320889065</v>
      </c>
      <c r="D34" s="178">
        <v>1.1848723903871361</v>
      </c>
      <c r="F34" s="196">
        <f>$F$30*(1-0.2)</f>
        <v>48392000</v>
      </c>
      <c r="G34" s="181">
        <v>-0.2</v>
      </c>
      <c r="H34">
        <v>1.4030273977565526</v>
      </c>
      <c r="I34">
        <v>1.3687642761883894</v>
      </c>
    </row>
    <row r="35" spans="1:11">
      <c r="A35" s="196">
        <f>$A$30*(1-0.3)</f>
        <v>1155000</v>
      </c>
      <c r="B35" s="181">
        <v>-0.3</v>
      </c>
      <c r="C35" s="178">
        <v>1.2476003739404145</v>
      </c>
      <c r="D35" s="178">
        <v>1.2153550320348392</v>
      </c>
      <c r="F35" s="196">
        <f>$F$30*(1-0.3)</f>
        <v>42343000</v>
      </c>
      <c r="G35" s="181">
        <v>-0.3</v>
      </c>
      <c r="H35">
        <v>1.5866917900431718</v>
      </c>
      <c r="I35">
        <v>1.5436622541145748</v>
      </c>
    </row>
    <row r="36" spans="1:11">
      <c r="A36" s="196">
        <f>$A$30*(1-0.4)</f>
        <v>990000</v>
      </c>
      <c r="B36" s="181">
        <v>-0.4</v>
      </c>
      <c r="C36" s="178">
        <v>1.2815014157919227</v>
      </c>
      <c r="D36" s="178">
        <v>1.2458376736825425</v>
      </c>
      <c r="F36" s="196">
        <f>$F$30*(1-0.4)</f>
        <v>36294000</v>
      </c>
      <c r="G36" s="181">
        <v>-0.4</v>
      </c>
      <c r="H36">
        <v>1.8315776464253317</v>
      </c>
      <c r="I36">
        <v>1.7768595580161555</v>
      </c>
    </row>
    <row r="38" spans="1:11">
      <c r="A38" s="201" t="s">
        <v>141</v>
      </c>
      <c r="B38" s="188"/>
      <c r="C38" s="195">
        <v>1650000</v>
      </c>
      <c r="D38" s="189" t="s">
        <v>14</v>
      </c>
      <c r="E38" s="199">
        <f>SUM(E39:E42)</f>
        <v>1</v>
      </c>
      <c r="G38" s="201" t="s">
        <v>142</v>
      </c>
      <c r="H38" s="188"/>
      <c r="I38" s="195">
        <v>60490000</v>
      </c>
      <c r="J38" s="189" t="s">
        <v>14</v>
      </c>
      <c r="K38" s="203">
        <f>SUM(K39:K43)</f>
        <v>1</v>
      </c>
    </row>
    <row r="39" spans="1:11">
      <c r="A39" s="190"/>
      <c r="B39" t="s">
        <v>143</v>
      </c>
      <c r="C39" s="196">
        <v>700000</v>
      </c>
      <c r="D39" s="191" t="s">
        <v>14</v>
      </c>
      <c r="E39" s="198">
        <f>C39/C38</f>
        <v>0.42424242424242425</v>
      </c>
      <c r="G39" s="190"/>
      <c r="H39" t="s">
        <v>17</v>
      </c>
      <c r="I39" s="196">
        <v>52500000</v>
      </c>
      <c r="J39" s="191" t="s">
        <v>14</v>
      </c>
      <c r="K39" s="198">
        <f>I39/$I$38</f>
        <v>0.86791205157877338</v>
      </c>
    </row>
    <row r="40" spans="1:11">
      <c r="A40" s="190"/>
      <c r="B40" t="s">
        <v>144</v>
      </c>
      <c r="C40" s="196">
        <v>550000</v>
      </c>
      <c r="D40" s="191" t="s">
        <v>14</v>
      </c>
      <c r="E40" s="198">
        <f>C40/C38</f>
        <v>0.33333333333333331</v>
      </c>
      <c r="G40" s="190"/>
      <c r="H40" t="s">
        <v>21</v>
      </c>
      <c r="I40" s="196">
        <v>1950000</v>
      </c>
      <c r="J40" s="191" t="s">
        <v>14</v>
      </c>
      <c r="K40" s="198">
        <f t="shared" ref="K40:K43" si="1">I40/$I$38</f>
        <v>3.2236733344354437E-2</v>
      </c>
    </row>
    <row r="41" spans="1:11">
      <c r="A41" s="190"/>
      <c r="B41" t="s">
        <v>145</v>
      </c>
      <c r="C41" s="196">
        <v>200000</v>
      </c>
      <c r="D41" s="191" t="s">
        <v>14</v>
      </c>
      <c r="E41" s="198">
        <f>C41/C38</f>
        <v>0.12121212121212122</v>
      </c>
      <c r="G41" s="190"/>
      <c r="H41" t="s">
        <v>24</v>
      </c>
      <c r="I41" s="196">
        <v>2500000</v>
      </c>
      <c r="J41" s="191" t="s">
        <v>14</v>
      </c>
      <c r="K41" s="198">
        <f t="shared" si="1"/>
        <v>4.1329145313274925E-2</v>
      </c>
    </row>
    <row r="42" spans="1:11">
      <c r="A42" s="192"/>
      <c r="B42" s="193" t="s">
        <v>146</v>
      </c>
      <c r="C42" s="197">
        <v>200000</v>
      </c>
      <c r="D42" s="194" t="s">
        <v>14</v>
      </c>
      <c r="E42" s="198">
        <f>C42/C38</f>
        <v>0.12121212121212122</v>
      </c>
      <c r="G42" s="190"/>
      <c r="H42" t="s">
        <v>27</v>
      </c>
      <c r="I42" s="196">
        <v>1540000</v>
      </c>
      <c r="J42" s="191" t="s">
        <v>14</v>
      </c>
      <c r="K42" s="198">
        <f t="shared" si="1"/>
        <v>2.5458753512977352E-2</v>
      </c>
    </row>
    <row r="43" spans="1:11">
      <c r="G43" s="192"/>
      <c r="H43" s="193" t="s">
        <v>31</v>
      </c>
      <c r="I43" s="197">
        <v>2000000</v>
      </c>
      <c r="J43" s="194" t="s">
        <v>14</v>
      </c>
      <c r="K43" s="198">
        <f t="shared" si="1"/>
        <v>3.3063316250619937E-2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B38:I97"/>
  <sheetViews>
    <sheetView tabSelected="1" workbookViewId="0">
      <selection activeCell="S17" sqref="S17"/>
    </sheetView>
  </sheetViews>
  <sheetFormatPr defaultColWidth="11.42578125" defaultRowHeight="15"/>
  <cols>
    <col min="1" max="2" width="11.42578125" style="1"/>
    <col min="3" max="3" width="29.85546875" style="1" customWidth="1"/>
    <col min="4" max="5" width="1.140625" style="1" customWidth="1"/>
    <col min="6" max="6" width="0.85546875" style="1" customWidth="1"/>
    <col min="7" max="7" width="11.42578125" style="1"/>
    <col min="8" max="8" width="1.42578125" style="1" customWidth="1"/>
    <col min="9" max="9" width="6.85546875" style="1" customWidth="1"/>
    <col min="10" max="16384" width="11.42578125" style="1"/>
  </cols>
  <sheetData>
    <row r="38" spans="2:2">
      <c r="B38" s="3" t="s">
        <v>147</v>
      </c>
    </row>
    <row r="59" spans="2:2">
      <c r="B59" s="202" t="s">
        <v>148</v>
      </c>
    </row>
    <row r="60" spans="2:2">
      <c r="B60" s="202" t="s">
        <v>149</v>
      </c>
    </row>
    <row r="82" spans="2:9" ht="15.75">
      <c r="B82" s="295" t="s">
        <v>150</v>
      </c>
      <c r="C82" s="295"/>
      <c r="D82" s="295"/>
      <c r="E82" s="295"/>
      <c r="F82" s="295"/>
      <c r="G82" s="296" t="s">
        <v>151</v>
      </c>
      <c r="H82" s="296"/>
      <c r="I82" s="296" t="s">
        <v>65</v>
      </c>
    </row>
    <row r="83" spans="2:9" ht="15" customHeight="1">
      <c r="B83" s="307" t="s">
        <v>152</v>
      </c>
      <c r="C83" s="307"/>
      <c r="D83" s="287"/>
      <c r="G83" s="288">
        <f>'Weitere Eingaben'!D9*'Weitere Eingaben'!D12</f>
        <v>27360000</v>
      </c>
      <c r="I83" s="290">
        <f t="shared" ref="I83:I92" si="0">G83/($G$94/100)</f>
        <v>74.320057043903432</v>
      </c>
    </row>
    <row r="84" spans="2:9" ht="15" customHeight="1">
      <c r="B84" s="306" t="s">
        <v>153</v>
      </c>
      <c r="C84" s="306"/>
      <c r="D84" s="287"/>
      <c r="G84" s="288">
        <f>'Weitere Eingaben'!D34</f>
        <v>2091000</v>
      </c>
      <c r="I84" s="290">
        <f t="shared" si="0"/>
        <v>5.6799429560965669</v>
      </c>
    </row>
    <row r="85" spans="2:9" ht="15" customHeight="1">
      <c r="B85" s="306" t="s">
        <v>154</v>
      </c>
      <c r="C85" s="306"/>
      <c r="D85" s="287"/>
      <c r="G85" s="288">
        <v>395000</v>
      </c>
      <c r="I85" s="290">
        <f t="shared" si="0"/>
        <v>1.0729686598078163</v>
      </c>
    </row>
    <row r="86" spans="2:9" ht="15" customHeight="1">
      <c r="B86" s="306" t="s">
        <v>155</v>
      </c>
      <c r="C86" s="306"/>
      <c r="D86" s="287"/>
      <c r="G86" s="288">
        <v>833000</v>
      </c>
      <c r="I86" s="290">
        <f t="shared" si="0"/>
        <v>2.262741502835218</v>
      </c>
    </row>
    <row r="87" spans="2:9" ht="15" customHeight="1">
      <c r="B87" s="306" t="s">
        <v>156</v>
      </c>
      <c r="C87" s="306"/>
      <c r="D87" s="287"/>
      <c r="G87" s="288">
        <v>184000</v>
      </c>
      <c r="I87" s="290">
        <f t="shared" si="0"/>
        <v>0.49981324912566638</v>
      </c>
    </row>
    <row r="88" spans="2:9" ht="15" customHeight="1">
      <c r="B88" s="308" t="s">
        <v>157</v>
      </c>
      <c r="C88" s="308"/>
      <c r="D88" s="297"/>
      <c r="G88" s="288">
        <v>556000</v>
      </c>
      <c r="I88" s="290">
        <f t="shared" si="0"/>
        <v>1.5103052527927745</v>
      </c>
    </row>
    <row r="89" spans="2:9" ht="15" customHeight="1">
      <c r="B89" s="306" t="s">
        <v>158</v>
      </c>
      <c r="C89" s="306"/>
      <c r="D89" s="287"/>
      <c r="G89" s="288">
        <v>1100000</v>
      </c>
      <c r="I89" s="290">
        <f t="shared" si="0"/>
        <v>2.9880139893382229</v>
      </c>
    </row>
    <row r="90" spans="2:9" ht="15" customHeight="1">
      <c r="B90" s="306" t="s">
        <v>159</v>
      </c>
      <c r="C90" s="306"/>
      <c r="D90" s="287"/>
      <c r="G90" s="288">
        <v>750000</v>
      </c>
      <c r="I90" s="290">
        <f t="shared" si="0"/>
        <v>2.037282265457879</v>
      </c>
    </row>
    <row r="91" spans="2:9" ht="15" customHeight="1">
      <c r="B91" s="306" t="s">
        <v>160</v>
      </c>
      <c r="C91" s="306"/>
      <c r="D91" s="287"/>
      <c r="G91" s="288">
        <v>45000</v>
      </c>
      <c r="I91" s="290">
        <f t="shared" si="0"/>
        <v>0.12223693592747276</v>
      </c>
    </row>
    <row r="92" spans="2:9" ht="15" customHeight="1">
      <c r="B92" s="306" t="s">
        <v>161</v>
      </c>
      <c r="C92" s="306"/>
      <c r="D92" s="287"/>
      <c r="G92" s="288">
        <v>3500000</v>
      </c>
      <c r="I92" s="290">
        <f t="shared" si="0"/>
        <v>9.5073172388034362</v>
      </c>
    </row>
    <row r="93" spans="2:9">
      <c r="G93" s="288"/>
      <c r="I93" s="290"/>
    </row>
    <row r="94" spans="2:9" ht="15.75" thickBot="1">
      <c r="B94" s="291" t="s">
        <v>162</v>
      </c>
      <c r="C94" s="291"/>
      <c r="D94" s="291"/>
      <c r="E94" s="291"/>
      <c r="F94" s="291"/>
      <c r="G94" s="292">
        <v>36813750</v>
      </c>
      <c r="H94" s="291"/>
      <c r="I94" s="293">
        <v>100</v>
      </c>
    </row>
    <row r="95" spans="2:9" ht="15.75" thickTop="1"/>
    <row r="97" spans="7:9">
      <c r="G97" s="288">
        <f>SUM(G83:G92)-G94</f>
        <v>250</v>
      </c>
      <c r="I97" s="290">
        <f>SUM(I83:I92)</f>
        <v>100.00067909408848</v>
      </c>
    </row>
  </sheetData>
  <mergeCells count="10"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88:C88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8"/>
  <sheetViews>
    <sheetView topLeftCell="E93" workbookViewId="0">
      <selection activeCell="P114" sqref="P114"/>
    </sheetView>
  </sheetViews>
  <sheetFormatPr defaultColWidth="11.42578125" defaultRowHeight="15"/>
  <cols>
    <col min="2" max="2" width="38.140625" customWidth="1"/>
    <col min="7" max="7" width="21.5703125" customWidth="1"/>
    <col min="8" max="8" width="20.28515625" customWidth="1"/>
    <col min="12" max="12" width="7.140625" customWidth="1"/>
    <col min="13" max="13" width="33" customWidth="1"/>
    <col min="14" max="14" width="5.5703125" customWidth="1"/>
  </cols>
  <sheetData>
    <row r="1" spans="1:16">
      <c r="O1" t="s">
        <v>141</v>
      </c>
      <c r="P1" t="s">
        <v>77</v>
      </c>
    </row>
    <row r="2" spans="1:16">
      <c r="A2" s="216"/>
      <c r="B2" s="216" t="s">
        <v>163</v>
      </c>
      <c r="C2" s="216"/>
      <c r="D2" s="216"/>
      <c r="E2" s="216"/>
      <c r="F2" s="216"/>
      <c r="G2" s="216"/>
      <c r="H2" s="216"/>
      <c r="I2" s="216"/>
      <c r="J2" s="216"/>
    </row>
    <row r="4" spans="1:16">
      <c r="A4" s="217"/>
      <c r="B4" s="218" t="s">
        <v>164</v>
      </c>
      <c r="C4" s="217"/>
      <c r="D4" s="217"/>
      <c r="E4" s="217"/>
      <c r="F4" s="217"/>
      <c r="G4" s="217"/>
      <c r="H4" s="217"/>
      <c r="I4" s="217"/>
      <c r="J4" s="217"/>
    </row>
    <row r="5" spans="1:16">
      <c r="B5" s="177"/>
    </row>
    <row r="6" spans="1:16">
      <c r="B6" t="s">
        <v>165</v>
      </c>
      <c r="D6" s="219" t="s">
        <v>166</v>
      </c>
      <c r="H6" s="219"/>
    </row>
    <row r="7" spans="1:16" ht="75">
      <c r="B7" t="s">
        <v>167</v>
      </c>
      <c r="C7" s="310"/>
      <c r="D7" s="310"/>
      <c r="G7" s="220" t="s">
        <v>168</v>
      </c>
      <c r="H7" s="219" t="s">
        <v>169</v>
      </c>
      <c r="I7">
        <v>6.7</v>
      </c>
    </row>
    <row r="8" spans="1:16">
      <c r="B8" t="s">
        <v>170</v>
      </c>
      <c r="C8" s="309" t="s">
        <v>171</v>
      </c>
      <c r="D8" s="309"/>
      <c r="G8" t="s">
        <v>172</v>
      </c>
      <c r="H8" s="219" t="s">
        <v>173</v>
      </c>
      <c r="I8" s="196">
        <v>76278100</v>
      </c>
      <c r="J8" s="196">
        <v>76278100</v>
      </c>
    </row>
    <row r="9" spans="1:16">
      <c r="B9" t="s">
        <v>174</v>
      </c>
      <c r="C9" s="219"/>
      <c r="D9">
        <v>8</v>
      </c>
      <c r="G9" t="s">
        <v>175</v>
      </c>
      <c r="H9" s="219"/>
      <c r="I9" s="221">
        <v>0.93799999999999994</v>
      </c>
      <c r="J9" s="221">
        <v>0.93799999999999994</v>
      </c>
    </row>
    <row r="10" spans="1:16">
      <c r="B10" t="s">
        <v>176</v>
      </c>
      <c r="C10" s="219" t="s">
        <v>177</v>
      </c>
      <c r="D10">
        <v>3.0750000000000002</v>
      </c>
      <c r="G10" t="s">
        <v>178</v>
      </c>
      <c r="H10" s="219"/>
      <c r="I10" s="222">
        <v>71551300</v>
      </c>
      <c r="J10" s="196"/>
    </row>
    <row r="11" spans="1:16">
      <c r="B11" t="s">
        <v>179</v>
      </c>
      <c r="C11" s="219"/>
      <c r="D11" s="223">
        <v>42011</v>
      </c>
      <c r="G11" t="s">
        <v>180</v>
      </c>
      <c r="H11" s="219"/>
      <c r="I11" s="224">
        <v>0.1</v>
      </c>
    </row>
    <row r="12" spans="1:16">
      <c r="B12" t="s">
        <v>181</v>
      </c>
      <c r="C12" s="219" t="s">
        <v>151</v>
      </c>
      <c r="D12" s="225">
        <v>3420000</v>
      </c>
      <c r="G12" t="s">
        <v>182</v>
      </c>
      <c r="H12" s="219"/>
      <c r="I12" s="226">
        <v>1.6299999999999999E-2</v>
      </c>
    </row>
    <row r="13" spans="1:16">
      <c r="B13" t="s">
        <v>183</v>
      </c>
      <c r="C13" s="219" t="s">
        <v>35</v>
      </c>
      <c r="D13" s="196">
        <v>9712507</v>
      </c>
      <c r="G13" t="s">
        <v>184</v>
      </c>
      <c r="H13" s="219" t="s">
        <v>173</v>
      </c>
      <c r="I13" s="196">
        <f>ROUND(I10*(1-I11-I12),-2)</f>
        <v>63229900</v>
      </c>
    </row>
    <row r="14" spans="1:16">
      <c r="G14" t="s">
        <v>185</v>
      </c>
      <c r="I14">
        <v>2618</v>
      </c>
    </row>
    <row r="15" spans="1:16">
      <c r="A15" s="217"/>
      <c r="B15" s="218" t="s">
        <v>186</v>
      </c>
      <c r="C15" s="217"/>
      <c r="D15" s="217"/>
      <c r="E15" s="217"/>
      <c r="F15" s="217"/>
      <c r="G15" s="217"/>
      <c r="H15" s="217"/>
      <c r="I15" s="217"/>
      <c r="J15" s="217"/>
    </row>
    <row r="16" spans="1:16">
      <c r="B16" s="177"/>
    </row>
    <row r="17" spans="1:10">
      <c r="B17" t="s">
        <v>187</v>
      </c>
      <c r="C17" s="219" t="s">
        <v>35</v>
      </c>
      <c r="D17" s="196">
        <f>D13*D9</f>
        <v>77700056</v>
      </c>
    </row>
    <row r="18" spans="1:10">
      <c r="B18" t="s">
        <v>188</v>
      </c>
      <c r="C18" s="219" t="s">
        <v>173</v>
      </c>
      <c r="D18" s="196">
        <f>I13</f>
        <v>63229900</v>
      </c>
    </row>
    <row r="19" spans="1:10">
      <c r="B19" t="s">
        <v>188</v>
      </c>
      <c r="C19" s="219" t="s">
        <v>189</v>
      </c>
      <c r="D19" s="196">
        <f>D18*5</f>
        <v>316149500</v>
      </c>
    </row>
    <row r="20" spans="1:10">
      <c r="C20" s="219"/>
      <c r="D20" s="227"/>
    </row>
    <row r="21" spans="1:10">
      <c r="C21" s="219"/>
      <c r="D21" s="187"/>
    </row>
    <row r="22" spans="1:10">
      <c r="C22" s="219"/>
    </row>
    <row r="23" spans="1:10">
      <c r="B23" t="s">
        <v>190</v>
      </c>
      <c r="C23" s="219"/>
      <c r="D23" s="228">
        <v>0</v>
      </c>
      <c r="H23" s="219"/>
      <c r="I23" s="196"/>
    </row>
    <row r="24" spans="1:10">
      <c r="B24" t="s">
        <v>191</v>
      </c>
      <c r="C24" s="219" t="s">
        <v>192</v>
      </c>
      <c r="D24" s="187"/>
      <c r="E24" s="187"/>
      <c r="G24" t="s">
        <v>193</v>
      </c>
      <c r="H24" s="219" t="s">
        <v>194</v>
      </c>
      <c r="I24" s="196">
        <f>D27/100*I13</f>
        <v>5646430.0699999994</v>
      </c>
    </row>
    <row r="25" spans="1:10">
      <c r="B25" t="s">
        <v>195</v>
      </c>
      <c r="C25" s="219" t="s">
        <v>192</v>
      </c>
      <c r="D25" s="187"/>
      <c r="E25" s="187"/>
      <c r="H25" s="219"/>
    </row>
    <row r="26" spans="1:10">
      <c r="B26" t="s">
        <v>186</v>
      </c>
      <c r="C26" s="219" t="s">
        <v>192</v>
      </c>
      <c r="D26" s="187">
        <v>8.93</v>
      </c>
    </row>
    <row r="27" spans="1:10">
      <c r="B27" t="s">
        <v>196</v>
      </c>
      <c r="C27" s="219" t="s">
        <v>192</v>
      </c>
      <c r="D27" s="187">
        <f>SUM(D24:D26)</f>
        <v>8.93</v>
      </c>
      <c r="E27" s="229"/>
    </row>
    <row r="28" spans="1:10">
      <c r="B28" t="s">
        <v>197</v>
      </c>
      <c r="C28" s="219" t="s">
        <v>192</v>
      </c>
      <c r="D28" s="187">
        <v>0</v>
      </c>
    </row>
    <row r="31" spans="1:10">
      <c r="A31" s="230"/>
      <c r="B31" s="230" t="s">
        <v>99</v>
      </c>
      <c r="C31" s="230"/>
      <c r="D31" s="230"/>
      <c r="E31" s="230"/>
      <c r="F31" s="230"/>
      <c r="G31" s="230"/>
      <c r="H31" s="230"/>
      <c r="I31" s="230"/>
      <c r="J31" s="230"/>
    </row>
    <row r="33" spans="2:9">
      <c r="B33" t="s">
        <v>198</v>
      </c>
      <c r="C33" s="219" t="s">
        <v>151</v>
      </c>
      <c r="D33" s="196">
        <f>D12*D9</f>
        <v>27360000</v>
      </c>
    </row>
    <row r="34" spans="2:9">
      <c r="B34" t="s">
        <v>199</v>
      </c>
      <c r="C34" s="219" t="s">
        <v>151</v>
      </c>
      <c r="D34" s="196">
        <v>2091000</v>
      </c>
    </row>
    <row r="35" spans="2:9">
      <c r="C35" s="219"/>
      <c r="D35" s="196"/>
    </row>
    <row r="36" spans="2:9">
      <c r="C36" s="219"/>
      <c r="D36" s="196"/>
    </row>
    <row r="37" spans="2:9">
      <c r="B37" t="s">
        <v>200</v>
      </c>
      <c r="C37" s="219" t="s">
        <v>151</v>
      </c>
      <c r="D37" s="231">
        <v>0</v>
      </c>
      <c r="F37" t="s">
        <v>201</v>
      </c>
    </row>
    <row r="38" spans="2:9">
      <c r="C38" s="219"/>
      <c r="D38" s="196"/>
    </row>
    <row r="39" spans="2:9">
      <c r="B39" t="s">
        <v>202</v>
      </c>
      <c r="C39" s="219" t="s">
        <v>151</v>
      </c>
      <c r="D39" s="232">
        <v>15000</v>
      </c>
      <c r="F39" t="s">
        <v>203</v>
      </c>
      <c r="G39">
        <v>1</v>
      </c>
      <c r="H39" t="s">
        <v>204</v>
      </c>
      <c r="I39">
        <v>25000</v>
      </c>
    </row>
    <row r="40" spans="2:9">
      <c r="B40" t="s">
        <v>205</v>
      </c>
      <c r="C40" s="219" t="s">
        <v>151</v>
      </c>
      <c r="D40" s="232">
        <f t="shared" ref="D40:D41" si="0">G40*I40</f>
        <v>0</v>
      </c>
      <c r="F40" t="s">
        <v>203</v>
      </c>
      <c r="H40" t="s">
        <v>204</v>
      </c>
      <c r="I40">
        <v>65000</v>
      </c>
    </row>
    <row r="41" spans="2:9">
      <c r="B41" t="s">
        <v>206</v>
      </c>
      <c r="C41" s="219" t="s">
        <v>151</v>
      </c>
      <c r="D41" s="232">
        <f t="shared" si="0"/>
        <v>480000</v>
      </c>
      <c r="F41" t="s">
        <v>207</v>
      </c>
      <c r="G41">
        <f>D9</f>
        <v>8</v>
      </c>
      <c r="H41" t="s">
        <v>208</v>
      </c>
      <c r="I41">
        <v>60000</v>
      </c>
    </row>
    <row r="42" spans="2:9">
      <c r="C42" s="219"/>
      <c r="D42" s="196"/>
    </row>
    <row r="43" spans="2:9">
      <c r="B43" t="s">
        <v>209</v>
      </c>
      <c r="C43" s="219" t="s">
        <v>151</v>
      </c>
      <c r="D43" s="196">
        <f>G43*I43</f>
        <v>201709.99999999997</v>
      </c>
      <c r="F43" t="s">
        <v>203</v>
      </c>
      <c r="G43">
        <v>2.2999999999999998</v>
      </c>
      <c r="H43" t="s">
        <v>204</v>
      </c>
      <c r="I43">
        <v>87700</v>
      </c>
    </row>
    <row r="44" spans="2:9">
      <c r="B44" t="s">
        <v>210</v>
      </c>
      <c r="C44" s="219" t="s">
        <v>151</v>
      </c>
      <c r="D44" s="196">
        <f>G44*I44</f>
        <v>631440</v>
      </c>
      <c r="F44" t="s">
        <v>203</v>
      </c>
      <c r="G44">
        <v>7.2</v>
      </c>
      <c r="H44" t="s">
        <v>204</v>
      </c>
      <c r="I44">
        <v>87700</v>
      </c>
    </row>
    <row r="45" spans="2:9">
      <c r="B45" t="s">
        <v>211</v>
      </c>
      <c r="C45" s="219" t="s">
        <v>151</v>
      </c>
      <c r="D45" s="196"/>
    </row>
    <row r="46" spans="2:9">
      <c r="B46" t="s">
        <v>212</v>
      </c>
      <c r="C46" s="219" t="s">
        <v>151</v>
      </c>
      <c r="D46" s="232">
        <v>2000</v>
      </c>
      <c r="F46" t="s">
        <v>213</v>
      </c>
    </row>
    <row r="47" spans="2:9" ht="75">
      <c r="B47" s="220" t="s">
        <v>214</v>
      </c>
      <c r="C47" s="219" t="s">
        <v>151</v>
      </c>
      <c r="D47" s="232">
        <v>25000</v>
      </c>
    </row>
    <row r="48" spans="2:9">
      <c r="C48" s="219"/>
      <c r="D48" s="232"/>
    </row>
    <row r="49" spans="2:10">
      <c r="B49" t="s">
        <v>159</v>
      </c>
      <c r="C49" s="219" t="s">
        <v>151</v>
      </c>
      <c r="D49" s="232">
        <v>300000</v>
      </c>
    </row>
    <row r="50" spans="2:10">
      <c r="B50" t="s">
        <v>215</v>
      </c>
      <c r="C50" s="219" t="s">
        <v>151</v>
      </c>
      <c r="D50" s="232">
        <v>10000</v>
      </c>
      <c r="E50" s="309" t="s">
        <v>216</v>
      </c>
      <c r="F50" s="309"/>
      <c r="G50" s="196">
        <v>5000</v>
      </c>
      <c r="I50">
        <f>10*900+5*1700</f>
        <v>17500</v>
      </c>
      <c r="J50">
        <f>60*50*3</f>
        <v>9000</v>
      </c>
    </row>
    <row r="51" spans="2:10">
      <c r="B51" t="s">
        <v>217</v>
      </c>
      <c r="C51" s="219" t="s">
        <v>151</v>
      </c>
      <c r="D51" s="232">
        <v>25000</v>
      </c>
      <c r="E51" s="309" t="s">
        <v>216</v>
      </c>
      <c r="F51" s="309"/>
      <c r="G51" s="196">
        <v>25000</v>
      </c>
    </row>
    <row r="52" spans="2:10">
      <c r="B52" t="s">
        <v>218</v>
      </c>
      <c r="C52" s="219" t="s">
        <v>151</v>
      </c>
      <c r="D52" s="232">
        <v>10000</v>
      </c>
      <c r="E52" s="309" t="s">
        <v>216</v>
      </c>
      <c r="F52" s="309"/>
      <c r="G52" s="196">
        <v>5000</v>
      </c>
    </row>
    <row r="53" spans="2:10">
      <c r="B53" t="s">
        <v>219</v>
      </c>
      <c r="C53" s="219" t="s">
        <v>151</v>
      </c>
      <c r="D53" s="232">
        <v>15000</v>
      </c>
      <c r="E53" s="309" t="s">
        <v>216</v>
      </c>
      <c r="F53" s="309"/>
      <c r="G53" s="196">
        <v>7500</v>
      </c>
    </row>
    <row r="54" spans="2:10">
      <c r="B54" t="s">
        <v>220</v>
      </c>
      <c r="C54" s="219" t="s">
        <v>151</v>
      </c>
      <c r="D54" s="232">
        <f>G54*D9</f>
        <v>120000</v>
      </c>
      <c r="E54" s="309" t="s">
        <v>221</v>
      </c>
      <c r="F54" s="309"/>
      <c r="G54" s="196">
        <v>15000</v>
      </c>
    </row>
    <row r="55" spans="2:10">
      <c r="B55" t="s">
        <v>222</v>
      </c>
      <c r="C55" s="219" t="s">
        <v>151</v>
      </c>
      <c r="D55" s="232"/>
    </row>
    <row r="56" spans="2:10">
      <c r="C56" s="219"/>
      <c r="D56" s="196"/>
      <c r="E56" s="196">
        <f>SUM(D50:D54)</f>
        <v>180000</v>
      </c>
    </row>
    <row r="57" spans="2:10">
      <c r="B57" t="s">
        <v>223</v>
      </c>
      <c r="C57" s="219" t="s">
        <v>151</v>
      </c>
      <c r="D57" s="196">
        <v>0</v>
      </c>
    </row>
    <row r="58" spans="2:10">
      <c r="B58" t="s">
        <v>224</v>
      </c>
      <c r="C58" s="219" t="s">
        <v>151</v>
      </c>
      <c r="D58" s="196">
        <f>G58*I58</f>
        <v>396000</v>
      </c>
      <c r="F58" t="s">
        <v>203</v>
      </c>
      <c r="G58">
        <f>G44</f>
        <v>7.2</v>
      </c>
      <c r="H58" s="219" t="s">
        <v>204</v>
      </c>
      <c r="I58">
        <v>55000</v>
      </c>
    </row>
    <row r="59" spans="2:10">
      <c r="B59" t="s">
        <v>225</v>
      </c>
      <c r="C59" s="219" t="s">
        <v>151</v>
      </c>
      <c r="D59" s="196">
        <f>G59*I59</f>
        <v>10000</v>
      </c>
      <c r="F59" s="219" t="s">
        <v>226</v>
      </c>
      <c r="G59">
        <v>5</v>
      </c>
      <c r="H59" s="219" t="s">
        <v>227</v>
      </c>
      <c r="I59">
        <v>2000</v>
      </c>
    </row>
    <row r="60" spans="2:10">
      <c r="B60" t="s">
        <v>228</v>
      </c>
      <c r="C60" s="219" t="s">
        <v>151</v>
      </c>
      <c r="D60" s="196">
        <v>150000</v>
      </c>
      <c r="E60" s="309" t="s">
        <v>229</v>
      </c>
      <c r="F60" s="309"/>
      <c r="G60" s="196">
        <v>20000</v>
      </c>
    </row>
    <row r="61" spans="2:10">
      <c r="B61" t="s">
        <v>230</v>
      </c>
      <c r="C61" s="219" t="s">
        <v>151</v>
      </c>
      <c r="D61" s="232">
        <v>15000</v>
      </c>
    </row>
    <row r="62" spans="2:10">
      <c r="B62" t="s">
        <v>231</v>
      </c>
      <c r="C62" s="219" t="s">
        <v>151</v>
      </c>
      <c r="D62" s="232">
        <v>15000</v>
      </c>
    </row>
    <row r="63" spans="2:10">
      <c r="B63" t="s">
        <v>232</v>
      </c>
      <c r="C63" s="219" t="s">
        <v>151</v>
      </c>
      <c r="D63" s="232">
        <f>G63*D9</f>
        <v>40000</v>
      </c>
      <c r="E63" s="309" t="s">
        <v>221</v>
      </c>
      <c r="F63" s="309"/>
      <c r="G63" s="196">
        <v>5000</v>
      </c>
    </row>
    <row r="64" spans="2:10">
      <c r="C64" s="219"/>
      <c r="D64" s="196"/>
    </row>
    <row r="65" spans="1:13">
      <c r="B65" t="s">
        <v>233</v>
      </c>
      <c r="C65" s="219" t="s">
        <v>151</v>
      </c>
      <c r="D65" s="232"/>
    </row>
    <row r="66" spans="1:13">
      <c r="B66" t="s">
        <v>234</v>
      </c>
      <c r="C66" s="219" t="s">
        <v>151</v>
      </c>
      <c r="D66" s="232">
        <f>0.01*10060600</f>
        <v>100606</v>
      </c>
      <c r="F66" t="s">
        <v>235</v>
      </c>
    </row>
    <row r="67" spans="1:13">
      <c r="B67" t="s">
        <v>236</v>
      </c>
      <c r="C67" s="219" t="s">
        <v>151</v>
      </c>
      <c r="D67" s="232">
        <v>240000</v>
      </c>
    </row>
    <row r="68" spans="1:13">
      <c r="B68" t="s">
        <v>237</v>
      </c>
      <c r="C68" s="219" t="s">
        <v>151</v>
      </c>
      <c r="D68" s="232"/>
      <c r="F68" t="s">
        <v>238</v>
      </c>
    </row>
    <row r="69" spans="1:13">
      <c r="C69" s="219"/>
      <c r="D69" s="196"/>
    </row>
    <row r="70" spans="1:13">
      <c r="B70" t="s">
        <v>239</v>
      </c>
      <c r="C70" s="219" t="s">
        <v>151</v>
      </c>
      <c r="D70" s="232">
        <v>1500000</v>
      </c>
      <c r="G70" t="s">
        <v>165</v>
      </c>
      <c r="H70" s="196">
        <f>D33+D34+D43+D44+D58+D59+D60</f>
        <v>30840150</v>
      </c>
      <c r="I70" s="250">
        <v>0.94</v>
      </c>
      <c r="K70" s="219" t="s">
        <v>240</v>
      </c>
      <c r="L70" s="196">
        <f>D33+D34</f>
        <v>29451000</v>
      </c>
      <c r="M70" s="250">
        <v>0.8</v>
      </c>
    </row>
    <row r="71" spans="1:13">
      <c r="C71" s="219"/>
      <c r="D71" s="196"/>
      <c r="G71" t="s">
        <v>241</v>
      </c>
      <c r="H71" s="196">
        <f>(H70/94)*6</f>
        <v>1968520.2127659575</v>
      </c>
      <c r="I71" s="250">
        <v>0.06</v>
      </c>
      <c r="K71" s="219" t="s">
        <v>242</v>
      </c>
      <c r="L71" s="196">
        <f>(L70/80)*14</f>
        <v>5153925</v>
      </c>
      <c r="M71" s="250">
        <v>0.14000000000000001</v>
      </c>
    </row>
    <row r="72" spans="1:13">
      <c r="B72" t="s">
        <v>243</v>
      </c>
      <c r="C72" s="219" t="s">
        <v>151</v>
      </c>
      <c r="D72" s="196">
        <f>L73</f>
        <v>36813750</v>
      </c>
      <c r="K72" s="219" t="s">
        <v>241</v>
      </c>
      <c r="L72" s="196">
        <f>(L70/80)*6</f>
        <v>2208825</v>
      </c>
      <c r="M72" s="250">
        <v>0.06</v>
      </c>
    </row>
    <row r="73" spans="1:13" ht="15.75" thickBot="1">
      <c r="C73" s="219"/>
      <c r="L73" s="251">
        <f>SUM(L70:L72)</f>
        <v>36813750</v>
      </c>
    </row>
    <row r="74" spans="1:13" ht="15.75" thickTop="1">
      <c r="B74" s="233" t="s">
        <v>244</v>
      </c>
      <c r="C74" s="245" t="s">
        <v>245</v>
      </c>
      <c r="D74" s="246">
        <f>D72/(D18*20)</f>
        <v>2.9111029750165666E-2</v>
      </c>
    </row>
    <row r="76" spans="1:13" ht="60">
      <c r="B76" s="220" t="s">
        <v>246</v>
      </c>
      <c r="C76" s="219" t="s">
        <v>151</v>
      </c>
      <c r="D76" s="196">
        <f>D72</f>
        <v>36813750</v>
      </c>
    </row>
    <row r="78" spans="1:13">
      <c r="A78" s="230"/>
      <c r="B78" s="230" t="s">
        <v>8</v>
      </c>
      <c r="C78" s="230"/>
      <c r="D78" s="230"/>
      <c r="E78" s="230"/>
      <c r="F78" s="230"/>
      <c r="G78" s="230"/>
      <c r="H78" s="230"/>
      <c r="I78" s="230"/>
      <c r="J78" s="230"/>
    </row>
    <row r="80" spans="1:13">
      <c r="C80" s="227"/>
      <c r="D80" s="282"/>
      <c r="E80" s="196"/>
    </row>
    <row r="81" spans="1:10">
      <c r="C81" s="227"/>
      <c r="D81" s="282"/>
      <c r="E81" s="196"/>
    </row>
    <row r="82" spans="1:10">
      <c r="C82" s="227"/>
      <c r="D82" s="282"/>
      <c r="E82" s="196"/>
    </row>
    <row r="85" spans="1:10">
      <c r="C85" s="219"/>
      <c r="D85" s="283"/>
      <c r="E85" s="283"/>
    </row>
    <row r="86" spans="1:10">
      <c r="C86" s="219"/>
      <c r="D86" s="284"/>
      <c r="E86" s="284"/>
    </row>
    <row r="87" spans="1:10">
      <c r="C87" s="219"/>
    </row>
    <row r="88" spans="1:10">
      <c r="C88" s="219"/>
      <c r="D88" s="285"/>
      <c r="E88" s="285"/>
    </row>
    <row r="89" spans="1:10">
      <c r="C89" s="219"/>
      <c r="D89" s="285"/>
      <c r="E89" s="285"/>
    </row>
    <row r="90" spans="1:10">
      <c r="C90" s="219"/>
    </row>
    <row r="91" spans="1:10">
      <c r="C91" s="219"/>
    </row>
    <row r="92" spans="1:10">
      <c r="D92" s="285"/>
      <c r="E92" s="285"/>
    </row>
    <row r="94" spans="1:10">
      <c r="D94" s="286"/>
      <c r="E94" s="286"/>
    </row>
    <row r="96" spans="1:10">
      <c r="A96" s="218"/>
      <c r="B96" s="218" t="s">
        <v>77</v>
      </c>
      <c r="C96" s="218"/>
      <c r="D96" s="218"/>
      <c r="E96" s="218"/>
      <c r="F96" s="218"/>
      <c r="G96" s="218"/>
      <c r="H96" s="218"/>
      <c r="I96" s="218"/>
      <c r="J96" s="218"/>
    </row>
    <row r="97" spans="2:18">
      <c r="G97" t="s">
        <v>247</v>
      </c>
      <c r="H97" t="s">
        <v>248</v>
      </c>
      <c r="L97" s="1"/>
      <c r="M97" s="1"/>
      <c r="N97" s="1"/>
      <c r="O97" s="1"/>
      <c r="P97" s="1"/>
      <c r="Q97" s="1"/>
      <c r="R97" s="1"/>
    </row>
    <row r="98" spans="2:18">
      <c r="B98" t="s">
        <v>249</v>
      </c>
      <c r="C98" s="219" t="s">
        <v>194</v>
      </c>
      <c r="D98" s="196">
        <f>G98*$I$13</f>
        <v>1523840.59</v>
      </c>
      <c r="E98" t="s">
        <v>245</v>
      </c>
      <c r="G98" s="235">
        <v>2.41E-2</v>
      </c>
      <c r="L98" s="1"/>
      <c r="M98" s="1" t="s">
        <v>249</v>
      </c>
      <c r="N98" s="84" t="s">
        <v>194</v>
      </c>
      <c r="O98" s="288">
        <v>1523841</v>
      </c>
      <c r="P98" s="84">
        <v>2.41E-2</v>
      </c>
      <c r="Q98" s="1" t="s">
        <v>245</v>
      </c>
      <c r="R98" s="1"/>
    </row>
    <row r="99" spans="2:18">
      <c r="B99" t="s">
        <v>250</v>
      </c>
      <c r="C99" s="219" t="s">
        <v>194</v>
      </c>
      <c r="D99" s="196">
        <f>G99*$I$13</f>
        <v>1694561.32</v>
      </c>
      <c r="E99" t="s">
        <v>245</v>
      </c>
      <c r="G99" s="236">
        <v>2.6800000000000001E-2</v>
      </c>
      <c r="L99" s="1"/>
      <c r="M99" s="1" t="s">
        <v>250</v>
      </c>
      <c r="N99" s="84" t="s">
        <v>194</v>
      </c>
      <c r="O99" s="288">
        <v>1694561</v>
      </c>
      <c r="P99" s="299">
        <v>2.6800000000000001E-2</v>
      </c>
      <c r="Q99" s="1" t="s">
        <v>245</v>
      </c>
      <c r="R99" s="1"/>
    </row>
    <row r="100" spans="2:18">
      <c r="C100" s="219"/>
      <c r="D100" s="227"/>
      <c r="G100" s="198"/>
      <c r="L100" s="1"/>
      <c r="M100" s="1"/>
      <c r="N100" s="84"/>
      <c r="O100" s="288"/>
      <c r="P100" s="84"/>
      <c r="Q100" s="1"/>
      <c r="R100" s="1"/>
    </row>
    <row r="101" spans="2:18">
      <c r="C101" s="219"/>
      <c r="D101" s="227"/>
      <c r="L101" s="1"/>
      <c r="M101" s="1"/>
      <c r="N101" s="84"/>
      <c r="O101" s="288"/>
      <c r="P101" s="84"/>
      <c r="Q101" s="1"/>
      <c r="R101" s="1"/>
    </row>
    <row r="102" spans="2:18">
      <c r="B102" t="s">
        <v>251</v>
      </c>
      <c r="C102" s="219" t="s">
        <v>194</v>
      </c>
      <c r="D102" s="237">
        <f>D9*D10*G102*1000</f>
        <v>246000</v>
      </c>
      <c r="G102" s="196">
        <v>10</v>
      </c>
      <c r="H102" t="s">
        <v>252</v>
      </c>
      <c r="L102" s="1"/>
      <c r="M102" s="1" t="s">
        <v>251</v>
      </c>
      <c r="N102" s="84" t="s">
        <v>194</v>
      </c>
      <c r="O102" s="288">
        <v>246000</v>
      </c>
      <c r="P102" s="84"/>
      <c r="Q102" s="1"/>
      <c r="R102" s="1"/>
    </row>
    <row r="103" spans="2:18">
      <c r="B103" t="s">
        <v>253</v>
      </c>
      <c r="C103" s="219" t="s">
        <v>194</v>
      </c>
      <c r="D103" s="237">
        <v>50000</v>
      </c>
      <c r="G103" s="196"/>
      <c r="L103" s="1"/>
      <c r="M103" s="1" t="s">
        <v>253</v>
      </c>
      <c r="N103" s="84" t="s">
        <v>194</v>
      </c>
      <c r="O103" s="288">
        <v>50000</v>
      </c>
      <c r="P103" s="84"/>
      <c r="Q103" s="299"/>
      <c r="R103" s="1"/>
    </row>
    <row r="104" spans="2:18">
      <c r="B104" t="s">
        <v>254</v>
      </c>
      <c r="C104" s="219" t="s">
        <v>194</v>
      </c>
      <c r="D104" s="196">
        <f>0.085*I14*3000*(0.1+0.01)</f>
        <v>73434.900000000009</v>
      </c>
      <c r="L104" s="1"/>
      <c r="M104" s="1" t="s">
        <v>254</v>
      </c>
      <c r="N104" s="84" t="s">
        <v>194</v>
      </c>
      <c r="O104" s="288">
        <v>73435</v>
      </c>
      <c r="P104" s="84"/>
      <c r="Q104" s="1"/>
      <c r="R104" s="1"/>
    </row>
    <row r="105" spans="2:18">
      <c r="B105" t="s">
        <v>255</v>
      </c>
      <c r="C105" s="219" t="s">
        <v>194</v>
      </c>
      <c r="D105" s="196">
        <f>G105*$D$9</f>
        <v>24000</v>
      </c>
      <c r="E105" s="309" t="s">
        <v>229</v>
      </c>
      <c r="F105" s="309"/>
      <c r="G105" s="232">
        <v>3000</v>
      </c>
      <c r="L105" s="1"/>
      <c r="M105" s="1" t="s">
        <v>255</v>
      </c>
      <c r="N105" s="84" t="s">
        <v>194</v>
      </c>
      <c r="O105" s="288">
        <v>24000</v>
      </c>
      <c r="P105" s="84"/>
      <c r="Q105" s="1"/>
      <c r="R105" s="1"/>
    </row>
    <row r="106" spans="2:18">
      <c r="B106" t="s">
        <v>256</v>
      </c>
      <c r="C106" s="219" t="s">
        <v>194</v>
      </c>
      <c r="D106" s="196">
        <f>G106*$D$9</f>
        <v>40000</v>
      </c>
      <c r="E106" s="309" t="s">
        <v>229</v>
      </c>
      <c r="F106" s="309"/>
      <c r="G106" s="232">
        <v>5000</v>
      </c>
      <c r="H106" t="s">
        <v>257</v>
      </c>
      <c r="L106" s="1"/>
      <c r="M106" s="1" t="s">
        <v>256</v>
      </c>
      <c r="N106" s="84" t="s">
        <v>194</v>
      </c>
      <c r="O106" s="288">
        <v>40000</v>
      </c>
      <c r="P106" s="84"/>
      <c r="Q106" s="1"/>
      <c r="R106" s="1"/>
    </row>
    <row r="107" spans="2:18">
      <c r="B107" t="s">
        <v>258</v>
      </c>
      <c r="C107" s="219" t="s">
        <v>194</v>
      </c>
      <c r="D107" s="196">
        <f>G107*D10*D9/20</f>
        <v>49200</v>
      </c>
      <c r="E107" s="309" t="s">
        <v>259</v>
      </c>
      <c r="F107" s="309"/>
      <c r="G107" s="196">
        <v>40000</v>
      </c>
      <c r="H107" s="238"/>
      <c r="L107" s="1"/>
      <c r="M107" s="1" t="s">
        <v>258</v>
      </c>
      <c r="N107" s="84" t="s">
        <v>194</v>
      </c>
      <c r="O107" s="288">
        <v>49200</v>
      </c>
      <c r="P107" s="84"/>
      <c r="Q107" s="1"/>
      <c r="R107" s="1"/>
    </row>
    <row r="108" spans="2:18">
      <c r="B108" t="s">
        <v>260</v>
      </c>
      <c r="C108" s="219" t="s">
        <v>194</v>
      </c>
      <c r="D108" s="196">
        <f>G108*$D$9</f>
        <v>24000</v>
      </c>
      <c r="E108" s="309" t="s">
        <v>229</v>
      </c>
      <c r="F108" s="309"/>
      <c r="G108" s="232">
        <v>3000</v>
      </c>
      <c r="L108" s="1"/>
      <c r="M108" s="1" t="s">
        <v>260</v>
      </c>
      <c r="N108" s="84" t="s">
        <v>194</v>
      </c>
      <c r="O108" s="288">
        <v>24000</v>
      </c>
      <c r="P108" s="84"/>
      <c r="Q108" s="1"/>
      <c r="R108" s="1"/>
    </row>
    <row r="109" spans="2:18">
      <c r="L109" s="1"/>
      <c r="M109" s="1"/>
      <c r="N109" s="1"/>
      <c r="O109" s="288"/>
      <c r="P109" s="1"/>
      <c r="Q109" s="1"/>
      <c r="R109" s="1"/>
    </row>
    <row r="110" spans="2:18">
      <c r="B110" t="s">
        <v>261</v>
      </c>
      <c r="C110" s="219" t="s">
        <v>194</v>
      </c>
      <c r="D110" s="196">
        <f>G110*D9</f>
        <v>40000</v>
      </c>
      <c r="E110" s="309" t="s">
        <v>229</v>
      </c>
      <c r="F110" s="309"/>
      <c r="G110" s="232">
        <v>5000</v>
      </c>
      <c r="L110" s="1"/>
      <c r="M110" s="279" t="s">
        <v>261</v>
      </c>
      <c r="N110" s="294" t="s">
        <v>194</v>
      </c>
      <c r="O110" s="300">
        <v>40000</v>
      </c>
      <c r="P110" s="294"/>
      <c r="Q110" s="279"/>
      <c r="R110" s="1"/>
    </row>
    <row r="111" spans="2:18">
      <c r="I111" s="219" t="s">
        <v>40</v>
      </c>
      <c r="J111" s="196">
        <f>D98+SUM(D103:D110)</f>
        <v>1824475.4900000002</v>
      </c>
      <c r="L111" s="1"/>
      <c r="M111" s="1"/>
      <c r="N111" s="1"/>
      <c r="O111" s="1"/>
      <c r="P111" s="1"/>
      <c r="Q111" s="1"/>
      <c r="R111" s="1"/>
    </row>
    <row r="112" spans="2:18" ht="15.75" thickBot="1">
      <c r="B112" t="s">
        <v>262</v>
      </c>
      <c r="D112" s="227">
        <v>0.02</v>
      </c>
      <c r="G112" t="s">
        <v>263</v>
      </c>
      <c r="I112" s="219" t="s">
        <v>41</v>
      </c>
      <c r="J112" s="196">
        <f>D99+SUM(D103:D110)</f>
        <v>1995196.2200000002</v>
      </c>
      <c r="L112" s="1"/>
      <c r="M112" s="62" t="s">
        <v>264</v>
      </c>
      <c r="N112" s="301" t="s">
        <v>194</v>
      </c>
      <c r="O112" s="302">
        <f>O98+SUM(O102:O110)</f>
        <v>2070476</v>
      </c>
      <c r="P112" s="62"/>
      <c r="Q112" s="62"/>
      <c r="R112" s="1"/>
    </row>
    <row r="113" spans="1:18" ht="15.75" thickTop="1">
      <c r="I113" s="219" t="s">
        <v>251</v>
      </c>
      <c r="J113" s="196">
        <f>D102</f>
        <v>246000</v>
      </c>
      <c r="L113" s="1"/>
      <c r="M113" s="1"/>
      <c r="N113" s="1"/>
      <c r="O113" s="1"/>
      <c r="P113" s="1"/>
      <c r="Q113" s="1"/>
      <c r="R113" s="1"/>
    </row>
    <row r="114" spans="1:18">
      <c r="A114" s="218"/>
      <c r="B114" s="218" t="s">
        <v>118</v>
      </c>
      <c r="C114" s="218"/>
      <c r="D114" s="218"/>
      <c r="E114" s="218"/>
      <c r="F114" s="218"/>
      <c r="G114" s="218"/>
      <c r="H114" s="218"/>
      <c r="I114" s="218"/>
      <c r="J114" s="218"/>
    </row>
    <row r="116" spans="1:18">
      <c r="B116" t="s">
        <v>117</v>
      </c>
      <c r="D116" s="257">
        <f>(D118*D121)</f>
        <v>0.13300000000000001</v>
      </c>
    </row>
    <row r="117" spans="1:18">
      <c r="B117" s="239" t="s">
        <v>265</v>
      </c>
      <c r="C117" s="240" t="s">
        <v>151</v>
      </c>
      <c r="D117" s="196">
        <v>0</v>
      </c>
    </row>
    <row r="118" spans="1:18">
      <c r="B118" s="239" t="s">
        <v>266</v>
      </c>
      <c r="C118" s="241"/>
      <c r="D118" s="221">
        <v>3.5000000000000003E-2</v>
      </c>
    </row>
    <row r="119" spans="1:18">
      <c r="B119" s="239"/>
      <c r="C119" s="239"/>
      <c r="D119" s="242"/>
      <c r="E119" s="242"/>
      <c r="F119" s="239"/>
      <c r="H119" s="239"/>
    </row>
    <row r="120" spans="1:18">
      <c r="B120" s="239"/>
      <c r="C120" s="239"/>
      <c r="D120" s="243"/>
      <c r="E120" s="243"/>
      <c r="F120" s="239"/>
      <c r="G120" s="239"/>
      <c r="H120" s="241"/>
    </row>
    <row r="121" spans="1:18">
      <c r="B121" s="239" t="s">
        <v>267</v>
      </c>
      <c r="C121" s="239"/>
      <c r="D121" s="242">
        <v>3.8</v>
      </c>
      <c r="E121" s="242"/>
      <c r="F121" s="239"/>
      <c r="G121" s="239"/>
      <c r="H121" s="239"/>
    </row>
    <row r="122" spans="1:18">
      <c r="B122" s="239"/>
      <c r="C122" s="239"/>
      <c r="D122" s="243"/>
      <c r="E122" s="243"/>
      <c r="F122" s="239" t="s">
        <v>268</v>
      </c>
      <c r="G122" s="239"/>
      <c r="H122" s="239"/>
    </row>
    <row r="123" spans="1:18">
      <c r="B123" t="s">
        <v>113</v>
      </c>
      <c r="D123" s="250">
        <v>0.15</v>
      </c>
    </row>
    <row r="124" spans="1:18">
      <c r="B124" t="s">
        <v>114</v>
      </c>
      <c r="D124" s="226">
        <v>5.5E-2</v>
      </c>
    </row>
    <row r="125" spans="1:18">
      <c r="A125" s="218"/>
      <c r="B125" s="218" t="s">
        <v>269</v>
      </c>
      <c r="C125" s="218"/>
      <c r="D125" s="218"/>
      <c r="E125" s="218"/>
      <c r="F125" s="218"/>
      <c r="G125" s="218"/>
      <c r="H125" s="218"/>
      <c r="I125" s="218"/>
      <c r="J125" s="218"/>
    </row>
    <row r="127" spans="1:18">
      <c r="B127" t="s">
        <v>270</v>
      </c>
      <c r="D127" s="234">
        <v>0.04</v>
      </c>
    </row>
    <row r="128" spans="1:18">
      <c r="B128" t="s">
        <v>69</v>
      </c>
      <c r="D128" s="244">
        <f>D127*E80/D72+D88*D86/D72+E88*E86/D72</f>
        <v>0</v>
      </c>
    </row>
  </sheetData>
  <mergeCells count="14">
    <mergeCell ref="E53:F53"/>
    <mergeCell ref="C7:D7"/>
    <mergeCell ref="C8:D8"/>
    <mergeCell ref="E50:F50"/>
    <mergeCell ref="E51:F51"/>
    <mergeCell ref="E52:F52"/>
    <mergeCell ref="E108:F108"/>
    <mergeCell ref="E110:F110"/>
    <mergeCell ref="E54:F54"/>
    <mergeCell ref="E60:F60"/>
    <mergeCell ref="E63:F63"/>
    <mergeCell ref="E105:F105"/>
    <mergeCell ref="E106:F106"/>
    <mergeCell ref="E107:F107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Ulf Ehlers</cp:lastModifiedBy>
  <cp:revision/>
  <dcterms:created xsi:type="dcterms:W3CDTF">2006-09-21T08:52:22Z</dcterms:created>
  <dcterms:modified xsi:type="dcterms:W3CDTF">2023-09-04T07:50:57Z</dcterms:modified>
  <cp:category/>
  <cp:contentStatus/>
</cp:coreProperties>
</file>