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Wind_Farm_Project_Development\Wind-Farm-Project-Development\Economic_analysis_of_wind_farms\"/>
    </mc:Choice>
  </mc:AlternateContent>
  <xr:revisionPtr revIDLastSave="0" documentId="13_ncr:1_{EBEC5002-18D1-4C5E-BA73-30BDBE833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4" l="1"/>
  <c r="I97" i="4"/>
  <c r="I96" i="4"/>
  <c r="F97" i="4"/>
  <c r="F96" i="4"/>
  <c r="F93" i="4"/>
  <c r="F89" i="4"/>
  <c r="F88" i="4"/>
  <c r="F87" i="4"/>
  <c r="C32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3" i="4"/>
  <c r="C54" i="4"/>
  <c r="C63" i="4"/>
  <c r="B25" i="1"/>
  <c r="B34" i="1"/>
  <c r="B14" i="1"/>
  <c r="B69" i="1"/>
  <c r="B15" i="1"/>
  <c r="B9" i="1"/>
  <c r="C40" i="4"/>
  <c r="C86" i="4"/>
  <c r="C87" i="4"/>
  <c r="C88" i="4"/>
  <c r="C89" i="4"/>
  <c r="C93" i="4"/>
  <c r="C96" i="4"/>
  <c r="C97" i="4"/>
  <c r="C100" i="4"/>
  <c r="C103" i="4"/>
  <c r="B26" i="1"/>
  <c r="D6" i="2"/>
  <c r="E6" i="2"/>
  <c r="E18" i="2"/>
  <c r="E21" i="2"/>
  <c r="E88" i="2"/>
  <c r="F6" i="2"/>
  <c r="F18" i="2"/>
  <c r="F21" i="2"/>
  <c r="F88" i="2"/>
  <c r="G6" i="2"/>
  <c r="G18" i="2"/>
  <c r="G21" i="2"/>
  <c r="G88" i="2"/>
  <c r="H6" i="2"/>
  <c r="H18" i="2"/>
  <c r="H21" i="2"/>
  <c r="H88" i="2"/>
  <c r="I6" i="2"/>
  <c r="I18" i="2"/>
  <c r="I21" i="2"/>
  <c r="I88" i="2"/>
  <c r="J6" i="2"/>
  <c r="J18" i="2"/>
  <c r="J21" i="2"/>
  <c r="J88" i="2"/>
  <c r="K6" i="2"/>
  <c r="K18" i="2"/>
  <c r="K21" i="2"/>
  <c r="K88" i="2"/>
  <c r="L6" i="2"/>
  <c r="L18" i="2"/>
  <c r="L21" i="2"/>
  <c r="L88" i="2"/>
  <c r="M6" i="2"/>
  <c r="M18" i="2"/>
  <c r="M21" i="2"/>
  <c r="M88" i="2"/>
  <c r="N6" i="2"/>
  <c r="N18" i="2"/>
  <c r="N21" i="2"/>
  <c r="N88" i="2"/>
  <c r="O6" i="2"/>
  <c r="O18" i="2"/>
  <c r="O21" i="2"/>
  <c r="O88" i="2"/>
  <c r="P6" i="2"/>
  <c r="P18" i="2"/>
  <c r="P21" i="2"/>
  <c r="P88" i="2"/>
  <c r="Q6" i="2"/>
  <c r="Q18" i="2"/>
  <c r="Q21" i="2"/>
  <c r="Q88" i="2"/>
  <c r="R6" i="2"/>
  <c r="R18" i="2"/>
  <c r="R21" i="2"/>
  <c r="R88" i="2"/>
  <c r="S6" i="2"/>
  <c r="S18" i="2"/>
  <c r="S21" i="2"/>
  <c r="S88" i="2"/>
  <c r="T6" i="2"/>
  <c r="T18" i="2"/>
  <c r="T21" i="2"/>
  <c r="T88" i="2"/>
  <c r="U6" i="2"/>
  <c r="U18" i="2"/>
  <c r="U21" i="2"/>
  <c r="U88" i="2"/>
  <c r="V6" i="2"/>
  <c r="V18" i="2"/>
  <c r="V21" i="2"/>
  <c r="V88" i="2"/>
  <c r="W6" i="2"/>
  <c r="W18" i="2"/>
  <c r="W21" i="2"/>
  <c r="W88" i="2"/>
  <c r="D18" i="2"/>
  <c r="D21" i="2"/>
  <c r="D88" i="2"/>
  <c r="D59" i="2"/>
  <c r="E59" i="2"/>
  <c r="F59" i="2"/>
  <c r="B180" i="5"/>
  <c r="B182" i="5"/>
  <c r="B70" i="1"/>
  <c r="B181" i="5"/>
  <c r="K43" i="1"/>
  <c r="L43" i="1"/>
  <c r="J43" i="1"/>
  <c r="B38" i="1"/>
  <c r="B44" i="1"/>
  <c r="E9" i="2"/>
  <c r="C27" i="4"/>
  <c r="C25" i="4"/>
  <c r="C26" i="4"/>
  <c r="C16" i="4"/>
  <c r="H12" i="4"/>
  <c r="H22" i="4"/>
  <c r="H23" i="4"/>
  <c r="D9" i="2"/>
  <c r="V9" i="2"/>
  <c r="T9" i="2"/>
  <c r="R9" i="2"/>
  <c r="P9" i="2"/>
  <c r="N9" i="2"/>
  <c r="L9" i="2"/>
  <c r="J9" i="2"/>
  <c r="H9" i="2"/>
  <c r="F9" i="2"/>
  <c r="W9" i="2"/>
  <c r="U9" i="2"/>
  <c r="S9" i="2"/>
  <c r="Q9" i="2"/>
  <c r="O9" i="2"/>
  <c r="M9" i="2"/>
  <c r="K9" i="2"/>
  <c r="I9" i="2"/>
  <c r="G9" i="2"/>
  <c r="C17" i="4"/>
  <c r="C18" i="4"/>
  <c r="C19" i="4"/>
  <c r="C20" i="4"/>
  <c r="D71" i="4"/>
  <c r="C67" i="4"/>
  <c r="D72" i="4"/>
  <c r="C76" i="4"/>
  <c r="C65" i="4"/>
  <c r="A56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0" i="2"/>
  <c r="C78" i="2"/>
  <c r="B39" i="1"/>
  <c r="O39" i="2"/>
  <c r="P39" i="2"/>
  <c r="Q39" i="2"/>
  <c r="S39" i="2"/>
  <c r="T39" i="2"/>
  <c r="U39" i="2"/>
  <c r="V39" i="2"/>
  <c r="W39" i="2"/>
  <c r="B46" i="1"/>
  <c r="G39" i="2"/>
  <c r="D72" i="2"/>
  <c r="D74" i="2"/>
  <c r="D75" i="2"/>
  <c r="F72" i="2"/>
  <c r="F74" i="2"/>
  <c r="F75" i="2"/>
  <c r="E65" i="2"/>
  <c r="E72" i="2"/>
  <c r="E74" i="2"/>
  <c r="E75" i="2"/>
  <c r="D65" i="2"/>
  <c r="F65" i="2"/>
  <c r="G7" i="1"/>
  <c r="B52" i="1"/>
  <c r="G72" i="2"/>
  <c r="G65" i="2"/>
  <c r="K66" i="2"/>
  <c r="M66" i="2"/>
  <c r="R66" i="2"/>
  <c r="G66" i="2"/>
  <c r="I66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Q66" i="2"/>
  <c r="V66" i="2"/>
  <c r="H66" i="2"/>
  <c r="W66" i="2"/>
  <c r="U66" i="2"/>
  <c r="O66" i="2"/>
  <c r="P66" i="2"/>
  <c r="L66" i="2"/>
  <c r="N66" i="2"/>
  <c r="S66" i="2"/>
  <c r="J66" i="2"/>
  <c r="T66" i="2"/>
  <c r="C17" i="2"/>
  <c r="K39" i="2"/>
  <c r="E39" i="2"/>
  <c r="D39" i="2"/>
  <c r="I39" i="2"/>
  <c r="M39" i="2"/>
  <c r="H39" i="2"/>
  <c r="L39" i="2"/>
  <c r="R39" i="2"/>
  <c r="N39" i="2"/>
  <c r="J39" i="2"/>
  <c r="F39" i="2"/>
  <c r="F58" i="2"/>
  <c r="F67" i="2"/>
  <c r="D58" i="2"/>
  <c r="D67" i="2"/>
  <c r="E58" i="2"/>
  <c r="E67" i="2"/>
  <c r="Y75" i="2"/>
  <c r="G74" i="2"/>
  <c r="J26" i="2"/>
  <c r="P23" i="1"/>
  <c r="L26" i="2"/>
  <c r="R23" i="1"/>
  <c r="D26" i="2"/>
  <c r="J23" i="1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L23" i="1"/>
  <c r="I26" i="2"/>
  <c r="O23" i="1"/>
  <c r="C21" i="2"/>
  <c r="C24" i="2"/>
  <c r="C28" i="2"/>
  <c r="E12" i="2"/>
  <c r="E68" i="2"/>
  <c r="E61" i="2"/>
  <c r="E60" i="2"/>
  <c r="D68" i="2"/>
  <c r="D61" i="2"/>
  <c r="D60" i="2"/>
  <c r="F68" i="2"/>
  <c r="F61" i="2"/>
  <c r="F60" i="2"/>
  <c r="D12" i="2"/>
  <c r="D24" i="2"/>
  <c r="J39" i="1"/>
  <c r="J21" i="1"/>
  <c r="E24" i="2"/>
  <c r="G73" i="2"/>
  <c r="C31" i="2"/>
  <c r="K20" i="1"/>
  <c r="K38" i="1"/>
  <c r="F12" i="2"/>
  <c r="J20" i="1"/>
  <c r="F38" i="2"/>
  <c r="L42" i="1"/>
  <c r="D38" i="2"/>
  <c r="J42" i="1"/>
  <c r="E38" i="2"/>
  <c r="K42" i="1"/>
  <c r="K21" i="1"/>
  <c r="K22" i="1"/>
  <c r="K24" i="1"/>
  <c r="F24" i="2"/>
  <c r="K39" i="1"/>
  <c r="G67" i="2"/>
  <c r="G60" i="2"/>
  <c r="G58" i="2"/>
  <c r="H72" i="2"/>
  <c r="G59" i="2"/>
  <c r="M43" i="1"/>
  <c r="H65" i="2"/>
  <c r="H67" i="2"/>
  <c r="E36" i="2"/>
  <c r="E28" i="2"/>
  <c r="F28" i="2"/>
  <c r="L20" i="1"/>
  <c r="L38" i="1"/>
  <c r="L39" i="1"/>
  <c r="J22" i="1"/>
  <c r="J24" i="1"/>
  <c r="J38" i="1"/>
  <c r="L21" i="1"/>
  <c r="L22" i="1"/>
  <c r="L24" i="1"/>
  <c r="G38" i="2"/>
  <c r="M42" i="1"/>
  <c r="J25" i="1"/>
  <c r="J26" i="1"/>
  <c r="H74" i="2"/>
  <c r="H60" i="2"/>
  <c r="H58" i="2"/>
  <c r="I65" i="2"/>
  <c r="I67" i="2"/>
  <c r="D36" i="2"/>
  <c r="D28" i="2"/>
  <c r="M39" i="1"/>
  <c r="G12" i="2"/>
  <c r="F36" i="2"/>
  <c r="G68" i="2"/>
  <c r="H12" i="2"/>
  <c r="G24" i="2"/>
  <c r="H24" i="2"/>
  <c r="H36" i="2"/>
  <c r="G61" i="2"/>
  <c r="M21" i="1"/>
  <c r="H38" i="2"/>
  <c r="N42" i="1"/>
  <c r="D40" i="2"/>
  <c r="D42" i="2"/>
  <c r="H73" i="2"/>
  <c r="I72" i="2"/>
  <c r="K25" i="1"/>
  <c r="K26" i="1"/>
  <c r="J65" i="2"/>
  <c r="J67" i="2"/>
  <c r="N20" i="1"/>
  <c r="N38" i="1"/>
  <c r="M38" i="1"/>
  <c r="M20" i="1"/>
  <c r="M22" i="1"/>
  <c r="M24" i="1"/>
  <c r="N39" i="1"/>
  <c r="I12" i="2"/>
  <c r="H68" i="2"/>
  <c r="H61" i="2"/>
  <c r="H28" i="2"/>
  <c r="I24" i="2"/>
  <c r="I28" i="2"/>
  <c r="N21" i="1"/>
  <c r="N22" i="1"/>
  <c r="N24" i="1"/>
  <c r="E41" i="2"/>
  <c r="D44" i="2"/>
  <c r="H59" i="2"/>
  <c r="N43" i="1"/>
  <c r="I74" i="2"/>
  <c r="I58" i="2"/>
  <c r="K65" i="2"/>
  <c r="K67" i="2"/>
  <c r="G36" i="2"/>
  <c r="G28" i="2"/>
  <c r="E40" i="2"/>
  <c r="O38" i="1"/>
  <c r="O20" i="1"/>
  <c r="O21" i="1"/>
  <c r="I68" i="2"/>
  <c r="I61" i="2"/>
  <c r="J12" i="2"/>
  <c r="J24" i="2"/>
  <c r="O39" i="1"/>
  <c r="E42" i="2"/>
  <c r="E44" i="2"/>
  <c r="E49" i="2"/>
  <c r="D45" i="2"/>
  <c r="D46" i="2"/>
  <c r="D49" i="2"/>
  <c r="I73" i="2"/>
  <c r="I60" i="2"/>
  <c r="L65" i="2"/>
  <c r="L67" i="2"/>
  <c r="P39" i="1"/>
  <c r="O22" i="1"/>
  <c r="O24" i="1"/>
  <c r="P20" i="1"/>
  <c r="P38" i="1"/>
  <c r="I36" i="2"/>
  <c r="K12" i="2"/>
  <c r="J68" i="2"/>
  <c r="J61" i="2"/>
  <c r="P21" i="1"/>
  <c r="K24" i="2"/>
  <c r="F41" i="2"/>
  <c r="E45" i="2"/>
  <c r="E46" i="2"/>
  <c r="I38" i="2"/>
  <c r="O42" i="1"/>
  <c r="D51" i="2"/>
  <c r="D50" i="2"/>
  <c r="E51" i="2"/>
  <c r="E50" i="2"/>
  <c r="D47" i="2"/>
  <c r="D48" i="2"/>
  <c r="J72" i="2"/>
  <c r="I59" i="2"/>
  <c r="O43" i="1"/>
  <c r="M65" i="2"/>
  <c r="M67" i="2"/>
  <c r="J36" i="2"/>
  <c r="J28" i="2"/>
  <c r="P22" i="1"/>
  <c r="P24" i="1"/>
  <c r="Q38" i="1"/>
  <c r="Q20" i="1"/>
  <c r="Q39" i="1"/>
  <c r="L12" i="2"/>
  <c r="K68" i="2"/>
  <c r="K61" i="2"/>
  <c r="L24" i="2"/>
  <c r="Q21" i="1"/>
  <c r="Q22" i="1"/>
  <c r="Q24" i="1"/>
  <c r="E47" i="2"/>
  <c r="E48" i="2"/>
  <c r="E52" i="2"/>
  <c r="D52" i="2"/>
  <c r="D54" i="2"/>
  <c r="J27" i="1"/>
  <c r="L25" i="1"/>
  <c r="L26" i="1"/>
  <c r="F40" i="2"/>
  <c r="F42" i="2"/>
  <c r="F44" i="2"/>
  <c r="J58" i="2"/>
  <c r="J74" i="2"/>
  <c r="N65" i="2"/>
  <c r="N67" i="2"/>
  <c r="K36" i="2"/>
  <c r="K28" i="2"/>
  <c r="R21" i="1"/>
  <c r="R20" i="1"/>
  <c r="R38" i="1"/>
  <c r="M12" i="2"/>
  <c r="L68" i="2"/>
  <c r="R39" i="1"/>
  <c r="L61" i="2"/>
  <c r="M24" i="2"/>
  <c r="E54" i="2"/>
  <c r="E30" i="2"/>
  <c r="E31" i="2"/>
  <c r="D30" i="2"/>
  <c r="D31" i="2"/>
  <c r="J40" i="1"/>
  <c r="J41" i="1"/>
  <c r="J44" i="1"/>
  <c r="J28" i="1"/>
  <c r="F45" i="2"/>
  <c r="F46" i="2"/>
  <c r="F49" i="2"/>
  <c r="G41" i="2"/>
  <c r="J73" i="2"/>
  <c r="J60" i="2"/>
  <c r="O65" i="2"/>
  <c r="O67" i="2"/>
  <c r="L36" i="2"/>
  <c r="L28" i="2"/>
  <c r="R22" i="1"/>
  <c r="R24" i="1"/>
  <c r="S21" i="1"/>
  <c r="S20" i="1"/>
  <c r="S38" i="1"/>
  <c r="N12" i="2"/>
  <c r="M68" i="2"/>
  <c r="M61" i="2"/>
  <c r="E78" i="2"/>
  <c r="E81" i="2"/>
  <c r="E84" i="2"/>
  <c r="D78" i="2"/>
  <c r="D81" i="2"/>
  <c r="D84" i="2"/>
  <c r="N24" i="2"/>
  <c r="S39" i="1"/>
  <c r="K27" i="1"/>
  <c r="J38" i="2"/>
  <c r="P42" i="1"/>
  <c r="F51" i="2"/>
  <c r="F50" i="2"/>
  <c r="F47" i="2"/>
  <c r="F48" i="2"/>
  <c r="K72" i="2"/>
  <c r="J59" i="2"/>
  <c r="P43" i="1"/>
  <c r="P65" i="2"/>
  <c r="P67" i="2"/>
  <c r="S22" i="1"/>
  <c r="S24" i="1"/>
  <c r="M36" i="2"/>
  <c r="M28" i="2"/>
  <c r="T38" i="1"/>
  <c r="T20" i="1"/>
  <c r="T21" i="1"/>
  <c r="T39" i="1"/>
  <c r="O12" i="2"/>
  <c r="N68" i="2"/>
  <c r="N61" i="2"/>
  <c r="O24" i="2"/>
  <c r="K40" i="1"/>
  <c r="K41" i="1"/>
  <c r="K44" i="1"/>
  <c r="K28" i="1"/>
  <c r="F52" i="2"/>
  <c r="F54" i="2"/>
  <c r="L27" i="1"/>
  <c r="K74" i="2"/>
  <c r="K60" i="2"/>
  <c r="K58" i="2"/>
  <c r="M25" i="1"/>
  <c r="M26" i="1"/>
  <c r="G40" i="2"/>
  <c r="G42" i="2"/>
  <c r="G44" i="2"/>
  <c r="G45" i="2"/>
  <c r="G46" i="2"/>
  <c r="Q65" i="2"/>
  <c r="Q67" i="2"/>
  <c r="N36" i="2"/>
  <c r="N28" i="2"/>
  <c r="T22" i="1"/>
  <c r="T24" i="1"/>
  <c r="U21" i="1"/>
  <c r="U39" i="1"/>
  <c r="U38" i="1"/>
  <c r="U20" i="1"/>
  <c r="P12" i="2"/>
  <c r="O68" i="2"/>
  <c r="O61" i="2"/>
  <c r="P24" i="2"/>
  <c r="K38" i="2"/>
  <c r="Q42" i="1"/>
  <c r="L28" i="1"/>
  <c r="L40" i="1"/>
  <c r="L41" i="1"/>
  <c r="L44" i="1"/>
  <c r="F30" i="2"/>
  <c r="F31" i="2"/>
  <c r="G49" i="2"/>
  <c r="H41" i="2"/>
  <c r="K73" i="2"/>
  <c r="R65" i="2"/>
  <c r="R67" i="2"/>
  <c r="O36" i="2"/>
  <c r="O28" i="2"/>
  <c r="V21" i="1"/>
  <c r="V39" i="1"/>
  <c r="P28" i="2"/>
  <c r="V20" i="1"/>
  <c r="V38" i="1"/>
  <c r="U22" i="1"/>
  <c r="U24" i="1"/>
  <c r="P68" i="2"/>
  <c r="Q12" i="2"/>
  <c r="F78" i="2"/>
  <c r="F81" i="2"/>
  <c r="F84" i="2"/>
  <c r="Q24" i="2"/>
  <c r="G51" i="2"/>
  <c r="G50" i="2"/>
  <c r="G47" i="2"/>
  <c r="G48" i="2"/>
  <c r="P61" i="2"/>
  <c r="L72" i="2"/>
  <c r="K59" i="2"/>
  <c r="Q43" i="1"/>
  <c r="N25" i="1"/>
  <c r="N26" i="1"/>
  <c r="H40" i="2"/>
  <c r="H42" i="2"/>
  <c r="H44" i="2"/>
  <c r="S65" i="2"/>
  <c r="S67" i="2"/>
  <c r="P36" i="2"/>
  <c r="V22" i="1"/>
  <c r="V24" i="1"/>
  <c r="W20" i="1"/>
  <c r="W38" i="1"/>
  <c r="W21" i="1"/>
  <c r="R12" i="2"/>
  <c r="Q68" i="2"/>
  <c r="Q61" i="2"/>
  <c r="W39" i="1"/>
  <c r="R24" i="2"/>
  <c r="G52" i="2"/>
  <c r="G54" i="2"/>
  <c r="H45" i="2"/>
  <c r="H46" i="2"/>
  <c r="H49" i="2"/>
  <c r="I41" i="2"/>
  <c r="L74" i="2"/>
  <c r="L60" i="2"/>
  <c r="L58" i="2"/>
  <c r="T65" i="2"/>
  <c r="T67" i="2"/>
  <c r="Q36" i="2"/>
  <c r="Q28" i="2"/>
  <c r="X20" i="1"/>
  <c r="X38" i="1"/>
  <c r="X21" i="1"/>
  <c r="W22" i="1"/>
  <c r="W24" i="1"/>
  <c r="R68" i="2"/>
  <c r="R61" i="2"/>
  <c r="S12" i="2"/>
  <c r="X39" i="1"/>
  <c r="S24" i="2"/>
  <c r="L38" i="2"/>
  <c r="R42" i="1"/>
  <c r="G30" i="2"/>
  <c r="G31" i="2"/>
  <c r="M27" i="1"/>
  <c r="H51" i="2"/>
  <c r="H50" i="2"/>
  <c r="H47" i="2"/>
  <c r="H48" i="2"/>
  <c r="L73" i="2"/>
  <c r="U65" i="2"/>
  <c r="U67" i="2"/>
  <c r="R36" i="2"/>
  <c r="R28" i="2"/>
  <c r="X22" i="1"/>
  <c r="X24" i="1"/>
  <c r="Y39" i="1"/>
  <c r="Y38" i="1"/>
  <c r="Y20" i="1"/>
  <c r="S68" i="2"/>
  <c r="S61" i="2"/>
  <c r="T12" i="2"/>
  <c r="Y21" i="1"/>
  <c r="T24" i="2"/>
  <c r="H52" i="2"/>
  <c r="H54" i="2"/>
  <c r="M28" i="1"/>
  <c r="M40" i="1"/>
  <c r="M41" i="1"/>
  <c r="M44" i="1"/>
  <c r="G84" i="2"/>
  <c r="G78" i="2"/>
  <c r="G81" i="2"/>
  <c r="O25" i="1"/>
  <c r="O26" i="1"/>
  <c r="I40" i="2"/>
  <c r="I42" i="2"/>
  <c r="I44" i="2"/>
  <c r="M72" i="2"/>
  <c r="L59" i="2"/>
  <c r="R43" i="1"/>
  <c r="V65" i="2"/>
  <c r="V67" i="2"/>
  <c r="S36" i="2"/>
  <c r="S28" i="2"/>
  <c r="Y22" i="1"/>
  <c r="Y24" i="1"/>
  <c r="Z21" i="1"/>
  <c r="Z39" i="1"/>
  <c r="Z38" i="1"/>
  <c r="Z20" i="1"/>
  <c r="T68" i="2"/>
  <c r="T61" i="2"/>
  <c r="U12" i="2"/>
  <c r="U24" i="2"/>
  <c r="H30" i="2"/>
  <c r="H31" i="2"/>
  <c r="N27" i="1"/>
  <c r="I49" i="2"/>
  <c r="I45" i="2"/>
  <c r="I46" i="2"/>
  <c r="M74" i="2"/>
  <c r="M60" i="2"/>
  <c r="M58" i="2"/>
  <c r="J41" i="2"/>
  <c r="W65" i="2"/>
  <c r="W67" i="2"/>
  <c r="T36" i="2"/>
  <c r="T28" i="2"/>
  <c r="AA39" i="1"/>
  <c r="U28" i="2"/>
  <c r="AA20" i="1"/>
  <c r="AA38" i="1"/>
  <c r="Z22" i="1"/>
  <c r="Z24" i="1"/>
  <c r="V12" i="2"/>
  <c r="U68" i="2"/>
  <c r="AA21" i="1"/>
  <c r="V24" i="2"/>
  <c r="N28" i="1"/>
  <c r="N40" i="1"/>
  <c r="N41" i="1"/>
  <c r="N44" i="1"/>
  <c r="H84" i="2"/>
  <c r="H78" i="2"/>
  <c r="H81" i="2"/>
  <c r="M38" i="2"/>
  <c r="S42" i="1"/>
  <c r="I51" i="2"/>
  <c r="I50" i="2"/>
  <c r="I47" i="2"/>
  <c r="I48" i="2"/>
  <c r="U61" i="2"/>
  <c r="M73" i="2"/>
  <c r="U36" i="2"/>
  <c r="AA22" i="1"/>
  <c r="AA24" i="1"/>
  <c r="AB21" i="1"/>
  <c r="AB39" i="1"/>
  <c r="AB20" i="1"/>
  <c r="AB38" i="1"/>
  <c r="W12" i="2"/>
  <c r="V68" i="2"/>
  <c r="V61" i="2"/>
  <c r="W24" i="2"/>
  <c r="I52" i="2"/>
  <c r="I54" i="2"/>
  <c r="P25" i="1"/>
  <c r="P26" i="1"/>
  <c r="J40" i="2"/>
  <c r="J42" i="2"/>
  <c r="J44" i="2"/>
  <c r="N72" i="2"/>
  <c r="M59" i="2"/>
  <c r="S43" i="1"/>
  <c r="AB22" i="1"/>
  <c r="AB24" i="1"/>
  <c r="V36" i="2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K41" i="2"/>
  <c r="N74" i="2"/>
  <c r="N60" i="2"/>
  <c r="N58" i="2"/>
  <c r="W28" i="2"/>
  <c r="AC22" i="1"/>
  <c r="AC24" i="1"/>
  <c r="W36" i="2"/>
  <c r="O28" i="1"/>
  <c r="O40" i="1"/>
  <c r="O41" i="1"/>
  <c r="O44" i="1"/>
  <c r="N38" i="2"/>
  <c r="T42" i="1"/>
  <c r="J51" i="2"/>
  <c r="J50" i="2"/>
  <c r="J47" i="2"/>
  <c r="J48" i="2"/>
  <c r="N73" i="2"/>
  <c r="N59" i="2"/>
  <c r="T43" i="1"/>
  <c r="J52" i="2"/>
  <c r="J54" i="2"/>
  <c r="O72" i="2"/>
  <c r="O74" i="2"/>
  <c r="O60" i="2"/>
  <c r="Q25" i="1"/>
  <c r="Q26" i="1"/>
  <c r="K40" i="2"/>
  <c r="K42" i="2"/>
  <c r="K44" i="2"/>
  <c r="P27" i="1"/>
  <c r="J30" i="2"/>
  <c r="J31" i="2"/>
  <c r="O38" i="2"/>
  <c r="U42" i="1"/>
  <c r="K49" i="2"/>
  <c r="K45" i="2"/>
  <c r="K46" i="2"/>
  <c r="O58" i="2"/>
  <c r="L41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L40" i="2"/>
  <c r="L42" i="2"/>
  <c r="L44" i="2"/>
  <c r="P72" i="2"/>
  <c r="O59" i="2"/>
  <c r="U43" i="1"/>
  <c r="K52" i="2"/>
  <c r="K54" i="2"/>
  <c r="L45" i="2"/>
  <c r="L46" i="2"/>
  <c r="L49" i="2"/>
  <c r="M41" i="2"/>
  <c r="P74" i="2"/>
  <c r="P60" i="2"/>
  <c r="P58" i="2"/>
  <c r="K30" i="2"/>
  <c r="K31" i="2"/>
  <c r="Q27" i="1"/>
  <c r="P38" i="2"/>
  <c r="V42" i="1"/>
  <c r="L51" i="2"/>
  <c r="L50" i="2"/>
  <c r="L47" i="2"/>
  <c r="L48" i="2"/>
  <c r="P73" i="2"/>
  <c r="L52" i="2"/>
  <c r="L54" i="2"/>
  <c r="Q40" i="1"/>
  <c r="Q41" i="1"/>
  <c r="Q44" i="1"/>
  <c r="Q28" i="1"/>
  <c r="K84" i="2"/>
  <c r="K78" i="2"/>
  <c r="K81" i="2"/>
  <c r="Q72" i="2"/>
  <c r="P59" i="2"/>
  <c r="V43" i="1"/>
  <c r="S25" i="1"/>
  <c r="S26" i="1"/>
  <c r="M40" i="2"/>
  <c r="M42" i="2"/>
  <c r="M44" i="2"/>
  <c r="L30" i="2"/>
  <c r="L31" i="2"/>
  <c r="R27" i="1"/>
  <c r="M49" i="2"/>
  <c r="M45" i="2"/>
  <c r="M46" i="2"/>
  <c r="Q74" i="2"/>
  <c r="Q60" i="2"/>
  <c r="Q58" i="2"/>
  <c r="N41" i="2"/>
  <c r="R28" i="1"/>
  <c r="R40" i="1"/>
  <c r="R41" i="1"/>
  <c r="R44" i="1"/>
  <c r="Q38" i="2"/>
  <c r="W42" i="1"/>
  <c r="L84" i="2"/>
  <c r="L78" i="2"/>
  <c r="L81" i="2"/>
  <c r="M51" i="2"/>
  <c r="M50" i="2"/>
  <c r="M47" i="2"/>
  <c r="M48" i="2"/>
  <c r="Q73" i="2"/>
  <c r="Q59" i="2"/>
  <c r="W43" i="1"/>
  <c r="M52" i="2"/>
  <c r="M54" i="2"/>
  <c r="R72" i="2"/>
  <c r="R74" i="2"/>
  <c r="R60" i="2"/>
  <c r="T25" i="1"/>
  <c r="T26" i="1"/>
  <c r="N40" i="2"/>
  <c r="N42" i="2"/>
  <c r="N44" i="2"/>
  <c r="R38" i="2"/>
  <c r="X42" i="1"/>
  <c r="S27" i="1"/>
  <c r="M30" i="2"/>
  <c r="M31" i="2"/>
  <c r="M84" i="2"/>
  <c r="N45" i="2"/>
  <c r="N46" i="2"/>
  <c r="N49" i="2"/>
  <c r="R58" i="2"/>
  <c r="O41" i="2"/>
  <c r="R73" i="2"/>
  <c r="M78" i="2"/>
  <c r="M81" i="2"/>
  <c r="S40" i="1"/>
  <c r="S41" i="1"/>
  <c r="S44" i="1"/>
  <c r="S28" i="1"/>
  <c r="N51" i="2"/>
  <c r="N50" i="2"/>
  <c r="N47" i="2"/>
  <c r="N48" i="2"/>
  <c r="S72" i="2"/>
  <c r="R59" i="2"/>
  <c r="X43" i="1"/>
  <c r="U25" i="1"/>
  <c r="U26" i="1"/>
  <c r="O40" i="2"/>
  <c r="O42" i="2"/>
  <c r="O44" i="2"/>
  <c r="N52" i="2"/>
  <c r="N54" i="2"/>
  <c r="O49" i="2"/>
  <c r="O45" i="2"/>
  <c r="O46" i="2"/>
  <c r="P41" i="2"/>
  <c r="S74" i="2"/>
  <c r="S60" i="2"/>
  <c r="S58" i="2"/>
  <c r="T27" i="1"/>
  <c r="T28" i="1"/>
  <c r="N30" i="2"/>
  <c r="N31" i="2"/>
  <c r="N84" i="2"/>
  <c r="S38" i="2"/>
  <c r="Y42" i="1"/>
  <c r="O51" i="2"/>
  <c r="O50" i="2"/>
  <c r="O47" i="2"/>
  <c r="O48" i="2"/>
  <c r="S73" i="2"/>
  <c r="N78" i="2"/>
  <c r="N81" i="2"/>
  <c r="T40" i="1"/>
  <c r="T41" i="1"/>
  <c r="T44" i="1"/>
  <c r="O52" i="2"/>
  <c r="O54" i="2"/>
  <c r="T72" i="2"/>
  <c r="S59" i="2"/>
  <c r="Y43" i="1"/>
  <c r="V25" i="1"/>
  <c r="V26" i="1"/>
  <c r="P40" i="2"/>
  <c r="P42" i="2"/>
  <c r="P44" i="2"/>
  <c r="O30" i="2"/>
  <c r="O31" i="2"/>
  <c r="O84" i="2"/>
  <c r="U27" i="1"/>
  <c r="U40" i="1"/>
  <c r="U41" i="1"/>
  <c r="U44" i="1"/>
  <c r="P45" i="2"/>
  <c r="P46" i="2"/>
  <c r="P49" i="2"/>
  <c r="Q41" i="2"/>
  <c r="T74" i="2"/>
  <c r="T60" i="2"/>
  <c r="T58" i="2"/>
  <c r="U28" i="1"/>
  <c r="O78" i="2"/>
  <c r="O81" i="2"/>
  <c r="T38" i="2"/>
  <c r="Z42" i="1"/>
  <c r="P51" i="2"/>
  <c r="P50" i="2"/>
  <c r="P47" i="2"/>
  <c r="P48" i="2"/>
  <c r="T73" i="2"/>
  <c r="T59" i="2"/>
  <c r="Z43" i="1"/>
  <c r="P52" i="2"/>
  <c r="P54" i="2"/>
  <c r="U72" i="2"/>
  <c r="U74" i="2"/>
  <c r="U60" i="2"/>
  <c r="U58" i="2"/>
  <c r="W25" i="1"/>
  <c r="W26" i="1"/>
  <c r="Q40" i="2"/>
  <c r="Q42" i="2"/>
  <c r="Q44" i="2"/>
  <c r="U38" i="2"/>
  <c r="AA42" i="1"/>
  <c r="P30" i="2"/>
  <c r="P31" i="2"/>
  <c r="V27" i="1"/>
  <c r="Q49" i="2"/>
  <c r="Q45" i="2"/>
  <c r="Q46" i="2"/>
  <c r="R41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R40" i="2"/>
  <c r="R42" i="2"/>
  <c r="R44" i="2"/>
  <c r="Q52" i="2"/>
  <c r="Q54" i="2"/>
  <c r="R45" i="2"/>
  <c r="R46" i="2"/>
  <c r="R49" i="2"/>
  <c r="S41" i="2"/>
  <c r="V74" i="2"/>
  <c r="V60" i="2"/>
  <c r="V58" i="2"/>
  <c r="V38" i="2"/>
  <c r="AB42" i="1"/>
  <c r="W27" i="1"/>
  <c r="Q30" i="2"/>
  <c r="Q31" i="2"/>
  <c r="R51" i="2"/>
  <c r="R50" i="2"/>
  <c r="R47" i="2"/>
  <c r="R48" i="2"/>
  <c r="V73" i="2"/>
  <c r="R52" i="2"/>
  <c r="R54" i="2"/>
  <c r="Q84" i="2"/>
  <c r="Q78" i="2"/>
  <c r="Q81" i="2"/>
  <c r="W28" i="1"/>
  <c r="W40" i="1"/>
  <c r="W41" i="1"/>
  <c r="W44" i="1"/>
  <c r="W72" i="2"/>
  <c r="V59" i="2"/>
  <c r="AB43" i="1"/>
  <c r="Y25" i="1"/>
  <c r="Y26" i="1"/>
  <c r="S40" i="2"/>
  <c r="S42" i="2"/>
  <c r="S44" i="2"/>
  <c r="R30" i="2"/>
  <c r="R31" i="2"/>
  <c r="R84" i="2"/>
  <c r="X27" i="1"/>
  <c r="X40" i="1"/>
  <c r="X41" i="1"/>
  <c r="X44" i="1"/>
  <c r="S49" i="2"/>
  <c r="S45" i="2"/>
  <c r="S46" i="2"/>
  <c r="W74" i="2"/>
  <c r="W60" i="2"/>
  <c r="G6" i="1"/>
  <c r="G9" i="1"/>
  <c r="W58" i="2"/>
  <c r="T41" i="2"/>
  <c r="X28" i="1"/>
  <c r="R78" i="2"/>
  <c r="R81" i="2"/>
  <c r="W38" i="2"/>
  <c r="AC42" i="1"/>
  <c r="S51" i="2"/>
  <c r="S50" i="2"/>
  <c r="S47" i="2"/>
  <c r="S48" i="2"/>
  <c r="W73" i="2"/>
  <c r="S52" i="2"/>
  <c r="S54" i="2"/>
  <c r="Z25" i="1"/>
  <c r="Z26" i="1"/>
  <c r="T40" i="2"/>
  <c r="T42" i="2"/>
  <c r="T44" i="2"/>
  <c r="W59" i="2"/>
  <c r="AC43" i="1"/>
  <c r="Y27" i="1"/>
  <c r="S30" i="2"/>
  <c r="S31" i="2"/>
  <c r="S84" i="2"/>
  <c r="T45" i="2"/>
  <c r="T46" i="2"/>
  <c r="T49" i="2"/>
  <c r="U41" i="2"/>
  <c r="S78" i="2"/>
  <c r="S81" i="2"/>
  <c r="Y28" i="1"/>
  <c r="Y40" i="1"/>
  <c r="Y41" i="1"/>
  <c r="Y44" i="1"/>
  <c r="T51" i="2"/>
  <c r="T50" i="2"/>
  <c r="T47" i="2"/>
  <c r="T48" i="2"/>
  <c r="T52" i="2"/>
  <c r="T54" i="2"/>
  <c r="Z27" i="1"/>
  <c r="AA25" i="1"/>
  <c r="AA26" i="1"/>
  <c r="U40" i="2"/>
  <c r="U42" i="2"/>
  <c r="U44" i="2"/>
  <c r="Z28" i="1"/>
  <c r="Z40" i="1"/>
  <c r="Z41" i="1"/>
  <c r="Z44" i="1"/>
  <c r="T30" i="2"/>
  <c r="T31" i="2"/>
  <c r="U49" i="2"/>
  <c r="U45" i="2"/>
  <c r="U46" i="2"/>
  <c r="V41" i="2"/>
  <c r="T84" i="2"/>
  <c r="T78" i="2"/>
  <c r="T81" i="2"/>
  <c r="U51" i="2"/>
  <c r="U50" i="2"/>
  <c r="U47" i="2"/>
  <c r="U48" i="2"/>
  <c r="AB25" i="1"/>
  <c r="AB26" i="1"/>
  <c r="V40" i="2"/>
  <c r="V42" i="2"/>
  <c r="V44" i="2"/>
  <c r="U52" i="2"/>
  <c r="U54" i="2"/>
  <c r="V45" i="2"/>
  <c r="V46" i="2"/>
  <c r="V49" i="2"/>
  <c r="W41" i="2"/>
  <c r="AA27" i="1"/>
  <c r="U30" i="2"/>
  <c r="U31" i="2"/>
  <c r="V51" i="2"/>
  <c r="V50" i="2"/>
  <c r="V47" i="2"/>
  <c r="V48" i="2"/>
  <c r="W40" i="2"/>
  <c r="W42" i="2"/>
  <c r="AC25" i="1"/>
  <c r="AC26" i="1"/>
  <c r="V52" i="2"/>
  <c r="V54" i="2"/>
  <c r="AB27" i="1"/>
  <c r="U84" i="2"/>
  <c r="U78" i="2"/>
  <c r="U81" i="2"/>
  <c r="AA40" i="1"/>
  <c r="AA41" i="1"/>
  <c r="AA44" i="1"/>
  <c r="AA28" i="1"/>
  <c r="W44" i="2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54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<sst xmlns="http://schemas.openxmlformats.org/spreadsheetml/2006/main" count="487" uniqueCount="267">
  <si>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</si>
  <si>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</si>
  <si>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</si>
  <si>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</si>
  <si>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</si>
  <si>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</si>
  <si>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</si>
  <si>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</si>
  <si>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</si>
  <si>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</si>
  <si>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</si>
  <si>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</si>
  <si>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</si>
  <si>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</si>
  <si>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</si>
  <si>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</si>
  <si>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</si>
  <si>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</si>
  <si>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</si>
  <si>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</si>
  <si>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</si>
  <si>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</si>
  <si>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</si>
  <si>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</si>
  <si>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</si>
  <si>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</si>
  <si>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</si>
  <si>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</si>
  <si>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</si>
  <si>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</si>
  <si>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</si>
  <si>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</si>
  <si>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</si>
  <si>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</si>
  <si>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</si>
  <si>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</si>
  <si>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</si>
  <si>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</si>
  <si>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</si>
  <si>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</si>
  <si>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</si>
  <si>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</si>
  <si>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</si>
  <si>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</si>
  <si>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</si>
  <si>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</si>
  <si>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</si>
  <si>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</si>
  <si>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</si>
  <si>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</si>
  <si>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</si>
  <si>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</si>
  <si>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</si>
  <si>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</si>
  <si>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</si>
  <si>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</si>
  <si>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</si>
  <si>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</si>
  <si>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</si>
  <si>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</si>
  <si>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</si>
  <si>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</si>
  <si>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</si>
  <si>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</si>
  <si>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</si>
  <si>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</si>
  <si>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</si>
  <si>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</si>
  <si>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</si>
  <si>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</si>
  <si>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</si>
  <si>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</si>
  <si>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</si>
  <si>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</si>
  <si>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</si>
  <si>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</si>
  <si>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</si>
  <si>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</si>
  <si>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</si>
  <si>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</si>
  <si>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</si>
  <si>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</si>
  <si>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</si>
  <si>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</si>
  <si>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</si>
  <si>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</si>
  <si>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</si>
  <si>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</si>
  <si>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</si>
  <si>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</si>
  <si>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</si>
  <si>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</si>
  <si>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</si>
  <si>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</si>
  <si>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</si>
  <si>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</si>
  <si>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</si>
  <si>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</si>
  <si>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</si>
  <si>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</si>
  <si>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</si>
  <si>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</si>
  <si>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</si>
  <si>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</si>
  <si>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</si>
  <si>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</si>
  <si>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</si>
  <si>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</si>
  <si>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</si>
  <si>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</si>
  <si>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</si>
  <si>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</si>
  <si>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</si>
  <si>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</si>
  <si>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</si>
  <si>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</si>
  <si>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</si>
  <si>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</si>
  <si>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</si>
  <si>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</si>
  <si>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</si>
  <si>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</si>
  <si>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</si>
  <si>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</si>
  <si>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</si>
  <si>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</si>
  <si>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</si>
  <si>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</si>
  <si>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</si>
  <si>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</si>
  <si>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</si>
  <si>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</si>
  <si>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</si>
  <si>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</si>
  <si>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</si>
  <si>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</si>
  <si>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</si>
  <si>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</si>
  <si>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</si>
  <si>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</si>
  <si>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</si>
  <si>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</si>
  <si>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</si>
  <si>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</si>
  <si>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</si>
  <si>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</si>
  <si>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</si>
  <si>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</si>
  <si>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</si>
  <si>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</si>
  <si>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</si>
  <si>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</si>
  <si>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</si>
  <si>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</si>
  <si>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</si>
  <si>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</si>
  <si>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</si>
  <si>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</si>
  <si>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3 Rs/kwh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</si>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</sst>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3" fontId="2" fillId="0" borderId="35" xfId="0" applyNumberFormat="1" applyFont="1" applyBorder="1"/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1297715.8284000002</c:v>
                </c:pt>
                <c:pt idx="1">
                  <c:v>1297715.8284000002</c:v>
                </c:pt>
                <c:pt idx="2">
                  <c:v>1297715.8284000002</c:v>
                </c:pt>
                <c:pt idx="3">
                  <c:v>1297715.8284000002</c:v>
                </c:pt>
                <c:pt idx="4">
                  <c:v>1297715.8284000002</c:v>
                </c:pt>
                <c:pt idx="5">
                  <c:v>1297715.8284000002</c:v>
                </c:pt>
                <c:pt idx="6">
                  <c:v>1297715.8284000002</c:v>
                </c:pt>
                <c:pt idx="7">
                  <c:v>1297715.8284000002</c:v>
                </c:pt>
                <c:pt idx="8">
                  <c:v>1297715.8284000002</c:v>
                </c:pt>
                <c:pt idx="9">
                  <c:v>1297715.8284000002</c:v>
                </c:pt>
                <c:pt idx="10">
                  <c:v>1297715.8284000002</c:v>
                </c:pt>
                <c:pt idx="11">
                  <c:v>1297715.8284000002</c:v>
                </c:pt>
                <c:pt idx="12">
                  <c:v>1297715.8284000002</c:v>
                </c:pt>
                <c:pt idx="13">
                  <c:v>1297715.8284000002</c:v>
                </c:pt>
                <c:pt idx="14">
                  <c:v>1297715.8284000002</c:v>
                </c:pt>
                <c:pt idx="15">
                  <c:v>1297715.8284000002</c:v>
                </c:pt>
                <c:pt idx="16">
                  <c:v>1297715.8284000002</c:v>
                </c:pt>
                <c:pt idx="17">
                  <c:v>1297715.8284000002</c:v>
                </c:pt>
                <c:pt idx="18">
                  <c:v>1297715.8284000002</c:v>
                </c:pt>
                <c:pt idx="19">
                  <c:v>1297715.8284000002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552215.68794527999</c:v>
                </c:pt>
                <c:pt idx="1">
                  <c:v>577153.06059788738</c:v>
                </c:pt>
                <c:pt idx="2">
                  <c:v>603636.55035495642</c:v>
                </c:pt>
                <c:pt idx="3">
                  <c:v>481762.0164769637</c:v>
                </c:pt>
                <c:pt idx="4">
                  <c:v>511631.2614985354</c:v>
                </c:pt>
                <c:pt idx="5">
                  <c:v>543352.39971144474</c:v>
                </c:pt>
                <c:pt idx="6">
                  <c:v>577040.2484935543</c:v>
                </c:pt>
                <c:pt idx="7">
                  <c:v>612816.74390015472</c:v>
                </c:pt>
                <c:pt idx="8">
                  <c:v>650811.38202196441</c:v>
                </c:pt>
                <c:pt idx="9">
                  <c:v>691161.68770732614</c:v>
                </c:pt>
                <c:pt idx="10">
                  <c:v>734013.71234518033</c:v>
                </c:pt>
                <c:pt idx="11">
                  <c:v>779522.56251058169</c:v>
                </c:pt>
                <c:pt idx="12">
                  <c:v>827852.96138623776</c:v>
                </c:pt>
                <c:pt idx="13">
                  <c:v>879179.84499218455</c:v>
                </c:pt>
                <c:pt idx="14">
                  <c:v>933688.99538170011</c:v>
                </c:pt>
                <c:pt idx="15">
                  <c:v>991577.71309536556</c:v>
                </c:pt>
                <c:pt idx="16">
                  <c:v>1053055.5313072784</c:v>
                </c:pt>
                <c:pt idx="17">
                  <c:v>1118344.9742483296</c:v>
                </c:pt>
                <c:pt idx="18">
                  <c:v>1187682.3626517262</c:v>
                </c:pt>
                <c:pt idx="19">
                  <c:v>1261318.6691361333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Ratendarlehen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456014.36601635494</c:v>
                </c:pt>
                <c:pt idx="4" formatCode="#,##0">
                  <c:v>456014.36601635494</c:v>
                </c:pt>
                <c:pt idx="5" formatCode="#,##0">
                  <c:v>456014.36601635494</c:v>
                </c:pt>
                <c:pt idx="6" formatCode="#,##0">
                  <c:v>456014.36601635494</c:v>
                </c:pt>
                <c:pt idx="7" formatCode="#,##0">
                  <c:v>456014.36601635494</c:v>
                </c:pt>
                <c:pt idx="8" formatCode="#,##0">
                  <c:v>456014.36601635494</c:v>
                </c:pt>
                <c:pt idx="9" formatCode="#,##0">
                  <c:v>456014.36601635494</c:v>
                </c:pt>
                <c:pt idx="10" formatCode="#,##0">
                  <c:v>456014.36601635494</c:v>
                </c:pt>
                <c:pt idx="11" formatCode="#,##0">
                  <c:v>456014.36601635494</c:v>
                </c:pt>
                <c:pt idx="12" formatCode="#,##0">
                  <c:v>456014.36601635494</c:v>
                </c:pt>
                <c:pt idx="13" formatCode="#,##0">
                  <c:v>456014.36601635494</c:v>
                </c:pt>
                <c:pt idx="14" formatCode="#,##0">
                  <c:v>456014.36601635494</c:v>
                </c:pt>
                <c:pt idx="15" formatCode="#,##0">
                  <c:v>456014.36601635494</c:v>
                </c:pt>
                <c:pt idx="16" formatCode="#,##0">
                  <c:v>456014.36601635494</c:v>
                </c:pt>
                <c:pt idx="17" formatCode="#,##0">
                  <c:v>456014.36601635494</c:v>
                </c:pt>
                <c:pt idx="18" formatCode="#,##0">
                  <c:v>456014.36601635494</c:v>
                </c:pt>
                <c:pt idx="19" formatCode="#,##0">
                  <c:v>456014.36601635494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225727.11117809571</c:v>
                </c:pt>
                <c:pt idx="4">
                  <c:v>212046.68019760505</c:v>
                </c:pt>
                <c:pt idx="5">
                  <c:v>198366.24921711438</c:v>
                </c:pt>
                <c:pt idx="6">
                  <c:v>184685.81823662372</c:v>
                </c:pt>
                <c:pt idx="7">
                  <c:v>171005.38725613308</c:v>
                </c:pt>
                <c:pt idx="8">
                  <c:v>157324.95627564241</c:v>
                </c:pt>
                <c:pt idx="9">
                  <c:v>143644.52529515175</c:v>
                </c:pt>
                <c:pt idx="10">
                  <c:v>129964.09431466108</c:v>
                </c:pt>
                <c:pt idx="11">
                  <c:v>116283.66333417043</c:v>
                </c:pt>
                <c:pt idx="12">
                  <c:v>102603.23235367978</c:v>
                </c:pt>
                <c:pt idx="13">
                  <c:v>88922.801373189141</c:v>
                </c:pt>
                <c:pt idx="14">
                  <c:v>75242.370392698489</c:v>
                </c:pt>
                <c:pt idx="15">
                  <c:v>61561.939412207852</c:v>
                </c:pt>
                <c:pt idx="16">
                  <c:v>47881.508431717208</c:v>
                </c:pt>
                <c:pt idx="17">
                  <c:v>34201.077451226556</c:v>
                </c:pt>
                <c:pt idx="18">
                  <c:v>20520.646470735912</c:v>
                </c:pt>
                <c:pt idx="19">
                  <c:v>6840.2154902452648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356235.23035392363</c:v>
                </c:pt>
                <c:pt idx="4" formatCode="#,##0">
                  <c:v>366922.28726454137</c:v>
                </c:pt>
                <c:pt idx="5" formatCode="#,##0">
                  <c:v>377929.95588247763</c:v>
                </c:pt>
                <c:pt idx="6" formatCode="#,##0">
                  <c:v>389267.85455895192</c:v>
                </c:pt>
                <c:pt idx="7" formatCode="#,##0">
                  <c:v>400945.89019572048</c:v>
                </c:pt>
                <c:pt idx="8" formatCode="#,##0">
                  <c:v>412974.26690159214</c:v>
                </c:pt>
                <c:pt idx="9" formatCode="#,##0">
                  <c:v>425363.49490863993</c:v>
                </c:pt>
                <c:pt idx="10" formatCode="#,##0">
                  <c:v>438124.3997558991</c:v>
                </c:pt>
                <c:pt idx="11" formatCode="#,##0">
                  <c:v>451268.13174857607</c:v>
                </c:pt>
                <c:pt idx="12" formatCode="#,##0">
                  <c:v>464806.17570103332</c:v>
                </c:pt>
                <c:pt idx="13" formatCode="#,##0">
                  <c:v>478750.36097206437</c:v>
                </c:pt>
                <c:pt idx="14" formatCode="#,##0">
                  <c:v>493112.87180122628</c:v>
                </c:pt>
                <c:pt idx="15" formatCode="#,##0">
                  <c:v>507906.25795526308</c:v>
                </c:pt>
                <c:pt idx="16" formatCode="#,##0">
                  <c:v>523143.44569392095</c:v>
                </c:pt>
                <c:pt idx="17" formatCode="#,##0">
                  <c:v>538837.74906473863</c:v>
                </c:pt>
                <c:pt idx="18" formatCode="#,##0">
                  <c:v>555002.88153668074</c:v>
                </c:pt>
                <c:pt idx="19" formatCode="#,##0">
                  <c:v>571652.96798278112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232567.32666834103</c:v>
                </c:pt>
                <c:pt idx="1">
                  <c:v>232567.32666834103</c:v>
                </c:pt>
                <c:pt idx="2">
                  <c:v>232567.32666834103</c:v>
                </c:pt>
                <c:pt idx="3">
                  <c:v>232567.32666834103</c:v>
                </c:pt>
                <c:pt idx="4">
                  <c:v>221880.26975772332</c:v>
                </c:pt>
                <c:pt idx="5">
                  <c:v>210872.60113978706</c:v>
                </c:pt>
                <c:pt idx="6">
                  <c:v>199534.70246331274</c:v>
                </c:pt>
                <c:pt idx="7">
                  <c:v>187856.66682654418</c:v>
                </c:pt>
                <c:pt idx="8">
                  <c:v>175828.29012067255</c:v>
                </c:pt>
                <c:pt idx="9">
                  <c:v>163439.06211362479</c:v>
                </c:pt>
                <c:pt idx="10">
                  <c:v>150678.1572663656</c:v>
                </c:pt>
                <c:pt idx="11">
                  <c:v>137534.42527368863</c:v>
                </c:pt>
                <c:pt idx="12">
                  <c:v>123996.38132123134</c:v>
                </c:pt>
                <c:pt idx="13">
                  <c:v>110052.19605020033</c:v>
                </c:pt>
                <c:pt idx="14">
                  <c:v>95689.68522103841</c:v>
                </c:pt>
                <c:pt idx="15">
                  <c:v>80896.299067001615</c:v>
                </c:pt>
                <c:pt idx="16">
                  <c:v>65659.11132834373</c:v>
                </c:pt>
                <c:pt idx="17">
                  <c:v>49964.807957526107</c:v>
                </c:pt>
                <c:pt idx="18">
                  <c:v>33799.675485583946</c:v>
                </c:pt>
                <c:pt idx="19">
                  <c:v>17149.589039483522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512932.81378637918</c:v>
                </c:pt>
                <c:pt idx="1">
                  <c:v>487995.44113377179</c:v>
                </c:pt>
                <c:pt idx="2">
                  <c:v>461511.95137670275</c:v>
                </c:pt>
                <c:pt idx="3">
                  <c:v>134212.33472858591</c:v>
                </c:pt>
                <c:pt idx="4">
                  <c:v>118023.52068750479</c:v>
                </c:pt>
                <c:pt idx="5">
                  <c:v>99982.813455086201</c:v>
                </c:pt>
                <c:pt idx="6">
                  <c:v>79975.395653467276</c:v>
                </c:pt>
                <c:pt idx="7">
                  <c:v>57879.331227357499</c:v>
                </c:pt>
                <c:pt idx="8">
                  <c:v>33565.124086038442</c:v>
                </c:pt>
                <c:pt idx="9">
                  <c:v>6895.2493811673485</c:v>
                </c:pt>
                <c:pt idx="10">
                  <c:v>-22276.344276196091</c:v>
                </c:pt>
                <c:pt idx="11">
                  <c:v>-54104.763461106806</c:v>
                </c:pt>
                <c:pt idx="12">
                  <c:v>-88754.731356272241</c:v>
                </c:pt>
                <c:pt idx="13">
                  <c:v>-126401.18398172839</c:v>
                </c:pt>
                <c:pt idx="14">
                  <c:v>-167229.90339075332</c:v>
                </c:pt>
                <c:pt idx="15">
                  <c:v>-211438.19012392813</c:v>
                </c:pt>
                <c:pt idx="16">
                  <c:v>-259235.57735535037</c:v>
                </c:pt>
                <c:pt idx="17">
                  <c:v>-310844.58931591088</c:v>
                </c:pt>
                <c:pt idx="18">
                  <c:v>-366501.54673881683</c:v>
                </c:pt>
                <c:pt idx="19">
                  <c:v>-426457.42224273324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0-11/AppData/Local/Temp/Investment%20and%20Finance/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37"/>
  <sheetViews>
    <sheetView tabSelected="1" zoomScaleNormal="85" zoomScalePageLayoutView="85" workbookViewId="0">
      <pane xSplit="4" topLeftCell="V1" activePane="topRight" state="frozen"/>
      <selection pane="topRight" activeCell="B35" sqref="B35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-2314321.1933511491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-8944655.563892968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572236283.59752655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 t="e">
        <f>IRR(Kalkulation!C78:W78)</f>
        <v>#NUM!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3.4257573533524363E-2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7.8636273071757287E-2</v>
      </c>
    </row>
    <row r="11" spans="1:29" ht="15" customHeight="1" x14ac:dyDescent="0.3">
      <c r="A11" s="172" t="s">
        <v>148</v>
      </c>
      <c r="B11" s="176">
        <v>2.1999999999999999E-2</v>
      </c>
      <c r="F11" t="s">
        <v>17</v>
      </c>
      <c r="G11" s="148">
        <f>Kalkulation!C85</f>
        <v>0.80729223350765511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70" t="s">
        <v>152</v>
      </c>
      <c r="B16" s="171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29" ht="25.8" x14ac:dyDescent="0.5">
      <c r="A17" s="173" t="s">
        <v>153</v>
      </c>
      <c r="B17" s="174">
        <v>22</v>
      </c>
      <c r="C17" t="s">
        <v>20</v>
      </c>
      <c r="F17" s="79"/>
    </row>
    <row r="18" spans="1:29" x14ac:dyDescent="0.3">
      <c r="A18" t="s">
        <v>154</v>
      </c>
      <c r="B18" s="66">
        <v>3.4000000000000002E-2</v>
      </c>
      <c r="C18" t="s">
        <v>21</v>
      </c>
      <c r="D18" s="70" t="s">
        <v>158</v>
      </c>
      <c r="G18" s="1" t="s">
        <v>2</v>
      </c>
      <c r="J18" s="78">
        <v>2016</v>
      </c>
      <c r="K18" s="78">
        <v>2017</v>
      </c>
      <c r="L18" s="78">
        <v>2018</v>
      </c>
      <c r="M18" s="78">
        <v>2019</v>
      </c>
      <c r="N18" s="78">
        <v>2020</v>
      </c>
      <c r="O18" s="78">
        <v>2021</v>
      </c>
      <c r="P18" s="78">
        <v>2022</v>
      </c>
      <c r="Q18" s="78">
        <v>2023</v>
      </c>
      <c r="R18" s="78">
        <v>2024</v>
      </c>
      <c r="S18" s="78">
        <v>2025</v>
      </c>
      <c r="T18" s="78">
        <v>2026</v>
      </c>
      <c r="U18" s="78">
        <v>2027</v>
      </c>
      <c r="V18" s="78">
        <v>2028</v>
      </c>
      <c r="W18" s="78">
        <v>2029</v>
      </c>
      <c r="X18" s="78">
        <v>2030</v>
      </c>
      <c r="Y18" s="78">
        <v>2031</v>
      </c>
      <c r="Z18" s="78">
        <v>2032</v>
      </c>
      <c r="AA18" s="78">
        <v>2033</v>
      </c>
      <c r="AB18" s="78">
        <v>2034</v>
      </c>
      <c r="AC18" s="78">
        <v>2035</v>
      </c>
    </row>
    <row r="19" spans="1:29" x14ac:dyDescent="0.3">
      <c r="G19" s="1"/>
    </row>
    <row r="20" spans="1:29" ht="18.75" customHeight="1" x14ac:dyDescent="0.3">
      <c r="F20" s="80" t="s">
        <v>185</v>
      </c>
      <c r="G20" t="s">
        <v>23</v>
      </c>
      <c r="J20" s="23">
        <f>Kalkulation!D12</f>
        <v>1297715.8284000002</v>
      </c>
      <c r="K20" s="23">
        <f>Kalkulation!E12</f>
        <v>1297715.8284000002</v>
      </c>
      <c r="L20" s="23">
        <f>Kalkulation!F12</f>
        <v>1297715.8284000002</v>
      </c>
      <c r="M20" s="23">
        <f>Kalkulation!G12</f>
        <v>1297715.8284000002</v>
      </c>
      <c r="N20" s="23">
        <f>Kalkulation!H12</f>
        <v>1297715.8284000002</v>
      </c>
      <c r="O20" s="23">
        <f>Kalkulation!I12</f>
        <v>1297715.8284000002</v>
      </c>
      <c r="P20" s="23">
        <f>Kalkulation!J12</f>
        <v>1297715.8284000002</v>
      </c>
      <c r="Q20" s="23">
        <f>Kalkulation!K12</f>
        <v>1297715.8284000002</v>
      </c>
      <c r="R20" s="23">
        <f>Kalkulation!L12</f>
        <v>1297715.8284000002</v>
      </c>
      <c r="S20" s="23">
        <f>Kalkulation!M12</f>
        <v>1297715.8284000002</v>
      </c>
      <c r="T20" s="23">
        <f>Kalkulation!N12</f>
        <v>1297715.8284000002</v>
      </c>
      <c r="U20" s="23">
        <f>Kalkulation!O12</f>
        <v>1297715.8284000002</v>
      </c>
      <c r="V20" s="23">
        <f>Kalkulation!P12</f>
        <v>1297715.8284000002</v>
      </c>
      <c r="W20" s="23">
        <f>Kalkulation!Q12</f>
        <v>1297715.8284000002</v>
      </c>
      <c r="X20" s="23">
        <f>Kalkulation!R12</f>
        <v>1297715.8284000002</v>
      </c>
      <c r="Y20" s="23">
        <f>Kalkulation!S12</f>
        <v>1297715.8284000002</v>
      </c>
      <c r="Z20" s="23">
        <f>Kalkulation!T12</f>
        <v>1297715.8284000002</v>
      </c>
      <c r="AA20" s="23">
        <f>Kalkulation!U12</f>
        <v>1297715.8284000002</v>
      </c>
      <c r="AB20" s="23">
        <f>Kalkulation!V12</f>
        <v>1297715.8284000002</v>
      </c>
      <c r="AC20" s="23">
        <f>Kalkulation!W12</f>
        <v>1297715.8284000002</v>
      </c>
    </row>
    <row r="21" spans="1:29" x14ac:dyDescent="0.3">
      <c r="F21" s="81" t="s">
        <v>186</v>
      </c>
      <c r="G21" s="84" t="s">
        <v>23</v>
      </c>
      <c r="H21" s="84"/>
      <c r="I21" s="84"/>
      <c r="J21" s="88">
        <f>Kalkulation!D21</f>
        <v>-552215.68794527999</v>
      </c>
      <c r="K21" s="88">
        <f>Kalkulation!E21</f>
        <v>-577153.06059788738</v>
      </c>
      <c r="L21" s="88">
        <f>Kalkulation!F21</f>
        <v>-603636.55035495642</v>
      </c>
      <c r="M21" s="88">
        <f>Kalkulation!G21</f>
        <v>-481762.0164769637</v>
      </c>
      <c r="N21" s="88">
        <f>Kalkulation!H21</f>
        <v>-511631.2614985354</v>
      </c>
      <c r="O21" s="88">
        <f>Kalkulation!I21</f>
        <v>-543352.39971144474</v>
      </c>
      <c r="P21" s="88">
        <f>Kalkulation!J21</f>
        <v>-577040.2484935543</v>
      </c>
      <c r="Q21" s="88">
        <f>Kalkulation!K21</f>
        <v>-612816.74390015472</v>
      </c>
      <c r="R21" s="88">
        <f>Kalkulation!L21</f>
        <v>-650811.38202196441</v>
      </c>
      <c r="S21" s="88">
        <f>Kalkulation!M21</f>
        <v>-691161.68770732614</v>
      </c>
      <c r="T21" s="88">
        <f>Kalkulation!N21</f>
        <v>-734013.71234518033</v>
      </c>
      <c r="U21" s="88">
        <f>Kalkulation!O21</f>
        <v>-779522.56251058169</v>
      </c>
      <c r="V21" s="88">
        <f>Kalkulation!P21</f>
        <v>-827852.96138623776</v>
      </c>
      <c r="W21" s="88">
        <f>Kalkulation!Q21</f>
        <v>-879179.84499218455</v>
      </c>
      <c r="X21" s="88">
        <f>Kalkulation!R21</f>
        <v>-933688.99538170011</v>
      </c>
      <c r="Y21" s="88">
        <f>Kalkulation!S21</f>
        <v>-991577.71309536556</v>
      </c>
      <c r="Z21" s="88">
        <f>Kalkulation!T21</f>
        <v>-1053055.5313072784</v>
      </c>
      <c r="AA21" s="88">
        <f>Kalkulation!U21</f>
        <v>-1118344.9742483296</v>
      </c>
      <c r="AB21" s="88">
        <f>Kalkulation!V21</f>
        <v>-1187682.3626517262</v>
      </c>
      <c r="AC21" s="88">
        <f>Kalkulation!W21</f>
        <v>-1261318.6691361333</v>
      </c>
    </row>
    <row r="22" spans="1:29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745500.14045472024</v>
      </c>
      <c r="K22" s="88">
        <f t="shared" ref="K22:AC22" si="0">SUM(K20:K21)</f>
        <v>720562.76780211285</v>
      </c>
      <c r="L22" s="88">
        <f t="shared" si="0"/>
        <v>694079.27804504381</v>
      </c>
      <c r="M22" s="88">
        <f t="shared" si="0"/>
        <v>815953.81192303658</v>
      </c>
      <c r="N22" s="88">
        <f t="shared" si="0"/>
        <v>786084.56690146483</v>
      </c>
      <c r="O22" s="88">
        <f t="shared" si="0"/>
        <v>754363.42868855549</v>
      </c>
      <c r="P22" s="88">
        <f t="shared" si="0"/>
        <v>720675.57990644593</v>
      </c>
      <c r="Q22" s="88">
        <f t="shared" si="0"/>
        <v>684899.08449984551</v>
      </c>
      <c r="R22" s="88">
        <f t="shared" si="0"/>
        <v>646904.44637803582</v>
      </c>
      <c r="S22" s="88">
        <f t="shared" si="0"/>
        <v>606554.14069267409</v>
      </c>
      <c r="T22" s="88">
        <f t="shared" si="0"/>
        <v>563702.1160548199</v>
      </c>
      <c r="U22" s="88">
        <f t="shared" si="0"/>
        <v>518193.26588941854</v>
      </c>
      <c r="V22" s="88">
        <f t="shared" si="0"/>
        <v>469862.86701376247</v>
      </c>
      <c r="W22" s="88">
        <f t="shared" si="0"/>
        <v>418535.98340781569</v>
      </c>
      <c r="X22" s="88">
        <f t="shared" si="0"/>
        <v>364026.83301830012</v>
      </c>
      <c r="Y22" s="88">
        <f t="shared" si="0"/>
        <v>306138.11530463467</v>
      </c>
      <c r="Z22" s="88">
        <f t="shared" si="0"/>
        <v>244660.2970927218</v>
      </c>
      <c r="AA22" s="88">
        <f t="shared" si="0"/>
        <v>179370.85415167059</v>
      </c>
      <c r="AB22" s="88">
        <f t="shared" si="0"/>
        <v>110033.465748274</v>
      </c>
      <c r="AC22" s="88">
        <f t="shared" si="0"/>
        <v>36397.159263866954</v>
      </c>
    </row>
    <row r="23" spans="1:29" x14ac:dyDescent="0.3">
      <c r="A23" s="3" t="s">
        <v>26</v>
      </c>
      <c r="F23" s="81" t="s">
        <v>187</v>
      </c>
      <c r="G23" s="84" t="s">
        <v>23</v>
      </c>
      <c r="H23" s="84"/>
      <c r="I23" s="84"/>
      <c r="J23" s="88">
        <f>Kalkulation!D39</f>
        <v>-761340.78571428568</v>
      </c>
      <c r="K23" s="88">
        <f>Kalkulation!E39</f>
        <v>-761340.78571428568</v>
      </c>
      <c r="L23" s="88">
        <f>Kalkulation!F39</f>
        <v>-761340.78571428568</v>
      </c>
      <c r="M23" s="88">
        <f>Kalkulation!G39</f>
        <v>-761340.78571428568</v>
      </c>
      <c r="N23" s="88">
        <f>Kalkulation!H39</f>
        <v>-761340.78571428568</v>
      </c>
      <c r="O23" s="88">
        <f>Kalkulation!I39</f>
        <v>-761340.78571428568</v>
      </c>
      <c r="P23" s="88">
        <f>Kalkulation!J39</f>
        <v>-761340.78571428568</v>
      </c>
      <c r="Q23" s="88">
        <f>Kalkulation!K39</f>
        <v>-761340.78571428568</v>
      </c>
      <c r="R23" s="88">
        <f>Kalkulation!L39</f>
        <v>-761340.78571428568</v>
      </c>
      <c r="S23" s="88">
        <f>Kalkulation!M39</f>
        <v>-761340.78571428568</v>
      </c>
      <c r="T23" s="88">
        <f>Kalkulation!N39</f>
        <v>-761340.78571428568</v>
      </c>
      <c r="U23" s="88">
        <f>Kalkulation!O39</f>
        <v>-761340.78571428568</v>
      </c>
      <c r="V23" s="88">
        <f>Kalkulation!P39</f>
        <v>-761340.78571428568</v>
      </c>
      <c r="W23" s="88">
        <f>Kalkulation!Q39</f>
        <v>-761340.78571428568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29" x14ac:dyDescent="0.3">
      <c r="A24" s="83" t="s">
        <v>159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-15840.645259565441</v>
      </c>
      <c r="K24" s="88">
        <f t="shared" ref="K24:AC24" si="1">SUM(K22:K23)</f>
        <v>-40778.017912172829</v>
      </c>
      <c r="L24" s="88">
        <f t="shared" si="1"/>
        <v>-67261.507669241866</v>
      </c>
      <c r="M24" s="88">
        <f t="shared" si="1"/>
        <v>54613.026208750904</v>
      </c>
      <c r="N24" s="88">
        <f t="shared" si="1"/>
        <v>24743.781187179149</v>
      </c>
      <c r="O24" s="88">
        <f t="shared" si="1"/>
        <v>-6977.3570257301908</v>
      </c>
      <c r="P24" s="88">
        <f t="shared" si="1"/>
        <v>-40665.205807839753</v>
      </c>
      <c r="Q24" s="88">
        <f t="shared" si="1"/>
        <v>-76441.701214440167</v>
      </c>
      <c r="R24" s="88">
        <f t="shared" si="1"/>
        <v>-114436.33933624986</v>
      </c>
      <c r="S24" s="88">
        <f t="shared" si="1"/>
        <v>-154786.64502161159</v>
      </c>
      <c r="T24" s="88">
        <f t="shared" si="1"/>
        <v>-197638.66965946578</v>
      </c>
      <c r="U24" s="88">
        <f t="shared" si="1"/>
        <v>-243147.51982486714</v>
      </c>
      <c r="V24" s="88">
        <f t="shared" si="1"/>
        <v>-291477.91870052321</v>
      </c>
      <c r="W24" s="88">
        <f t="shared" si="1"/>
        <v>-342804.80230647</v>
      </c>
      <c r="X24" s="88">
        <f t="shared" si="1"/>
        <v>364026.83301830012</v>
      </c>
      <c r="Y24" s="88">
        <f t="shared" si="1"/>
        <v>306138.11530463467</v>
      </c>
      <c r="Z24" s="88">
        <f t="shared" si="1"/>
        <v>244660.2970927218</v>
      </c>
      <c r="AA24" s="88">
        <f t="shared" si="1"/>
        <v>179370.85415167059</v>
      </c>
      <c r="AB24" s="88">
        <f t="shared" si="1"/>
        <v>110033.465748274</v>
      </c>
      <c r="AC24" s="88">
        <f t="shared" si="1"/>
        <v>36397.159263866954</v>
      </c>
    </row>
    <row r="25" spans="1:29" x14ac:dyDescent="0.3">
      <c r="A25" s="177"/>
      <c r="B25" s="178">
        <f>-Daten!C63</f>
        <v>-10658771</v>
      </c>
      <c r="F25" s="81" t="s">
        <v>29</v>
      </c>
      <c r="G25" s="84" t="s">
        <v>23</v>
      </c>
      <c r="H25" s="84"/>
      <c r="I25" s="84"/>
      <c r="J25" s="88">
        <f>Kalkulation!D38</f>
        <v>-232567.32666834103</v>
      </c>
      <c r="K25" s="88">
        <f>Kalkulation!E38</f>
        <v>-232567.32666834103</v>
      </c>
      <c r="L25" s="88">
        <f>Kalkulation!F38</f>
        <v>-232567.32666834103</v>
      </c>
      <c r="M25" s="88">
        <f>Kalkulation!G38</f>
        <v>-225727.11117809571</v>
      </c>
      <c r="N25" s="88">
        <f>Kalkulation!H38</f>
        <v>-212046.68019760505</v>
      </c>
      <c r="O25" s="88">
        <f>Kalkulation!I38</f>
        <v>-198366.24921711438</v>
      </c>
      <c r="P25" s="88">
        <f>Kalkulation!J38</f>
        <v>-184685.81823662372</v>
      </c>
      <c r="Q25" s="88">
        <f>Kalkulation!K38</f>
        <v>-171005.38725613308</v>
      </c>
      <c r="R25" s="88">
        <f>Kalkulation!L38</f>
        <v>-157324.95627564241</v>
      </c>
      <c r="S25" s="88">
        <f>Kalkulation!M38</f>
        <v>-143644.52529515175</v>
      </c>
      <c r="T25" s="88">
        <f>Kalkulation!N38</f>
        <v>-129964.09431466108</v>
      </c>
      <c r="U25" s="88">
        <f>Kalkulation!O38</f>
        <v>-116283.66333417043</v>
      </c>
      <c r="V25" s="88">
        <f>Kalkulation!P38</f>
        <v>-102603.23235367978</v>
      </c>
      <c r="W25" s="88">
        <f>Kalkulation!Q38</f>
        <v>-88922.801373189141</v>
      </c>
      <c r="X25" s="88">
        <f>Kalkulation!R38</f>
        <v>-75242.370392698489</v>
      </c>
      <c r="Y25" s="88">
        <f>Kalkulation!S38</f>
        <v>-61561.939412207852</v>
      </c>
      <c r="Z25" s="88">
        <f>Kalkulation!T38</f>
        <v>-47881.508431717208</v>
      </c>
      <c r="AA25" s="88">
        <f>Kalkulation!U38</f>
        <v>-34201.077451226556</v>
      </c>
      <c r="AB25" s="88">
        <f>Kalkulation!V38</f>
        <v>-20520.646470735912</v>
      </c>
      <c r="AC25" s="88">
        <f>Kalkulation!W38</f>
        <v>-6840.2154902452648</v>
      </c>
    </row>
    <row r="26" spans="1:29" x14ac:dyDescent="0.3">
      <c r="A26" s="1" t="s">
        <v>160</v>
      </c>
      <c r="B26" s="131">
        <f>-Daten!C103</f>
        <v>-378734.16943999997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-248407.97192790647</v>
      </c>
      <c r="K26" s="88">
        <f t="shared" ref="K26:AC26" si="2">SUM(K24:K25)</f>
        <v>-273345.34458051389</v>
      </c>
      <c r="L26" s="88">
        <f t="shared" si="2"/>
        <v>-299828.83433758293</v>
      </c>
      <c r="M26" s="88">
        <f t="shared" si="2"/>
        <v>-171114.08496934481</v>
      </c>
      <c r="N26" s="88">
        <f t="shared" si="2"/>
        <v>-187302.8990104259</v>
      </c>
      <c r="O26" s="88">
        <f t="shared" si="2"/>
        <v>-205343.60624284457</v>
      </c>
      <c r="P26" s="88">
        <f t="shared" si="2"/>
        <v>-225351.02404446347</v>
      </c>
      <c r="Q26" s="88">
        <f t="shared" si="2"/>
        <v>-247447.08847057325</v>
      </c>
      <c r="R26" s="88">
        <f t="shared" si="2"/>
        <v>-271761.29561189224</v>
      </c>
      <c r="S26" s="88">
        <f t="shared" si="2"/>
        <v>-298431.17031676334</v>
      </c>
      <c r="T26" s="88">
        <f t="shared" si="2"/>
        <v>-327602.76397412689</v>
      </c>
      <c r="U26" s="88">
        <f t="shared" si="2"/>
        <v>-359431.18315903755</v>
      </c>
      <c r="V26" s="88">
        <f t="shared" si="2"/>
        <v>-394081.15105420299</v>
      </c>
      <c r="W26" s="88">
        <f t="shared" si="2"/>
        <v>-431727.60367965914</v>
      </c>
      <c r="X26" s="88">
        <f t="shared" si="2"/>
        <v>288784.46262560162</v>
      </c>
      <c r="Y26" s="88">
        <f t="shared" si="2"/>
        <v>244576.17589242681</v>
      </c>
      <c r="Z26" s="88">
        <f t="shared" si="2"/>
        <v>196778.7886610046</v>
      </c>
      <c r="AA26" s="88">
        <f t="shared" si="2"/>
        <v>145169.77670044402</v>
      </c>
      <c r="AB26" s="88">
        <f t="shared" si="2"/>
        <v>89512.819277538088</v>
      </c>
      <c r="AC26" s="88">
        <f t="shared" si="2"/>
        <v>29556.94377362169</v>
      </c>
    </row>
    <row r="27" spans="1:29" x14ac:dyDescent="0.3">
      <c r="F27" s="87" t="s">
        <v>188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0</v>
      </c>
      <c r="Z27" s="88">
        <f>-Kalkulation!T54</f>
        <v>0</v>
      </c>
      <c r="AA27" s="88">
        <f>-Kalkulation!U54</f>
        <v>0</v>
      </c>
      <c r="AB27" s="88">
        <f>-Kalkulation!V54</f>
        <v>0</v>
      </c>
      <c r="AC27" s="88">
        <f>-Kalkulation!W54</f>
        <v>0</v>
      </c>
    </row>
    <row r="28" spans="1:29" x14ac:dyDescent="0.3">
      <c r="F28" s="1" t="s">
        <v>32</v>
      </c>
      <c r="G28" t="s">
        <v>23</v>
      </c>
      <c r="J28" s="23">
        <f>SUM(J26:J27)</f>
        <v>-248407.97192790647</v>
      </c>
      <c r="K28" s="23">
        <f t="shared" ref="K28:AC28" si="3">SUM(K26:K27)</f>
        <v>-273345.34458051389</v>
      </c>
      <c r="L28" s="23">
        <f t="shared" si="3"/>
        <v>-299828.83433758293</v>
      </c>
      <c r="M28" s="23">
        <f t="shared" si="3"/>
        <v>-171114.08496934481</v>
      </c>
      <c r="N28" s="23">
        <f t="shared" si="3"/>
        <v>-187302.8990104259</v>
      </c>
      <c r="O28" s="23">
        <f t="shared" si="3"/>
        <v>-205343.60624284457</v>
      </c>
      <c r="P28" s="23">
        <f t="shared" si="3"/>
        <v>-225351.02404446347</v>
      </c>
      <c r="Q28" s="23">
        <f t="shared" si="3"/>
        <v>-247447.08847057325</v>
      </c>
      <c r="R28" s="23">
        <f t="shared" si="3"/>
        <v>-271761.29561189224</v>
      </c>
      <c r="S28" s="23">
        <f t="shared" si="3"/>
        <v>-298431.17031676334</v>
      </c>
      <c r="T28" s="23">
        <f t="shared" si="3"/>
        <v>-327602.76397412689</v>
      </c>
      <c r="U28" s="23">
        <f t="shared" si="3"/>
        <v>-359431.18315903755</v>
      </c>
      <c r="V28" s="23">
        <f t="shared" si="3"/>
        <v>-394081.15105420299</v>
      </c>
      <c r="W28" s="23">
        <f t="shared" si="3"/>
        <v>-431727.60367965914</v>
      </c>
      <c r="X28" s="23">
        <f t="shared" si="3"/>
        <v>288784.46262560162</v>
      </c>
      <c r="Y28" s="23">
        <f t="shared" si="3"/>
        <v>244576.17589242681</v>
      </c>
      <c r="Z28" s="23">
        <f t="shared" si="3"/>
        <v>196778.7886610046</v>
      </c>
      <c r="AA28" s="23">
        <f t="shared" si="3"/>
        <v>145169.77670044402</v>
      </c>
      <c r="AB28" s="23">
        <f t="shared" si="3"/>
        <v>89512.819277538088</v>
      </c>
      <c r="AC28" s="23">
        <f t="shared" si="3"/>
        <v>29556.94377362169</v>
      </c>
    </row>
    <row r="31" spans="1:29" x14ac:dyDescent="0.3">
      <c r="A31" s="3" t="s">
        <v>191</v>
      </c>
    </row>
    <row r="32" spans="1:29" x14ac:dyDescent="0.3">
      <c r="A32" t="s">
        <v>161</v>
      </c>
      <c r="B32" s="66" t="s">
        <v>33</v>
      </c>
    </row>
    <row r="33" spans="1:29" x14ac:dyDescent="0.3">
      <c r="A33" s="175" t="s">
        <v>162</v>
      </c>
      <c r="B33" s="176">
        <v>0.72731126527420797</v>
      </c>
    </row>
    <row r="34" spans="1:29" ht="25.8" x14ac:dyDescent="0.5">
      <c r="A34" t="s">
        <v>163</v>
      </c>
      <c r="B34" s="28">
        <f>-B25*(1-B33)</f>
        <v>2906526.7777219652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5" t="s">
        <v>164</v>
      </c>
      <c r="B35" s="179">
        <v>17</v>
      </c>
      <c r="C35" s="175" t="s">
        <v>36</v>
      </c>
    </row>
    <row r="36" spans="1:29" x14ac:dyDescent="0.3">
      <c r="A36" t="s">
        <v>165</v>
      </c>
      <c r="B36" s="67">
        <v>0.02</v>
      </c>
      <c r="G36" s="1" t="s">
        <v>3</v>
      </c>
      <c r="J36" s="78">
        <v>2015</v>
      </c>
      <c r="K36" s="78">
        <v>2016</v>
      </c>
      <c r="L36" s="78">
        <v>2017</v>
      </c>
      <c r="M36" s="78">
        <v>2018</v>
      </c>
      <c r="N36" s="78">
        <v>2019</v>
      </c>
      <c r="O36" s="78">
        <v>2020</v>
      </c>
      <c r="P36" s="78">
        <v>2021</v>
      </c>
      <c r="Q36" s="78">
        <v>2022</v>
      </c>
      <c r="R36" s="78">
        <v>2023</v>
      </c>
      <c r="S36" s="78">
        <v>2024</v>
      </c>
      <c r="T36" s="78">
        <v>2025</v>
      </c>
      <c r="U36" s="78">
        <v>2026</v>
      </c>
      <c r="V36" s="78">
        <v>2027</v>
      </c>
      <c r="W36" s="78">
        <v>2028</v>
      </c>
      <c r="X36" s="78">
        <v>2029</v>
      </c>
      <c r="Y36" s="78">
        <v>2030</v>
      </c>
      <c r="Z36" s="78">
        <v>2031</v>
      </c>
      <c r="AA36" s="78">
        <v>2032</v>
      </c>
      <c r="AB36" s="78">
        <v>2033</v>
      </c>
      <c r="AC36" s="78">
        <v>2034</v>
      </c>
    </row>
    <row r="37" spans="1:29" x14ac:dyDescent="0.3">
      <c r="A37" t="s">
        <v>166</v>
      </c>
      <c r="B37" s="67">
        <v>0.01</v>
      </c>
      <c r="G37" s="1"/>
    </row>
    <row r="38" spans="1:29" ht="18" customHeight="1" x14ac:dyDescent="0.3">
      <c r="A38" t="s">
        <v>167</v>
      </c>
      <c r="B38" s="2">
        <f>SUM(B36:B37)</f>
        <v>0.03</v>
      </c>
      <c r="F38" s="80" t="s">
        <v>185</v>
      </c>
      <c r="G38" t="s">
        <v>23</v>
      </c>
      <c r="J38" s="23">
        <f>Kalkulation!D12</f>
        <v>1297715.8284000002</v>
      </c>
      <c r="K38" s="23">
        <f>Kalkulation!E12</f>
        <v>1297715.8284000002</v>
      </c>
      <c r="L38" s="23">
        <f>Kalkulation!F12</f>
        <v>1297715.8284000002</v>
      </c>
      <c r="M38" s="23">
        <f>Kalkulation!G12</f>
        <v>1297715.8284000002</v>
      </c>
      <c r="N38" s="23">
        <f>Kalkulation!H12</f>
        <v>1297715.8284000002</v>
      </c>
      <c r="O38" s="23">
        <f>Kalkulation!I12</f>
        <v>1297715.8284000002</v>
      </c>
      <c r="P38" s="23">
        <f>Kalkulation!J12</f>
        <v>1297715.8284000002</v>
      </c>
      <c r="Q38" s="23">
        <f>Kalkulation!K12</f>
        <v>1297715.8284000002</v>
      </c>
      <c r="R38" s="23">
        <f>Kalkulation!L12</f>
        <v>1297715.8284000002</v>
      </c>
      <c r="S38" s="23">
        <f>Kalkulation!M12</f>
        <v>1297715.8284000002</v>
      </c>
      <c r="T38" s="23">
        <f>Kalkulation!N12</f>
        <v>1297715.8284000002</v>
      </c>
      <c r="U38" s="23">
        <f>Kalkulation!O12</f>
        <v>1297715.8284000002</v>
      </c>
      <c r="V38" s="23">
        <f>Kalkulation!P12</f>
        <v>1297715.8284000002</v>
      </c>
      <c r="W38" s="23">
        <f>Kalkulation!Q12</f>
        <v>1297715.8284000002</v>
      </c>
      <c r="X38" s="23">
        <f>Kalkulation!R12</f>
        <v>1297715.8284000002</v>
      </c>
      <c r="Y38" s="23">
        <f>Kalkulation!S12</f>
        <v>1297715.8284000002</v>
      </c>
      <c r="Z38" s="23">
        <f>Kalkulation!T12</f>
        <v>1297715.8284000002</v>
      </c>
      <c r="AA38" s="23">
        <f>Kalkulation!U12</f>
        <v>1297715.8284000002</v>
      </c>
      <c r="AB38" s="23">
        <f>Kalkulation!V12</f>
        <v>1297715.8284000002</v>
      </c>
      <c r="AC38" s="23">
        <f>Kalkulation!W12</f>
        <v>1297715.8284000002</v>
      </c>
    </row>
    <row r="39" spans="1:29" x14ac:dyDescent="0.3">
      <c r="A39" t="s">
        <v>168</v>
      </c>
      <c r="B39" s="29">
        <f>-(B25+B34)</f>
        <v>7752244.2222780343</v>
      </c>
      <c r="F39" s="80" t="s">
        <v>186</v>
      </c>
      <c r="G39" t="s">
        <v>7</v>
      </c>
      <c r="J39" s="23">
        <f>Kalkulation!D21</f>
        <v>-552215.68794527999</v>
      </c>
      <c r="K39" s="23">
        <f>Kalkulation!E21</f>
        <v>-577153.06059788738</v>
      </c>
      <c r="L39" s="23">
        <f>Kalkulation!F21</f>
        <v>-603636.55035495642</v>
      </c>
      <c r="M39" s="23">
        <f>Kalkulation!G21</f>
        <v>-481762.0164769637</v>
      </c>
      <c r="N39" s="23">
        <f>Kalkulation!H21</f>
        <v>-511631.2614985354</v>
      </c>
      <c r="O39" s="23">
        <f>Kalkulation!I21</f>
        <v>-543352.39971144474</v>
      </c>
      <c r="P39" s="23">
        <f>Kalkulation!J21</f>
        <v>-577040.2484935543</v>
      </c>
      <c r="Q39" s="23">
        <f>Kalkulation!K21</f>
        <v>-612816.74390015472</v>
      </c>
      <c r="R39" s="23">
        <f>Kalkulation!L21</f>
        <v>-650811.38202196441</v>
      </c>
      <c r="S39" s="23">
        <f>Kalkulation!M21</f>
        <v>-691161.68770732614</v>
      </c>
      <c r="T39" s="23">
        <f>Kalkulation!N21</f>
        <v>-734013.71234518033</v>
      </c>
      <c r="U39" s="23">
        <f>Kalkulation!O21</f>
        <v>-779522.56251058169</v>
      </c>
      <c r="V39" s="23">
        <f>Kalkulation!P21</f>
        <v>-827852.96138623776</v>
      </c>
      <c r="W39" s="23">
        <f>Kalkulation!Q21</f>
        <v>-879179.84499218455</v>
      </c>
      <c r="X39" s="23">
        <f>Kalkulation!R21</f>
        <v>-933688.99538170011</v>
      </c>
      <c r="Y39" s="23">
        <f>Kalkulation!S21</f>
        <v>-991577.71309536556</v>
      </c>
      <c r="Z39" s="23">
        <f>Kalkulation!T21</f>
        <v>-1053055.5313072784</v>
      </c>
      <c r="AA39" s="23">
        <f>Kalkulation!U21</f>
        <v>-1118344.9742483296</v>
      </c>
      <c r="AB39" s="23">
        <f>Kalkulation!V21</f>
        <v>-1187682.3626517262</v>
      </c>
      <c r="AC39" s="23">
        <f>Kalkulation!W21</f>
        <v>-1261318.6691361333</v>
      </c>
    </row>
    <row r="40" spans="1:29" ht="14.25" customHeight="1" x14ac:dyDescent="0.3">
      <c r="A40" t="s">
        <v>169</v>
      </c>
      <c r="B40" s="69" t="s">
        <v>39</v>
      </c>
      <c r="F40" s="81" t="s">
        <v>189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0</v>
      </c>
      <c r="Z40" s="88">
        <f t="shared" si="4"/>
        <v>0</v>
      </c>
      <c r="AA40" s="88">
        <f t="shared" si="4"/>
        <v>0</v>
      </c>
      <c r="AB40" s="88">
        <f t="shared" si="4"/>
        <v>0</v>
      </c>
      <c r="AC40" s="88">
        <f t="shared" si="4"/>
        <v>0</v>
      </c>
    </row>
    <row r="41" spans="1:29" x14ac:dyDescent="0.3">
      <c r="A41" s="175" t="s">
        <v>40</v>
      </c>
      <c r="B41" s="176">
        <v>1.15E-2</v>
      </c>
      <c r="F41" s="85" t="s">
        <v>41</v>
      </c>
      <c r="G41" s="84" t="s">
        <v>7</v>
      </c>
      <c r="H41" s="84"/>
      <c r="I41" s="84"/>
      <c r="J41" s="88">
        <f>SUM(J38:J40)</f>
        <v>745500.14045472024</v>
      </c>
      <c r="K41" s="88">
        <f t="shared" ref="K41:AC41" si="5">SUM(K38:K40)</f>
        <v>720562.76780211285</v>
      </c>
      <c r="L41" s="88">
        <f t="shared" si="5"/>
        <v>694079.27804504381</v>
      </c>
      <c r="M41" s="88">
        <f t="shared" si="5"/>
        <v>815953.81192303658</v>
      </c>
      <c r="N41" s="88">
        <f t="shared" si="5"/>
        <v>786084.56690146483</v>
      </c>
      <c r="O41" s="88">
        <f t="shared" si="5"/>
        <v>754363.42868855549</v>
      </c>
      <c r="P41" s="88">
        <f t="shared" si="5"/>
        <v>720675.57990644593</v>
      </c>
      <c r="Q41" s="88">
        <f t="shared" si="5"/>
        <v>684899.08449984551</v>
      </c>
      <c r="R41" s="88">
        <f t="shared" si="5"/>
        <v>646904.44637803582</v>
      </c>
      <c r="S41" s="88">
        <f t="shared" si="5"/>
        <v>606554.14069267409</v>
      </c>
      <c r="T41" s="88">
        <f t="shared" si="5"/>
        <v>563702.1160548199</v>
      </c>
      <c r="U41" s="88">
        <f t="shared" si="5"/>
        <v>518193.26588941854</v>
      </c>
      <c r="V41" s="88">
        <f t="shared" si="5"/>
        <v>469862.86701376247</v>
      </c>
      <c r="W41" s="88">
        <f t="shared" si="5"/>
        <v>418535.98340781569</v>
      </c>
      <c r="X41" s="88">
        <f t="shared" si="5"/>
        <v>364026.83301830012</v>
      </c>
      <c r="Y41" s="88">
        <f t="shared" si="5"/>
        <v>306138.11530463467</v>
      </c>
      <c r="Z41" s="88">
        <f t="shared" si="5"/>
        <v>244660.2970927218</v>
      </c>
      <c r="AA41" s="88">
        <f t="shared" si="5"/>
        <v>179370.85415167059</v>
      </c>
      <c r="AB41" s="88">
        <f t="shared" si="5"/>
        <v>110033.465748274</v>
      </c>
      <c r="AC41" s="88">
        <f t="shared" si="5"/>
        <v>36397.159263866954</v>
      </c>
    </row>
    <row r="42" spans="1:29" x14ac:dyDescent="0.3">
      <c r="A42" s="175" t="s">
        <v>42</v>
      </c>
      <c r="B42" s="176">
        <v>5.1499999999999997E-2</v>
      </c>
      <c r="F42" s="82" t="s">
        <v>190</v>
      </c>
      <c r="G42" t="s">
        <v>7</v>
      </c>
      <c r="J42" s="23">
        <f>-Kalkulation!D60</f>
        <v>-232567.32666834103</v>
      </c>
      <c r="K42" s="23">
        <f>-Kalkulation!E60</f>
        <v>-232567.32666834103</v>
      </c>
      <c r="L42" s="23">
        <f>-Kalkulation!F60</f>
        <v>-232567.32666834103</v>
      </c>
      <c r="M42" s="23">
        <f>-Kalkulation!G60</f>
        <v>-225727.11117809571</v>
      </c>
      <c r="N42" s="23">
        <f>-Kalkulation!H60</f>
        <v>-212046.68019760505</v>
      </c>
      <c r="O42" s="23">
        <f>-Kalkulation!I60</f>
        <v>-198366.24921711438</v>
      </c>
      <c r="P42" s="23">
        <f>-Kalkulation!J60</f>
        <v>-184685.81823662372</v>
      </c>
      <c r="Q42" s="23">
        <f>-Kalkulation!K60</f>
        <v>-171005.38725613308</v>
      </c>
      <c r="R42" s="23">
        <f>-Kalkulation!L60</f>
        <v>-157324.95627564241</v>
      </c>
      <c r="S42" s="23">
        <f>-Kalkulation!M60</f>
        <v>-143644.52529515175</v>
      </c>
      <c r="T42" s="23">
        <f>-Kalkulation!N60</f>
        <v>-129964.09431466108</v>
      </c>
      <c r="U42" s="23">
        <f>-Kalkulation!O60</f>
        <v>-116283.66333417043</v>
      </c>
      <c r="V42" s="23">
        <f>-Kalkulation!P60</f>
        <v>-102603.23235367978</v>
      </c>
      <c r="W42" s="23">
        <f>-Kalkulation!Q60</f>
        <v>-88922.801373189141</v>
      </c>
      <c r="X42" s="23">
        <f>-Kalkulation!R60</f>
        <v>-75242.370392698489</v>
      </c>
      <c r="Y42" s="23">
        <f>-Kalkulation!S60</f>
        <v>-61561.939412207852</v>
      </c>
      <c r="Z42" s="23">
        <f>-Kalkulation!T60</f>
        <v>-47881.508431717208</v>
      </c>
      <c r="AA42" s="23">
        <f>-Kalkulation!U60</f>
        <v>-34201.077451226556</v>
      </c>
      <c r="AB42" s="23">
        <f>-Kalkulation!V60</f>
        <v>-20520.646470735912</v>
      </c>
      <c r="AC42" s="23">
        <f>-Kalkulation!W60</f>
        <v>-6840.2154902452648</v>
      </c>
    </row>
    <row r="43" spans="1:29" x14ac:dyDescent="0.3">
      <c r="A43" s="175" t="s">
        <v>170</v>
      </c>
      <c r="B43" s="179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-456014.36601635494</v>
      </c>
      <c r="N43" s="88">
        <f>-Kalkulation!H59</f>
        <v>-456014.36601635494</v>
      </c>
      <c r="O43" s="88">
        <f>-Kalkulation!I59</f>
        <v>-456014.36601635494</v>
      </c>
      <c r="P43" s="88">
        <f>-Kalkulation!J59</f>
        <v>-456014.36601635494</v>
      </c>
      <c r="Q43" s="88">
        <f>-Kalkulation!K59</f>
        <v>-456014.36601635494</v>
      </c>
      <c r="R43" s="88">
        <f>-Kalkulation!L59</f>
        <v>-456014.36601635494</v>
      </c>
      <c r="S43" s="88">
        <f>-Kalkulation!M59</f>
        <v>-456014.36601635494</v>
      </c>
      <c r="T43" s="88">
        <f>-Kalkulation!N59</f>
        <v>-456014.36601635494</v>
      </c>
      <c r="U43" s="88">
        <f>-Kalkulation!O59</f>
        <v>-456014.36601635494</v>
      </c>
      <c r="V43" s="88">
        <f>-Kalkulation!P59</f>
        <v>-456014.36601635494</v>
      </c>
      <c r="W43" s="88">
        <f>-Kalkulation!Q59</f>
        <v>-456014.36601635494</v>
      </c>
      <c r="X43" s="88">
        <f>-Kalkulation!R59</f>
        <v>-456014.36601635494</v>
      </c>
      <c r="Y43" s="88">
        <f>-Kalkulation!S59</f>
        <v>-456014.36601635494</v>
      </c>
      <c r="Z43" s="88">
        <f>-Kalkulation!T59</f>
        <v>-456014.36601635494</v>
      </c>
      <c r="AA43" s="88">
        <f>-Kalkulation!U59</f>
        <v>-456014.36601635494</v>
      </c>
      <c r="AB43" s="88">
        <f>-Kalkulation!V59</f>
        <v>-456014.36601635494</v>
      </c>
      <c r="AC43" s="88">
        <f>-Kalkulation!W59</f>
        <v>-456014.36601635494</v>
      </c>
    </row>
    <row r="44" spans="1:29" x14ac:dyDescent="0.3">
      <c r="A44" t="s">
        <v>171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512932.81378637918</v>
      </c>
      <c r="K44" s="23">
        <f t="shared" ref="K44:AC44" si="6">SUM(K41:K43)</f>
        <v>487995.44113377179</v>
      </c>
      <c r="L44" s="23">
        <f t="shared" si="6"/>
        <v>461511.95137670275</v>
      </c>
      <c r="M44" s="23">
        <f t="shared" si="6"/>
        <v>134212.33472858596</v>
      </c>
      <c r="N44" s="23">
        <f t="shared" si="6"/>
        <v>118023.52068750485</v>
      </c>
      <c r="O44" s="23">
        <f t="shared" si="6"/>
        <v>99982.813455086143</v>
      </c>
      <c r="P44" s="23">
        <f t="shared" si="6"/>
        <v>79975.395653467334</v>
      </c>
      <c r="Q44" s="23">
        <f t="shared" si="6"/>
        <v>57879.331227357499</v>
      </c>
      <c r="R44" s="23">
        <f t="shared" si="6"/>
        <v>33565.124086038501</v>
      </c>
      <c r="S44" s="23">
        <f t="shared" si="6"/>
        <v>6895.2493811674067</v>
      </c>
      <c r="T44" s="23">
        <f t="shared" si="6"/>
        <v>-22276.344276196149</v>
      </c>
      <c r="U44" s="23">
        <f t="shared" si="6"/>
        <v>-54104.763461106806</v>
      </c>
      <c r="V44" s="23">
        <f t="shared" si="6"/>
        <v>-88754.731356272241</v>
      </c>
      <c r="W44" s="23">
        <f t="shared" si="6"/>
        <v>-126401.18398172839</v>
      </c>
      <c r="X44" s="23">
        <f t="shared" si="6"/>
        <v>-167229.90339075332</v>
      </c>
      <c r="Y44" s="23">
        <f t="shared" si="6"/>
        <v>-211438.19012392813</v>
      </c>
      <c r="Z44" s="23">
        <f t="shared" si="6"/>
        <v>-259235.57735535034</v>
      </c>
      <c r="AA44" s="23">
        <f t="shared" si="6"/>
        <v>-310844.58931591094</v>
      </c>
      <c r="AB44" s="23">
        <f t="shared" si="6"/>
        <v>-366501.54673881683</v>
      </c>
      <c r="AC44" s="23">
        <f t="shared" si="6"/>
        <v>-426457.42224273324</v>
      </c>
    </row>
    <row r="46" spans="1:29" x14ac:dyDescent="0.3">
      <c r="A46" t="s">
        <v>44</v>
      </c>
      <c r="B46" s="2">
        <f>(((1-B33)/1)*B44)+(((B33/1)*B38))</f>
        <v>2.9168299359086332E-2</v>
      </c>
    </row>
    <row r="48" spans="1:29" x14ac:dyDescent="0.3">
      <c r="A48" s="3" t="s">
        <v>172</v>
      </c>
    </row>
    <row r="50" spans="1:5" x14ac:dyDescent="0.3">
      <c r="A50" t="s">
        <v>173</v>
      </c>
      <c r="B50" s="66">
        <v>14</v>
      </c>
      <c r="C50" t="s">
        <v>36</v>
      </c>
    </row>
    <row r="51" spans="1:5" x14ac:dyDescent="0.3">
      <c r="A51" t="s">
        <v>46</v>
      </c>
      <c r="B51" s="67">
        <v>6.2E-2</v>
      </c>
    </row>
    <row r="52" spans="1:5" x14ac:dyDescent="0.3">
      <c r="A52" s="175" t="s">
        <v>174</v>
      </c>
      <c r="B52" s="176">
        <f>B46</f>
        <v>2.9168299359086332E-2</v>
      </c>
    </row>
    <row r="53" spans="1:5" x14ac:dyDescent="0.3">
      <c r="A53" t="s">
        <v>175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176</v>
      </c>
    </row>
    <row r="61" spans="1:5" x14ac:dyDescent="0.3">
      <c r="A61" s="180" t="s">
        <v>177</v>
      </c>
      <c r="B61" s="181">
        <v>24500</v>
      </c>
      <c r="C61" s="23" t="s">
        <v>48</v>
      </c>
      <c r="D61"/>
    </row>
    <row r="62" spans="1:5" x14ac:dyDescent="0.3">
      <c r="A62" s="180" t="s">
        <v>178</v>
      </c>
      <c r="B62" s="182">
        <v>3.5000000000000003E-2</v>
      </c>
      <c r="C62" s="23"/>
      <c r="D62"/>
    </row>
    <row r="63" spans="1:5" x14ac:dyDescent="0.3">
      <c r="A63" s="180" t="s">
        <v>179</v>
      </c>
      <c r="B63" s="183">
        <v>0.7</v>
      </c>
      <c r="C63" s="124"/>
      <c r="D63"/>
      <c r="E63" s="132"/>
    </row>
    <row r="64" spans="1:5" x14ac:dyDescent="0.3">
      <c r="A64" s="180" t="s">
        <v>180</v>
      </c>
      <c r="B64" s="184">
        <v>0.3</v>
      </c>
      <c r="C64" s="135"/>
      <c r="D64" s="135"/>
      <c r="E64" s="132"/>
    </row>
    <row r="65" spans="1:5" x14ac:dyDescent="0.3">
      <c r="A65" s="180" t="s">
        <v>181</v>
      </c>
      <c r="B65" s="183">
        <v>3.57</v>
      </c>
      <c r="C65" s="135" t="s">
        <v>49</v>
      </c>
      <c r="D65" s="136"/>
      <c r="E65" s="132"/>
    </row>
    <row r="66" spans="1:5" x14ac:dyDescent="0.3">
      <c r="A66" s="180" t="s">
        <v>182</v>
      </c>
      <c r="B66" s="184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183</v>
      </c>
      <c r="B69">
        <f>B10*(1-B14)</f>
        <v>38168112.600000001</v>
      </c>
    </row>
    <row r="70" spans="1:5" x14ac:dyDescent="0.3">
      <c r="A70" s="132" t="s">
        <v>184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D61" sqref="D61"/>
    </sheetView>
  </sheetViews>
  <sheetFormatPr defaultColWidth="11.44140625" defaultRowHeight="14.4" x14ac:dyDescent="0.3"/>
  <cols>
    <col min="1" max="1" width="39.109375" customWidth="1"/>
    <col min="2" max="2" width="15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2015</v>
      </c>
      <c r="D1" s="89">
        <v>2016</v>
      </c>
      <c r="E1" s="89">
        <v>2017</v>
      </c>
      <c r="F1" s="89">
        <v>2018</v>
      </c>
      <c r="G1" s="89">
        <v>2019</v>
      </c>
      <c r="H1" s="89">
        <v>2020</v>
      </c>
      <c r="I1" s="89">
        <v>2021</v>
      </c>
      <c r="J1" s="89">
        <v>2022</v>
      </c>
      <c r="K1" s="89">
        <v>2023</v>
      </c>
      <c r="L1" s="89">
        <v>2024</v>
      </c>
      <c r="M1" s="89">
        <v>2025</v>
      </c>
      <c r="N1" s="89">
        <v>2026</v>
      </c>
      <c r="O1" s="89">
        <v>2027</v>
      </c>
      <c r="P1" s="89">
        <v>2028</v>
      </c>
      <c r="Q1" s="89">
        <v>2029</v>
      </c>
      <c r="R1" s="89">
        <v>2030</v>
      </c>
      <c r="S1" s="89">
        <v>2031</v>
      </c>
      <c r="T1" s="89">
        <v>2032</v>
      </c>
      <c r="U1" s="89">
        <v>2033</v>
      </c>
      <c r="V1" s="89">
        <v>2034</v>
      </c>
      <c r="W1" s="89">
        <v>2035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1.0620000000000001</v>
      </c>
      <c r="E6" s="19">
        <f>D6*(1+Parameters!$B$51)</f>
        <v>1.1278440000000001</v>
      </c>
      <c r="F6" s="19">
        <f>E6*(1+Parameters!$B$51)</f>
        <v>1.1977703280000001</v>
      </c>
      <c r="G6" s="19">
        <f>F6*(1+Parameters!$B$51)</f>
        <v>1.2720320883360001</v>
      </c>
      <c r="H6" s="19">
        <f>G6*(1+Parameters!$B$51)</f>
        <v>1.3508980778128321</v>
      </c>
      <c r="I6" s="19">
        <f>H6*(1+Parameters!$B$51)</f>
        <v>1.4346537586372279</v>
      </c>
      <c r="J6" s="19">
        <f>I6*(1+Parameters!$B$51)</f>
        <v>1.5236022916727361</v>
      </c>
      <c r="K6" s="19">
        <f>J6*(1+Parameters!$B$51)</f>
        <v>1.6180656337564459</v>
      </c>
      <c r="L6" s="19">
        <f>K6*(1+Parameters!$B$51)</f>
        <v>1.7183857030493457</v>
      </c>
      <c r="M6" s="19">
        <f>L6*(1+Parameters!$B$51)</f>
        <v>1.8249256166384051</v>
      </c>
      <c r="N6" s="19">
        <f>M6*(1+Parameters!$B$51)</f>
        <v>1.9380710048699863</v>
      </c>
      <c r="O6" s="19">
        <f>N6*(1+Parameters!$B$51)</f>
        <v>2.0582314071719257</v>
      </c>
      <c r="P6" s="19">
        <f>O6*(1+Parameters!$B$51)</f>
        <v>2.1858417544165851</v>
      </c>
      <c r="Q6" s="19">
        <f>P6*(1+Parameters!$B$51)</f>
        <v>2.3213639431904136</v>
      </c>
      <c r="R6" s="19">
        <f>Q6*(1+Parameters!$B$51)</f>
        <v>2.4652885076682196</v>
      </c>
      <c r="S6" s="19">
        <f>R6*(1+Parameters!$B$51)</f>
        <v>2.6181363951436492</v>
      </c>
      <c r="T6" s="19">
        <f>S6*(1+Parameters!$B$51)</f>
        <v>2.7804608516425557</v>
      </c>
      <c r="U6" s="19">
        <f>T6*(1+Parameters!$B$51)</f>
        <v>2.9528494244443944</v>
      </c>
      <c r="V6" s="19">
        <f>U6*(1+Parameters!$B$51)</f>
        <v>3.1359260887599469</v>
      </c>
      <c r="W6" s="19">
        <f>V6*(1+Parameters!$B$51)</f>
        <v>3.330353506263064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3.4000000000000002E-2</v>
      </c>
      <c r="E10">
        <f>Parameters!$B$18</f>
        <v>3.4000000000000002E-2</v>
      </c>
      <c r="F10">
        <f>Parameters!$B$18</f>
        <v>3.4000000000000002E-2</v>
      </c>
      <c r="G10">
        <f>Parameters!$B$18</f>
        <v>3.4000000000000002E-2</v>
      </c>
      <c r="H10">
        <f>Parameters!$B$18</f>
        <v>3.4000000000000002E-2</v>
      </c>
      <c r="I10">
        <f>Parameters!$B$18</f>
        <v>3.4000000000000002E-2</v>
      </c>
      <c r="J10">
        <f>Parameters!$B$18</f>
        <v>3.4000000000000002E-2</v>
      </c>
      <c r="K10">
        <f>Parameters!$B$18</f>
        <v>3.4000000000000002E-2</v>
      </c>
      <c r="L10">
        <f>Parameters!$B$18</f>
        <v>3.4000000000000002E-2</v>
      </c>
      <c r="M10">
        <f>Parameters!$B$18</f>
        <v>3.4000000000000002E-2</v>
      </c>
      <c r="N10">
        <f>Parameters!$B$18</f>
        <v>3.4000000000000002E-2</v>
      </c>
      <c r="O10">
        <f>Parameters!$B$18</f>
        <v>3.4000000000000002E-2</v>
      </c>
      <c r="P10">
        <f>Parameters!$B$18</f>
        <v>3.4000000000000002E-2</v>
      </c>
      <c r="Q10">
        <f>Parameters!$B$18</f>
        <v>3.4000000000000002E-2</v>
      </c>
      <c r="R10">
        <f>Parameters!$B$18</f>
        <v>3.4000000000000002E-2</v>
      </c>
      <c r="S10">
        <f>Parameters!$B$18</f>
        <v>3.4000000000000002E-2</v>
      </c>
      <c r="T10">
        <f>Parameters!$B$18</f>
        <v>3.4000000000000002E-2</v>
      </c>
      <c r="U10">
        <f>Parameters!$B$18</f>
        <v>3.4000000000000002E-2</v>
      </c>
      <c r="V10">
        <f>Parameters!$B$18</f>
        <v>3.4000000000000002E-2</v>
      </c>
      <c r="W10">
        <f>Parameters!$B$18</f>
        <v>3.4000000000000002E-2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1297715.8284000002</v>
      </c>
      <c r="E12" s="30">
        <f t="shared" ref="E12:W12" si="0">E9*E10</f>
        <v>1297715.8284000002</v>
      </c>
      <c r="F12" s="30">
        <f t="shared" si="0"/>
        <v>1297715.8284000002</v>
      </c>
      <c r="G12" s="30">
        <f t="shared" si="0"/>
        <v>1297715.8284000002</v>
      </c>
      <c r="H12" s="30">
        <f t="shared" si="0"/>
        <v>1297715.8284000002</v>
      </c>
      <c r="I12" s="30">
        <f t="shared" si="0"/>
        <v>1297715.8284000002</v>
      </c>
      <c r="J12" s="30">
        <f t="shared" si="0"/>
        <v>1297715.8284000002</v>
      </c>
      <c r="K12" s="30">
        <f t="shared" si="0"/>
        <v>1297715.8284000002</v>
      </c>
      <c r="L12" s="30">
        <f t="shared" si="0"/>
        <v>1297715.8284000002</v>
      </c>
      <c r="M12" s="30">
        <f t="shared" si="0"/>
        <v>1297715.8284000002</v>
      </c>
      <c r="N12" s="30">
        <f t="shared" si="0"/>
        <v>1297715.8284000002</v>
      </c>
      <c r="O12" s="30">
        <f t="shared" si="0"/>
        <v>1297715.8284000002</v>
      </c>
      <c r="P12" s="30">
        <f t="shared" si="0"/>
        <v>1297715.8284000002</v>
      </c>
      <c r="Q12" s="30">
        <f t="shared" si="0"/>
        <v>1297715.8284000002</v>
      </c>
      <c r="R12" s="30">
        <f t="shared" si="0"/>
        <v>1297715.8284000002</v>
      </c>
      <c r="S12" s="30">
        <f t="shared" si="0"/>
        <v>1297715.8284000002</v>
      </c>
      <c r="T12" s="30">
        <f t="shared" si="0"/>
        <v>1297715.8284000002</v>
      </c>
      <c r="U12" s="30">
        <f t="shared" si="0"/>
        <v>1297715.8284000002</v>
      </c>
      <c r="V12" s="30">
        <f t="shared" si="0"/>
        <v>1297715.8284000002</v>
      </c>
      <c r="W12" s="30">
        <f t="shared" si="0"/>
        <v>1297715.8284000002</v>
      </c>
      <c r="Y12" s="30">
        <f>SUM(D12:W12)</f>
        <v>25954316.568000011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-10658771</v>
      </c>
    </row>
    <row r="18" spans="1:23" x14ac:dyDescent="0.3">
      <c r="A18" s="4" t="s">
        <v>24</v>
      </c>
      <c r="B18" s="26" t="s">
        <v>23</v>
      </c>
      <c r="D18" s="23">
        <f>Parameters!$B$26*D$6</f>
        <v>-402215.68794527999</v>
      </c>
      <c r="E18" s="23">
        <f>Parameters!$B$26*E$6</f>
        <v>-427153.06059788738</v>
      </c>
      <c r="F18" s="23">
        <f>Parameters!$B$26*F$6</f>
        <v>-453636.55035495636</v>
      </c>
      <c r="G18" s="23">
        <f>Parameters!$B$26*G$6</f>
        <v>-481762.0164769637</v>
      </c>
      <c r="H18" s="23">
        <f>Parameters!$B$26*H$6</f>
        <v>-511631.2614985354</v>
      </c>
      <c r="I18" s="23">
        <f>Parameters!$B$26*I$6</f>
        <v>-543352.39971144474</v>
      </c>
      <c r="J18" s="23">
        <f>Parameters!$B$26*J$6</f>
        <v>-577040.2484935543</v>
      </c>
      <c r="K18" s="23">
        <f>Parameters!$B$26*K$6</f>
        <v>-612816.74390015472</v>
      </c>
      <c r="L18" s="23">
        <f>Parameters!$B$26*L$6</f>
        <v>-650811.38202196441</v>
      </c>
      <c r="M18" s="23">
        <f>Parameters!$B$26*M$6</f>
        <v>-691161.68770732614</v>
      </c>
      <c r="N18" s="23">
        <f>Parameters!$B$26*N$6</f>
        <v>-734013.71234518033</v>
      </c>
      <c r="O18" s="23">
        <f>Parameters!$B$26*O$6</f>
        <v>-779522.56251058169</v>
      </c>
      <c r="P18" s="23">
        <f>Parameters!$B$26*P$6</f>
        <v>-827852.96138623776</v>
      </c>
      <c r="Q18" s="23">
        <f>Parameters!$B$26*Q$6</f>
        <v>-879179.84499218455</v>
      </c>
      <c r="R18" s="23">
        <f>Parameters!$B$26*R$6</f>
        <v>-933688.99538170011</v>
      </c>
      <c r="S18" s="23">
        <f>Parameters!$B$26*S$6</f>
        <v>-991577.71309536556</v>
      </c>
      <c r="T18" s="23">
        <f>Parameters!$B$26*T$6</f>
        <v>-1053055.5313072784</v>
      </c>
      <c r="U18" s="23">
        <f>Parameters!$B$26*U$6</f>
        <v>-1118344.9742483296</v>
      </c>
      <c r="V18" s="23">
        <f>Parameters!$B$26*V$6</f>
        <v>-1187682.3626517262</v>
      </c>
      <c r="W18" s="23">
        <f>Parameters!$B$26*W$6</f>
        <v>-1261318.6691361333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-10658771</v>
      </c>
      <c r="D21" s="23">
        <f>D17+D18+D19</f>
        <v>-552215.68794527999</v>
      </c>
      <c r="E21" s="23">
        <f t="shared" ref="E21:W21" si="1">E17+E18+E19</f>
        <v>-577153.06059788738</v>
      </c>
      <c r="F21" s="23">
        <f t="shared" si="1"/>
        <v>-603636.55035495642</v>
      </c>
      <c r="G21" s="23">
        <f t="shared" si="1"/>
        <v>-481762.0164769637</v>
      </c>
      <c r="H21" s="23">
        <f t="shared" si="1"/>
        <v>-511631.2614985354</v>
      </c>
      <c r="I21" s="23">
        <f t="shared" si="1"/>
        <v>-543352.39971144474</v>
      </c>
      <c r="J21" s="23">
        <f t="shared" si="1"/>
        <v>-577040.2484935543</v>
      </c>
      <c r="K21" s="23">
        <f t="shared" si="1"/>
        <v>-612816.74390015472</v>
      </c>
      <c r="L21" s="23">
        <f t="shared" si="1"/>
        <v>-650811.38202196441</v>
      </c>
      <c r="M21" s="23">
        <f t="shared" si="1"/>
        <v>-691161.68770732614</v>
      </c>
      <c r="N21" s="23">
        <f t="shared" si="1"/>
        <v>-734013.71234518033</v>
      </c>
      <c r="O21" s="23">
        <f t="shared" si="1"/>
        <v>-779522.56251058169</v>
      </c>
      <c r="P21" s="23">
        <f t="shared" si="1"/>
        <v>-827852.96138623776</v>
      </c>
      <c r="Q21" s="23">
        <f t="shared" si="1"/>
        <v>-879179.84499218455</v>
      </c>
      <c r="R21" s="23">
        <f t="shared" si="1"/>
        <v>-933688.99538170011</v>
      </c>
      <c r="S21" s="23">
        <f t="shared" si="1"/>
        <v>-991577.71309536556</v>
      </c>
      <c r="T21" s="23">
        <f t="shared" si="1"/>
        <v>-1053055.5313072784</v>
      </c>
      <c r="U21" s="23">
        <f t="shared" si="1"/>
        <v>-1118344.9742483296</v>
      </c>
      <c r="V21" s="23">
        <f t="shared" si="1"/>
        <v>-1187682.3626517262</v>
      </c>
      <c r="W21" s="23">
        <f t="shared" si="1"/>
        <v>-1261318.6691361333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-10658771</v>
      </c>
      <c r="D24" s="105">
        <f>D12+D21</f>
        <v>745500.14045472024</v>
      </c>
      <c r="E24" s="105">
        <f t="shared" ref="E24:W24" si="2">E12+E21</f>
        <v>720562.76780211285</v>
      </c>
      <c r="F24" s="105">
        <f t="shared" si="2"/>
        <v>694079.27804504381</v>
      </c>
      <c r="G24" s="105">
        <f t="shared" si="2"/>
        <v>815953.81192303658</v>
      </c>
      <c r="H24" s="105">
        <f t="shared" si="2"/>
        <v>786084.56690146483</v>
      </c>
      <c r="I24" s="105">
        <f t="shared" si="2"/>
        <v>754363.42868855549</v>
      </c>
      <c r="J24" s="105">
        <f t="shared" si="2"/>
        <v>720675.57990644593</v>
      </c>
      <c r="K24" s="105">
        <f t="shared" si="2"/>
        <v>684899.08449984551</v>
      </c>
      <c r="L24" s="105">
        <f t="shared" si="2"/>
        <v>646904.44637803582</v>
      </c>
      <c r="M24" s="105">
        <f t="shared" si="2"/>
        <v>606554.14069267409</v>
      </c>
      <c r="N24" s="105">
        <f t="shared" si="2"/>
        <v>563702.1160548199</v>
      </c>
      <c r="O24" s="105">
        <f t="shared" si="2"/>
        <v>518193.26588941854</v>
      </c>
      <c r="P24" s="105">
        <f t="shared" si="2"/>
        <v>469862.86701376247</v>
      </c>
      <c r="Q24" s="105">
        <f t="shared" si="2"/>
        <v>418535.98340781569</v>
      </c>
      <c r="R24" s="105">
        <f t="shared" si="2"/>
        <v>364026.83301830012</v>
      </c>
      <c r="S24" s="105">
        <f t="shared" si="2"/>
        <v>306138.11530463467</v>
      </c>
      <c r="T24" s="105">
        <f t="shared" si="2"/>
        <v>244660.2970927218</v>
      </c>
      <c r="U24" s="105">
        <f t="shared" si="2"/>
        <v>179370.85415167059</v>
      </c>
      <c r="V24" s="105">
        <f t="shared" si="2"/>
        <v>110033.465748274</v>
      </c>
      <c r="W24" s="105">
        <f t="shared" si="2"/>
        <v>36397.159263866954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-761340.78571428568</v>
      </c>
      <c r="E26" s="108">
        <f t="shared" ref="E26:W26" si="3">E39</f>
        <v>-761340.78571428568</v>
      </c>
      <c r="F26" s="108">
        <f t="shared" si="3"/>
        <v>-761340.78571428568</v>
      </c>
      <c r="G26" s="108">
        <f t="shared" si="3"/>
        <v>-761340.78571428568</v>
      </c>
      <c r="H26" s="108">
        <f t="shared" si="3"/>
        <v>-761340.78571428568</v>
      </c>
      <c r="I26" s="108">
        <f t="shared" si="3"/>
        <v>-761340.78571428568</v>
      </c>
      <c r="J26" s="108">
        <f t="shared" si="3"/>
        <v>-761340.78571428568</v>
      </c>
      <c r="K26" s="108">
        <f t="shared" si="3"/>
        <v>-761340.78571428568</v>
      </c>
      <c r="L26" s="108">
        <f t="shared" si="3"/>
        <v>-761340.78571428568</v>
      </c>
      <c r="M26" s="108">
        <f t="shared" si="3"/>
        <v>-761340.78571428568</v>
      </c>
      <c r="N26" s="108">
        <f t="shared" si="3"/>
        <v>-761340.78571428568</v>
      </c>
      <c r="O26" s="108">
        <f t="shared" si="3"/>
        <v>-761340.78571428568</v>
      </c>
      <c r="P26" s="108">
        <f t="shared" si="3"/>
        <v>-761340.78571428568</v>
      </c>
      <c r="Q26" s="108">
        <f t="shared" si="3"/>
        <v>-761340.78571428568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-10658771</v>
      </c>
      <c r="D28" s="108">
        <f t="shared" ref="D28:W28" si="4">D24+D26</f>
        <v>-15840.645259565441</v>
      </c>
      <c r="E28" s="108">
        <f t="shared" si="4"/>
        <v>-40778.017912172829</v>
      </c>
      <c r="F28" s="108">
        <f t="shared" si="4"/>
        <v>-67261.507669241866</v>
      </c>
      <c r="G28" s="108">
        <f t="shared" si="4"/>
        <v>54613.026208750904</v>
      </c>
      <c r="H28" s="108">
        <f t="shared" si="4"/>
        <v>24743.781187179149</v>
      </c>
      <c r="I28" s="108">
        <f t="shared" si="4"/>
        <v>-6977.3570257301908</v>
      </c>
      <c r="J28" s="108">
        <f t="shared" si="4"/>
        <v>-40665.205807839753</v>
      </c>
      <c r="K28" s="108">
        <f t="shared" si="4"/>
        <v>-76441.701214440167</v>
      </c>
      <c r="L28" s="108">
        <f t="shared" si="4"/>
        <v>-114436.33933624986</v>
      </c>
      <c r="M28" s="108">
        <f t="shared" si="4"/>
        <v>-154786.64502161159</v>
      </c>
      <c r="N28" s="108">
        <f t="shared" si="4"/>
        <v>-197638.66965946578</v>
      </c>
      <c r="O28" s="108">
        <f t="shared" si="4"/>
        <v>-243147.51982486714</v>
      </c>
      <c r="P28" s="108">
        <f t="shared" si="4"/>
        <v>-291477.91870052321</v>
      </c>
      <c r="Q28" s="108">
        <f t="shared" si="4"/>
        <v>-342804.80230647</v>
      </c>
      <c r="R28" s="108">
        <f t="shared" si="4"/>
        <v>364026.83301830012</v>
      </c>
      <c r="S28" s="108">
        <f t="shared" si="4"/>
        <v>306138.11530463467</v>
      </c>
      <c r="T28" s="108">
        <f t="shared" si="4"/>
        <v>244660.2970927218</v>
      </c>
      <c r="U28" s="108">
        <f t="shared" si="4"/>
        <v>179370.85415167059</v>
      </c>
      <c r="V28" s="108">
        <f t="shared" si="4"/>
        <v>110033.465748274</v>
      </c>
      <c r="W28" s="109">
        <f t="shared" si="4"/>
        <v>36397.159263866954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0</v>
      </c>
      <c r="T30" s="23">
        <f t="shared" si="5"/>
        <v>0</v>
      </c>
      <c r="U30" s="23">
        <f t="shared" si="5"/>
        <v>0</v>
      </c>
      <c r="V30" s="23">
        <f t="shared" si="5"/>
        <v>0</v>
      </c>
      <c r="W30" s="23">
        <f t="shared" si="5"/>
        <v>0</v>
      </c>
    </row>
    <row r="31" spans="1:23" x14ac:dyDescent="0.3">
      <c r="A31" s="51" t="s">
        <v>41</v>
      </c>
      <c r="B31" s="93" t="s">
        <v>7</v>
      </c>
      <c r="C31" s="52">
        <f>C24-C30</f>
        <v>-10658771</v>
      </c>
      <c r="D31" s="52">
        <f t="shared" ref="D31:W31" si="6">D24-D30</f>
        <v>745500.14045472024</v>
      </c>
      <c r="E31" s="52">
        <f t="shared" si="6"/>
        <v>720562.76780211285</v>
      </c>
      <c r="F31" s="52">
        <f t="shared" si="6"/>
        <v>694079.27804504381</v>
      </c>
      <c r="G31" s="52">
        <f t="shared" si="6"/>
        <v>815953.81192303658</v>
      </c>
      <c r="H31" s="52">
        <f t="shared" si="6"/>
        <v>786084.56690146483</v>
      </c>
      <c r="I31" s="52">
        <f t="shared" si="6"/>
        <v>754363.42868855549</v>
      </c>
      <c r="J31" s="52">
        <f t="shared" si="6"/>
        <v>720675.57990644593</v>
      </c>
      <c r="K31" s="52">
        <f t="shared" si="6"/>
        <v>684899.08449984551</v>
      </c>
      <c r="L31" s="52">
        <f t="shared" si="6"/>
        <v>646904.44637803582</v>
      </c>
      <c r="M31" s="52">
        <f t="shared" si="6"/>
        <v>606554.14069267409</v>
      </c>
      <c r="N31" s="52">
        <f t="shared" si="6"/>
        <v>563702.1160548199</v>
      </c>
      <c r="O31" s="52">
        <f t="shared" si="6"/>
        <v>518193.26588941854</v>
      </c>
      <c r="P31" s="52">
        <f t="shared" si="6"/>
        <v>469862.86701376247</v>
      </c>
      <c r="Q31" s="52">
        <f t="shared" si="6"/>
        <v>418535.98340781569</v>
      </c>
      <c r="R31" s="52">
        <f t="shared" si="6"/>
        <v>364026.83301830012</v>
      </c>
      <c r="S31" s="52">
        <f t="shared" si="6"/>
        <v>306138.11530463467</v>
      </c>
      <c r="T31" s="52">
        <f t="shared" si="6"/>
        <v>244660.2970927218</v>
      </c>
      <c r="U31" s="52">
        <f t="shared" si="6"/>
        <v>179370.85415167059</v>
      </c>
      <c r="V31" s="52">
        <f t="shared" si="6"/>
        <v>110033.465748274</v>
      </c>
      <c r="W31" s="52">
        <f t="shared" si="6"/>
        <v>36397.159263866954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745500.14045472024</v>
      </c>
      <c r="E36" s="38">
        <f t="shared" si="7"/>
        <v>720562.76780211285</v>
      </c>
      <c r="F36" s="38">
        <f t="shared" si="7"/>
        <v>694079.27804504381</v>
      </c>
      <c r="G36" s="38">
        <f t="shared" si="7"/>
        <v>815953.81192303658</v>
      </c>
      <c r="H36" s="38">
        <f t="shared" si="7"/>
        <v>786084.56690146483</v>
      </c>
      <c r="I36" s="38">
        <f t="shared" si="7"/>
        <v>754363.42868855549</v>
      </c>
      <c r="J36" s="38">
        <f t="shared" si="7"/>
        <v>720675.57990644593</v>
      </c>
      <c r="K36" s="38">
        <f t="shared" si="7"/>
        <v>684899.08449984551</v>
      </c>
      <c r="L36" s="38">
        <f t="shared" si="7"/>
        <v>646904.44637803582</v>
      </c>
      <c r="M36" s="38">
        <f t="shared" si="7"/>
        <v>606554.14069267409</v>
      </c>
      <c r="N36" s="38">
        <f t="shared" si="7"/>
        <v>563702.1160548199</v>
      </c>
      <c r="O36" s="38">
        <f t="shared" si="7"/>
        <v>518193.26588941854</v>
      </c>
      <c r="P36" s="38">
        <f t="shared" si="7"/>
        <v>469862.86701376247</v>
      </c>
      <c r="Q36" s="38">
        <f t="shared" si="7"/>
        <v>418535.98340781569</v>
      </c>
      <c r="R36" s="38">
        <f t="shared" si="7"/>
        <v>364026.83301830012</v>
      </c>
      <c r="S36" s="38">
        <f t="shared" si="7"/>
        <v>306138.11530463467</v>
      </c>
      <c r="T36" s="38">
        <f t="shared" si="7"/>
        <v>244660.2970927218</v>
      </c>
      <c r="U36" s="38">
        <f t="shared" si="7"/>
        <v>179370.85415167059</v>
      </c>
      <c r="V36" s="38">
        <f t="shared" si="7"/>
        <v>110033.465748274</v>
      </c>
      <c r="W36" s="42">
        <f t="shared" si="7"/>
        <v>36397.159263866954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-232567.32666834103</v>
      </c>
      <c r="E38" s="38">
        <f t="shared" si="8"/>
        <v>-232567.32666834103</v>
      </c>
      <c r="F38" s="38">
        <f t="shared" si="8"/>
        <v>-232567.32666834103</v>
      </c>
      <c r="G38" s="38">
        <f>-G60</f>
        <v>-225727.11117809571</v>
      </c>
      <c r="H38" s="38">
        <f t="shared" ref="H38:W38" si="9">-H60</f>
        <v>-212046.68019760505</v>
      </c>
      <c r="I38" s="38">
        <f t="shared" si="9"/>
        <v>-198366.24921711438</v>
      </c>
      <c r="J38" s="38">
        <f t="shared" si="9"/>
        <v>-184685.81823662372</v>
      </c>
      <c r="K38" s="38">
        <f t="shared" si="9"/>
        <v>-171005.38725613308</v>
      </c>
      <c r="L38" s="38">
        <f t="shared" si="9"/>
        <v>-157324.95627564241</v>
      </c>
      <c r="M38" s="38">
        <f t="shared" si="9"/>
        <v>-143644.52529515175</v>
      </c>
      <c r="N38" s="38">
        <f t="shared" si="9"/>
        <v>-129964.09431466108</v>
      </c>
      <c r="O38" s="38">
        <f t="shared" si="9"/>
        <v>-116283.66333417043</v>
      </c>
      <c r="P38" s="38">
        <f t="shared" si="9"/>
        <v>-102603.23235367978</v>
      </c>
      <c r="Q38" s="38">
        <f t="shared" si="9"/>
        <v>-88922.801373189141</v>
      </c>
      <c r="R38" s="38">
        <f t="shared" si="9"/>
        <v>-75242.370392698489</v>
      </c>
      <c r="S38" s="38">
        <f t="shared" si="9"/>
        <v>-61561.939412207852</v>
      </c>
      <c r="T38" s="38">
        <f t="shared" si="9"/>
        <v>-47881.508431717208</v>
      </c>
      <c r="U38" s="38">
        <f t="shared" si="9"/>
        <v>-34201.077451226556</v>
      </c>
      <c r="V38" s="38">
        <f t="shared" si="9"/>
        <v>-20520.646470735912</v>
      </c>
      <c r="W38" s="38">
        <f t="shared" si="9"/>
        <v>-6840.2154902452648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-761340.78571428568</v>
      </c>
      <c r="E39" s="46">
        <f>IF(E4&lt;=Parameters!$B$50,Parameters!$B$25/Parameters!$B$50,0)</f>
        <v>-761340.78571428568</v>
      </c>
      <c r="F39" s="46">
        <f>IF(F4&lt;=Parameters!$B$50,Parameters!$B$25/Parameters!$B$50,0)</f>
        <v>-761340.78571428568</v>
      </c>
      <c r="G39" s="46">
        <f>IF(G4&lt;=Parameters!$B$50,Parameters!$B$25/Parameters!$B$50,0)</f>
        <v>-761340.78571428568</v>
      </c>
      <c r="H39" s="46">
        <f>IF(H4&lt;=Parameters!$B$50,Parameters!$B$25/Parameters!$B$50,0)</f>
        <v>-761340.78571428568</v>
      </c>
      <c r="I39" s="46">
        <f>IF(I4&lt;=Parameters!$B$50,Parameters!$B$25/Parameters!$B$50,0)</f>
        <v>-761340.78571428568</v>
      </c>
      <c r="J39" s="46">
        <f>IF(J4&lt;=Parameters!$B$50,Parameters!$B$25/Parameters!$B$50,0)</f>
        <v>-761340.78571428568</v>
      </c>
      <c r="K39" s="46">
        <f>IF(K4&lt;=Parameters!$B$50,Parameters!$B$25/Parameters!$B$50,0)</f>
        <v>-761340.78571428568</v>
      </c>
      <c r="L39" s="46">
        <f>IF(L4&lt;=Parameters!$B$50,Parameters!$B$25/Parameters!$B$50,0)</f>
        <v>-761340.78571428568</v>
      </c>
      <c r="M39" s="46">
        <f>IF(M4&lt;=Parameters!$B$50,Parameters!$B$25/Parameters!$B$50,0)</f>
        <v>-761340.78571428568</v>
      </c>
      <c r="N39" s="46">
        <f>IF(N4&lt;=Parameters!$B$50,Parameters!$B$25/Parameters!$B$50,0)</f>
        <v>-761340.78571428568</v>
      </c>
      <c r="O39" s="46">
        <f>IF(O4&lt;=Parameters!$B$50,Parameters!$B$25/Parameters!$B$50,0)</f>
        <v>-761340.78571428568</v>
      </c>
      <c r="P39" s="46">
        <f>IF(P4&lt;=Parameters!$B$50,Parameters!$B$25/Parameters!$B$50,0)</f>
        <v>-761340.78571428568</v>
      </c>
      <c r="Q39" s="46">
        <f>IF(Q4&lt;=Parameters!$B$50,Parameters!$B$25/Parameters!$B$50,0)</f>
        <v>-761340.78571428568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-248407.9719279065</v>
      </c>
      <c r="E40" s="50">
        <f t="shared" ref="E40:W40" si="10">SUM(E36:E39)</f>
        <v>-273345.34458051389</v>
      </c>
      <c r="F40" s="50">
        <f t="shared" si="10"/>
        <v>-299828.83433758293</v>
      </c>
      <c r="G40" s="50">
        <f t="shared" si="10"/>
        <v>-171114.08496934478</v>
      </c>
      <c r="H40" s="50">
        <f t="shared" si="10"/>
        <v>-187302.8990104259</v>
      </c>
      <c r="I40" s="50">
        <f t="shared" si="10"/>
        <v>-205343.6062428446</v>
      </c>
      <c r="J40" s="50">
        <f t="shared" si="10"/>
        <v>-225351.02404446341</v>
      </c>
      <c r="K40" s="50">
        <f t="shared" si="10"/>
        <v>-247447.08847057325</v>
      </c>
      <c r="L40" s="50">
        <f t="shared" si="10"/>
        <v>-271761.29561189224</v>
      </c>
      <c r="M40" s="50">
        <f t="shared" si="10"/>
        <v>-298431.17031676334</v>
      </c>
      <c r="N40" s="50">
        <f t="shared" si="10"/>
        <v>-327602.76397412689</v>
      </c>
      <c r="O40" s="50">
        <f t="shared" si="10"/>
        <v>-359431.18315903755</v>
      </c>
      <c r="P40" s="50">
        <f t="shared" si="10"/>
        <v>-394081.15105420299</v>
      </c>
      <c r="Q40" s="50">
        <f t="shared" si="10"/>
        <v>-431727.60367965914</v>
      </c>
      <c r="R40" s="50">
        <f t="shared" si="10"/>
        <v>288784.46262560162</v>
      </c>
      <c r="S40" s="50">
        <f t="shared" si="10"/>
        <v>244576.17589242681</v>
      </c>
      <c r="T40" s="50">
        <f t="shared" si="10"/>
        <v>196778.7886610046</v>
      </c>
      <c r="U40" s="50">
        <f t="shared" si="10"/>
        <v>145169.77670044402</v>
      </c>
      <c r="V40" s="50">
        <f t="shared" si="10"/>
        <v>89512.819277538088</v>
      </c>
      <c r="W40" s="50">
        <f t="shared" si="10"/>
        <v>29556.94377362169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-248407.9719279065</v>
      </c>
      <c r="F41" s="57">
        <f>IF(Parameters!$B$40="yes",IF(Kalkulation!E42&lt;0,Kalkulation!E42,0),0)</f>
        <v>-521753.31650842039</v>
      </c>
      <c r="G41" s="57">
        <f>IF(Parameters!$B$40="yes",IF(Kalkulation!F42&lt;0,Kalkulation!F42,0),0)</f>
        <v>-821582.15084600332</v>
      </c>
      <c r="H41" s="57">
        <f>IF(Parameters!$B$40="yes",IF(Kalkulation!G42&lt;0,Kalkulation!G42,0),0)</f>
        <v>-992696.2358153481</v>
      </c>
      <c r="I41" s="57">
        <f>IF(Parameters!$B$40="yes",IF(Kalkulation!H42&lt;0,Kalkulation!H42,0),0)</f>
        <v>-1179999.134825774</v>
      </c>
      <c r="J41" s="57">
        <f>IF(Parameters!$B$40="yes",IF(Kalkulation!I42&lt;0,Kalkulation!I42,0),0)</f>
        <v>-1385342.7410686186</v>
      </c>
      <c r="K41" s="57">
        <f>IF(Parameters!$B$40="yes",IF(Kalkulation!J42&lt;0,Kalkulation!J42,0),0)</f>
        <v>-1610693.765113082</v>
      </c>
      <c r="L41" s="57">
        <f>IF(Parameters!$B$40="yes",IF(Kalkulation!K42&lt;0,Kalkulation!K42,0),0)</f>
        <v>-1858140.8535836553</v>
      </c>
      <c r="M41" s="57">
        <f>IF(Parameters!$B$40="yes",IF(Kalkulation!L42&lt;0,Kalkulation!L42,0),0)</f>
        <v>-2129902.1491955477</v>
      </c>
      <c r="N41" s="57">
        <f>IF(Parameters!$B$40="yes",IF(Kalkulation!M42&lt;0,Kalkulation!M42,0),0)</f>
        <v>-2428333.3195123109</v>
      </c>
      <c r="O41" s="57">
        <f>IF(Parameters!$B$40="yes",IF(Kalkulation!N42&lt;0,Kalkulation!N42,0),0)</f>
        <v>-2755936.0834864378</v>
      </c>
      <c r="P41" s="57">
        <f>IF(Parameters!$B$40="yes",IF(Kalkulation!O42&lt;0,Kalkulation!O42,0),0)</f>
        <v>-3115367.2666454753</v>
      </c>
      <c r="Q41" s="57">
        <f>IF(Parameters!$B$40="yes",IF(Kalkulation!P42&lt;0,Kalkulation!P42,0),0)</f>
        <v>-3509448.4176996783</v>
      </c>
      <c r="R41" s="57">
        <f>IF(Parameters!$B$40="yes",IF(Kalkulation!Q42&lt;0,Kalkulation!Q42,0),0)</f>
        <v>-3941176.0213793376</v>
      </c>
      <c r="S41" s="57">
        <f>IF(Parameters!$B$40="yes",IF(Kalkulation!R42&lt;0,Kalkulation!R42,0),0)</f>
        <v>-3652391.5587537359</v>
      </c>
      <c r="T41" s="57">
        <f>IF(Parameters!$B$40="yes",IF(Kalkulation!S42&lt;0,Kalkulation!S42,0),0)</f>
        <v>-3407815.3828613092</v>
      </c>
      <c r="U41" s="57">
        <f>IF(Parameters!$B$40="yes",IF(Kalkulation!T42&lt;0,Kalkulation!T42,0),0)</f>
        <v>-3211036.5942003047</v>
      </c>
      <c r="V41" s="57">
        <f>IF(Parameters!$B$40="yes",IF(Kalkulation!U42&lt;0,Kalkulation!U42,0),0)</f>
        <v>-3065866.8174998607</v>
      </c>
      <c r="W41" s="58">
        <f>IF(Parameters!$B$40="yes",IF(Kalkulation!V42&lt;0,Kalkulation!V42,0),0)</f>
        <v>-2976353.9982223227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-248407.9719279065</v>
      </c>
      <c r="E42" s="46">
        <f>E40+E41</f>
        <v>-521753.31650842039</v>
      </c>
      <c r="F42" s="46">
        <f t="shared" ref="F42:W42" si="11">F40+F41</f>
        <v>-821582.15084600332</v>
      </c>
      <c r="G42" s="46">
        <f t="shared" si="11"/>
        <v>-992696.2358153481</v>
      </c>
      <c r="H42" s="46">
        <f t="shared" si="11"/>
        <v>-1179999.134825774</v>
      </c>
      <c r="I42" s="46">
        <f t="shared" si="11"/>
        <v>-1385342.7410686186</v>
      </c>
      <c r="J42" s="46">
        <f t="shared" si="11"/>
        <v>-1610693.765113082</v>
      </c>
      <c r="K42" s="46">
        <f t="shared" si="11"/>
        <v>-1858140.8535836553</v>
      </c>
      <c r="L42" s="46">
        <f t="shared" si="11"/>
        <v>-2129902.1491955477</v>
      </c>
      <c r="M42" s="46">
        <f t="shared" si="11"/>
        <v>-2428333.3195123109</v>
      </c>
      <c r="N42" s="46">
        <f t="shared" si="11"/>
        <v>-2755936.0834864378</v>
      </c>
      <c r="O42" s="46">
        <f t="shared" si="11"/>
        <v>-3115367.2666454753</v>
      </c>
      <c r="P42" s="46">
        <f t="shared" si="11"/>
        <v>-3509448.4176996783</v>
      </c>
      <c r="Q42" s="46">
        <f t="shared" si="11"/>
        <v>-3941176.0213793376</v>
      </c>
      <c r="R42" s="46">
        <f t="shared" si="11"/>
        <v>-3652391.5587537359</v>
      </c>
      <c r="S42" s="46">
        <f t="shared" si="11"/>
        <v>-3407815.3828613092</v>
      </c>
      <c r="T42" s="46">
        <f t="shared" si="11"/>
        <v>-3211036.5942003047</v>
      </c>
      <c r="U42" s="46">
        <f t="shared" si="11"/>
        <v>-3065866.8174998607</v>
      </c>
      <c r="V42" s="46">
        <f t="shared" si="11"/>
        <v>-2976353.9982223227</v>
      </c>
      <c r="W42" s="46">
        <f t="shared" si="11"/>
        <v>-2946797.054448701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>
        <f>IF(D42&gt;24500,D42-Parameters!$B$61,0)</f>
        <v>0</v>
      </c>
      <c r="E44" s="143">
        <f>IF(E42&gt;24500,E42-Parameters!$B$61,0)</f>
        <v>0</v>
      </c>
      <c r="F44" s="143">
        <f>IF(F42&gt;24500,F42-Parameters!$B$61,0)</f>
        <v>0</v>
      </c>
      <c r="G44" s="143">
        <f>IF(G42&gt;24500,G42-Parameters!$B$61,0)</f>
        <v>0</v>
      </c>
      <c r="H44" s="143">
        <f>IF(H42&gt;24500,H42-Parameters!$B$61,0)</f>
        <v>0</v>
      </c>
      <c r="I44" s="143">
        <f>IF(I42&gt;24500,I42-Parameters!$B$61,0)</f>
        <v>0</v>
      </c>
      <c r="J44" s="143">
        <f>IF(J42&gt;24500,J42-Parameters!$B$61,0)</f>
        <v>0</v>
      </c>
      <c r="K44" s="143">
        <f>IF(K42&gt;24500,K42-Parameters!$B$61,0)</f>
        <v>0</v>
      </c>
      <c r="L44" s="143">
        <f>IF(L42&gt;24500,L42-Parameters!$B$61,0)</f>
        <v>0</v>
      </c>
      <c r="M44" s="143">
        <f>IF(M42&gt;24500,M42-Parameters!$B$61,0)</f>
        <v>0</v>
      </c>
      <c r="N44" s="143">
        <f>IF(N42&gt;24500,N42-Parameters!$B$61,0)</f>
        <v>0</v>
      </c>
      <c r="O44" s="143">
        <f>IF(O42&gt;24500,O42-Parameters!$B$61,0)</f>
        <v>0</v>
      </c>
      <c r="P44" s="143">
        <f>IF(P42&gt;24500,P42-Parameters!$B$61,0)</f>
        <v>0</v>
      </c>
      <c r="Q44" s="143">
        <f>IF(Q42&gt;24500,Q42-Parameters!$B$61,0)</f>
        <v>0</v>
      </c>
      <c r="R44" s="143">
        <f>IF(R42&gt;24500,R42-Parameters!$B$61,0)</f>
        <v>0</v>
      </c>
      <c r="S44" s="143">
        <f>IF(S42&gt;24500,S42-Parameters!$B$61,0)</f>
        <v>0</v>
      </c>
      <c r="T44" s="143">
        <f>IF(T42&gt;24500,T42-Parameters!$B$61,0)</f>
        <v>0</v>
      </c>
      <c r="U44" s="143">
        <f>IF(U42&gt;24500,U42-Parameters!$B$61,0)</f>
        <v>0</v>
      </c>
      <c r="V44" s="143">
        <f>IF(V42&gt;24500,V42-Parameters!$B$61,0)</f>
        <v>0</v>
      </c>
      <c r="W44" s="143">
        <f>IF(W42&gt;24500,W42-Parameters!$B$61,0)</f>
        <v>0</v>
      </c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>
        <f t="shared" si="12"/>
        <v>0</v>
      </c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>
        <f t="shared" si="12"/>
        <v>0</v>
      </c>
      <c r="S45" s="46">
        <f t="shared" si="12"/>
        <v>0</v>
      </c>
      <c r="T45" s="46">
        <f t="shared" si="12"/>
        <v>0</v>
      </c>
      <c r="U45" s="46">
        <f t="shared" si="12"/>
        <v>0</v>
      </c>
      <c r="V45" s="46">
        <f t="shared" si="12"/>
        <v>0</v>
      </c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>
        <f t="shared" si="13"/>
        <v>0</v>
      </c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>
        <f t="shared" si="13"/>
        <v>0</v>
      </c>
      <c r="S46" s="46">
        <f t="shared" si="13"/>
        <v>0</v>
      </c>
      <c r="T46" s="46">
        <f t="shared" si="13"/>
        <v>0</v>
      </c>
      <c r="U46" s="46">
        <f t="shared" si="13"/>
        <v>0</v>
      </c>
      <c r="V46" s="46">
        <f t="shared" si="13"/>
        <v>0</v>
      </c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>
        <f t="shared" si="14"/>
        <v>0</v>
      </c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>
        <f t="shared" si="14"/>
        <v>0</v>
      </c>
      <c r="S47" s="46">
        <f t="shared" si="14"/>
        <v>0</v>
      </c>
      <c r="T47" s="46">
        <f t="shared" si="14"/>
        <v>0</v>
      </c>
      <c r="U47" s="46">
        <f t="shared" si="14"/>
        <v>0</v>
      </c>
      <c r="V47" s="46">
        <f t="shared" si="14"/>
        <v>0</v>
      </c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>
        <f t="shared" si="15"/>
        <v>0</v>
      </c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>
        <f t="shared" si="15"/>
        <v>0</v>
      </c>
      <c r="S48" s="44">
        <f t="shared" si="15"/>
        <v>0</v>
      </c>
      <c r="T48" s="44">
        <f t="shared" si="15"/>
        <v>0</v>
      </c>
      <c r="U48" s="44">
        <f t="shared" si="15"/>
        <v>0</v>
      </c>
      <c r="V48" s="44">
        <f t="shared" si="15"/>
        <v>0</v>
      </c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>
        <f t="shared" si="16"/>
        <v>0</v>
      </c>
      <c r="S49" s="143">
        <f t="shared" si="16"/>
        <v>0</v>
      </c>
      <c r="T49" s="143">
        <f t="shared" si="16"/>
        <v>0</v>
      </c>
      <c r="U49" s="143">
        <f t="shared" si="16"/>
        <v>0</v>
      </c>
      <c r="V49" s="143">
        <f t="shared" si="16"/>
        <v>0</v>
      </c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>
        <f t="shared" si="17"/>
        <v>0</v>
      </c>
      <c r="S50" s="46">
        <f t="shared" si="17"/>
        <v>0</v>
      </c>
      <c r="T50" s="46">
        <f t="shared" si="17"/>
        <v>0</v>
      </c>
      <c r="U50" s="46">
        <f t="shared" si="17"/>
        <v>0</v>
      </c>
      <c r="V50" s="46">
        <f t="shared" si="17"/>
        <v>0</v>
      </c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>
        <f t="shared" si="18"/>
        <v>0</v>
      </c>
      <c r="S51" s="46">
        <f t="shared" si="18"/>
        <v>0</v>
      </c>
      <c r="T51" s="46">
        <f t="shared" si="18"/>
        <v>0</v>
      </c>
      <c r="U51" s="46">
        <f t="shared" si="18"/>
        <v>0</v>
      </c>
      <c r="V51" s="46">
        <f t="shared" si="18"/>
        <v>0</v>
      </c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>
        <f t="shared" si="19"/>
        <v>0</v>
      </c>
      <c r="S52" s="44">
        <f t="shared" si="19"/>
        <v>0</v>
      </c>
      <c r="T52" s="44">
        <f t="shared" si="19"/>
        <v>0</v>
      </c>
      <c r="U52" s="44">
        <f t="shared" si="19"/>
        <v>0</v>
      </c>
      <c r="V52" s="44">
        <f t="shared" si="19"/>
        <v>0</v>
      </c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>
        <f>D48+D52</f>
        <v>0</v>
      </c>
      <c r="E54" s="44">
        <f t="shared" ref="E54:W54" si="20">E48+E52</f>
        <v>0</v>
      </c>
      <c r="F54" s="44">
        <f t="shared" si="20"/>
        <v>0</v>
      </c>
      <c r="G54" s="44">
        <f t="shared" si="20"/>
        <v>0</v>
      </c>
      <c r="H54" s="44">
        <f t="shared" si="20"/>
        <v>0</v>
      </c>
      <c r="I54" s="44">
        <f t="shared" si="20"/>
        <v>0</v>
      </c>
      <c r="J54" s="44">
        <f t="shared" si="20"/>
        <v>0</v>
      </c>
      <c r="K54" s="44">
        <f t="shared" si="20"/>
        <v>0</v>
      </c>
      <c r="L54" s="44">
        <f t="shared" si="20"/>
        <v>0</v>
      </c>
      <c r="M54" s="44">
        <f t="shared" si="20"/>
        <v>0</v>
      </c>
      <c r="N54" s="44">
        <f t="shared" si="20"/>
        <v>0</v>
      </c>
      <c r="O54" s="44">
        <f t="shared" si="20"/>
        <v>0</v>
      </c>
      <c r="P54" s="44">
        <f t="shared" si="20"/>
        <v>0</v>
      </c>
      <c r="Q54" s="44">
        <f t="shared" si="20"/>
        <v>0</v>
      </c>
      <c r="R54" s="44">
        <f t="shared" si="20"/>
        <v>0</v>
      </c>
      <c r="S54" s="44">
        <f t="shared" si="20"/>
        <v>0</v>
      </c>
      <c r="T54" s="44">
        <f t="shared" si="20"/>
        <v>0</v>
      </c>
      <c r="U54" s="44">
        <f t="shared" si="20"/>
        <v>0</v>
      </c>
      <c r="V54" s="44">
        <f t="shared" si="20"/>
        <v>0</v>
      </c>
      <c r="W54" s="44">
        <f t="shared" si="20"/>
        <v>0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7752244.2222780343</v>
      </c>
      <c r="E58" s="53">
        <f>IF(Parameters!$B$32=$A$63,E65,IF(Parameters!$B$32=$A$70,E72))</f>
        <v>7752244.2222780343</v>
      </c>
      <c r="F58" s="53">
        <f>IF(Parameters!$B$32=$A$63,F65,IF(Parameters!$B$32=$A$70,F72))</f>
        <v>7752244.2222780343</v>
      </c>
      <c r="G58" s="53">
        <f>IF(Parameters!$B$32=$A$63,G65,IF(Parameters!$B$32=$A$70,G72))</f>
        <v>7752244.2222780343</v>
      </c>
      <c r="H58" s="53">
        <f>IF(Parameters!$B$32=$A$63,H65,IF(Parameters!$B$32=$A$70,H72))</f>
        <v>7296229.856261679</v>
      </c>
      <c r="I58" s="53">
        <f>IF(Parameters!$B$32=$A$63,I65,IF(Parameters!$B$32=$A$70,I72))</f>
        <v>6840215.4902453236</v>
      </c>
      <c r="J58" s="53">
        <f>IF(Parameters!$B$32=$A$63,J65,IF(Parameters!$B$32=$A$70,J72))</f>
        <v>6384201.1242289683</v>
      </c>
      <c r="K58" s="53">
        <f>IF(Parameters!$B$32=$A$63,K65,IF(Parameters!$B$32=$A$70,K72))</f>
        <v>5928186.7582126129</v>
      </c>
      <c r="L58" s="53">
        <f>IF(Parameters!$B$32=$A$63,L65,IF(Parameters!$B$32=$A$70,L72))</f>
        <v>5472172.3921962576</v>
      </c>
      <c r="M58" s="53">
        <f>IF(Parameters!$B$32=$A$63,M65,IF(Parameters!$B$32=$A$70,M72))</f>
        <v>5016158.0261799023</v>
      </c>
      <c r="N58" s="53">
        <f>IF(Parameters!$B$32=$A$63,N65,IF(Parameters!$B$32=$A$70,N72))</f>
        <v>4560143.6601635469</v>
      </c>
      <c r="O58" s="53">
        <f>IF(Parameters!$B$32=$A$63,O65,IF(Parameters!$B$32=$A$70,O72))</f>
        <v>4104129.294147192</v>
      </c>
      <c r="P58" s="53">
        <f>IF(Parameters!$B$32=$A$63,P65,IF(Parameters!$B$32=$A$70,P72))</f>
        <v>3648114.9281308372</v>
      </c>
      <c r="Q58" s="53">
        <f>IF(Parameters!$B$32=$A$63,Q65,IF(Parameters!$B$32=$A$70,Q72))</f>
        <v>3192100.5621144823</v>
      </c>
      <c r="R58" s="53">
        <f>IF(Parameters!$B$32=$A$63,R65,IF(Parameters!$B$32=$A$70,R72))</f>
        <v>2736086.1960981274</v>
      </c>
      <c r="S58" s="53">
        <f>IF(Parameters!$B$32=$A$63,S65,IF(Parameters!$B$32=$A$70,S72))</f>
        <v>2280071.8300817725</v>
      </c>
      <c r="T58" s="53">
        <f>IF(Parameters!$B$32=$A$63,T65,IF(Parameters!$B$32=$A$70,T72))</f>
        <v>1824057.4640654176</v>
      </c>
      <c r="U58" s="53">
        <f>IF(Parameters!$B$32=$A$63,U65,IF(Parameters!$B$32=$A$70,U72))</f>
        <v>1368043.0980490628</v>
      </c>
      <c r="V58" s="53">
        <f>IF(Parameters!$B$32=$A$63,V65,IF(Parameters!$B$32=$A$70,V72))</f>
        <v>912028.73203270789</v>
      </c>
      <c r="W58" s="53">
        <f>IF(Parameters!$B$32=$A$63,W65,IF(Parameters!$B$32=$A$70,W72))</f>
        <v>456014.36601635296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456014.36601635494</v>
      </c>
      <c r="H59" s="53">
        <f>IF(Parameters!$B$32=$A$63,H66,IF(Parameters!$B$32=$A$70,H73))</f>
        <v>456014.36601635494</v>
      </c>
      <c r="I59" s="53">
        <f>IF(Parameters!$B$32=$A$63,I66,IF(Parameters!$B$32=$A$70,I73))</f>
        <v>456014.36601635494</v>
      </c>
      <c r="J59" s="53">
        <f>IF(Parameters!$B$32=$A$63,J66,IF(Parameters!$B$32=$A$70,J73))</f>
        <v>456014.36601635494</v>
      </c>
      <c r="K59" s="53">
        <f>IF(Parameters!$B$32=$A$63,K66,IF(Parameters!$B$32=$A$70,K73))</f>
        <v>456014.36601635494</v>
      </c>
      <c r="L59" s="53">
        <f>IF(Parameters!$B$32=$A$63,L66,IF(Parameters!$B$32=$A$70,L73))</f>
        <v>456014.36601635494</v>
      </c>
      <c r="M59" s="53">
        <f>IF(Parameters!$B$32=$A$63,M66,IF(Parameters!$B$32=$A$70,M73))</f>
        <v>456014.36601635494</v>
      </c>
      <c r="N59" s="53">
        <f>IF(Parameters!$B$32=$A$63,N66,IF(Parameters!$B$32=$A$70,N73))</f>
        <v>456014.36601635494</v>
      </c>
      <c r="O59" s="53">
        <f>IF(Parameters!$B$32=$A$63,O66,IF(Parameters!$B$32=$A$70,O73))</f>
        <v>456014.36601635494</v>
      </c>
      <c r="P59" s="53">
        <f>IF(Parameters!$B$32=$A$63,P66,IF(Parameters!$B$32=$A$70,P73))</f>
        <v>456014.36601635494</v>
      </c>
      <c r="Q59" s="53">
        <f>IF(Parameters!$B$32=$A$63,Q66,IF(Parameters!$B$32=$A$70,Q73))</f>
        <v>456014.36601635494</v>
      </c>
      <c r="R59" s="53">
        <f>IF(Parameters!$B$32=$A$63,R66,IF(Parameters!$B$32=$A$70,R73))</f>
        <v>456014.36601635494</v>
      </c>
      <c r="S59" s="53">
        <f>IF(Parameters!$B$32=$A$63,S66,IF(Parameters!$B$32=$A$70,S73))</f>
        <v>456014.36601635494</v>
      </c>
      <c r="T59" s="53">
        <f>IF(Parameters!$B$32=$A$63,T66,IF(Parameters!$B$32=$A$70,T73))</f>
        <v>456014.36601635494</v>
      </c>
      <c r="U59" s="53">
        <f>IF(Parameters!$B$32=$A$63,U66,IF(Parameters!$B$32=$A$70,U73))</f>
        <v>456014.36601635494</v>
      </c>
      <c r="V59" s="53">
        <f>IF(Parameters!$B$32=$A$63,V66,IF(Parameters!$B$32=$A$70,V73))</f>
        <v>456014.36601635494</v>
      </c>
      <c r="W59" s="53">
        <f>IF(Parameters!$B$32=$A$63,W66,IF(Parameters!$B$32=$A$70,W73))</f>
        <v>456014.36601635494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232567.32666834103</v>
      </c>
      <c r="E60" s="54">
        <f>IF(Parameters!$B$32=$A$63,E67,IF(Parameters!$B$32=$A$70,E74))</f>
        <v>232567.32666834103</v>
      </c>
      <c r="F60" s="54">
        <f>IF(Parameters!$B$32=$A$63,F67,IF(Parameters!$B$32=$A$70,F74))</f>
        <v>232567.32666834103</v>
      </c>
      <c r="G60" s="54">
        <f>IF(Parameters!$B$32=$A$63,G67,IF(Parameters!$B$32=$A$70,G74))</f>
        <v>225727.11117809571</v>
      </c>
      <c r="H60" s="54">
        <f>IF(Parameters!$B$32=$A$63,H67,IF(Parameters!$B$32=$A$70,H74))</f>
        <v>212046.68019760505</v>
      </c>
      <c r="I60" s="54">
        <f>IF(Parameters!$B$32=$A$63,I67,IF(Parameters!$B$32=$A$70,I74))</f>
        <v>198366.24921711438</v>
      </c>
      <c r="J60" s="54">
        <f>IF(Parameters!$B$32=$A$63,J67,IF(Parameters!$B$32=$A$70,J74))</f>
        <v>184685.81823662372</v>
      </c>
      <c r="K60" s="54">
        <f>IF(Parameters!$B$32=$A$63,K67,IF(Parameters!$B$32=$A$70,K74))</f>
        <v>171005.38725613308</v>
      </c>
      <c r="L60" s="54">
        <f>IF(Parameters!$B$32=$A$63,L67,IF(Parameters!$B$32=$A$70,L74))</f>
        <v>157324.95627564241</v>
      </c>
      <c r="M60" s="54">
        <f>IF(Parameters!$B$32=$A$63,M67,IF(Parameters!$B$32=$A$70,M74))</f>
        <v>143644.52529515175</v>
      </c>
      <c r="N60" s="54">
        <f>IF(Parameters!$B$32=$A$63,N67,IF(Parameters!$B$32=$A$70,N74))</f>
        <v>129964.09431466108</v>
      </c>
      <c r="O60" s="54">
        <f>IF(Parameters!$B$32=$A$63,O67,IF(Parameters!$B$32=$A$70,O74))</f>
        <v>116283.66333417043</v>
      </c>
      <c r="P60" s="54">
        <f>IF(Parameters!$B$32=$A$63,P67,IF(Parameters!$B$32=$A$70,P74))</f>
        <v>102603.23235367978</v>
      </c>
      <c r="Q60" s="54">
        <f>IF(Parameters!$B$32=$A$63,Q67,IF(Parameters!$B$32=$A$70,Q74))</f>
        <v>88922.801373189141</v>
      </c>
      <c r="R60" s="54">
        <f>IF(Parameters!$B$32=$A$63,R67,IF(Parameters!$B$32=$A$70,R74))</f>
        <v>75242.370392698489</v>
      </c>
      <c r="S60" s="54">
        <f>IF(Parameters!$B$32=$A$63,S67,IF(Parameters!$B$32=$A$70,S74))</f>
        <v>61561.939412207852</v>
      </c>
      <c r="T60" s="54">
        <f>IF(Parameters!$B$32=$A$63,T67,IF(Parameters!$B$32=$A$70,T74))</f>
        <v>47881.508431717208</v>
      </c>
      <c r="U60" s="54">
        <f>IF(Parameters!$B$32=$A$63,U67,IF(Parameters!$B$32=$A$70,U74))</f>
        <v>34201.077451226556</v>
      </c>
      <c r="V60" s="54">
        <f>IF(Parameters!$B$32=$A$63,V67,IF(Parameters!$B$32=$A$70,V74))</f>
        <v>20520.646470735912</v>
      </c>
      <c r="W60" s="54">
        <f>IF(Parameters!$B$32=$A$63,W67,IF(Parameters!$B$32=$A$70,W74))</f>
        <v>6840.2154902452648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232567.32666834103</v>
      </c>
      <c r="E61" s="56">
        <f>IF(Parameters!$B$32=$A$63,E68,IF(Parameters!$B$32=$A$70,E75))</f>
        <v>232567.32666834103</v>
      </c>
      <c r="F61" s="56">
        <f>IF(Parameters!$B$32=$A$63,F68,IF(Parameters!$B$32=$A$70,F75))</f>
        <v>232567.32666834103</v>
      </c>
      <c r="G61" s="56">
        <f>IF(Parameters!$B$32=$A$63,G68,IF(Parameters!$B$32=$A$70,G75))</f>
        <v>681741.47719445068</v>
      </c>
      <c r="H61" s="56">
        <f>IF(Parameters!$B$32=$A$63,H68,IF(Parameters!$B$32=$A$70,H75))</f>
        <v>668061.04621396004</v>
      </c>
      <c r="I61" s="56">
        <f>IF(Parameters!$B$32=$A$63,I68,IF(Parameters!$B$32=$A$70,I75))</f>
        <v>654380.61523346929</v>
      </c>
      <c r="J61" s="56">
        <f>IF(Parameters!$B$32=$A$63,J68,IF(Parameters!$B$32=$A$70,J75))</f>
        <v>640700.18425297865</v>
      </c>
      <c r="K61" s="56">
        <f>IF(Parameters!$B$32=$A$63,K68,IF(Parameters!$B$32=$A$70,K75))</f>
        <v>627019.75327248801</v>
      </c>
      <c r="L61" s="56">
        <f>IF(Parameters!$B$32=$A$63,L68,IF(Parameters!$B$32=$A$70,L75))</f>
        <v>613339.32229199738</v>
      </c>
      <c r="M61" s="56">
        <f>IF(Parameters!$B$32=$A$63,M68,IF(Parameters!$B$32=$A$70,M75))</f>
        <v>599658.89131150674</v>
      </c>
      <c r="N61" s="56">
        <f>IF(Parameters!$B$32=$A$63,N68,IF(Parameters!$B$32=$A$70,N75))</f>
        <v>585978.46033101599</v>
      </c>
      <c r="O61" s="56">
        <f>IF(Parameters!$B$32=$A$63,O68,IF(Parameters!$B$32=$A$70,O75))</f>
        <v>572298.02935052535</v>
      </c>
      <c r="P61" s="56">
        <f>IF(Parameters!$B$32=$A$63,P68,IF(Parameters!$B$32=$A$70,P75))</f>
        <v>558617.59837003471</v>
      </c>
      <c r="Q61" s="56">
        <f>IF(Parameters!$B$32=$A$63,Q68,IF(Parameters!$B$32=$A$70,Q75))</f>
        <v>544937.16738954408</v>
      </c>
      <c r="R61" s="56">
        <f>IF(Parameters!$B$32=$A$63,R68,IF(Parameters!$B$32=$A$70,R75))</f>
        <v>531256.73640905344</v>
      </c>
      <c r="S61" s="56">
        <f>IF(Parameters!$B$32=$A$63,S68,IF(Parameters!$B$32=$A$70,S75))</f>
        <v>517576.3054285628</v>
      </c>
      <c r="T61" s="56">
        <f>IF(Parameters!$B$32=$A$63,T68,IF(Parameters!$B$32=$A$70,T75))</f>
        <v>503895.87444807217</v>
      </c>
      <c r="U61" s="56">
        <f>IF(Parameters!$B$32=$A$63,U68,IF(Parameters!$B$32=$A$70,U75))</f>
        <v>490215.44346758147</v>
      </c>
      <c r="V61" s="56">
        <f>IF(Parameters!$B$32=$A$63,V68,IF(Parameters!$B$32=$A$70,V75))</f>
        <v>476535.01248709083</v>
      </c>
      <c r="W61" s="56">
        <f>IF(Parameters!$B$32=$A$63,W68,IF(Parameters!$B$32=$A$70,W75))</f>
        <v>462854.5815066002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7752244.2222780343</v>
      </c>
      <c r="E65" s="53">
        <f>Parameters!$B$39</f>
        <v>7752244.2222780343</v>
      </c>
      <c r="F65" s="53">
        <f>Parameters!$B$39</f>
        <v>7752244.2222780343</v>
      </c>
      <c r="G65" s="53">
        <f>Parameters!$B$39</f>
        <v>7752244.2222780343</v>
      </c>
      <c r="H65" s="53">
        <f t="shared" ref="H65:W65" si="21">G65-G66</f>
        <v>7296229.856261679</v>
      </c>
      <c r="I65" s="53">
        <f t="shared" si="21"/>
        <v>6840215.4902453236</v>
      </c>
      <c r="J65" s="53">
        <f t="shared" si="21"/>
        <v>6384201.1242289683</v>
      </c>
      <c r="K65" s="53">
        <f t="shared" si="21"/>
        <v>5928186.7582126129</v>
      </c>
      <c r="L65" s="53">
        <f t="shared" si="21"/>
        <v>5472172.3921962576</v>
      </c>
      <c r="M65" s="53">
        <f t="shared" si="21"/>
        <v>5016158.0261799023</v>
      </c>
      <c r="N65" s="53">
        <f t="shared" si="21"/>
        <v>4560143.6601635469</v>
      </c>
      <c r="O65" s="53">
        <f t="shared" si="21"/>
        <v>4104129.294147192</v>
      </c>
      <c r="P65" s="53">
        <f t="shared" si="21"/>
        <v>3648114.9281308372</v>
      </c>
      <c r="Q65" s="53">
        <f t="shared" si="21"/>
        <v>3192100.5621144823</v>
      </c>
      <c r="R65" s="53">
        <f t="shared" si="21"/>
        <v>2736086.1960981274</v>
      </c>
      <c r="S65" s="53">
        <f t="shared" si="21"/>
        <v>2280071.8300817725</v>
      </c>
      <c r="T65" s="53">
        <f t="shared" si="21"/>
        <v>1824057.4640654176</v>
      </c>
      <c r="U65" s="53">
        <f t="shared" si="21"/>
        <v>1368043.0980490628</v>
      </c>
      <c r="V65" s="53">
        <f t="shared" si="21"/>
        <v>912028.73203270789</v>
      </c>
      <c r="W65" s="53">
        <f t="shared" si="21"/>
        <v>456014.36601635296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456014.36601635494</v>
      </c>
      <c r="H66" s="53">
        <f>IF(E4&lt;=Parameters!$B$35,Parameters!$B$39/Parameters!$B$35,0)</f>
        <v>456014.36601635494</v>
      </c>
      <c r="I66" s="53">
        <f>IF(F4&lt;=Parameters!$B$35,Parameters!$B$39/Parameters!$B$35,0)</f>
        <v>456014.36601635494</v>
      </c>
      <c r="J66" s="53">
        <f>IF(G4&lt;=Parameters!$B$35,Parameters!$B$39/Parameters!$B$35,0)</f>
        <v>456014.36601635494</v>
      </c>
      <c r="K66" s="53">
        <f>IF(H4&lt;=Parameters!$B$35,Parameters!$B$39/Parameters!$B$35,0)</f>
        <v>456014.36601635494</v>
      </c>
      <c r="L66" s="53">
        <f>IF(I4&lt;=Parameters!$B$35,Parameters!$B$39/Parameters!$B$35,0)</f>
        <v>456014.36601635494</v>
      </c>
      <c r="M66" s="53">
        <f>IF(J4&lt;=Parameters!$B$35,Parameters!$B$39/Parameters!$B$35,0)</f>
        <v>456014.36601635494</v>
      </c>
      <c r="N66" s="53">
        <f>IF(K4&lt;=Parameters!$B$35,Parameters!$B$39/Parameters!$B$35,0)</f>
        <v>456014.36601635494</v>
      </c>
      <c r="O66" s="53">
        <f>IF(L4&lt;=Parameters!$B$35,Parameters!$B$39/Parameters!$B$35,0)</f>
        <v>456014.36601635494</v>
      </c>
      <c r="P66" s="53">
        <f>IF(M4&lt;=Parameters!$B$35,Parameters!$B$39/Parameters!$B$35,0)</f>
        <v>456014.36601635494</v>
      </c>
      <c r="Q66" s="53">
        <f>IF(N4&lt;=Parameters!$B$35,Parameters!$B$39/Parameters!$B$35,0)</f>
        <v>456014.36601635494</v>
      </c>
      <c r="R66" s="53">
        <f>IF(O4&lt;=Parameters!$B$35,Parameters!$B$39/Parameters!$B$35,0)</f>
        <v>456014.36601635494</v>
      </c>
      <c r="S66" s="53">
        <f>IF(P4&lt;=Parameters!$B$35,Parameters!$B$39/Parameters!$B$35,0)</f>
        <v>456014.36601635494</v>
      </c>
      <c r="T66" s="53">
        <f>IF(Q4&lt;=Parameters!$B$35,Parameters!$B$39/Parameters!$B$35,0)</f>
        <v>456014.36601635494</v>
      </c>
      <c r="U66" s="53">
        <f>IF(R4&lt;=Parameters!$B$35,Parameters!$B$39/Parameters!$B$35,0)</f>
        <v>456014.36601635494</v>
      </c>
      <c r="V66" s="53">
        <f>IF(S4&lt;=Parameters!$B$35,Parameters!$B$39/Parameters!$B$35,0)</f>
        <v>456014.36601635494</v>
      </c>
      <c r="W66" s="53">
        <f>IF(T4&lt;=Parameters!$B$35,Parameters!$B$39/Parameters!$B$35,0)</f>
        <v>456014.36601635494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232567.32666834103</v>
      </c>
      <c r="E67" s="54">
        <f>(E65-E66/2)*Parameters!$B$38</f>
        <v>232567.32666834103</v>
      </c>
      <c r="F67" s="54">
        <f>(F65-F66/2)*Parameters!$B$38</f>
        <v>232567.32666834103</v>
      </c>
      <c r="G67" s="54">
        <f>(G65-G66/2)*Parameters!$B$38</f>
        <v>225727.11117809571</v>
      </c>
      <c r="H67" s="54">
        <f>(H65-H66/2)*Parameters!$B$38</f>
        <v>212046.68019760505</v>
      </c>
      <c r="I67" s="54">
        <f>(I65-I66/2)*Parameters!$B$38</f>
        <v>198366.24921711438</v>
      </c>
      <c r="J67" s="54">
        <f>(J65-J66/2)*Parameters!$B$38</f>
        <v>184685.81823662372</v>
      </c>
      <c r="K67" s="54">
        <f>(K65-K66/2)*Parameters!$B$38</f>
        <v>171005.38725613308</v>
      </c>
      <c r="L67" s="54">
        <f>(L65-L66/2)*Parameters!$B$38</f>
        <v>157324.95627564241</v>
      </c>
      <c r="M67" s="54">
        <f>(M65-M66/2)*Parameters!$B$38</f>
        <v>143644.52529515175</v>
      </c>
      <c r="N67" s="54">
        <f>(N65-N66/2)*Parameters!$B$38</f>
        <v>129964.09431466108</v>
      </c>
      <c r="O67" s="54">
        <f>(O65-O66/2)*Parameters!$B$38</f>
        <v>116283.66333417043</v>
      </c>
      <c r="P67" s="54">
        <f>(P65-P66/2)*Parameters!$B$38</f>
        <v>102603.23235367978</v>
      </c>
      <c r="Q67" s="54">
        <f>(Q65-Q66/2)*Parameters!$B$38</f>
        <v>88922.801373189141</v>
      </c>
      <c r="R67" s="54">
        <f>(R65-R66/2)*Parameters!$B$38</f>
        <v>75242.370392698489</v>
      </c>
      <c r="S67" s="54">
        <f>(S65-S66/2)*Parameters!$B$38</f>
        <v>61561.939412207852</v>
      </c>
      <c r="T67" s="54">
        <f>(T65-T66/2)*Parameters!$B$38</f>
        <v>47881.508431717208</v>
      </c>
      <c r="U67" s="54">
        <f>(U65-U66/2)*Parameters!$B$38</f>
        <v>34201.077451226556</v>
      </c>
      <c r="V67" s="54">
        <f>(V65-V66/2)*Parameters!$B$38</f>
        <v>20520.646470735912</v>
      </c>
      <c r="W67" s="54">
        <f>(W65-W66/2)*Parameters!$B$38</f>
        <v>6840.2154902452648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232567.32666834103</v>
      </c>
      <c r="E68" s="56">
        <f t="shared" si="22"/>
        <v>232567.32666834103</v>
      </c>
      <c r="F68" s="56">
        <f t="shared" si="22"/>
        <v>232567.32666834103</v>
      </c>
      <c r="G68" s="56">
        <f t="shared" ref="G68:W68" si="23">G66+G67</f>
        <v>681741.47719445068</v>
      </c>
      <c r="H68" s="56">
        <f t="shared" si="23"/>
        <v>668061.04621396004</v>
      </c>
      <c r="I68" s="56">
        <f t="shared" si="23"/>
        <v>654380.61523346929</v>
      </c>
      <c r="J68" s="56">
        <f t="shared" si="23"/>
        <v>640700.18425297865</v>
      </c>
      <c r="K68" s="56">
        <f t="shared" si="23"/>
        <v>627019.75327248801</v>
      </c>
      <c r="L68" s="56">
        <f t="shared" si="23"/>
        <v>613339.32229199738</v>
      </c>
      <c r="M68" s="56">
        <f t="shared" si="23"/>
        <v>599658.89131150674</v>
      </c>
      <c r="N68" s="56">
        <f t="shared" si="23"/>
        <v>585978.46033101599</v>
      </c>
      <c r="O68" s="56">
        <f t="shared" si="23"/>
        <v>572298.02935052535</v>
      </c>
      <c r="P68" s="56">
        <f t="shared" si="23"/>
        <v>558617.59837003471</v>
      </c>
      <c r="Q68" s="56">
        <f t="shared" si="23"/>
        <v>544937.16738954408</v>
      </c>
      <c r="R68" s="56">
        <f t="shared" si="23"/>
        <v>531256.73640905344</v>
      </c>
      <c r="S68" s="56">
        <f t="shared" si="23"/>
        <v>517576.3054285628</v>
      </c>
      <c r="T68" s="56">
        <f t="shared" si="23"/>
        <v>503895.87444807217</v>
      </c>
      <c r="U68" s="56">
        <f t="shared" si="23"/>
        <v>490215.44346758147</v>
      </c>
      <c r="V68" s="56">
        <f t="shared" si="23"/>
        <v>476535.01248709083</v>
      </c>
      <c r="W68" s="56">
        <f t="shared" si="23"/>
        <v>462854.5815066002</v>
      </c>
      <c r="Y68" s="159">
        <f>NPV(Parameters!$B$46,Kalkulation!D68:W68)-Parameters!$B$39</f>
        <v>-20231.556059700437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7752244.2222780343</v>
      </c>
      <c r="E72" s="53">
        <f>Parameters!$B$39</f>
        <v>7752244.2222780343</v>
      </c>
      <c r="F72" s="53">
        <f>Parameters!$B$39</f>
        <v>7752244.2222780343</v>
      </c>
      <c r="G72" s="53">
        <f>Parameters!$B$39</f>
        <v>7752244.2222780343</v>
      </c>
      <c r="H72" s="53">
        <f t="shared" ref="H72:W72" si="24">G72-G73</f>
        <v>7396008.9919241108</v>
      </c>
      <c r="I72" s="53">
        <f t="shared" si="24"/>
        <v>7029086.7046595691</v>
      </c>
      <c r="J72" s="53">
        <f t="shared" si="24"/>
        <v>6651156.7487770915</v>
      </c>
      <c r="K72" s="53">
        <f t="shared" si="24"/>
        <v>6261888.8942181394</v>
      </c>
      <c r="L72" s="53">
        <f t="shared" si="24"/>
        <v>5860943.0040224185</v>
      </c>
      <c r="M72" s="53">
        <f t="shared" si="24"/>
        <v>5447968.7371208267</v>
      </c>
      <c r="N72" s="53">
        <f t="shared" si="24"/>
        <v>5022605.2422121866</v>
      </c>
      <c r="O72" s="53">
        <f t="shared" si="24"/>
        <v>4584480.8424562877</v>
      </c>
      <c r="P72" s="53">
        <f t="shared" si="24"/>
        <v>4133212.7107077115</v>
      </c>
      <c r="Q72" s="53">
        <f t="shared" si="24"/>
        <v>3668406.5350066782</v>
      </c>
      <c r="R72" s="53">
        <f t="shared" si="24"/>
        <v>3189656.1740346137</v>
      </c>
      <c r="S72" s="53">
        <f t="shared" si="24"/>
        <v>2696543.3022333873</v>
      </c>
      <c r="T72" s="53">
        <f t="shared" si="24"/>
        <v>2188637.0442781243</v>
      </c>
      <c r="U72" s="53">
        <f t="shared" si="24"/>
        <v>1665493.5985842035</v>
      </c>
      <c r="V72" s="53">
        <f t="shared" si="24"/>
        <v>1126655.8495194649</v>
      </c>
      <c r="W72" s="53">
        <f t="shared" si="24"/>
        <v>571652.96798278415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356235.23035392363</v>
      </c>
      <c r="H73" s="53">
        <f t="shared" si="25"/>
        <v>366922.28726454137</v>
      </c>
      <c r="I73" s="53">
        <f t="shared" si="25"/>
        <v>377929.95588247763</v>
      </c>
      <c r="J73" s="53">
        <f t="shared" si="25"/>
        <v>389267.85455895192</v>
      </c>
      <c r="K73" s="53">
        <f t="shared" si="25"/>
        <v>400945.89019572048</v>
      </c>
      <c r="L73" s="53">
        <f t="shared" si="25"/>
        <v>412974.26690159214</v>
      </c>
      <c r="M73" s="53">
        <f t="shared" si="25"/>
        <v>425363.49490863993</v>
      </c>
      <c r="N73" s="53">
        <f t="shared" si="25"/>
        <v>438124.3997558991</v>
      </c>
      <c r="O73" s="53">
        <f t="shared" si="25"/>
        <v>451268.13174857607</v>
      </c>
      <c r="P73" s="53">
        <f t="shared" si="25"/>
        <v>464806.17570103332</v>
      </c>
      <c r="Q73" s="53">
        <f t="shared" si="25"/>
        <v>478750.36097206437</v>
      </c>
      <c r="R73" s="53">
        <f t="shared" si="25"/>
        <v>493112.87180122628</v>
      </c>
      <c r="S73" s="53">
        <f t="shared" si="25"/>
        <v>507906.25795526308</v>
      </c>
      <c r="T73" s="53">
        <f t="shared" si="25"/>
        <v>523143.44569392095</v>
      </c>
      <c r="U73" s="53">
        <f t="shared" si="25"/>
        <v>538837.74906473863</v>
      </c>
      <c r="V73" s="53">
        <f t="shared" si="25"/>
        <v>555002.88153668074</v>
      </c>
      <c r="W73" s="53">
        <f t="shared" si="25"/>
        <v>571652.96798278112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232567.32666834103</v>
      </c>
      <c r="E74" s="53">
        <f>E72*Parameters!$B$38</f>
        <v>232567.32666834103</v>
      </c>
      <c r="F74" s="53">
        <f>F72*Parameters!$B$38</f>
        <v>232567.32666834103</v>
      </c>
      <c r="G74" s="53">
        <f>G72*Parameters!$B$38</f>
        <v>232567.32666834103</v>
      </c>
      <c r="H74" s="53">
        <f>H72*Parameters!$B$38</f>
        <v>221880.26975772332</v>
      </c>
      <c r="I74" s="53">
        <f>I72*Parameters!$B$38</f>
        <v>210872.60113978706</v>
      </c>
      <c r="J74" s="53">
        <f>J72*Parameters!$B$38</f>
        <v>199534.70246331274</v>
      </c>
      <c r="K74" s="53">
        <f>K72*Parameters!$B$38</f>
        <v>187856.66682654418</v>
      </c>
      <c r="L74" s="53">
        <f>L72*Parameters!$B$38</f>
        <v>175828.29012067255</v>
      </c>
      <c r="M74" s="53">
        <f>M72*Parameters!$B$38</f>
        <v>163439.06211362479</v>
      </c>
      <c r="N74" s="53">
        <f>N72*Parameters!$B$38</f>
        <v>150678.1572663656</v>
      </c>
      <c r="O74" s="53">
        <f>O72*Parameters!$B$38</f>
        <v>137534.42527368863</v>
      </c>
      <c r="P74" s="53">
        <f>P72*Parameters!$B$38</f>
        <v>123996.38132123134</v>
      </c>
      <c r="Q74" s="53">
        <f>Q72*Parameters!$B$38</f>
        <v>110052.19605020033</v>
      </c>
      <c r="R74" s="53">
        <f>R72*Parameters!$B$38</f>
        <v>95689.68522103841</v>
      </c>
      <c r="S74" s="53">
        <f>S72*Parameters!$B$38</f>
        <v>80896.299067001615</v>
      </c>
      <c r="T74" s="53">
        <f>T72*Parameters!$B$38</f>
        <v>65659.11132834373</v>
      </c>
      <c r="U74" s="53">
        <f>U72*Parameters!$B$38</f>
        <v>49964.807957526107</v>
      </c>
      <c r="V74" s="53">
        <f>V72*Parameters!$B$38</f>
        <v>33799.675485583946</v>
      </c>
      <c r="W74" s="53">
        <f>W72*Parameters!$B$38</f>
        <v>17149.589039483522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232567.32666834103</v>
      </c>
      <c r="E75" s="120">
        <f t="shared" ref="E75:F75" si="26">E73+E74</f>
        <v>232567.32666834103</v>
      </c>
      <c r="F75" s="120">
        <f t="shared" si="26"/>
        <v>232567.32666834103</v>
      </c>
      <c r="G75" s="120">
        <f>IF(D4&lt;=Parameters!$B$35,-PMT(Parameters!$B$38,Parameters!$B$35,Parameters!$B$39),0)</f>
        <v>588802.55702226469</v>
      </c>
      <c r="H75" s="120">
        <f>IF(E4&lt;=Parameters!$B$35,-PMT(Parameters!$B$38,Parameters!$B$35,Parameters!$B$39),0)</f>
        <v>588802.55702226469</v>
      </c>
      <c r="I75" s="120">
        <f>IF(F4&lt;=Parameters!$B$35,-PMT(Parameters!$B$38,Parameters!$B$35,Parameters!$B$39),0)</f>
        <v>588802.55702226469</v>
      </c>
      <c r="J75" s="120">
        <f>IF(G4&lt;=Parameters!$B$35,-PMT(Parameters!$B$38,Parameters!$B$35,Parameters!$B$39),0)</f>
        <v>588802.55702226469</v>
      </c>
      <c r="K75" s="120">
        <f>IF(H4&lt;=Parameters!$B$35,-PMT(Parameters!$B$38,Parameters!$B$35,Parameters!$B$39),0)</f>
        <v>588802.55702226469</v>
      </c>
      <c r="L75" s="120">
        <f>IF(I4&lt;=Parameters!$B$35,-PMT(Parameters!$B$38,Parameters!$B$35,Parameters!$B$39),0)</f>
        <v>588802.55702226469</v>
      </c>
      <c r="M75" s="120">
        <f>IF(J4&lt;=Parameters!$B$35,-PMT(Parameters!$B$38,Parameters!$B$35,Parameters!$B$39),0)</f>
        <v>588802.55702226469</v>
      </c>
      <c r="N75" s="120">
        <f>IF(K4&lt;=Parameters!$B$35,-PMT(Parameters!$B$38,Parameters!$B$35,Parameters!$B$39),0)</f>
        <v>588802.55702226469</v>
      </c>
      <c r="O75" s="120">
        <f>IF(L4&lt;=Parameters!$B$35,-PMT(Parameters!$B$38,Parameters!$B$35,Parameters!$B$39),0)</f>
        <v>588802.55702226469</v>
      </c>
      <c r="P75" s="120">
        <f>IF(M4&lt;=Parameters!$B$35,-PMT(Parameters!$B$38,Parameters!$B$35,Parameters!$B$39),0)</f>
        <v>588802.55702226469</v>
      </c>
      <c r="Q75" s="120">
        <f>IF(N4&lt;=Parameters!$B$35,-PMT(Parameters!$B$38,Parameters!$B$35,Parameters!$B$39),0)</f>
        <v>588802.55702226469</v>
      </c>
      <c r="R75" s="120">
        <f>IF(O4&lt;=Parameters!$B$35,-PMT(Parameters!$B$38,Parameters!$B$35,Parameters!$B$39),0)</f>
        <v>588802.55702226469</v>
      </c>
      <c r="S75" s="120">
        <f>IF(P4&lt;=Parameters!$B$35,-PMT(Parameters!$B$38,Parameters!$B$35,Parameters!$B$39),0)</f>
        <v>588802.55702226469</v>
      </c>
      <c r="T75" s="120">
        <f>IF(Q4&lt;=Parameters!$B$35,-PMT(Parameters!$B$38,Parameters!$B$35,Parameters!$B$39),0)</f>
        <v>588802.55702226469</v>
      </c>
      <c r="U75" s="120">
        <f>IF(R4&lt;=Parameters!$B$35,-PMT(Parameters!$B$38,Parameters!$B$35,Parameters!$B$39),0)</f>
        <v>588802.55702226469</v>
      </c>
      <c r="V75" s="120">
        <f>IF(S4&lt;=Parameters!$B$35,-PMT(Parameters!$B$38,Parameters!$B$35,Parameters!$B$39),0)</f>
        <v>588802.55702226469</v>
      </c>
      <c r="W75" s="120">
        <f>IF(T4&lt;=Parameters!$B$35,-PMT(Parameters!$B$38,Parameters!$B$35,Parameters!$B$39),0)</f>
        <v>588802.55702226469</v>
      </c>
      <c r="Y75" s="159">
        <f>NPV(Parameters!$B$46,Kalkulation!D75:W75)-Parameters!$B$39</f>
        <v>66126.85520944465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-2906526.7777219652</v>
      </c>
      <c r="D78" s="23">
        <f>D31-D61</f>
        <v>512932.81378637918</v>
      </c>
      <c r="E78" s="23">
        <f t="shared" ref="E78:W78" si="27">E31-E61</f>
        <v>487995.44113377179</v>
      </c>
      <c r="F78" s="23">
        <f t="shared" si="27"/>
        <v>461511.95137670275</v>
      </c>
      <c r="G78" s="23">
        <f t="shared" si="27"/>
        <v>134212.33472858591</v>
      </c>
      <c r="H78" s="23">
        <f t="shared" si="27"/>
        <v>118023.52068750479</v>
      </c>
      <c r="I78" s="23">
        <f t="shared" si="27"/>
        <v>99982.813455086201</v>
      </c>
      <c r="J78" s="23">
        <f t="shared" si="27"/>
        <v>79975.395653467276</v>
      </c>
      <c r="K78" s="23">
        <f t="shared" si="27"/>
        <v>57879.331227357499</v>
      </c>
      <c r="L78" s="23">
        <f t="shared" si="27"/>
        <v>33565.124086038442</v>
      </c>
      <c r="M78" s="23">
        <f t="shared" si="27"/>
        <v>6895.2493811673485</v>
      </c>
      <c r="N78" s="23">
        <f t="shared" si="27"/>
        <v>-22276.344276196091</v>
      </c>
      <c r="O78" s="23">
        <f t="shared" si="27"/>
        <v>-54104.763461106806</v>
      </c>
      <c r="P78" s="23">
        <f t="shared" si="27"/>
        <v>-88754.731356272241</v>
      </c>
      <c r="Q78" s="23">
        <f t="shared" si="27"/>
        <v>-126401.18398172839</v>
      </c>
      <c r="R78" s="23">
        <f t="shared" si="27"/>
        <v>-167229.90339075332</v>
      </c>
      <c r="S78" s="23">
        <f t="shared" si="27"/>
        <v>-211438.19012392813</v>
      </c>
      <c r="T78" s="23">
        <f t="shared" si="27"/>
        <v>-259235.57735535037</v>
      </c>
      <c r="U78" s="23">
        <f t="shared" si="27"/>
        <v>-310844.58931591088</v>
      </c>
      <c r="V78" s="23">
        <f t="shared" si="27"/>
        <v>-366501.54673881683</v>
      </c>
      <c r="W78" s="23">
        <f t="shared" si="27"/>
        <v>-426457.42224273324</v>
      </c>
      <c r="Y78" s="23"/>
    </row>
    <row r="80" spans="1:25" s="25" customFormat="1" ht="15" thickBot="1" x14ac:dyDescent="0.35">
      <c r="B80" s="27"/>
      <c r="C80" s="158"/>
    </row>
    <row r="81" spans="1:23" s="1" customFormat="1" x14ac:dyDescent="0.3">
      <c r="A81" s="1" t="s">
        <v>80</v>
      </c>
      <c r="B81" s="83"/>
      <c r="D81" s="24">
        <f>D78</f>
        <v>512932.81378637918</v>
      </c>
      <c r="E81" s="24">
        <f t="shared" ref="E81:W81" si="28">E78</f>
        <v>487995.44113377179</v>
      </c>
      <c r="F81" s="24">
        <f t="shared" si="28"/>
        <v>461511.95137670275</v>
      </c>
      <c r="G81" s="24">
        <f t="shared" si="28"/>
        <v>134212.33472858591</v>
      </c>
      <c r="H81" s="24">
        <f t="shared" si="28"/>
        <v>118023.52068750479</v>
      </c>
      <c r="I81" s="24">
        <f t="shared" si="28"/>
        <v>99982.813455086201</v>
      </c>
      <c r="J81" s="24">
        <f t="shared" si="28"/>
        <v>79975.395653467276</v>
      </c>
      <c r="K81" s="24">
        <f t="shared" si="28"/>
        <v>57879.331227357499</v>
      </c>
      <c r="L81" s="24">
        <f t="shared" si="28"/>
        <v>33565.124086038442</v>
      </c>
      <c r="M81" s="24">
        <f t="shared" si="28"/>
        <v>6895.2493811673485</v>
      </c>
      <c r="N81" s="24">
        <f t="shared" si="28"/>
        <v>-22276.344276196091</v>
      </c>
      <c r="O81" s="24">
        <f t="shared" si="28"/>
        <v>-54104.763461106806</v>
      </c>
      <c r="P81" s="24">
        <f t="shared" si="28"/>
        <v>-88754.731356272241</v>
      </c>
      <c r="Q81" s="24">
        <f t="shared" si="28"/>
        <v>-126401.18398172839</v>
      </c>
      <c r="R81" s="24">
        <f t="shared" si="28"/>
        <v>-167229.90339075332</v>
      </c>
      <c r="S81" s="24">
        <f t="shared" si="28"/>
        <v>-211438.19012392813</v>
      </c>
      <c r="T81" s="24">
        <f t="shared" si="28"/>
        <v>-259235.57735535037</v>
      </c>
      <c r="U81" s="24">
        <f t="shared" si="28"/>
        <v>-310844.58931591088</v>
      </c>
      <c r="V81" s="24">
        <f t="shared" si="28"/>
        <v>-366501.54673881683</v>
      </c>
      <c r="W81" s="24">
        <f t="shared" si="28"/>
        <v>-426457.42224273324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3.2055239707762606</v>
      </c>
      <c r="E84" s="19">
        <f t="shared" ref="E84:W84" si="29">IF(E61&gt;0.01,E31/E61,"-")</f>
        <v>3.0982975043166361</v>
      </c>
      <c r="F84" s="19">
        <f t="shared" si="29"/>
        <v>2.984422996936515</v>
      </c>
      <c r="G84" s="19">
        <f t="shared" si="29"/>
        <v>1.196866905151357</v>
      </c>
      <c r="H84" s="19">
        <f t="shared" si="29"/>
        <v>1.1766657723218088</v>
      </c>
      <c r="I84" s="19">
        <f t="shared" si="29"/>
        <v>1.1527899988593251</v>
      </c>
      <c r="J84" s="19">
        <f t="shared" si="29"/>
        <v>1.1248249924365392</v>
      </c>
      <c r="K84" s="19">
        <f t="shared" si="29"/>
        <v>1.092308624928128</v>
      </c>
      <c r="L84" s="19">
        <f t="shared" si="29"/>
        <v>1.0547252114222978</v>
      </c>
      <c r="M84" s="19">
        <f t="shared" si="29"/>
        <v>1.0114986194336031</v>
      </c>
      <c r="N84" s="19">
        <f t="shared" si="29"/>
        <v>0.96198436327572123</v>
      </c>
      <c r="O84" s="19">
        <f t="shared" si="29"/>
        <v>0.90546051063200794</v>
      </c>
      <c r="P84" s="19">
        <f t="shared" si="29"/>
        <v>0.84111719427521492</v>
      </c>
      <c r="Q84" s="19">
        <f t="shared" si="29"/>
        <v>0.7680444800870565</v>
      </c>
      <c r="R84" s="19">
        <f t="shared" si="29"/>
        <v>0.68521829102607223</v>
      </c>
      <c r="S84" s="19">
        <f t="shared" si="29"/>
        <v>0.59148402292324143</v>
      </c>
      <c r="T84" s="19">
        <f t="shared" si="29"/>
        <v>0.48553740861780903</v>
      </c>
      <c r="U84" s="19">
        <f t="shared" si="29"/>
        <v>0.36590208762676935</v>
      </c>
      <c r="V84" s="19">
        <f t="shared" si="29"/>
        <v>0.23090321354142843</v>
      </c>
      <c r="W84" s="19">
        <f t="shared" si="29"/>
        <v>7.8636273071757287E-2</v>
      </c>
    </row>
    <row r="85" spans="1:23" x14ac:dyDescent="0.3">
      <c r="A85" s="1" t="s">
        <v>17</v>
      </c>
      <c r="B85" s="83"/>
      <c r="C85" s="19">
        <f>AVERAGE(G84:W84)</f>
        <v>0.80729223350765511</v>
      </c>
    </row>
    <row r="87" spans="1:23" x14ac:dyDescent="0.3">
      <c r="F87" s="19"/>
    </row>
    <row r="88" spans="1:23" x14ac:dyDescent="0.3">
      <c r="A88" t="s">
        <v>82</v>
      </c>
      <c r="D88" s="159">
        <f>D21*-1</f>
        <v>552215.68794527999</v>
      </c>
      <c r="E88" s="159">
        <f t="shared" ref="E88:W88" si="30">E21*-1</f>
        <v>577153.06059788738</v>
      </c>
      <c r="F88" s="159">
        <f t="shared" si="30"/>
        <v>603636.55035495642</v>
      </c>
      <c r="G88" s="159">
        <f t="shared" si="30"/>
        <v>481762.0164769637</v>
      </c>
      <c r="H88" s="159">
        <f t="shared" si="30"/>
        <v>511631.2614985354</v>
      </c>
      <c r="I88" s="159">
        <f t="shared" si="30"/>
        <v>543352.39971144474</v>
      </c>
      <c r="J88" s="159">
        <f t="shared" si="30"/>
        <v>577040.2484935543</v>
      </c>
      <c r="K88" s="159">
        <f t="shared" si="30"/>
        <v>612816.74390015472</v>
      </c>
      <c r="L88" s="159">
        <f t="shared" si="30"/>
        <v>650811.38202196441</v>
      </c>
      <c r="M88" s="159">
        <f t="shared" si="30"/>
        <v>691161.68770732614</v>
      </c>
      <c r="N88" s="159">
        <f t="shared" si="30"/>
        <v>734013.71234518033</v>
      </c>
      <c r="O88" s="159">
        <f t="shared" si="30"/>
        <v>779522.56251058169</v>
      </c>
      <c r="P88" s="159">
        <f t="shared" si="30"/>
        <v>827852.96138623776</v>
      </c>
      <c r="Q88" s="159">
        <f t="shared" si="30"/>
        <v>879179.84499218455</v>
      </c>
      <c r="R88" s="159">
        <f t="shared" si="30"/>
        <v>933688.99538170011</v>
      </c>
      <c r="S88" s="159">
        <f t="shared" si="30"/>
        <v>991577.71309536556</v>
      </c>
      <c r="T88" s="159">
        <f t="shared" si="30"/>
        <v>1053055.5313072784</v>
      </c>
      <c r="U88" s="159">
        <f t="shared" si="30"/>
        <v>1118344.9742483296</v>
      </c>
      <c r="V88" s="159">
        <f t="shared" si="30"/>
        <v>1187682.3626517262</v>
      </c>
      <c r="W88" s="159">
        <f t="shared" si="30"/>
        <v>1261318.6691361333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51" workbookViewId="0">
      <selection activeCell="C63" sqref="C63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5" t="s">
        <v>83</v>
      </c>
      <c r="B1" s="155"/>
      <c r="C1" s="155"/>
      <c r="D1" s="155"/>
      <c r="E1" s="155"/>
      <c r="F1" s="155"/>
      <c r="G1" s="155"/>
      <c r="H1" s="155"/>
      <c r="I1" s="155"/>
      <c r="J1" s="155"/>
    </row>
    <row r="3" spans="1:10" x14ac:dyDescent="0.3">
      <c r="A3" s="155" t="s">
        <v>192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193</v>
      </c>
      <c r="G5" s="4"/>
    </row>
    <row r="6" spans="1:10" x14ac:dyDescent="0.3">
      <c r="A6" t="s">
        <v>194</v>
      </c>
      <c r="B6" s="167" t="s">
        <v>84</v>
      </c>
      <c r="C6" s="167"/>
      <c r="F6" s="5"/>
      <c r="G6" s="4"/>
    </row>
    <row r="7" spans="1:10" x14ac:dyDescent="0.3">
      <c r="A7" t="s">
        <v>195</v>
      </c>
      <c r="B7" s="168" t="s">
        <v>258</v>
      </c>
      <c r="C7" s="168"/>
      <c r="F7" t="s">
        <v>147</v>
      </c>
      <c r="G7" s="4" t="s">
        <v>15</v>
      </c>
      <c r="H7" s="23">
        <v>39924500</v>
      </c>
    </row>
    <row r="8" spans="1:10" x14ac:dyDescent="0.3">
      <c r="A8" t="s">
        <v>259</v>
      </c>
      <c r="B8" s="4"/>
      <c r="C8">
        <v>6</v>
      </c>
      <c r="G8" s="4"/>
      <c r="H8" s="121"/>
    </row>
    <row r="9" spans="1:10" x14ac:dyDescent="0.3">
      <c r="A9" t="s">
        <v>196</v>
      </c>
      <c r="B9" s="4" t="s">
        <v>85</v>
      </c>
      <c r="C9">
        <v>2.1</v>
      </c>
      <c r="F9" t="s">
        <v>261</v>
      </c>
      <c r="G9" s="4"/>
      <c r="H9" s="124">
        <v>2.1999999999999999E-2</v>
      </c>
    </row>
    <row r="10" spans="1:10" x14ac:dyDescent="0.3">
      <c r="A10" t="s">
        <v>197</v>
      </c>
      <c r="B10" s="4"/>
      <c r="C10" s="122">
        <v>45658</v>
      </c>
      <c r="F10" s="175" t="s">
        <v>262</v>
      </c>
      <c r="G10" s="185"/>
      <c r="H10" s="186">
        <v>0</v>
      </c>
    </row>
    <row r="11" spans="1:10" x14ac:dyDescent="0.3">
      <c r="A11" t="s">
        <v>198</v>
      </c>
      <c r="B11" s="4" t="s">
        <v>48</v>
      </c>
      <c r="C11" s="28">
        <v>1470000</v>
      </c>
      <c r="G11" s="4"/>
      <c r="H11" s="23"/>
    </row>
    <row r="12" spans="1:10" x14ac:dyDescent="0.3">
      <c r="A12" t="s">
        <v>260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5" t="s">
        <v>199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200</v>
      </c>
      <c r="B16" s="4" t="s">
        <v>55</v>
      </c>
      <c r="C16" s="23">
        <f>C12*C8</f>
        <v>39589800</v>
      </c>
    </row>
    <row r="17" spans="1:10" x14ac:dyDescent="0.3">
      <c r="A17" t="s">
        <v>201</v>
      </c>
      <c r="B17" s="4" t="s">
        <v>15</v>
      </c>
      <c r="C17" s="23">
        <f>H12</f>
        <v>39046161</v>
      </c>
    </row>
    <row r="18" spans="1:10" x14ac:dyDescent="0.3">
      <c r="A18" t="s">
        <v>201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202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5" t="s">
        <v>87</v>
      </c>
      <c r="B22" s="185"/>
      <c r="C22" s="187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203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204</v>
      </c>
      <c r="B24" s="4" t="s">
        <v>90</v>
      </c>
      <c r="C24" s="19">
        <v>0</v>
      </c>
      <c r="D24" s="19"/>
      <c r="G24" s="4"/>
    </row>
    <row r="25" spans="1:10" x14ac:dyDescent="0.3">
      <c r="A25" t="s">
        <v>205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206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207</v>
      </c>
      <c r="B27" s="4" t="s">
        <v>90</v>
      </c>
      <c r="C27" s="19">
        <f>ROUND(4.87*(1-C22)^5,2)</f>
        <v>4.5199999999999996</v>
      </c>
    </row>
    <row r="30" spans="1:10" x14ac:dyDescent="0.3">
      <c r="A30" s="155" t="s">
        <v>208</v>
      </c>
      <c r="B30" s="155"/>
      <c r="C30" s="155"/>
      <c r="D30" s="155"/>
      <c r="E30" s="155"/>
      <c r="F30" s="155"/>
      <c r="G30" s="155"/>
      <c r="H30" s="155"/>
      <c r="I30" s="155"/>
      <c r="J30" s="155"/>
    </row>
    <row r="31" spans="1:10" x14ac:dyDescent="0.3">
      <c r="E31" s="1" t="s">
        <v>92</v>
      </c>
    </row>
    <row r="32" spans="1:10" x14ac:dyDescent="0.3">
      <c r="A32" t="s">
        <v>209</v>
      </c>
      <c r="B32" s="4" t="s">
        <v>48</v>
      </c>
      <c r="C32" s="23">
        <f>C11*C8</f>
        <v>8820000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264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210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211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212</v>
      </c>
      <c r="B37" s="4" t="s">
        <v>48</v>
      </c>
      <c r="C37" s="23">
        <f t="shared" si="0"/>
        <v>199974</v>
      </c>
      <c r="E37" s="175">
        <v>6</v>
      </c>
      <c r="F37" s="23">
        <v>33329</v>
      </c>
      <c r="G37" t="s">
        <v>99</v>
      </c>
      <c r="H37" t="s">
        <v>263</v>
      </c>
    </row>
    <row r="38" spans="1:8" x14ac:dyDescent="0.3">
      <c r="A38" t="s">
        <v>213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213</v>
      </c>
      <c r="B39" s="4" t="s">
        <v>48</v>
      </c>
      <c r="C39" s="23">
        <f t="shared" si="0"/>
        <v>867000</v>
      </c>
      <c r="E39">
        <v>3000</v>
      </c>
      <c r="F39" s="23">
        <v>289</v>
      </c>
      <c r="G39" t="s">
        <v>102</v>
      </c>
    </row>
    <row r="40" spans="1:8" x14ac:dyDescent="0.3">
      <c r="A40" t="s">
        <v>214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215</v>
      </c>
      <c r="B41" s="4" t="s">
        <v>48</v>
      </c>
      <c r="C41" s="23">
        <f t="shared" si="0"/>
        <v>38500</v>
      </c>
      <c r="E41">
        <v>1</v>
      </c>
      <c r="F41" s="23">
        <v>38500</v>
      </c>
      <c r="G41" t="s">
        <v>103</v>
      </c>
    </row>
    <row r="42" spans="1:8" x14ac:dyDescent="0.3">
      <c r="A42" t="s">
        <v>216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217</v>
      </c>
      <c r="B43" s="4" t="s">
        <v>48</v>
      </c>
      <c r="C43" s="23">
        <f>F43*E43</f>
        <v>46200</v>
      </c>
      <c r="E43">
        <v>1</v>
      </c>
      <c r="F43" s="23">
        <v>46200</v>
      </c>
      <c r="G43" t="s">
        <v>103</v>
      </c>
    </row>
    <row r="44" spans="1:8" x14ac:dyDescent="0.3">
      <c r="A44" t="s">
        <v>218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219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220</v>
      </c>
      <c r="B46" s="4" t="s">
        <v>48</v>
      </c>
      <c r="C46" s="23">
        <f t="shared" si="1"/>
        <v>9625</v>
      </c>
      <c r="E46">
        <v>1</v>
      </c>
      <c r="F46" s="23">
        <v>9625</v>
      </c>
      <c r="G46" t="s">
        <v>103</v>
      </c>
    </row>
    <row r="47" spans="1:8" x14ac:dyDescent="0.3">
      <c r="A47" t="s">
        <v>221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222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223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224</v>
      </c>
      <c r="B50" s="4" t="s">
        <v>48</v>
      </c>
      <c r="C50" s="23">
        <f t="shared" si="1"/>
        <v>19250</v>
      </c>
      <c r="E50">
        <v>1</v>
      </c>
      <c r="F50" s="23">
        <v>19250</v>
      </c>
      <c r="G50" t="s">
        <v>103</v>
      </c>
    </row>
    <row r="51" spans="1:7" x14ac:dyDescent="0.3">
      <c r="A51" t="s">
        <v>225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226</v>
      </c>
      <c r="B52" s="4" t="s">
        <v>48</v>
      </c>
      <c r="C52" s="23">
        <v>60000</v>
      </c>
      <c r="F52" s="23"/>
    </row>
    <row r="53" spans="1:7" x14ac:dyDescent="0.3">
      <c r="A53" t="s">
        <v>227</v>
      </c>
      <c r="B53" s="4" t="s">
        <v>48</v>
      </c>
      <c r="C53" s="23">
        <f>E53*F53</f>
        <v>9625</v>
      </c>
      <c r="E53">
        <v>1</v>
      </c>
      <c r="F53" s="23">
        <v>9625</v>
      </c>
      <c r="G53" t="s">
        <v>103</v>
      </c>
    </row>
    <row r="54" spans="1:7" x14ac:dyDescent="0.3">
      <c r="A54" t="s">
        <v>228</v>
      </c>
      <c r="B54" s="4" t="s">
        <v>48</v>
      </c>
      <c r="C54" s="23">
        <f>E54*F54</f>
        <v>57750</v>
      </c>
      <c r="E54">
        <v>5</v>
      </c>
      <c r="F54" s="23">
        <v>11550</v>
      </c>
      <c r="G54" t="s">
        <v>116</v>
      </c>
    </row>
    <row r="55" spans="1:7" x14ac:dyDescent="0.3">
      <c r="A55" t="s">
        <v>229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230</v>
      </c>
      <c r="B57" s="4"/>
      <c r="C57" s="23"/>
    </row>
    <row r="58" spans="1:7" x14ac:dyDescent="0.3">
      <c r="A58" t="s">
        <v>231</v>
      </c>
      <c r="B58" s="4" t="s">
        <v>48</v>
      </c>
      <c r="C58" s="23">
        <v>115500</v>
      </c>
    </row>
    <row r="59" spans="1:7" x14ac:dyDescent="0.3">
      <c r="A59" t="s">
        <v>232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t="s">
        <v>233</v>
      </c>
      <c r="B63" s="4" t="s">
        <v>48</v>
      </c>
      <c r="C63" s="23">
        <f>SUM(C32:C61)</f>
        <v>10658771</v>
      </c>
    </row>
    <row r="64" spans="1:7" x14ac:dyDescent="0.3">
      <c r="B64" s="4"/>
    </row>
    <row r="65" spans="1:10" x14ac:dyDescent="0.3">
      <c r="A65" t="s">
        <v>234</v>
      </c>
      <c r="B65" s="4" t="s">
        <v>119</v>
      </c>
      <c r="C65" s="126">
        <f>C63/C17</f>
        <v>0.2729787187016926</v>
      </c>
    </row>
    <row r="67" spans="1:10" ht="15" thickBot="1" x14ac:dyDescent="0.35">
      <c r="A67" s="153" t="s">
        <v>235</v>
      </c>
      <c r="B67" s="152" t="s">
        <v>48</v>
      </c>
      <c r="C67" s="154">
        <f>C63</f>
        <v>10658771</v>
      </c>
    </row>
    <row r="68" spans="1:10" ht="15" thickTop="1" x14ac:dyDescent="0.3"/>
    <row r="69" spans="1:10" x14ac:dyDescent="0.3">
      <c r="A69" s="155" t="s">
        <v>242</v>
      </c>
      <c r="B69" s="155"/>
      <c r="C69" s="155"/>
      <c r="D69" s="155"/>
      <c r="E69" s="155"/>
      <c r="F69" s="155"/>
      <c r="G69" s="155"/>
      <c r="H69" s="155"/>
      <c r="I69" s="155"/>
      <c r="J69" s="155"/>
    </row>
    <row r="71" spans="1:10" x14ac:dyDescent="0.3">
      <c r="A71" t="s">
        <v>236</v>
      </c>
      <c r="B71" s="121">
        <v>0.2727</v>
      </c>
      <c r="C71" s="127" t="s">
        <v>48</v>
      </c>
      <c r="D71" s="23">
        <f>B71*C63</f>
        <v>2906646.8517</v>
      </c>
    </row>
    <row r="72" spans="1:10" x14ac:dyDescent="0.3">
      <c r="A72" t="s">
        <v>237</v>
      </c>
      <c r="B72" s="121">
        <v>0.72729999999999995</v>
      </c>
      <c r="C72" s="127" t="s">
        <v>48</v>
      </c>
      <c r="D72" s="23">
        <f>B72*C63</f>
        <v>7752124.1482999995</v>
      </c>
    </row>
    <row r="73" spans="1:10" x14ac:dyDescent="0.3">
      <c r="B73" s="121"/>
      <c r="C73" s="127"/>
      <c r="D73" s="23"/>
    </row>
    <row r="74" spans="1:10" x14ac:dyDescent="0.3">
      <c r="A74" t="s">
        <v>238</v>
      </c>
    </row>
    <row r="76" spans="1:10" x14ac:dyDescent="0.3">
      <c r="A76" t="s">
        <v>239</v>
      </c>
      <c r="B76" s="4" t="s">
        <v>48</v>
      </c>
      <c r="C76" s="128">
        <f>D72</f>
        <v>7752124.1482999995</v>
      </c>
    </row>
    <row r="77" spans="1:10" x14ac:dyDescent="0.3">
      <c r="A77" t="s">
        <v>164</v>
      </c>
      <c r="B77" s="4" t="s">
        <v>20</v>
      </c>
      <c r="C77">
        <v>14</v>
      </c>
    </row>
    <row r="78" spans="1:10" x14ac:dyDescent="0.3">
      <c r="A78" t="s">
        <v>165</v>
      </c>
      <c r="B78" s="4"/>
      <c r="C78" s="123">
        <v>0.03</v>
      </c>
    </row>
    <row r="79" spans="1:10" x14ac:dyDescent="0.3">
      <c r="A79" t="s">
        <v>166</v>
      </c>
      <c r="B79" s="4"/>
      <c r="C79" s="123">
        <v>2.5000000000000001E-2</v>
      </c>
    </row>
    <row r="80" spans="1:10" x14ac:dyDescent="0.3">
      <c r="A80" t="s">
        <v>240</v>
      </c>
      <c r="B80" s="4" t="s">
        <v>20</v>
      </c>
      <c r="C80">
        <v>3</v>
      </c>
    </row>
    <row r="82" spans="1:11" x14ac:dyDescent="0.3">
      <c r="A82" t="s">
        <v>241</v>
      </c>
      <c r="C82" s="122">
        <v>42005</v>
      </c>
    </row>
    <row r="84" spans="1:11" x14ac:dyDescent="0.3">
      <c r="A84" s="155" t="s">
        <v>186</v>
      </c>
      <c r="B84" s="155"/>
      <c r="C84" s="155"/>
      <c r="D84" s="155"/>
      <c r="E84" s="155"/>
      <c r="F84" s="155"/>
      <c r="G84" s="155"/>
      <c r="H84" s="155"/>
      <c r="I84" s="155"/>
      <c r="J84" s="155"/>
    </row>
    <row r="86" spans="1:11" x14ac:dyDescent="0.3">
      <c r="A86" t="s">
        <v>243</v>
      </c>
      <c r="B86" s="4" t="s">
        <v>89</v>
      </c>
      <c r="C86" s="23">
        <f>F86*C63</f>
        <v>159881.565</v>
      </c>
      <c r="F86" s="129">
        <v>1.4999999999999999E-2</v>
      </c>
      <c r="G86" t="s">
        <v>121</v>
      </c>
    </row>
    <row r="87" spans="1:11" x14ac:dyDescent="0.3">
      <c r="A87" t="s">
        <v>244</v>
      </c>
      <c r="B87" s="4" t="s">
        <v>89</v>
      </c>
      <c r="C87" s="130">
        <f>F87*(C8*C9)</f>
        <v>69300.000000000015</v>
      </c>
      <c r="F87" s="23">
        <f>10000*0.55</f>
        <v>5500</v>
      </c>
      <c r="G87" t="s">
        <v>123</v>
      </c>
    </row>
    <row r="88" spans="1:11" x14ac:dyDescent="0.3">
      <c r="A88" t="s">
        <v>245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246</v>
      </c>
      <c r="B89" s="4" t="s">
        <v>89</v>
      </c>
      <c r="C89" s="23">
        <f>F89*$C$8</f>
        <v>82500.000000000015</v>
      </c>
      <c r="F89" s="23">
        <f>25000*0.55</f>
        <v>13750.000000000002</v>
      </c>
      <c r="G89" t="s">
        <v>116</v>
      </c>
      <c r="H89" s="166" t="s">
        <v>126</v>
      </c>
      <c r="I89" s="166"/>
      <c r="J89" s="166"/>
      <c r="K89" s="5"/>
    </row>
    <row r="90" spans="1:11" x14ac:dyDescent="0.3">
      <c r="A90" t="s">
        <v>247</v>
      </c>
      <c r="B90" s="4" t="s">
        <v>89</v>
      </c>
      <c r="C90" s="23">
        <v>12000</v>
      </c>
      <c r="D90" s="4"/>
      <c r="E90" s="4"/>
      <c r="F90" s="23"/>
    </row>
    <row r="91" spans="1:11" x14ac:dyDescent="0.3">
      <c r="A91" t="s">
        <v>248</v>
      </c>
      <c r="B91" s="4" t="s">
        <v>89</v>
      </c>
      <c r="C91" s="23">
        <v>16500</v>
      </c>
      <c r="F91" s="23"/>
      <c r="G91" s="169" t="s">
        <v>129</v>
      </c>
      <c r="H91" s="169"/>
      <c r="I91" s="169"/>
    </row>
    <row r="92" spans="1:11" x14ac:dyDescent="0.3">
      <c r="B92" s="4"/>
      <c r="C92" s="23"/>
      <c r="F92" s="23"/>
      <c r="G92" s="169"/>
      <c r="H92" s="169"/>
      <c r="I92" s="169"/>
    </row>
    <row r="93" spans="1:11" x14ac:dyDescent="0.3">
      <c r="A93" t="s">
        <v>249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6" t="s">
        <v>131</v>
      </c>
      <c r="B95" s="4"/>
      <c r="C95" s="23"/>
      <c r="F95" s="23"/>
    </row>
    <row r="96" spans="1:11" x14ac:dyDescent="0.3">
      <c r="A96" t="s">
        <v>250</v>
      </c>
      <c r="B96" s="4" t="s">
        <v>89</v>
      </c>
      <c r="C96" s="23">
        <f>(F96*I96)*E96</f>
        <v>156.77244000000007</v>
      </c>
      <c r="E96">
        <v>0.4</v>
      </c>
      <c r="F96" s="157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251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252</v>
      </c>
      <c r="B98" s="4" t="s">
        <v>89</v>
      </c>
      <c r="C98" s="23">
        <v>2000</v>
      </c>
      <c r="F98" s="23"/>
    </row>
    <row r="100" spans="1:10" x14ac:dyDescent="0.3">
      <c r="A100" t="s">
        <v>253</v>
      </c>
      <c r="B100" s="4" t="s">
        <v>89</v>
      </c>
      <c r="C100" s="23">
        <f>F100*C8</f>
        <v>16500</v>
      </c>
      <c r="F100" s="23">
        <f>5000*0.55</f>
        <v>2750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186</v>
      </c>
      <c r="B103" s="150"/>
      <c r="C103" s="151">
        <f>SUM(C86:C102)</f>
        <v>378734.16943999997</v>
      </c>
      <c r="D103" s="150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5" t="s">
        <v>254</v>
      </c>
      <c r="B107" s="155"/>
      <c r="C107" s="155"/>
      <c r="D107" s="155"/>
      <c r="E107" s="155"/>
      <c r="F107" s="155"/>
      <c r="G107" s="155"/>
      <c r="H107" s="155"/>
    </row>
    <row r="109" spans="1:10" x14ac:dyDescent="0.3">
      <c r="A109" t="s">
        <v>189</v>
      </c>
    </row>
    <row r="110" spans="1:10" x14ac:dyDescent="0.3">
      <c r="A110" s="132" t="s">
        <v>177</v>
      </c>
      <c r="B110" s="133" t="s">
        <v>48</v>
      </c>
      <c r="C110" s="23">
        <v>24500</v>
      </c>
    </row>
    <row r="111" spans="1:10" x14ac:dyDescent="0.3">
      <c r="A111" s="132" t="s">
        <v>255</v>
      </c>
      <c r="B111" s="134"/>
      <c r="C111" s="124">
        <v>3.5000000000000003E-2</v>
      </c>
    </row>
    <row r="112" spans="1:10" x14ac:dyDescent="0.3">
      <c r="A112" s="132" t="s">
        <v>256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266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257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265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52" zoomScale="70" zoomScaleNormal="70" zoomScalePageLayoutView="70" workbookViewId="0">
      <selection activeCell="K27" sqref="K27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1">
        <v>401675.25</v>
      </c>
    </row>
    <row r="166" spans="1:3" x14ac:dyDescent="0.3">
      <c r="A166" t="s">
        <v>122</v>
      </c>
      <c r="B166" s="4" t="s">
        <v>89</v>
      </c>
      <c r="C166" s="161">
        <v>150000</v>
      </c>
    </row>
    <row r="167" spans="1:3" x14ac:dyDescent="0.3">
      <c r="A167" t="s">
        <v>124</v>
      </c>
      <c r="B167" s="4" t="s">
        <v>89</v>
      </c>
      <c r="C167" s="161">
        <v>15000</v>
      </c>
    </row>
    <row r="168" spans="1:3" x14ac:dyDescent="0.3">
      <c r="A168" t="s">
        <v>125</v>
      </c>
      <c r="B168" s="4" t="s">
        <v>89</v>
      </c>
      <c r="C168" s="161">
        <v>125000</v>
      </c>
    </row>
    <row r="169" spans="1:3" x14ac:dyDescent="0.3">
      <c r="A169" t="s">
        <v>127</v>
      </c>
      <c r="B169" s="4" t="s">
        <v>89</v>
      </c>
      <c r="C169" s="161">
        <v>12000</v>
      </c>
    </row>
    <row r="170" spans="1:3" x14ac:dyDescent="0.3">
      <c r="A170" t="s">
        <v>128</v>
      </c>
      <c r="B170" s="4" t="s">
        <v>89</v>
      </c>
      <c r="C170" s="161">
        <v>30000</v>
      </c>
    </row>
    <row r="171" spans="1:3" x14ac:dyDescent="0.3">
      <c r="A171" t="s">
        <v>130</v>
      </c>
      <c r="B171" s="4" t="s">
        <v>89</v>
      </c>
      <c r="C171" s="161">
        <v>15000</v>
      </c>
    </row>
    <row r="172" spans="1:3" x14ac:dyDescent="0.3">
      <c r="A172" t="s">
        <v>141</v>
      </c>
      <c r="B172" s="4" t="s">
        <v>89</v>
      </c>
      <c r="C172" s="161">
        <v>2835.06</v>
      </c>
    </row>
    <row r="173" spans="1:3" x14ac:dyDescent="0.3">
      <c r="A173" t="s">
        <v>45</v>
      </c>
      <c r="B173" s="4" t="s">
        <v>89</v>
      </c>
      <c r="C173" s="161">
        <v>25000</v>
      </c>
    </row>
    <row r="174" spans="1:3" x14ac:dyDescent="0.3">
      <c r="B174" s="4"/>
      <c r="C174" s="161"/>
    </row>
    <row r="175" spans="1:3" x14ac:dyDescent="0.3">
      <c r="A175" t="s">
        <v>24</v>
      </c>
      <c r="B175" s="4" t="s">
        <v>136</v>
      </c>
      <c r="C175" s="161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3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5">
        <f>Parameters!B18</f>
        <v>3.4000000000000002E-2</v>
      </c>
      <c r="C182" t="s">
        <v>7</v>
      </c>
    </row>
    <row r="183" spans="1:3" x14ac:dyDescent="0.3">
      <c r="A183" t="s">
        <v>145</v>
      </c>
      <c r="B183" s="162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60">
        <v>5.7226122506694788E-2</v>
      </c>
    </row>
    <row r="186" spans="1:3" x14ac:dyDescent="0.3">
      <c r="A186" t="s">
        <v>16</v>
      </c>
      <c r="B186" s="164">
        <v>1.1004203271360495</v>
      </c>
    </row>
    <row r="187" spans="1:3" x14ac:dyDescent="0.3">
      <c r="A187" t="s">
        <v>17</v>
      </c>
      <c r="B187" s="164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2024-12-18T15:46:06Z</dcterms:modified>
  <cp:category/>
  <cp:contentStatus/>
</cp:coreProperties>
</file>